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E0702B8B-7B52-479F-9B87-3B5F83371AD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1" i="1" l="1"/>
  <c r="T49" i="1"/>
  <c r="B48" i="1"/>
  <c r="F43" i="1" l="1"/>
  <c r="H43" i="1" s="1"/>
  <c r="J43" i="1" s="1"/>
  <c r="F42" i="1"/>
  <c r="J42" i="1" s="1"/>
  <c r="J37" i="1"/>
  <c r="J38" i="1"/>
  <c r="J39" i="1"/>
  <c r="J40" i="1"/>
  <c r="J41" i="1"/>
  <c r="J36" i="1"/>
  <c r="H37" i="1"/>
  <c r="H38" i="1"/>
  <c r="H39" i="1"/>
  <c r="H40" i="1"/>
  <c r="H41" i="1"/>
  <c r="H36" i="1"/>
  <c r="F39" i="1"/>
  <c r="F38" i="1"/>
  <c r="F37" i="1"/>
  <c r="F40" i="1"/>
  <c r="F41" i="1"/>
  <c r="F36" i="1"/>
  <c r="C43" i="1"/>
  <c r="C42" i="1"/>
  <c r="C41" i="1"/>
  <c r="C40" i="1"/>
  <c r="C39" i="1"/>
  <c r="C38" i="1"/>
  <c r="C37" i="1"/>
  <c r="C36" i="1"/>
  <c r="C31" i="1"/>
  <c r="C30" i="1"/>
  <c r="T49" i="2" l="1"/>
  <c r="T44" i="2"/>
  <c r="T45" i="2"/>
  <c r="T46" i="2"/>
  <c r="T47" i="2"/>
  <c r="T48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43" i="2"/>
  <c r="K89" i="2"/>
  <c r="C6" i="1"/>
  <c r="Q31" i="1"/>
  <c r="Q30" i="1"/>
  <c r="Q29" i="1"/>
  <c r="Q26" i="1"/>
  <c r="Q27" i="1"/>
  <c r="Q28" i="1"/>
  <c r="Q25" i="1"/>
  <c r="I89" i="2" l="1"/>
  <c r="M89" i="2" l="1"/>
  <c r="N43" i="2"/>
  <c r="D43" i="2"/>
  <c r="J6" i="2"/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G4" i="1" l="1"/>
  <c r="C18" i="1"/>
  <c r="E43" i="2" l="1"/>
  <c r="E6" i="2"/>
  <c r="C14" i="1"/>
  <c r="C16" i="1"/>
  <c r="N8" i="1"/>
  <c r="N10" i="1"/>
  <c r="N12" i="1"/>
  <c r="N14" i="1"/>
  <c r="N16" i="1"/>
  <c r="G2" i="1" s="1"/>
  <c r="G6" i="1" s="1"/>
  <c r="N6" i="1"/>
  <c r="G12" i="1"/>
  <c r="G10" i="1"/>
  <c r="G14" i="1" l="1"/>
  <c r="P43" i="2"/>
  <c r="J43" i="2"/>
  <c r="L43" i="2" s="1"/>
  <c r="D44" i="2"/>
  <c r="E44" i="2" s="1"/>
  <c r="D7" i="2"/>
  <c r="G16" i="1"/>
  <c r="J44" i="2" l="1"/>
  <c r="L44" i="2" s="1"/>
  <c r="N44" i="2"/>
  <c r="P44" i="2" s="1"/>
  <c r="D45" i="2"/>
  <c r="D8" i="2"/>
  <c r="D46" i="2" l="1"/>
  <c r="E45" i="2"/>
  <c r="D9" i="2"/>
  <c r="N45" i="2" l="1"/>
  <c r="P45" i="2" s="1"/>
  <c r="J45" i="2"/>
  <c r="L45" i="2" s="1"/>
  <c r="D47" i="2"/>
  <c r="E46" i="2"/>
  <c r="D10" i="2"/>
  <c r="J46" i="2" l="1"/>
  <c r="L46" i="2" s="1"/>
  <c r="N46" i="2"/>
  <c r="P46" i="2" s="1"/>
  <c r="D48" i="2"/>
  <c r="E47" i="2"/>
  <c r="D11" i="2"/>
  <c r="D49" i="2" l="1"/>
  <c r="E48" i="2"/>
  <c r="J47" i="2"/>
  <c r="L47" i="2" s="1"/>
  <c r="N47" i="2"/>
  <c r="P47" i="2" s="1"/>
  <c r="D12" i="2"/>
  <c r="J48" i="2" l="1"/>
  <c r="L48" i="2" s="1"/>
  <c r="N48" i="2"/>
  <c r="P48" i="2" s="1"/>
  <c r="D50" i="2"/>
  <c r="E49" i="2"/>
  <c r="D13" i="2"/>
  <c r="J49" i="2" l="1"/>
  <c r="L49" i="2" s="1"/>
  <c r="N49" i="2"/>
  <c r="P49" i="2" s="1"/>
  <c r="D51" i="2"/>
  <c r="E50" i="2"/>
  <c r="D14" i="2"/>
  <c r="J50" i="2" l="1"/>
  <c r="L50" i="2" s="1"/>
  <c r="N50" i="2"/>
  <c r="P50" i="2" s="1"/>
  <c r="D52" i="2"/>
  <c r="E51" i="2"/>
  <c r="D15" i="2"/>
  <c r="J51" i="2" l="1"/>
  <c r="L51" i="2" s="1"/>
  <c r="N51" i="2"/>
  <c r="P51" i="2" s="1"/>
  <c r="D53" i="2"/>
  <c r="E52" i="2"/>
  <c r="D16" i="2"/>
  <c r="N52" i="2" l="1"/>
  <c r="P52" i="2" s="1"/>
  <c r="J52" i="2"/>
  <c r="L52" i="2" s="1"/>
  <c r="D54" i="2"/>
  <c r="E53" i="2"/>
  <c r="D17" i="2"/>
  <c r="N53" i="2" l="1"/>
  <c r="P53" i="2" s="1"/>
  <c r="J53" i="2"/>
  <c r="L53" i="2" s="1"/>
  <c r="D55" i="2"/>
  <c r="E54" i="2"/>
  <c r="D18" i="2"/>
  <c r="N54" i="2" l="1"/>
  <c r="P54" i="2" s="1"/>
  <c r="J54" i="2"/>
  <c r="L54" i="2" s="1"/>
  <c r="D56" i="2"/>
  <c r="E55" i="2"/>
  <c r="D19" i="2"/>
  <c r="N55" i="2" l="1"/>
  <c r="P55" i="2" s="1"/>
  <c r="J55" i="2"/>
  <c r="L55" i="2" s="1"/>
  <c r="D57" i="2"/>
  <c r="E56" i="2"/>
  <c r="D20" i="2"/>
  <c r="N56" i="2" l="1"/>
  <c r="P56" i="2" s="1"/>
  <c r="J56" i="2"/>
  <c r="L56" i="2" s="1"/>
  <c r="D58" i="2"/>
  <c r="E57" i="2"/>
  <c r="D21" i="2"/>
  <c r="N57" i="2" l="1"/>
  <c r="P57" i="2" s="1"/>
  <c r="J57" i="2"/>
  <c r="L57" i="2" s="1"/>
  <c r="D59" i="2"/>
  <c r="E58" i="2"/>
  <c r="D22" i="2"/>
  <c r="N58" i="2" l="1"/>
  <c r="P58" i="2" s="1"/>
  <c r="J58" i="2"/>
  <c r="L58" i="2" s="1"/>
  <c r="D60" i="2"/>
  <c r="E59" i="2"/>
  <c r="D23" i="2"/>
  <c r="D61" i="2" l="1"/>
  <c r="E60" i="2"/>
  <c r="J59" i="2"/>
  <c r="L59" i="2" s="1"/>
  <c r="N59" i="2"/>
  <c r="P59" i="2" s="1"/>
  <c r="D24" i="2"/>
  <c r="J60" i="2" l="1"/>
  <c r="L60" i="2" s="1"/>
  <c r="N60" i="2"/>
  <c r="P60" i="2" s="1"/>
  <c r="D62" i="2"/>
  <c r="E61" i="2"/>
  <c r="D25" i="2"/>
  <c r="J61" i="2" l="1"/>
  <c r="L61" i="2" s="1"/>
  <c r="N61" i="2"/>
  <c r="P61" i="2" s="1"/>
  <c r="D63" i="2"/>
  <c r="E62" i="2"/>
  <c r="D26" i="2"/>
  <c r="J62" i="2" l="1"/>
  <c r="L62" i="2" s="1"/>
  <c r="N62" i="2"/>
  <c r="P62" i="2" s="1"/>
  <c r="D64" i="2"/>
  <c r="E63" i="2"/>
  <c r="D27" i="2"/>
  <c r="J63" i="2" l="1"/>
  <c r="L63" i="2" s="1"/>
  <c r="N63" i="2"/>
  <c r="P63" i="2" s="1"/>
  <c r="D65" i="2"/>
  <c r="E64" i="2"/>
  <c r="D28" i="2"/>
  <c r="N64" i="2" l="1"/>
  <c r="P64" i="2" s="1"/>
  <c r="J64" i="2"/>
  <c r="L64" i="2" s="1"/>
  <c r="D66" i="2"/>
  <c r="E65" i="2"/>
  <c r="D29" i="2"/>
  <c r="N65" i="2" l="1"/>
  <c r="P65" i="2" s="1"/>
  <c r="J65" i="2"/>
  <c r="L65" i="2" s="1"/>
  <c r="D67" i="2"/>
  <c r="E66" i="2"/>
  <c r="D30" i="2"/>
  <c r="N66" i="2" l="1"/>
  <c r="P66" i="2" s="1"/>
  <c r="J66" i="2"/>
  <c r="L66" i="2" s="1"/>
  <c r="D68" i="2"/>
  <c r="E67" i="2"/>
  <c r="D31" i="2"/>
  <c r="N67" i="2" l="1"/>
  <c r="P67" i="2" s="1"/>
  <c r="J67" i="2"/>
  <c r="L67" i="2" s="1"/>
  <c r="D69" i="2"/>
  <c r="E69" i="2" s="1"/>
  <c r="E68" i="2"/>
  <c r="D32" i="2"/>
  <c r="N68" i="2" l="1"/>
  <c r="P68" i="2" s="1"/>
  <c r="J68" i="2"/>
  <c r="L68" i="2" s="1"/>
  <c r="N69" i="2"/>
  <c r="P69" i="2" s="1"/>
  <c r="J69" i="2"/>
  <c r="L69" i="2" s="1"/>
  <c r="D33" i="2"/>
  <c r="D34" i="2" l="1"/>
</calcChain>
</file>

<file path=xl/sharedStrings.xml><?xml version="1.0" encoding="utf-8"?>
<sst xmlns="http://schemas.openxmlformats.org/spreadsheetml/2006/main" count="142" uniqueCount="118">
  <si>
    <t>Ib</t>
  </si>
  <si>
    <t>Vdd</t>
  </si>
  <si>
    <t>R</t>
  </si>
  <si>
    <t>Vth_p</t>
  </si>
  <si>
    <t>Vth_n</t>
  </si>
  <si>
    <t>Vgs_MB</t>
  </si>
  <si>
    <t>Id_MB</t>
  </si>
  <si>
    <t>K0_n</t>
  </si>
  <si>
    <t>K0_p</t>
  </si>
  <si>
    <t>K_MB</t>
  </si>
  <si>
    <t>I_M3</t>
  </si>
  <si>
    <t>I_M4</t>
  </si>
  <si>
    <t>Rapporti W/L Transistor</t>
  </si>
  <si>
    <t>MB</t>
  </si>
  <si>
    <t>M3</t>
  </si>
  <si>
    <t>M4</t>
  </si>
  <si>
    <t>M6</t>
  </si>
  <si>
    <t>M7</t>
  </si>
  <si>
    <t>M5</t>
  </si>
  <si>
    <t>L</t>
  </si>
  <si>
    <t>W</t>
  </si>
  <si>
    <t>I_M6</t>
  </si>
  <si>
    <t>M4 e M3 devono essere uguali</t>
  </si>
  <si>
    <t>MB e M5 devono essere uguali</t>
  </si>
  <si>
    <t>I_M7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</si>
  <si>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</si>
  <si>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</si>
  <si>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</si>
  <si>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</si>
  <si>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</si>
  <si>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</si>
  <si>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</si>
  <si>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</si>
  <si>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</si>
  <si>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</si>
  <si>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</si>
  <si>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</si>
  <si>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</si>
  <si>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</si>
  <si>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</si>
  <si>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</si>
  <si>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</si>
  <si>
    <t>PMOS</t>
  </si>
  <si>
    <t>(Ro2 || Ro4) * gm2</t>
  </si>
  <si>
    <t>Ro2</t>
  </si>
  <si>
    <t>Ro4</t>
  </si>
  <si>
    <t>gm2</t>
  </si>
  <si>
    <t>R02 || Ro4</t>
  </si>
  <si>
    <t>Vgs_M2</t>
  </si>
  <si>
    <t>Vgs_M4</t>
  </si>
  <si>
    <t>Av1_dd primo stadio</t>
  </si>
  <si>
    <t>Av1_dd</t>
  </si>
  <si>
    <t>calcolato</t>
  </si>
  <si>
    <t>risultante da pspice</t>
  </si>
  <si>
    <t>Noi abbiamo che (W6/L6)/(W4/L4) *1/2 = (W7/L7)/(W5/L5)</t>
  </si>
  <si>
    <t>Note</t>
  </si>
  <si>
    <t>Vgs_M6</t>
  </si>
  <si>
    <t>Valori R</t>
  </si>
  <si>
    <t>Vs</t>
  </si>
  <si>
    <t>Valori circuito</t>
  </si>
  <si>
    <t xml:space="preserve">Corrente ref uA </t>
  </si>
  <si>
    <t>IdMB (teo)</t>
  </si>
  <si>
    <t>P_hp</t>
  </si>
  <si>
    <t>I_ref</t>
  </si>
  <si>
    <t>I_out</t>
  </si>
  <si>
    <t>Add</t>
  </si>
  <si>
    <t>GVO</t>
  </si>
  <si>
    <t>Va</t>
  </si>
  <si>
    <t>massimo per avere guadagno desiderato</t>
  </si>
  <si>
    <t>I_MB</t>
  </si>
  <si>
    <t>GVO!</t>
  </si>
  <si>
    <t>GVO scelto, deve essere inferiore al massimo</t>
  </si>
  <si>
    <t>I_5</t>
  </si>
  <si>
    <t>I_B</t>
  </si>
  <si>
    <t>I_3</t>
  </si>
  <si>
    <t>I_4</t>
  </si>
  <si>
    <t>I_1</t>
  </si>
  <si>
    <t>I_2</t>
  </si>
  <si>
    <t>I_6</t>
  </si>
  <si>
    <t>I_7</t>
  </si>
  <si>
    <t>W/L_MB</t>
  </si>
  <si>
    <t>W/L_5</t>
  </si>
  <si>
    <t>W/L_3</t>
  </si>
  <si>
    <t>W/L_4</t>
  </si>
  <si>
    <t>W/L_2</t>
  </si>
  <si>
    <t>W/L_1</t>
  </si>
  <si>
    <t>W/L_6</t>
  </si>
  <si>
    <t>W/L_7</t>
  </si>
  <si>
    <t>potenza calcolata con correnti imposte</t>
  </si>
  <si>
    <t>approx per ecc</t>
  </si>
  <si>
    <t>W transistor</t>
  </si>
  <si>
    <t>I_risultante</t>
  </si>
  <si>
    <t>R= 242,3K</t>
  </si>
  <si>
    <t>per costruz</t>
  </si>
  <si>
    <t>GVO_risultante</t>
  </si>
  <si>
    <t>Vcm=0,5</t>
  </si>
  <si>
    <t>Add_stima</t>
  </si>
  <si>
    <t>Vds &lt; Vgs - Vth</t>
  </si>
  <si>
    <t>Vd - Vs &lt; Vg - Vs - Vth</t>
  </si>
  <si>
    <t>Vd &lt; Vg - Vth</t>
  </si>
  <si>
    <t>Vg &gt; Vd + Vth</t>
  </si>
  <si>
    <t>Condizione per avere saturazione</t>
  </si>
  <si>
    <t>Scompongo i termini nei potenziali</t>
  </si>
  <si>
    <t>Risolvo</t>
  </si>
  <si>
    <t>Sostituisco con i termini del circuito</t>
  </si>
  <si>
    <t>Vds_3 = Vgs_3 = GVO_3 + Vth_3</t>
  </si>
  <si>
    <t xml:space="preserve">Vcm_min &gt; GVO_3 + Vth_3 + Vth_1 </t>
  </si>
  <si>
    <t>Vcm_min</t>
  </si>
  <si>
    <t>Calcolo Vcm e Dinamica (PMOS)</t>
  </si>
  <si>
    <t>Vcm_max</t>
  </si>
  <si>
    <t>Vdd + Vds_5 + Vgs_1 - Vcm = 0</t>
  </si>
  <si>
    <t>Vds_5 &lt; GVO_5</t>
  </si>
  <si>
    <t>Vgs1 = GVO_1 + Vth_1</t>
  </si>
  <si>
    <t>Io ho queste 3 condizioni</t>
  </si>
  <si>
    <t>Vds_5 = Vcm - Vgs_1 - Vdd</t>
  </si>
  <si>
    <t>Vcm - Vgs_1 - Vdd &lt; GVO_5</t>
  </si>
  <si>
    <t>Risolvendo ottengo</t>
  </si>
  <si>
    <t>Vcm_max &lt; Vdd + GVO_5 + GVO_1 + Vth_1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</si>
</sst>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1" fontId="0" fillId="0" borderId="0" xfId="0" applyNumberFormat="1" applyFill="1"/>
    <xf numFmtId="0" fontId="0" fillId="0" borderId="0" xfId="0" applyFont="1"/>
    <xf numFmtId="0" fontId="4" fillId="0" borderId="0" xfId="0" applyFont="1"/>
    <xf numFmtId="0" fontId="0" fillId="4" borderId="0" xfId="0" applyFill="1"/>
    <xf numFmtId="0" fontId="1" fillId="4" borderId="0" xfId="0" applyFont="1" applyFill="1"/>
    <xf numFmtId="0" fontId="4" fillId="4" borderId="0" xfId="0" applyFont="1" applyFill="1"/>
    <xf numFmtId="0" fontId="2" fillId="4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Foglio2!$W$6:$W$38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Foglio2!$Y$6:$Y$38</c:f>
              <c:numCache>
                <c:formatCode>General</c:formatCode>
                <c:ptCount val="33"/>
                <c:pt idx="0">
                  <c:v>8.7849491592351114E-7</c:v>
                </c:pt>
                <c:pt idx="1">
                  <c:v>2.5825960392467096E-7</c:v>
                </c:pt>
                <c:pt idx="2">
                  <c:v>1.5646232043309283E-7</c:v>
                </c:pt>
                <c:pt idx="3">
                  <c:v>1.5886077164850576E-7</c:v>
                </c:pt>
                <c:pt idx="4">
                  <c:v>9.1685251391027123E-7</c:v>
                </c:pt>
                <c:pt idx="5">
                  <c:v>5.7033334996958729E-6</c:v>
                </c:pt>
                <c:pt idx="6">
                  <c:v>1.6210071407840587E-5</c:v>
                </c:pt>
                <c:pt idx="7">
                  <c:v>2.7341966415406205E-5</c:v>
                </c:pt>
                <c:pt idx="8">
                  <c:v>3.7426707422127947E-5</c:v>
                </c:pt>
                <c:pt idx="9">
                  <c:v>4.6919409214751795E-5</c:v>
                </c:pt>
                <c:pt idx="10">
                  <c:v>5.6003831559792161E-5</c:v>
                </c:pt>
                <c:pt idx="11">
                  <c:v>6.4686064433772117E-5</c:v>
                </c:pt>
                <c:pt idx="12">
                  <c:v>7.2951093898154795E-5</c:v>
                </c:pt>
                <c:pt idx="13">
                  <c:v>8.0792393418960273E-5</c:v>
                </c:pt>
                <c:pt idx="14">
                  <c:v>8.8212014816235751E-5</c:v>
                </c:pt>
                <c:pt idx="15">
                  <c:v>9.5216579211410135E-5</c:v>
                </c:pt>
                <c:pt idx="16">
                  <c:v>1.0181561810895801E-4</c:v>
                </c:pt>
                <c:pt idx="17">
                  <c:v>1.0802107863128185E-4</c:v>
                </c:pt>
                <c:pt idx="18">
                  <c:v>1.1384586105123162E-4</c:v>
                </c:pt>
                <c:pt idx="19">
                  <c:v>1.1930515756830573E-4</c:v>
                </c:pt>
                <c:pt idx="20">
                  <c:v>1.2441426224540919E-4</c:v>
                </c:pt>
                <c:pt idx="21">
                  <c:v>1.2918858556076884E-4</c:v>
                </c:pt>
                <c:pt idx="22">
                  <c:v>1.3364623009692878E-4</c:v>
                </c:pt>
                <c:pt idx="23">
                  <c:v>1.378019223921001E-4</c:v>
                </c:pt>
                <c:pt idx="24">
                  <c:v>1.4167452172841877E-4</c:v>
                </c:pt>
                <c:pt idx="25">
                  <c:v>1.4527933672070503E-4</c:v>
                </c:pt>
                <c:pt idx="26">
                  <c:v>1.486330438638106E-4</c:v>
                </c:pt>
                <c:pt idx="27">
                  <c:v>1.5175275621004403E-4</c:v>
                </c:pt>
                <c:pt idx="28">
                  <c:v>1.546528801554814E-4</c:v>
                </c:pt>
                <c:pt idx="29">
                  <c:v>1.5735015040263534E-4</c:v>
                </c:pt>
                <c:pt idx="30">
                  <c:v>1.598587550688535E-4</c:v>
                </c:pt>
                <c:pt idx="31">
                  <c:v>1.621925039216876E-4</c:v>
                </c:pt>
                <c:pt idx="32">
                  <c:v>1.6436637088190764E-4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A-4095-A319-56AF988B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214623"/>
        <c:axId val="1844764223"/>
      </c:scatterChart>
      <c:valAx>
        <c:axId val="20832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764223"/>
        <c:crosses val="autoZero"/>
        <c:crossBetween val="midCat"/>
      </c:valAx>
      <c:valAx>
        <c:axId val="184476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32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gm(Vgs)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Foglio2!$W$43:$W$75</c:f>
              <c:numCache>
                <c:formatCode>General</c:formatCode>
                <c:ptCount val="33"/>
                <c:pt idx="0">
                  <c:v>5.000000074505806E-2</c:v>
                </c:pt>
                <c:pt idx="1">
                  <c:v>0.15000000596046448</c:v>
                </c:pt>
                <c:pt idx="2">
                  <c:v>0.25</c:v>
                </c:pt>
                <c:pt idx="3">
                  <c:v>0.35000002384185791</c:v>
                </c:pt>
                <c:pt idx="4">
                  <c:v>0.44999998807907104</c:v>
                </c:pt>
                <c:pt idx="5">
                  <c:v>0.55000001192092896</c:v>
                </c:pt>
                <c:pt idx="6">
                  <c:v>0.64999997615814209</c:v>
                </c:pt>
                <c:pt idx="7">
                  <c:v>0.75</c:v>
                </c:pt>
                <c:pt idx="8">
                  <c:v>0.85000002384185791</c:v>
                </c:pt>
                <c:pt idx="9">
                  <c:v>0.94999998807907104</c:v>
                </c:pt>
                <c:pt idx="10">
                  <c:v>1.0499999523162842</c:v>
                </c:pt>
                <c:pt idx="11">
                  <c:v>1.1500000953674316</c:v>
                </c:pt>
                <c:pt idx="12">
                  <c:v>1.25</c:v>
                </c:pt>
                <c:pt idx="13">
                  <c:v>1.3499999046325684</c:v>
                </c:pt>
                <c:pt idx="14">
                  <c:v>1.4500000476837158</c:v>
                </c:pt>
                <c:pt idx="15">
                  <c:v>1.5499999523162842</c:v>
                </c:pt>
                <c:pt idx="16">
                  <c:v>1.6500000953674316</c:v>
                </c:pt>
                <c:pt idx="17">
                  <c:v>1.75</c:v>
                </c:pt>
                <c:pt idx="18">
                  <c:v>1.8499999046325684</c:v>
                </c:pt>
                <c:pt idx="19">
                  <c:v>1.9500000476837158</c:v>
                </c:pt>
                <c:pt idx="20">
                  <c:v>2.0499999523162842</c:v>
                </c:pt>
                <c:pt idx="21">
                  <c:v>2.1500000953674316</c:v>
                </c:pt>
                <c:pt idx="22">
                  <c:v>2.25</c:v>
                </c:pt>
                <c:pt idx="23">
                  <c:v>2.3499999046325684</c:v>
                </c:pt>
                <c:pt idx="24">
                  <c:v>2.4500000476837158</c:v>
                </c:pt>
                <c:pt idx="25">
                  <c:v>2.5499999523162842</c:v>
                </c:pt>
                <c:pt idx="26">
                  <c:v>2.6500000953674316</c:v>
                </c:pt>
                <c:pt idx="27">
                  <c:v>2.75</c:v>
                </c:pt>
                <c:pt idx="28">
                  <c:v>2.8499999046325684</c:v>
                </c:pt>
                <c:pt idx="29">
                  <c:v>2.9500000476837158</c:v>
                </c:pt>
                <c:pt idx="30">
                  <c:v>3.0499999523162842</c:v>
                </c:pt>
                <c:pt idx="31">
                  <c:v>3.1500000953674316</c:v>
                </c:pt>
                <c:pt idx="32">
                  <c:v>3.25</c:v>
                </c:pt>
              </c:numCache>
            </c:numRef>
          </c:xVal>
          <c:yVal>
            <c:numRef>
              <c:f>Foglio2!$Y$43:$Y$75</c:f>
              <c:numCache>
                <c:formatCode>General</c:formatCode>
                <c:ptCount val="33"/>
                <c:pt idx="0">
                  <c:v>-1.0035839347055653E-12</c:v>
                </c:pt>
                <c:pt idx="1">
                  <c:v>-1.0760651267607835E-12</c:v>
                </c:pt>
                <c:pt idx="2">
                  <c:v>-2.610545677197984E-12</c:v>
                </c:pt>
                <c:pt idx="3">
                  <c:v>-3.4787565189597913E-11</c:v>
                </c:pt>
                <c:pt idx="4">
                  <c:v>-6.8250682883075342E-10</c:v>
                </c:pt>
                <c:pt idx="5">
                  <c:v>-1.1889514262009016E-8</c:v>
                </c:pt>
                <c:pt idx="6">
                  <c:v>-1.4944647830361646E-7</c:v>
                </c:pt>
                <c:pt idx="7">
                  <c:v>-1.178967295345501E-6</c:v>
                </c:pt>
                <c:pt idx="8">
                  <c:v>-4.4375815377861727E-6</c:v>
                </c:pt>
                <c:pt idx="9">
                  <c:v>-8.8389069787808694E-6</c:v>
                </c:pt>
                <c:pt idx="10">
                  <c:v>-1.2961154425283894E-5</c:v>
                </c:pt>
                <c:pt idx="11">
                  <c:v>-1.6761687220423482E-5</c:v>
                </c:pt>
                <c:pt idx="12">
                  <c:v>-2.0366214812383987E-5</c:v>
                </c:pt>
                <c:pt idx="13">
                  <c:v>-2.3810071070329286E-5</c:v>
                </c:pt>
                <c:pt idx="14">
                  <c:v>-2.7098229111288674E-5</c:v>
                </c:pt>
                <c:pt idx="15">
                  <c:v>-3.0232442441047169E-5</c:v>
                </c:pt>
                <c:pt idx="16">
                  <c:v>-3.321507028886117E-5</c:v>
                </c:pt>
                <c:pt idx="17">
                  <c:v>-3.6049947084393352E-5</c:v>
                </c:pt>
                <c:pt idx="18">
                  <c:v>-3.8740872696507722E-5</c:v>
                </c:pt>
                <c:pt idx="19">
                  <c:v>-4.1292110836366192E-5</c:v>
                </c:pt>
                <c:pt idx="20">
                  <c:v>-4.3708336306735873E-5</c:v>
                </c:pt>
                <c:pt idx="21">
                  <c:v>-4.5993590902071446E-5</c:v>
                </c:pt>
                <c:pt idx="22">
                  <c:v>-4.8152880481211469E-5</c:v>
                </c:pt>
                <c:pt idx="23">
                  <c:v>-5.0190403271699324E-5</c:v>
                </c:pt>
                <c:pt idx="24">
                  <c:v>-5.2110590331722051E-5</c:v>
                </c:pt>
                <c:pt idx="25">
                  <c:v>-5.3918462072033435E-5</c:v>
                </c:pt>
                <c:pt idx="26">
                  <c:v>-5.5617849284317344E-5</c:v>
                </c:pt>
                <c:pt idx="27">
                  <c:v>-5.7213746913475916E-5</c:v>
                </c:pt>
                <c:pt idx="28">
                  <c:v>-5.8710047596832737E-5</c:v>
                </c:pt>
                <c:pt idx="29">
                  <c:v>-6.0111109632998705E-5</c:v>
                </c:pt>
                <c:pt idx="30">
                  <c:v>-6.1421436839736998E-5</c:v>
                </c:pt>
                <c:pt idx="31">
                  <c:v>-6.2644525314681232E-5</c:v>
                </c:pt>
                <c:pt idx="32">
                  <c:v>-6.3784958911128342E-5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84-4906-B645-81DF239DF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11551"/>
        <c:axId val="1913435439"/>
      </c:scatterChart>
      <c:valAx>
        <c:axId val="44511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435439"/>
        <c:crosses val="autoZero"/>
        <c:crossBetween val="midCat"/>
      </c:valAx>
      <c:valAx>
        <c:axId val="191343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511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22</xdr:row>
      <xdr:rowOff>176212</xdr:rowOff>
    </xdr:from>
    <xdr:to>
      <xdr:col>33</xdr:col>
      <xdr:colOff>304800</xdr:colOff>
      <xdr:row>37</xdr:row>
      <xdr:rowOff>61912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8688AC3-429E-4318-8741-454F9285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133350</xdr:colOff>
      <xdr:row>41</xdr:row>
      <xdr:rowOff>71437</xdr:rowOff>
    </xdr:from>
    <xdr:to>
      <xdr:col>33</xdr:col>
      <xdr:colOff>438150</xdr:colOff>
      <xdr:row>55</xdr:row>
      <xdr:rowOff>147637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F4654BC-0024-4A7A-A3E9-C424229D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183"/>
  <sheetViews>
    <sheetView tabSelected="1" topLeftCell="A22" workbookViewId="0">
      <selection activeCell="V30" sqref="V30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7" max="7" width="11" bestFit="1" customWidth="1"/>
    <col min="13" max="13" width="10.85546875" customWidth="1"/>
    <col min="14" max="14" width="21.140625" customWidth="1"/>
    <col min="16" max="16" width="12.140625" customWidth="1"/>
    <col min="18" max="18" width="9.42578125" bestFit="1" customWidth="1"/>
  </cols>
  <sheetData>
    <row r="2" spans="2:16" x14ac:dyDescent="0.25">
      <c r="F2" s="2" t="s">
        <v>0</v>
      </c>
      <c r="G2">
        <f>C6*(N16/N6)</f>
        <v>5.9000000000000003E-6</v>
      </c>
    </row>
    <row r="3" spans="2:16" x14ac:dyDescent="0.25">
      <c r="N3" s="2" t="s">
        <v>12</v>
      </c>
      <c r="P3" s="6" t="s">
        <v>55</v>
      </c>
    </row>
    <row r="4" spans="2:16" x14ac:dyDescent="0.25">
      <c r="B4" s="2" t="s">
        <v>1</v>
      </c>
      <c r="C4">
        <v>3.3</v>
      </c>
      <c r="F4" s="2" t="s">
        <v>5</v>
      </c>
      <c r="G4">
        <f>-(ABS(C10)+SQRT(2*C6/C18))</f>
        <v>-1.1152823312836488</v>
      </c>
      <c r="L4" s="2" t="s">
        <v>20</v>
      </c>
      <c r="M4" s="2" t="s">
        <v>19</v>
      </c>
    </row>
    <row r="6" spans="2:16" x14ac:dyDescent="0.25">
      <c r="B6" s="1" t="s">
        <v>6</v>
      </c>
      <c r="C6">
        <f>5.9*POWER(10,-6)</f>
        <v>5.9000000000000003E-6</v>
      </c>
      <c r="F6" s="2" t="s">
        <v>2</v>
      </c>
      <c r="G6">
        <f>(C4+G4)/G2</f>
        <v>370291.13029090688</v>
      </c>
      <c r="K6" s="2" t="s">
        <v>13</v>
      </c>
      <c r="L6">
        <v>1</v>
      </c>
      <c r="M6">
        <v>1</v>
      </c>
      <c r="N6">
        <f>L6/M6</f>
        <v>1</v>
      </c>
      <c r="P6" t="s">
        <v>23</v>
      </c>
    </row>
    <row r="7" spans="2:16" x14ac:dyDescent="0.25">
      <c r="K7" s="2"/>
    </row>
    <row r="8" spans="2:16" x14ac:dyDescent="0.25">
      <c r="B8" s="2"/>
      <c r="K8" s="2" t="s">
        <v>14</v>
      </c>
      <c r="L8">
        <v>1</v>
      </c>
      <c r="M8">
        <v>1</v>
      </c>
      <c r="N8">
        <f t="shared" ref="N8:N16" si="0">L8/M8</f>
        <v>1</v>
      </c>
      <c r="P8" t="s">
        <v>22</v>
      </c>
    </row>
    <row r="9" spans="2:16" x14ac:dyDescent="0.25">
      <c r="K9" s="2"/>
    </row>
    <row r="10" spans="2:16" x14ac:dyDescent="0.25">
      <c r="B10" s="2" t="s">
        <v>3</v>
      </c>
      <c r="C10">
        <v>-0.69199999999999995</v>
      </c>
      <c r="F10" s="2" t="s">
        <v>10</v>
      </c>
      <c r="G10">
        <f>C6/2</f>
        <v>2.9500000000000001E-6</v>
      </c>
      <c r="K10" s="2" t="s">
        <v>15</v>
      </c>
      <c r="L10">
        <v>1</v>
      </c>
      <c r="M10">
        <v>1</v>
      </c>
      <c r="N10">
        <f t="shared" si="0"/>
        <v>1</v>
      </c>
    </row>
    <row r="11" spans="2:16" x14ac:dyDescent="0.25">
      <c r="K11" s="2"/>
    </row>
    <row r="12" spans="2:16" x14ac:dyDescent="0.25">
      <c r="B12" s="2" t="s">
        <v>4</v>
      </c>
      <c r="C12">
        <v>0.498</v>
      </c>
      <c r="F12" s="2" t="s">
        <v>11</v>
      </c>
      <c r="G12">
        <f>C6/2</f>
        <v>2.9500000000000001E-6</v>
      </c>
      <c r="K12" s="2" t="s">
        <v>16</v>
      </c>
      <c r="L12">
        <v>1</v>
      </c>
      <c r="M12">
        <v>1</v>
      </c>
      <c r="N12">
        <f t="shared" si="0"/>
        <v>1</v>
      </c>
      <c r="P12" t="s">
        <v>54</v>
      </c>
    </row>
    <row r="13" spans="2:16" x14ac:dyDescent="0.25">
      <c r="K13" s="2"/>
    </row>
    <row r="14" spans="2:16" x14ac:dyDescent="0.25">
      <c r="B14" s="2" t="s">
        <v>8</v>
      </c>
      <c r="C14">
        <f>1.48 * POWER(10,-2)*4.45*POWER(10,-3)</f>
        <v>6.586000000000001E-5</v>
      </c>
      <c r="F14" s="2" t="s">
        <v>21</v>
      </c>
      <c r="G14">
        <f>G12*N12/N10</f>
        <v>2.9500000000000001E-6</v>
      </c>
      <c r="K14" s="2" t="s">
        <v>17</v>
      </c>
      <c r="L14">
        <v>1</v>
      </c>
      <c r="M14">
        <v>1</v>
      </c>
      <c r="N14">
        <f t="shared" si="0"/>
        <v>1</v>
      </c>
    </row>
    <row r="15" spans="2:16" x14ac:dyDescent="0.25">
      <c r="K15" s="2"/>
    </row>
    <row r="16" spans="2:16" x14ac:dyDescent="0.25">
      <c r="B16" s="2" t="s">
        <v>7</v>
      </c>
      <c r="C16">
        <f>4.76* POWER(10,-2)*4.56*POWER(10,-3)</f>
        <v>2.1705599999999998E-4</v>
      </c>
      <c r="F16" s="2" t="s">
        <v>24</v>
      </c>
      <c r="G16">
        <f>N14/N16*C6</f>
        <v>5.9000000000000003E-6</v>
      </c>
      <c r="K16" s="2" t="s">
        <v>18</v>
      </c>
      <c r="L16">
        <v>1</v>
      </c>
      <c r="M16">
        <v>1</v>
      </c>
      <c r="N16">
        <f t="shared" si="0"/>
        <v>1</v>
      </c>
    </row>
    <row r="18" spans="2:17" x14ac:dyDescent="0.25">
      <c r="B18" s="2" t="s">
        <v>9</v>
      </c>
      <c r="C18">
        <f>C14*N6</f>
        <v>6.586000000000001E-5</v>
      </c>
    </row>
    <row r="21" spans="2:17" x14ac:dyDescent="0.25">
      <c r="F21" s="2"/>
    </row>
    <row r="22" spans="2:17" x14ac:dyDescent="0.25">
      <c r="N22" s="2" t="s">
        <v>59</v>
      </c>
    </row>
    <row r="23" spans="2:17" x14ac:dyDescent="0.25">
      <c r="B23" s="2" t="s">
        <v>67</v>
      </c>
      <c r="C23" s="14">
        <v>30</v>
      </c>
      <c r="D23" s="6"/>
      <c r="E23" s="6"/>
      <c r="F23" s="6"/>
      <c r="G23" s="6"/>
    </row>
    <row r="24" spans="2:17" x14ac:dyDescent="0.25">
      <c r="B24" s="2" t="s">
        <v>65</v>
      </c>
      <c r="C24" s="14">
        <v>20000</v>
      </c>
      <c r="D24" s="6"/>
      <c r="E24" s="6"/>
      <c r="F24" s="6"/>
      <c r="G24" s="6"/>
      <c r="M24" s="2" t="s">
        <v>61</v>
      </c>
      <c r="N24" s="2" t="s">
        <v>60</v>
      </c>
      <c r="O24" s="2" t="s">
        <v>57</v>
      </c>
      <c r="P24" s="2" t="s">
        <v>58</v>
      </c>
      <c r="Q24" s="2" t="s">
        <v>48</v>
      </c>
    </row>
    <row r="25" spans="2:17" x14ac:dyDescent="0.25">
      <c r="B25" s="2" t="s">
        <v>1</v>
      </c>
      <c r="C25" s="14">
        <v>3.3</v>
      </c>
      <c r="M25">
        <v>50</v>
      </c>
      <c r="N25">
        <v>55.05</v>
      </c>
      <c r="O25">
        <v>13757</v>
      </c>
      <c r="P25">
        <v>1.996</v>
      </c>
      <c r="Q25">
        <f>-P25</f>
        <v>-1.996</v>
      </c>
    </row>
    <row r="26" spans="2:17" x14ac:dyDescent="0.25">
      <c r="B26" s="2" t="s">
        <v>63</v>
      </c>
      <c r="C26" s="14">
        <v>10</v>
      </c>
      <c r="M26">
        <v>10</v>
      </c>
      <c r="N26">
        <v>16.02</v>
      </c>
      <c r="O26">
        <v>102845</v>
      </c>
      <c r="P26">
        <v>1.397</v>
      </c>
      <c r="Q26">
        <f t="shared" ref="Q26:Q31" si="1">-P26</f>
        <v>-1.397</v>
      </c>
    </row>
    <row r="27" spans="2:17" x14ac:dyDescent="0.25">
      <c r="B27" s="2" t="s">
        <v>73</v>
      </c>
      <c r="C27" s="14">
        <v>20</v>
      </c>
      <c r="N27">
        <v>9.3710000000000004</v>
      </c>
      <c r="O27">
        <v>200000</v>
      </c>
      <c r="P27">
        <v>1.234</v>
      </c>
      <c r="Q27">
        <f t="shared" si="1"/>
        <v>-1.234</v>
      </c>
    </row>
    <row r="28" spans="2:17" x14ac:dyDescent="0.25">
      <c r="B28" s="2" t="s">
        <v>64</v>
      </c>
      <c r="C28" s="14">
        <v>20</v>
      </c>
      <c r="N28">
        <v>46.32</v>
      </c>
      <c r="O28">
        <v>20000</v>
      </c>
      <c r="P28">
        <v>1.9019999999999999</v>
      </c>
      <c r="Q28">
        <f t="shared" si="1"/>
        <v>-1.9019999999999999</v>
      </c>
    </row>
    <row r="29" spans="2:17" x14ac:dyDescent="0.25">
      <c r="B29" s="2"/>
      <c r="N29">
        <v>7.7560000000000002</v>
      </c>
      <c r="O29">
        <v>250000</v>
      </c>
      <c r="P29">
        <v>1.1870000000000001</v>
      </c>
      <c r="Q29">
        <f t="shared" si="1"/>
        <v>-1.1870000000000001</v>
      </c>
    </row>
    <row r="30" spans="2:17" x14ac:dyDescent="0.25">
      <c r="B30" s="2" t="s">
        <v>62</v>
      </c>
      <c r="C30" s="14">
        <f>(C27+C28+C26)*C25</f>
        <v>165</v>
      </c>
      <c r="E30" s="6" t="s">
        <v>88</v>
      </c>
      <c r="M30">
        <v>30</v>
      </c>
      <c r="N30">
        <v>39</v>
      </c>
      <c r="O30">
        <v>27558</v>
      </c>
      <c r="P30">
        <v>1.8029999999999999</v>
      </c>
      <c r="Q30">
        <f t="shared" si="1"/>
        <v>-1.8029999999999999</v>
      </c>
    </row>
    <row r="31" spans="2:17" x14ac:dyDescent="0.25">
      <c r="B31" s="2" t="s">
        <v>66</v>
      </c>
      <c r="C31">
        <f>C23/SQRT(C24)</f>
        <v>0.21213203435596426</v>
      </c>
      <c r="E31" s="6" t="s">
        <v>68</v>
      </c>
      <c r="J31" s="2"/>
      <c r="M31">
        <v>5.9</v>
      </c>
      <c r="N31">
        <v>10</v>
      </c>
      <c r="O31">
        <v>185000</v>
      </c>
      <c r="P31">
        <v>1.2509999999999999</v>
      </c>
      <c r="Q31">
        <f t="shared" si="1"/>
        <v>-1.2509999999999999</v>
      </c>
    </row>
    <row r="32" spans="2:17" x14ac:dyDescent="0.25">
      <c r="B32" s="2"/>
    </row>
    <row r="33" spans="2:34" x14ac:dyDescent="0.25">
      <c r="B33" s="2"/>
      <c r="L33" s="15" t="s">
        <v>95</v>
      </c>
    </row>
    <row r="34" spans="2:34" x14ac:dyDescent="0.25">
      <c r="B34" s="2" t="s">
        <v>70</v>
      </c>
      <c r="C34">
        <v>0.15</v>
      </c>
      <c r="E34" s="6" t="s">
        <v>71</v>
      </c>
      <c r="L34" s="15" t="s">
        <v>92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spans="2:34" x14ac:dyDescent="0.25">
      <c r="B35" s="2"/>
      <c r="H35" s="15" t="s">
        <v>89</v>
      </c>
      <c r="I35" s="15"/>
      <c r="J35" s="15" t="s">
        <v>90</v>
      </c>
      <c r="K35" s="15"/>
      <c r="L35" s="15" t="s">
        <v>91</v>
      </c>
      <c r="N35" s="15" t="s">
        <v>94</v>
      </c>
      <c r="O35" s="15" t="s">
        <v>25</v>
      </c>
      <c r="R35" s="16"/>
      <c r="S35" s="17" t="s">
        <v>108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spans="2:34" x14ac:dyDescent="0.25">
      <c r="B36" s="2" t="s">
        <v>69</v>
      </c>
      <c r="C36">
        <f>C26</f>
        <v>10</v>
      </c>
      <c r="E36" s="2" t="s">
        <v>80</v>
      </c>
      <c r="F36">
        <f>2*C36*POWER(10,-6)/($C$14*$C$34*$C$34)</f>
        <v>13.496642710125853</v>
      </c>
      <c r="H36">
        <f>ROUNDUP(F36,0)</f>
        <v>14</v>
      </c>
      <c r="J36">
        <f t="shared" ref="J36:J43" si="2">1.4*H36</f>
        <v>19.599999999999998</v>
      </c>
      <c r="L36">
        <v>10</v>
      </c>
      <c r="N36">
        <v>-0.185</v>
      </c>
      <c r="O36">
        <v>-0.877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spans="2:34" x14ac:dyDescent="0.25">
      <c r="B37" s="2" t="s">
        <v>72</v>
      </c>
      <c r="C37">
        <f>C27</f>
        <v>20</v>
      </c>
      <c r="E37" s="2" t="s">
        <v>81</v>
      </c>
      <c r="F37">
        <f t="shared" ref="F37:F41" si="3">2*C37*POWER(10,-6)/($C$14*$C$34*$C$34)</f>
        <v>26.993285420251706</v>
      </c>
      <c r="H37">
        <f t="shared" ref="H37:H43" si="4">ROUNDUP(F37,0)</f>
        <v>27</v>
      </c>
      <c r="J37">
        <f t="shared" si="2"/>
        <v>37.799999999999997</v>
      </c>
      <c r="L37">
        <v>20.350000000000001</v>
      </c>
      <c r="N37">
        <v>-0.185</v>
      </c>
      <c r="O37">
        <v>-0.877</v>
      </c>
      <c r="R37" s="16"/>
      <c r="S37" s="18" t="s">
        <v>107</v>
      </c>
      <c r="T37" s="16"/>
      <c r="U37" s="16"/>
      <c r="V37" s="16"/>
      <c r="W37" s="16"/>
      <c r="X37" s="16"/>
      <c r="Y37" s="16"/>
      <c r="Z37" s="16"/>
      <c r="AA37" s="16"/>
      <c r="AB37" s="18" t="s">
        <v>109</v>
      </c>
      <c r="AC37" s="16"/>
      <c r="AD37" s="16"/>
      <c r="AE37" s="16"/>
      <c r="AF37" s="16"/>
      <c r="AG37" s="16"/>
      <c r="AH37" s="16"/>
    </row>
    <row r="38" spans="2:34" x14ac:dyDescent="0.25">
      <c r="B38" s="2" t="s">
        <v>74</v>
      </c>
      <c r="C38">
        <f>C27/2</f>
        <v>10</v>
      </c>
      <c r="E38" s="2" t="s">
        <v>82</v>
      </c>
      <c r="F38">
        <f>2*C38*POWER(10,-6)/($C$16*$C$34*$C$34)</f>
        <v>4.0952053335954268</v>
      </c>
      <c r="H38">
        <f t="shared" si="4"/>
        <v>5</v>
      </c>
      <c r="J38">
        <f t="shared" si="2"/>
        <v>7</v>
      </c>
      <c r="L38">
        <v>10.18</v>
      </c>
      <c r="N38">
        <v>0.187</v>
      </c>
      <c r="O38">
        <v>0.68500000000000005</v>
      </c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spans="2:34" x14ac:dyDescent="0.25">
      <c r="B39" s="2" t="s">
        <v>75</v>
      </c>
      <c r="C39">
        <f>C27/2</f>
        <v>10</v>
      </c>
      <c r="E39" s="2" t="s">
        <v>83</v>
      </c>
      <c r="F39">
        <f>2*C39*POWER(10,-6)/($C$16*$C$34*$C$34)</f>
        <v>4.0952053335954268</v>
      </c>
      <c r="H39">
        <f t="shared" si="4"/>
        <v>5</v>
      </c>
      <c r="J39">
        <f t="shared" si="2"/>
        <v>7</v>
      </c>
      <c r="L39">
        <v>10.18</v>
      </c>
      <c r="N39">
        <v>0.187</v>
      </c>
      <c r="O39">
        <v>0.68500000000000005</v>
      </c>
      <c r="R39" s="16"/>
      <c r="S39" s="16" t="s">
        <v>97</v>
      </c>
      <c r="T39" s="16"/>
      <c r="U39" s="16"/>
      <c r="V39" s="16"/>
      <c r="W39" s="19" t="s">
        <v>101</v>
      </c>
      <c r="X39" s="16"/>
      <c r="Y39" s="16"/>
      <c r="Z39" s="16"/>
      <c r="AA39" s="16"/>
      <c r="AB39" s="16" t="s">
        <v>110</v>
      </c>
      <c r="AC39" s="16"/>
      <c r="AD39" s="16"/>
      <c r="AE39" s="16"/>
      <c r="AF39" s="19" t="s">
        <v>113</v>
      </c>
      <c r="AG39" s="16"/>
      <c r="AH39" s="16"/>
    </row>
    <row r="40" spans="2:34" x14ac:dyDescent="0.25">
      <c r="B40" s="2" t="s">
        <v>76</v>
      </c>
      <c r="C40">
        <f>C27/2</f>
        <v>10</v>
      </c>
      <c r="E40" s="2" t="s">
        <v>84</v>
      </c>
      <c r="F40">
        <f t="shared" si="3"/>
        <v>13.496642710125853</v>
      </c>
      <c r="H40">
        <f t="shared" si="4"/>
        <v>14</v>
      </c>
      <c r="J40">
        <f t="shared" si="2"/>
        <v>19.599999999999998</v>
      </c>
      <c r="L40">
        <v>10.18</v>
      </c>
      <c r="N40">
        <v>-0.186</v>
      </c>
      <c r="O40">
        <v>-0.878</v>
      </c>
      <c r="R40" s="16"/>
      <c r="S40" s="16"/>
      <c r="T40" s="16"/>
      <c r="U40" s="16"/>
      <c r="V40" s="16"/>
      <c r="W40" s="19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spans="2:34" x14ac:dyDescent="0.25">
      <c r="B41" s="2" t="s">
        <v>77</v>
      </c>
      <c r="C41">
        <f>C27/2</f>
        <v>10</v>
      </c>
      <c r="E41" s="2" t="s">
        <v>85</v>
      </c>
      <c r="F41">
        <f t="shared" si="3"/>
        <v>13.496642710125853</v>
      </c>
      <c r="H41">
        <f t="shared" si="4"/>
        <v>14</v>
      </c>
      <c r="J41">
        <f t="shared" si="2"/>
        <v>19.599999999999998</v>
      </c>
      <c r="L41">
        <v>10.18</v>
      </c>
      <c r="N41">
        <v>-0.186</v>
      </c>
      <c r="O41">
        <v>-0.878</v>
      </c>
      <c r="R41" s="16"/>
      <c r="S41" s="16" t="s">
        <v>98</v>
      </c>
      <c r="T41" s="16"/>
      <c r="U41" s="16"/>
      <c r="V41" s="16"/>
      <c r="W41" s="19" t="s">
        <v>102</v>
      </c>
      <c r="X41" s="16"/>
      <c r="Y41" s="16"/>
      <c r="Z41" s="16"/>
      <c r="AA41" s="16"/>
      <c r="AB41" s="16" t="s">
        <v>111</v>
      </c>
      <c r="AC41" s="16"/>
      <c r="AD41" s="16"/>
      <c r="AE41" s="16"/>
      <c r="AF41" s="16"/>
      <c r="AG41" s="16"/>
      <c r="AH41" s="16"/>
    </row>
    <row r="42" spans="2:34" x14ac:dyDescent="0.25">
      <c r="B42" s="2" t="s">
        <v>78</v>
      </c>
      <c r="C42">
        <f>C28</f>
        <v>20</v>
      </c>
      <c r="E42" s="2" t="s">
        <v>86</v>
      </c>
      <c r="F42">
        <f>2*C42*POWER(10,-6)/($C$16*$C$34*$C$34)</f>
        <v>8.1904106671908536</v>
      </c>
      <c r="G42" s="6" t="s">
        <v>93</v>
      </c>
      <c r="H42">
        <v>10</v>
      </c>
      <c r="J42">
        <f t="shared" si="2"/>
        <v>14</v>
      </c>
      <c r="L42">
        <v>20.43</v>
      </c>
      <c r="N42">
        <v>0.187</v>
      </c>
      <c r="O42">
        <v>0.68500000000000005</v>
      </c>
      <c r="R42" s="16"/>
      <c r="S42" s="16"/>
      <c r="T42" s="16"/>
      <c r="U42" s="16"/>
      <c r="V42" s="16"/>
      <c r="W42" s="19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spans="2:34" x14ac:dyDescent="0.25">
      <c r="B43" s="2" t="s">
        <v>79</v>
      </c>
      <c r="C43">
        <f>C28</f>
        <v>20</v>
      </c>
      <c r="E43" s="2" t="s">
        <v>87</v>
      </c>
      <c r="F43">
        <f>2*C43*POWER(10,-6)/($C$14*$C$34*$C$34)</f>
        <v>26.993285420251706</v>
      </c>
      <c r="H43">
        <f t="shared" si="4"/>
        <v>27</v>
      </c>
      <c r="J43">
        <f t="shared" si="2"/>
        <v>37.799999999999997</v>
      </c>
      <c r="L43">
        <v>20.43</v>
      </c>
      <c r="N43">
        <v>-0.185</v>
      </c>
      <c r="O43">
        <v>-0.877</v>
      </c>
      <c r="R43" s="16"/>
      <c r="S43" s="16" t="s">
        <v>99</v>
      </c>
      <c r="T43" s="16"/>
      <c r="U43" s="16"/>
      <c r="V43" s="16"/>
      <c r="W43" s="19" t="s">
        <v>103</v>
      </c>
      <c r="X43" s="16"/>
      <c r="Y43" s="16"/>
      <c r="Z43" s="16"/>
      <c r="AA43" s="16"/>
      <c r="AB43" s="16" t="s">
        <v>112</v>
      </c>
      <c r="AC43" s="16"/>
      <c r="AD43" s="16"/>
      <c r="AE43" s="16"/>
      <c r="AF43" s="16"/>
      <c r="AG43" s="16"/>
      <c r="AH43" s="16"/>
    </row>
    <row r="44" spans="2:34" x14ac:dyDescent="0.25">
      <c r="B44" s="2"/>
      <c r="R44" s="16"/>
      <c r="S44" s="16"/>
      <c r="T44" s="16"/>
      <c r="U44" s="16"/>
      <c r="V44" s="16"/>
      <c r="W44" s="19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spans="2:34" x14ac:dyDescent="0.25">
      <c r="B45" s="2"/>
      <c r="R45" s="16"/>
      <c r="S45" s="16" t="s">
        <v>100</v>
      </c>
      <c r="T45" s="16"/>
      <c r="U45" s="16"/>
      <c r="V45" s="16"/>
      <c r="W45" s="19"/>
      <c r="X45" s="16"/>
      <c r="Y45" s="16"/>
      <c r="Z45" s="16"/>
      <c r="AA45" s="16"/>
      <c r="AB45" s="16" t="s">
        <v>114</v>
      </c>
      <c r="AC45" s="16"/>
      <c r="AD45" s="16"/>
      <c r="AE45" s="16"/>
      <c r="AF45" s="19" t="s">
        <v>116</v>
      </c>
      <c r="AG45" s="16"/>
      <c r="AH45" s="16"/>
    </row>
    <row r="46" spans="2:34" x14ac:dyDescent="0.25">
      <c r="B46" s="2"/>
      <c r="R46" s="16"/>
      <c r="S46" s="16"/>
      <c r="T46" s="16"/>
      <c r="U46" s="16"/>
      <c r="V46" s="16"/>
      <c r="W46" s="19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spans="2:34" x14ac:dyDescent="0.25">
      <c r="B47" s="2" t="s">
        <v>96</v>
      </c>
      <c r="R47" s="16"/>
      <c r="S47" s="16" t="s">
        <v>106</v>
      </c>
      <c r="T47" s="16"/>
      <c r="U47" s="16"/>
      <c r="V47" s="16"/>
      <c r="W47" s="19" t="s">
        <v>104</v>
      </c>
      <c r="X47" s="16"/>
      <c r="Y47" s="16"/>
      <c r="Z47" s="16"/>
      <c r="AA47" s="16"/>
      <c r="AB47" s="16" t="s">
        <v>115</v>
      </c>
      <c r="AC47" s="16"/>
      <c r="AD47" s="16"/>
      <c r="AE47" s="16"/>
      <c r="AF47" s="16"/>
      <c r="AG47" s="16"/>
      <c r="AH47" s="16"/>
    </row>
    <row r="48" spans="2:34" x14ac:dyDescent="0.25">
      <c r="B48">
        <f>(C23/C34)*(C23/C34)</f>
        <v>40000</v>
      </c>
      <c r="R48" s="16"/>
      <c r="S48" s="16"/>
      <c r="T48" s="16"/>
      <c r="U48" s="16"/>
      <c r="V48" s="16"/>
      <c r="W48" s="19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spans="2:34" x14ac:dyDescent="0.25">
      <c r="R49" s="16"/>
      <c r="S49" s="17" t="s">
        <v>107</v>
      </c>
      <c r="T49" s="16">
        <f>N38+0.498-0.692</f>
        <v>-6.9999999999998952E-3</v>
      </c>
      <c r="U49" s="16"/>
      <c r="V49" s="16"/>
      <c r="W49" s="19" t="s">
        <v>105</v>
      </c>
      <c r="X49" s="16"/>
      <c r="Y49" s="16"/>
      <c r="Z49" s="16"/>
      <c r="AA49" s="16"/>
      <c r="AB49" s="16" t="s">
        <v>117</v>
      </c>
      <c r="AC49" s="16"/>
      <c r="AD49" s="16"/>
      <c r="AE49" s="16"/>
      <c r="AF49" s="16"/>
      <c r="AG49" s="16"/>
      <c r="AH49" s="16"/>
    </row>
    <row r="50" spans="2:34" x14ac:dyDescent="0.25"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spans="2:34" x14ac:dyDescent="0.25"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 t="s">
        <v>109</v>
      </c>
      <c r="AC51" s="16">
        <f>C25+N37+N40+C10</f>
        <v>2.2370000000000001</v>
      </c>
      <c r="AD51" s="16"/>
      <c r="AE51" s="16"/>
      <c r="AF51" s="16"/>
      <c r="AG51" s="16"/>
      <c r="AH51" s="16"/>
    </row>
    <row r="52" spans="2:34" x14ac:dyDescent="0.25"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spans="2:34" x14ac:dyDescent="0.25"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spans="2:34" x14ac:dyDescent="0.25"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spans="2:34" x14ac:dyDescent="0.25">
      <c r="C55" s="3"/>
    </row>
    <row r="56" spans="2:34" x14ac:dyDescent="0.25">
      <c r="C56" s="3"/>
    </row>
    <row r="57" spans="2:34" x14ac:dyDescent="0.25">
      <c r="B57" s="5"/>
      <c r="C57" s="3"/>
      <c r="E57" s="3"/>
    </row>
    <row r="58" spans="2:34" x14ac:dyDescent="0.25">
      <c r="B58" s="5"/>
      <c r="C58" s="3"/>
      <c r="E58" s="3"/>
    </row>
    <row r="59" spans="2:34" x14ac:dyDescent="0.25">
      <c r="B59" s="5"/>
      <c r="C59" s="3"/>
      <c r="E59" s="3"/>
    </row>
    <row r="60" spans="2:34" x14ac:dyDescent="0.25">
      <c r="B60" s="5"/>
      <c r="C60" s="3"/>
      <c r="E60" s="3"/>
    </row>
    <row r="61" spans="2:34" x14ac:dyDescent="0.25">
      <c r="B61" s="5"/>
      <c r="C61" s="3"/>
      <c r="E61" s="3"/>
    </row>
    <row r="62" spans="2:34" x14ac:dyDescent="0.25">
      <c r="B62" s="5"/>
      <c r="C62" s="3"/>
      <c r="E62" s="3"/>
    </row>
    <row r="63" spans="2:34" x14ac:dyDescent="0.25">
      <c r="B63" s="5"/>
      <c r="C63" s="3"/>
      <c r="E63" s="3"/>
    </row>
    <row r="64" spans="2:34" x14ac:dyDescent="0.25">
      <c r="B64" s="5"/>
      <c r="C64" s="3"/>
    </row>
    <row r="65" spans="2:3" x14ac:dyDescent="0.25">
      <c r="B65" s="5"/>
      <c r="C65" s="3"/>
    </row>
    <row r="66" spans="2:3" x14ac:dyDescent="0.25">
      <c r="B66" s="5"/>
      <c r="C66" s="3"/>
    </row>
    <row r="67" spans="2:3" x14ac:dyDescent="0.25">
      <c r="B67" s="5"/>
      <c r="C67" s="3"/>
    </row>
    <row r="68" spans="2:3" x14ac:dyDescent="0.25">
      <c r="B68" s="5"/>
      <c r="C68" s="3"/>
    </row>
    <row r="69" spans="2:3" x14ac:dyDescent="0.25">
      <c r="C69" s="3"/>
    </row>
    <row r="70" spans="2:3" x14ac:dyDescent="0.25">
      <c r="C70" s="3"/>
    </row>
    <row r="71" spans="2:3" x14ac:dyDescent="0.25">
      <c r="C71" s="3"/>
    </row>
    <row r="72" spans="2:3" x14ac:dyDescent="0.25">
      <c r="C72" s="3"/>
    </row>
    <row r="73" spans="2:3" x14ac:dyDescent="0.25">
      <c r="C73" s="3"/>
    </row>
    <row r="74" spans="2:3" x14ac:dyDescent="0.25">
      <c r="C74" s="3"/>
    </row>
    <row r="75" spans="2:3" x14ac:dyDescent="0.25">
      <c r="C75" s="3"/>
    </row>
    <row r="76" spans="2:3" x14ac:dyDescent="0.25">
      <c r="C76" s="3"/>
    </row>
    <row r="77" spans="2:3" x14ac:dyDescent="0.25">
      <c r="C77" s="3"/>
    </row>
    <row r="78" spans="2:3" x14ac:dyDescent="0.25">
      <c r="C78" s="3"/>
    </row>
    <row r="79" spans="2:3" x14ac:dyDescent="0.25">
      <c r="C79" s="3"/>
    </row>
    <row r="80" spans="2:3" x14ac:dyDescent="0.25">
      <c r="C80" s="3"/>
    </row>
    <row r="81" spans="2:3" x14ac:dyDescent="0.25">
      <c r="C81" s="3"/>
    </row>
    <row r="82" spans="2:3" x14ac:dyDescent="0.25">
      <c r="C82" s="3"/>
    </row>
    <row r="83" spans="2:3" x14ac:dyDescent="0.25">
      <c r="C83" s="3"/>
    </row>
    <row r="84" spans="2:3" x14ac:dyDescent="0.25">
      <c r="C84" s="3"/>
    </row>
    <row r="85" spans="2:3" x14ac:dyDescent="0.25">
      <c r="C85" s="3"/>
    </row>
    <row r="86" spans="2:3" x14ac:dyDescent="0.25">
      <c r="C86" s="3"/>
    </row>
    <row r="87" spans="2:3" x14ac:dyDescent="0.25">
      <c r="C87" s="3"/>
    </row>
    <row r="88" spans="2:3" x14ac:dyDescent="0.25">
      <c r="C88" s="3"/>
    </row>
    <row r="89" spans="2:3" x14ac:dyDescent="0.25">
      <c r="C89" s="3"/>
    </row>
    <row r="90" spans="2:3" x14ac:dyDescent="0.25">
      <c r="C90" s="3"/>
    </row>
    <row r="91" spans="2:3" x14ac:dyDescent="0.25">
      <c r="C91" s="3"/>
    </row>
    <row r="92" spans="2:3" x14ac:dyDescent="0.25">
      <c r="B92" s="4"/>
      <c r="C92" s="3"/>
    </row>
    <row r="93" spans="2:3" x14ac:dyDescent="0.25">
      <c r="C93" s="3"/>
    </row>
    <row r="94" spans="2:3" x14ac:dyDescent="0.25">
      <c r="B94" s="4"/>
      <c r="C94" s="3"/>
    </row>
    <row r="95" spans="2:3" x14ac:dyDescent="0.25">
      <c r="C95" s="3"/>
    </row>
    <row r="96" spans="2:3" x14ac:dyDescent="0.25">
      <c r="B96" s="4"/>
      <c r="C96" s="3"/>
    </row>
    <row r="97" spans="2:3" x14ac:dyDescent="0.25">
      <c r="C97" s="3"/>
    </row>
    <row r="98" spans="2:3" x14ac:dyDescent="0.25">
      <c r="B98" s="4"/>
      <c r="C98" s="3"/>
    </row>
    <row r="99" spans="2:3" x14ac:dyDescent="0.25">
      <c r="C99" s="3"/>
    </row>
    <row r="100" spans="2:3" x14ac:dyDescent="0.25">
      <c r="B100" s="4"/>
      <c r="C100" s="3"/>
    </row>
    <row r="101" spans="2:3" x14ac:dyDescent="0.25">
      <c r="C101" s="3"/>
    </row>
    <row r="102" spans="2:3" x14ac:dyDescent="0.25">
      <c r="B102" s="4"/>
      <c r="C102" s="3"/>
    </row>
    <row r="103" spans="2:3" x14ac:dyDescent="0.25">
      <c r="C103" s="3"/>
    </row>
    <row r="104" spans="2:3" x14ac:dyDescent="0.25">
      <c r="B104" s="4"/>
      <c r="C104" s="3"/>
    </row>
    <row r="105" spans="2:3" x14ac:dyDescent="0.25">
      <c r="C105" s="3"/>
    </row>
    <row r="106" spans="2:3" x14ac:dyDescent="0.25">
      <c r="B106" s="4"/>
      <c r="C106" s="3"/>
    </row>
    <row r="107" spans="2:3" x14ac:dyDescent="0.25">
      <c r="C107" s="3"/>
    </row>
    <row r="108" spans="2:3" x14ac:dyDescent="0.25">
      <c r="B108" s="4"/>
      <c r="C108" s="3"/>
    </row>
    <row r="109" spans="2:3" x14ac:dyDescent="0.25">
      <c r="C109" s="3"/>
    </row>
    <row r="110" spans="2:3" x14ac:dyDescent="0.25">
      <c r="B110" s="4"/>
      <c r="C110" s="3"/>
    </row>
    <row r="111" spans="2:3" x14ac:dyDescent="0.25">
      <c r="C111" s="3"/>
    </row>
    <row r="112" spans="2:3" x14ac:dyDescent="0.25">
      <c r="B112" s="4"/>
      <c r="C112" s="3"/>
    </row>
    <row r="113" spans="2:3" x14ac:dyDescent="0.25">
      <c r="C113" s="3"/>
    </row>
    <row r="114" spans="2:3" x14ac:dyDescent="0.25">
      <c r="B114" s="4"/>
      <c r="C114" s="3"/>
    </row>
    <row r="115" spans="2:3" x14ac:dyDescent="0.25">
      <c r="C115" s="3"/>
    </row>
    <row r="116" spans="2:3" x14ac:dyDescent="0.25">
      <c r="B116" s="4"/>
    </row>
    <row r="118" spans="2:3" x14ac:dyDescent="0.25">
      <c r="B118" s="4"/>
    </row>
    <row r="120" spans="2:3" x14ac:dyDescent="0.25">
      <c r="B120" s="4"/>
    </row>
    <row r="122" spans="2:3" x14ac:dyDescent="0.25">
      <c r="B122" s="4"/>
    </row>
    <row r="124" spans="2:3" x14ac:dyDescent="0.25">
      <c r="B124" s="4"/>
    </row>
    <row r="126" spans="2:3" x14ac:dyDescent="0.25">
      <c r="B126" s="4"/>
    </row>
    <row r="128" spans="2:3" x14ac:dyDescent="0.25">
      <c r="B128" s="4"/>
    </row>
    <row r="130" spans="2:2" x14ac:dyDescent="0.25">
      <c r="B130" s="4"/>
    </row>
    <row r="132" spans="2:2" x14ac:dyDescent="0.25">
      <c r="B132" s="4"/>
    </row>
    <row r="134" spans="2:2" x14ac:dyDescent="0.25">
      <c r="B134" s="4"/>
    </row>
    <row r="136" spans="2:2" x14ac:dyDescent="0.25">
      <c r="B136" s="4"/>
    </row>
    <row r="138" spans="2:2" x14ac:dyDescent="0.25">
      <c r="B138" s="4"/>
    </row>
    <row r="140" spans="2:2" x14ac:dyDescent="0.25">
      <c r="B140" s="4"/>
    </row>
    <row r="142" spans="2:2" x14ac:dyDescent="0.25">
      <c r="B142" s="4"/>
    </row>
    <row r="144" spans="2:2" x14ac:dyDescent="0.25">
      <c r="B144" s="4"/>
    </row>
    <row r="146" spans="2:2" x14ac:dyDescent="0.25">
      <c r="B146" s="4"/>
    </row>
    <row r="148" spans="2:2" x14ac:dyDescent="0.25">
      <c r="B148" s="4"/>
    </row>
    <row r="150" spans="2:2" x14ac:dyDescent="0.25">
      <c r="B150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B3:Z93"/>
  <sheetViews>
    <sheetView topLeftCell="A64" workbookViewId="0">
      <selection activeCell="N90" sqref="N90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9" max="9" width="9.7109375" bestFit="1" customWidth="1"/>
    <col min="10" max="10" width="12" bestFit="1" customWidth="1"/>
    <col min="11" max="11" width="10.7109375" bestFit="1" customWidth="1"/>
    <col min="12" max="12" width="11.42578125" customWidth="1"/>
    <col min="14" max="14" width="12.7109375" bestFit="1" customWidth="1"/>
    <col min="16" max="16" width="12.7109375" bestFit="1" customWidth="1"/>
    <col min="20" max="20" width="14" customWidth="1"/>
  </cols>
  <sheetData>
    <row r="3" spans="3:26" x14ac:dyDescent="0.25">
      <c r="C3" s="8"/>
      <c r="G3" s="6" t="s">
        <v>38</v>
      </c>
      <c r="I3" s="8"/>
      <c r="J3" s="6" t="s">
        <v>33</v>
      </c>
      <c r="K3" s="8"/>
      <c r="L3" s="6" t="s">
        <v>32</v>
      </c>
      <c r="M3" s="8"/>
      <c r="N3" s="7" t="s">
        <v>35</v>
      </c>
      <c r="O3" s="8"/>
      <c r="Q3" s="8"/>
      <c r="S3" s="8"/>
      <c r="U3" s="10"/>
      <c r="V3" s="8"/>
      <c r="X3" s="8"/>
      <c r="Z3" s="8"/>
    </row>
    <row r="4" spans="3:26" x14ac:dyDescent="0.25">
      <c r="C4" s="8"/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I4" s="8"/>
      <c r="J4" s="2" t="s">
        <v>30</v>
      </c>
      <c r="K4" s="8"/>
      <c r="L4" s="2" t="s">
        <v>31</v>
      </c>
      <c r="M4" s="8"/>
      <c r="N4" s="2" t="s">
        <v>34</v>
      </c>
      <c r="O4" s="9"/>
      <c r="P4" s="2" t="s">
        <v>36</v>
      </c>
      <c r="Q4" s="8"/>
      <c r="R4" s="2" t="s">
        <v>39</v>
      </c>
      <c r="S4" s="8"/>
      <c r="T4" s="2" t="s">
        <v>40</v>
      </c>
      <c r="U4" s="10"/>
      <c r="V4" s="8"/>
      <c r="W4" s="2" t="s">
        <v>25</v>
      </c>
      <c r="X4" s="9"/>
      <c r="Y4" s="2" t="s">
        <v>41</v>
      </c>
      <c r="Z4" s="8"/>
    </row>
    <row r="5" spans="3:26" x14ac:dyDescent="0.2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3:26" x14ac:dyDescent="0.25">
      <c r="C6" s="9" t="s">
        <v>37</v>
      </c>
      <c r="D6" s="10">
        <v>0.5</v>
      </c>
      <c r="E6" s="10">
        <f>D6-0.4</f>
        <v>9.9999999999999978E-2</v>
      </c>
      <c r="F6" s="10">
        <v>3.3</v>
      </c>
      <c r="G6" s="10">
        <v>9.1685244285599765E-8</v>
      </c>
      <c r="H6" s="10">
        <v>1.08744465876498E-7</v>
      </c>
      <c r="I6" s="8"/>
      <c r="J6" s="10">
        <f>((H6-G6)/(F6-E6))/G6</f>
        <v>5.8144653359373723E-2</v>
      </c>
      <c r="K6" s="8"/>
      <c r="L6" s="10">
        <f>1/J6</f>
        <v>17.19848588346234</v>
      </c>
      <c r="M6" s="8"/>
      <c r="N6" s="10">
        <f>((H6-G6)/(F6-E6))</f>
        <v>5.3310067471556985E-9</v>
      </c>
      <c r="O6" s="8"/>
      <c r="P6" s="10">
        <f>1/N6</f>
        <v>187581829.74229759</v>
      </c>
      <c r="Q6" s="8"/>
      <c r="R6" s="10">
        <v>125</v>
      </c>
      <c r="S6" s="8"/>
      <c r="T6" s="10">
        <f>$R$6/G6</f>
        <v>1363360058.3603692</v>
      </c>
      <c r="U6" s="8"/>
      <c r="V6" s="8"/>
      <c r="W6" s="10">
        <v>5.000000074505806E-2</v>
      </c>
      <c r="X6" s="8"/>
      <c r="Y6" s="10">
        <v>8.7849491592351114E-7</v>
      </c>
      <c r="Z6" s="8"/>
    </row>
    <row r="7" spans="3:26" x14ac:dyDescent="0.25">
      <c r="C7" s="8"/>
      <c r="D7" s="10">
        <f t="shared" ref="D7:D34" si="0">D6+0.1</f>
        <v>0.6</v>
      </c>
      <c r="E7" s="10">
        <f t="shared" ref="E7:E34" si="1">D7-0.4</f>
        <v>0.19999999999999996</v>
      </c>
      <c r="F7" s="10">
        <v>3.3</v>
      </c>
      <c r="G7" s="10">
        <v>6.6201874915350345E-7</v>
      </c>
      <c r="H7" s="10">
        <v>7.3098397024295991E-7</v>
      </c>
      <c r="I7" s="8"/>
      <c r="J7" s="10">
        <f t="shared" ref="J7:J34" si="2">((H7-G7)/(F7-E7))/G7</f>
        <v>3.3604555069133665E-2</v>
      </c>
      <c r="K7" s="8"/>
      <c r="L7" s="10">
        <f t="shared" ref="L7:L34" si="3">1/J7</f>
        <v>29.757870560783481</v>
      </c>
      <c r="M7" s="8"/>
      <c r="N7" s="10">
        <f t="shared" ref="N7:N34" si="4">((H7-G7)/(F7-E7))</f>
        <v>2.2246845512727894E-8</v>
      </c>
      <c r="O7" s="8"/>
      <c r="P7" s="10">
        <f t="shared" ref="P7:P34" si="5">1/N7</f>
        <v>44950193.025248401</v>
      </c>
      <c r="Q7" s="8"/>
      <c r="R7" s="8"/>
      <c r="S7" s="8"/>
      <c r="T7" s="10">
        <f t="shared" ref="T7:T34" si="6">$R$6/G7</f>
        <v>188816404.61064348</v>
      </c>
      <c r="U7" s="8"/>
      <c r="V7" s="8"/>
      <c r="W7" s="10">
        <v>0.15000000596046448</v>
      </c>
      <c r="X7" s="8"/>
      <c r="Y7" s="10">
        <v>2.5825960392467096E-7</v>
      </c>
      <c r="Z7" s="8"/>
    </row>
    <row r="8" spans="3:26" x14ac:dyDescent="0.25">
      <c r="C8" s="8"/>
      <c r="D8" s="10">
        <f t="shared" si="0"/>
        <v>0.7</v>
      </c>
      <c r="E8" s="10">
        <f t="shared" si="1"/>
        <v>0.29999999999999993</v>
      </c>
      <c r="F8" s="10">
        <v>3.3</v>
      </c>
      <c r="G8" s="10">
        <v>2.2830251964478521E-6</v>
      </c>
      <c r="H8" s="10">
        <v>2.4430669327557553E-6</v>
      </c>
      <c r="I8" s="8"/>
      <c r="J8" s="10">
        <f t="shared" si="2"/>
        <v>2.3366910500580745E-2</v>
      </c>
      <c r="K8" s="8"/>
      <c r="L8" s="10">
        <f t="shared" si="3"/>
        <v>42.795559129442751</v>
      </c>
      <c r="M8" s="8"/>
      <c r="N8" s="10">
        <f t="shared" si="4"/>
        <v>5.3347245435967729E-8</v>
      </c>
      <c r="O8" s="8"/>
      <c r="P8" s="10">
        <f t="shared" si="5"/>
        <v>18745110.301904753</v>
      </c>
      <c r="Q8" s="8"/>
      <c r="R8" s="8"/>
      <c r="S8" s="8"/>
      <c r="T8" s="10">
        <f t="shared" si="6"/>
        <v>54751914.343515307</v>
      </c>
      <c r="U8" s="8"/>
      <c r="V8" s="8"/>
      <c r="W8" s="10">
        <v>0.25</v>
      </c>
      <c r="X8" s="8"/>
      <c r="Y8" s="10">
        <v>1.5646232043309283E-7</v>
      </c>
      <c r="Z8" s="8"/>
    </row>
    <row r="9" spans="3:26" x14ac:dyDescent="0.25">
      <c r="C9" s="8"/>
      <c r="D9" s="10">
        <f t="shared" si="0"/>
        <v>0.79999999999999993</v>
      </c>
      <c r="E9" s="10">
        <f t="shared" si="1"/>
        <v>0.39999999999999991</v>
      </c>
      <c r="F9" s="10">
        <v>3.3</v>
      </c>
      <c r="G9" s="10">
        <v>5.0172225201094989E-6</v>
      </c>
      <c r="H9" s="10">
        <v>5.2841910473944154E-6</v>
      </c>
      <c r="I9" s="8"/>
      <c r="J9" s="10">
        <f t="shared" si="2"/>
        <v>1.8348421360202819E-2</v>
      </c>
      <c r="K9" s="8"/>
      <c r="L9" s="10">
        <f t="shared" si="3"/>
        <v>54.500601461495229</v>
      </c>
      <c r="M9" s="8"/>
      <c r="N9" s="10">
        <f t="shared" si="4"/>
        <v>9.2058112856867753E-8</v>
      </c>
      <c r="O9" s="8"/>
      <c r="P9" s="10">
        <f t="shared" si="5"/>
        <v>10862703.665833376</v>
      </c>
      <c r="Q9" s="8"/>
      <c r="R9" s="8"/>
      <c r="S9" s="8"/>
      <c r="T9" s="10">
        <f t="shared" si="6"/>
        <v>24914182.996466324</v>
      </c>
      <c r="U9" s="8"/>
      <c r="V9" s="8"/>
      <c r="W9" s="10">
        <v>0.35000002384185791</v>
      </c>
      <c r="X9" s="8"/>
      <c r="Y9" s="10">
        <v>1.5886077164850576E-7</v>
      </c>
      <c r="Z9" s="8"/>
    </row>
    <row r="10" spans="3:26" x14ac:dyDescent="0.25">
      <c r="C10" s="8"/>
      <c r="D10" s="10">
        <f t="shared" si="0"/>
        <v>0.89999999999999991</v>
      </c>
      <c r="E10" s="10">
        <f t="shared" si="1"/>
        <v>0.49999999999999989</v>
      </c>
      <c r="F10" s="10">
        <v>3.3</v>
      </c>
      <c r="G10" s="10">
        <v>8.7598918980802409E-6</v>
      </c>
      <c r="H10" s="10">
        <v>9.1380434241727926E-6</v>
      </c>
      <c r="I10" s="8"/>
      <c r="J10" s="10">
        <f t="shared" si="2"/>
        <v>1.5417326838385204E-2</v>
      </c>
      <c r="K10" s="8"/>
      <c r="L10" s="10">
        <f t="shared" si="3"/>
        <v>64.862087343848458</v>
      </c>
      <c r="M10" s="8"/>
      <c r="N10" s="10">
        <f t="shared" si="4"/>
        <v>1.3505411646162561E-7</v>
      </c>
      <c r="O10" s="8"/>
      <c r="P10" s="10">
        <f t="shared" si="5"/>
        <v>7404439.2440577019</v>
      </c>
      <c r="Q10" s="8"/>
      <c r="R10" s="8"/>
      <c r="S10" s="8"/>
      <c r="T10" s="10">
        <f t="shared" si="6"/>
        <v>14269582.485075433</v>
      </c>
      <c r="U10" s="8"/>
      <c r="V10" s="8"/>
      <c r="W10" s="10">
        <v>0.44999998807907104</v>
      </c>
      <c r="X10" s="8"/>
      <c r="Y10" s="10">
        <v>9.1685251391027123E-7</v>
      </c>
      <c r="Z10" s="8"/>
    </row>
    <row r="11" spans="3:26" x14ac:dyDescent="0.25">
      <c r="C11" s="8"/>
      <c r="D11" s="10">
        <f t="shared" si="0"/>
        <v>0.99999999999999989</v>
      </c>
      <c r="E11" s="10">
        <f t="shared" si="1"/>
        <v>0.59999999999999987</v>
      </c>
      <c r="F11" s="10">
        <v>3.3</v>
      </c>
      <c r="G11" s="10">
        <v>1.3451834092848003E-5</v>
      </c>
      <c r="H11" s="10">
        <v>1.394151240674546E-5</v>
      </c>
      <c r="I11" s="8"/>
      <c r="J11" s="10">
        <f t="shared" si="2"/>
        <v>1.3482350230364894E-2</v>
      </c>
      <c r="K11" s="8"/>
      <c r="L11" s="10">
        <f t="shared" si="3"/>
        <v>74.171044581515474</v>
      </c>
      <c r="M11" s="8"/>
      <c r="N11" s="10">
        <f t="shared" si="4"/>
        <v>1.8136233848053962E-7</v>
      </c>
      <c r="O11" s="8"/>
      <c r="P11" s="10">
        <f t="shared" si="5"/>
        <v>5513823.9194423547</v>
      </c>
      <c r="Q11" s="8"/>
      <c r="R11" s="8"/>
      <c r="S11" s="8"/>
      <c r="T11" s="10">
        <f t="shared" si="6"/>
        <v>9292413.1488106381</v>
      </c>
      <c r="U11" s="8"/>
      <c r="V11" s="8"/>
      <c r="W11" s="10">
        <v>0.55000001192092896</v>
      </c>
      <c r="X11" s="8"/>
      <c r="Y11" s="10">
        <v>5.7033334996958729E-6</v>
      </c>
      <c r="Z11" s="8"/>
    </row>
    <row r="12" spans="3:26" x14ac:dyDescent="0.25">
      <c r="C12" s="8"/>
      <c r="D12" s="10">
        <f t="shared" si="0"/>
        <v>1.0999999999999999</v>
      </c>
      <c r="E12" s="10">
        <f t="shared" si="1"/>
        <v>0.69999999999999984</v>
      </c>
      <c r="F12" s="10">
        <v>3.3</v>
      </c>
      <c r="G12" s="10">
        <v>1.9052218704018742E-5</v>
      </c>
      <c r="H12" s="10">
        <v>1.9651763068395667E-5</v>
      </c>
      <c r="I12" s="8"/>
      <c r="J12" s="10">
        <f t="shared" si="2"/>
        <v>1.2103261561351769E-2</v>
      </c>
      <c r="K12" s="8"/>
      <c r="L12" s="10">
        <f t="shared" si="3"/>
        <v>82.622357199418701</v>
      </c>
      <c r="M12" s="8"/>
      <c r="N12" s="10">
        <f t="shared" si="4"/>
        <v>2.3059398629881727E-7</v>
      </c>
      <c r="O12" s="8"/>
      <c r="P12" s="10">
        <f t="shared" si="5"/>
        <v>4336626.5358895399</v>
      </c>
      <c r="Q12" s="8"/>
      <c r="R12" s="8"/>
      <c r="S12" s="8"/>
      <c r="T12" s="10">
        <f t="shared" si="6"/>
        <v>6560915.6572212437</v>
      </c>
      <c r="U12" s="8"/>
      <c r="V12" s="8"/>
      <c r="W12" s="10">
        <v>0.64999997615814209</v>
      </c>
      <c r="X12" s="8"/>
      <c r="Y12" s="10">
        <v>1.6210071407840587E-5</v>
      </c>
      <c r="Z12" s="8"/>
    </row>
    <row r="13" spans="3:26" x14ac:dyDescent="0.25">
      <c r="C13" s="8"/>
      <c r="D13" s="10">
        <f t="shared" si="0"/>
        <v>1.2</v>
      </c>
      <c r="E13" s="10">
        <f t="shared" si="1"/>
        <v>0.79999999999999993</v>
      </c>
      <c r="F13" s="10">
        <v>3.3</v>
      </c>
      <c r="G13" s="10">
        <v>2.5520826966385357E-5</v>
      </c>
      <c r="H13" s="10">
        <v>2.6227080525131896E-5</v>
      </c>
      <c r="I13" s="8"/>
      <c r="J13" s="10">
        <f t="shared" si="2"/>
        <v>1.1069446294616984E-2</v>
      </c>
      <c r="K13" s="8"/>
      <c r="L13" s="10">
        <f t="shared" si="3"/>
        <v>90.338755289530155</v>
      </c>
      <c r="M13" s="8"/>
      <c r="N13" s="10">
        <f t="shared" si="4"/>
        <v>2.825014234986156E-7</v>
      </c>
      <c r="O13" s="8"/>
      <c r="P13" s="10">
        <f t="shared" si="5"/>
        <v>3539805.1720079225</v>
      </c>
      <c r="Q13" s="8"/>
      <c r="R13" s="8"/>
      <c r="S13" s="8"/>
      <c r="T13" s="10">
        <f t="shared" si="6"/>
        <v>4897960.4056186415</v>
      </c>
      <c r="U13" s="8"/>
      <c r="V13" s="8"/>
      <c r="W13" s="10">
        <v>0.75</v>
      </c>
      <c r="X13" s="8"/>
      <c r="Y13" s="10">
        <v>2.7341966415406205E-5</v>
      </c>
      <c r="Z13" s="8"/>
    </row>
    <row r="14" spans="3:26" x14ac:dyDescent="0.25">
      <c r="C14" s="8"/>
      <c r="D14" s="10">
        <f t="shared" si="0"/>
        <v>1.3</v>
      </c>
      <c r="E14" s="10">
        <f t="shared" si="1"/>
        <v>0.9</v>
      </c>
      <c r="F14" s="10">
        <v>3.3</v>
      </c>
      <c r="G14" s="10">
        <v>3.2815929444041103E-5</v>
      </c>
      <c r="H14" s="10">
        <v>3.3624524803599343E-5</v>
      </c>
      <c r="I14" s="8"/>
      <c r="J14" s="10">
        <f t="shared" si="2"/>
        <v>1.0266804532347181E-2</v>
      </c>
      <c r="K14" s="8"/>
      <c r="L14" s="10">
        <f t="shared" si="3"/>
        <v>97.401289451780528</v>
      </c>
      <c r="M14" s="8"/>
      <c r="N14" s="10">
        <f t="shared" si="4"/>
        <v>3.3691473314926651E-7</v>
      </c>
      <c r="O14" s="8"/>
      <c r="P14" s="10">
        <f t="shared" si="5"/>
        <v>2968110.0338136908</v>
      </c>
      <c r="Q14" s="8"/>
      <c r="R14" s="8"/>
      <c r="S14" s="8"/>
      <c r="T14" s="10">
        <f t="shared" si="6"/>
        <v>3809125.6934579429</v>
      </c>
      <c r="U14" s="8"/>
      <c r="V14" s="8"/>
      <c r="W14" s="10">
        <v>0.85000002384185791</v>
      </c>
      <c r="X14" s="8"/>
      <c r="Y14" s="10">
        <v>3.7426707422127947E-5</v>
      </c>
      <c r="Z14" s="8"/>
    </row>
    <row r="15" spans="3:26" x14ac:dyDescent="0.25">
      <c r="C15" s="8"/>
      <c r="D15" s="10">
        <f t="shared" si="0"/>
        <v>1.4000000000000001</v>
      </c>
      <c r="E15" s="10">
        <f t="shared" si="1"/>
        <v>1</v>
      </c>
      <c r="F15" s="10">
        <v>3.3</v>
      </c>
      <c r="G15" s="10">
        <v>4.0895170968724415E-5</v>
      </c>
      <c r="H15" s="10">
        <v>4.1800743929343298E-5</v>
      </c>
      <c r="I15" s="8"/>
      <c r="J15" s="10">
        <f t="shared" si="2"/>
        <v>9.6277229035974903E-3</v>
      </c>
      <c r="K15" s="8"/>
      <c r="L15" s="10">
        <f t="shared" si="3"/>
        <v>103.86672009705852</v>
      </c>
      <c r="M15" s="8"/>
      <c r="N15" s="10">
        <f t="shared" si="4"/>
        <v>3.9372737418212322E-7</v>
      </c>
      <c r="O15" s="8"/>
      <c r="P15" s="10">
        <f t="shared" si="5"/>
        <v>2539828.4843091411</v>
      </c>
      <c r="Q15" s="8"/>
      <c r="R15" s="8"/>
      <c r="S15" s="8"/>
      <c r="T15" s="10">
        <f t="shared" si="6"/>
        <v>3056595.6086990521</v>
      </c>
      <c r="U15" s="8"/>
      <c r="V15" s="8"/>
      <c r="W15" s="10">
        <v>0.94999998807907104</v>
      </c>
      <c r="X15" s="8"/>
      <c r="Y15" s="10">
        <v>4.6919409214751795E-5</v>
      </c>
      <c r="Z15" s="8"/>
    </row>
    <row r="16" spans="3:26" x14ac:dyDescent="0.25">
      <c r="C16" s="8"/>
      <c r="D16" s="10">
        <f t="shared" si="0"/>
        <v>1.5000000000000002</v>
      </c>
      <c r="E16" s="10">
        <f t="shared" si="1"/>
        <v>1.1000000000000001</v>
      </c>
      <c r="F16" s="10">
        <v>3.3</v>
      </c>
      <c r="G16" s="10">
        <v>4.9716374633135274E-5</v>
      </c>
      <c r="H16" s="10">
        <v>5.0712751544779167E-5</v>
      </c>
      <c r="I16" s="8"/>
      <c r="J16" s="10">
        <f t="shared" si="2"/>
        <v>9.1096464604222913E-3</v>
      </c>
      <c r="K16" s="8"/>
      <c r="L16" s="10">
        <f t="shared" si="3"/>
        <v>109.77374416719609</v>
      </c>
      <c r="M16" s="8"/>
      <c r="N16" s="10">
        <f t="shared" si="4"/>
        <v>4.5289859620176936E-7</v>
      </c>
      <c r="O16" s="8"/>
      <c r="P16" s="10">
        <f t="shared" si="5"/>
        <v>2207999.7782869996</v>
      </c>
      <c r="Q16" s="8"/>
      <c r="R16" s="8"/>
      <c r="S16" s="8"/>
      <c r="T16" s="10">
        <f t="shared" si="6"/>
        <v>2514262.1706106709</v>
      </c>
      <c r="U16" s="8"/>
      <c r="V16" s="8"/>
      <c r="W16" s="10">
        <v>1.0499999523162842</v>
      </c>
      <c r="X16" s="8"/>
      <c r="Y16" s="10">
        <v>5.6003831559792161E-5</v>
      </c>
      <c r="Z16" s="8"/>
    </row>
    <row r="17" spans="3:26" x14ac:dyDescent="0.25">
      <c r="C17" s="8"/>
      <c r="D17" s="10">
        <f t="shared" si="0"/>
        <v>1.6000000000000003</v>
      </c>
      <c r="E17" s="10">
        <f t="shared" si="1"/>
        <v>1.2000000000000002</v>
      </c>
      <c r="F17" s="10">
        <v>3.3</v>
      </c>
      <c r="G17" s="10">
        <v>5.9238034737063572E-5</v>
      </c>
      <c r="H17" s="10">
        <v>6.0318350733723491E-5</v>
      </c>
      <c r="I17" s="8"/>
      <c r="J17" s="10">
        <f t="shared" si="2"/>
        <v>8.6842210611657554E-3</v>
      </c>
      <c r="K17" s="8"/>
      <c r="L17" s="10">
        <f t="shared" si="3"/>
        <v>115.15137546092841</v>
      </c>
      <c r="M17" s="8"/>
      <c r="N17" s="10">
        <f t="shared" si="4"/>
        <v>5.1443618888567605E-7</v>
      </c>
      <c r="O17" s="8"/>
      <c r="P17" s="10">
        <f t="shared" si="5"/>
        <v>1943875.6868293174</v>
      </c>
      <c r="Q17" s="8"/>
      <c r="R17" s="8"/>
      <c r="S17" s="8"/>
      <c r="T17" s="10">
        <f t="shared" si="6"/>
        <v>2110130.7724814005</v>
      </c>
      <c r="U17" s="8"/>
      <c r="V17" s="8"/>
      <c r="W17" s="10">
        <v>1.1500000953674316</v>
      </c>
      <c r="X17" s="8"/>
      <c r="Y17" s="10">
        <v>6.4686064433772117E-5</v>
      </c>
      <c r="Z17" s="8"/>
    </row>
    <row r="18" spans="3:26" x14ac:dyDescent="0.25">
      <c r="C18" s="8"/>
      <c r="D18" s="10">
        <f t="shared" si="0"/>
        <v>1.7000000000000004</v>
      </c>
      <c r="E18" s="10">
        <f t="shared" si="1"/>
        <v>1.3000000000000003</v>
      </c>
      <c r="F18" s="10">
        <v>3.3</v>
      </c>
      <c r="G18" s="10">
        <v>6.9419598730746657E-5</v>
      </c>
      <c r="H18" s="10">
        <v>7.0576395955868065E-5</v>
      </c>
      <c r="I18" s="8"/>
      <c r="J18" s="10">
        <f t="shared" si="2"/>
        <v>8.331921001216127E-3</v>
      </c>
      <c r="K18" s="8"/>
      <c r="L18" s="10">
        <f t="shared" si="3"/>
        <v>120.02034102988254</v>
      </c>
      <c r="M18" s="8"/>
      <c r="N18" s="10">
        <f t="shared" si="4"/>
        <v>5.7839861256070446E-7</v>
      </c>
      <c r="O18" s="8"/>
      <c r="P18" s="10">
        <f t="shared" si="5"/>
        <v>1728911.4778003506</v>
      </c>
      <c r="Q18" s="8"/>
      <c r="R18" s="8"/>
      <c r="S18" s="8"/>
      <c r="T18" s="10">
        <f t="shared" si="6"/>
        <v>1800644.2313910439</v>
      </c>
      <c r="U18" s="8"/>
      <c r="V18" s="8"/>
      <c r="W18" s="10">
        <v>1.25</v>
      </c>
      <c r="X18" s="8"/>
      <c r="Y18" s="10">
        <v>7.2951093898154795E-5</v>
      </c>
      <c r="Z18" s="8"/>
    </row>
    <row r="19" spans="3:26" x14ac:dyDescent="0.25">
      <c r="C19" s="8"/>
      <c r="D19" s="10">
        <f t="shared" si="0"/>
        <v>1.8000000000000005</v>
      </c>
      <c r="E19" s="10">
        <f t="shared" si="1"/>
        <v>1.4000000000000004</v>
      </c>
      <c r="F19" s="10">
        <v>3.3</v>
      </c>
      <c r="G19" s="10">
        <v>8.0221696407534182E-5</v>
      </c>
      <c r="H19" s="10">
        <v>8.1447004049550742E-5</v>
      </c>
      <c r="I19" s="8"/>
      <c r="J19" s="10">
        <f t="shared" si="2"/>
        <v>8.0389568886693012E-3</v>
      </c>
      <c r="K19" s="8"/>
      <c r="L19" s="10">
        <f t="shared" si="3"/>
        <v>124.39424838929958</v>
      </c>
      <c r="M19" s="8"/>
      <c r="N19" s="10">
        <f t="shared" si="4"/>
        <v>6.4489875895608432E-7</v>
      </c>
      <c r="O19" s="8"/>
      <c r="P19" s="10">
        <f t="shared" si="5"/>
        <v>1550630.9883720789</v>
      </c>
      <c r="Q19" s="8"/>
      <c r="R19" s="8"/>
      <c r="S19" s="8"/>
      <c r="T19" s="10">
        <f t="shared" si="6"/>
        <v>1558181.9582197263</v>
      </c>
      <c r="U19" s="8"/>
      <c r="V19" s="8"/>
      <c r="W19" s="10">
        <v>1.3499999046325684</v>
      </c>
      <c r="X19" s="8"/>
      <c r="Y19" s="10">
        <v>8.0792393418960273E-5</v>
      </c>
      <c r="Z19" s="8"/>
    </row>
    <row r="20" spans="3:26" x14ac:dyDescent="0.25">
      <c r="C20" s="8"/>
      <c r="D20" s="10">
        <f t="shared" si="0"/>
        <v>1.9000000000000006</v>
      </c>
      <c r="E20" s="10">
        <f t="shared" si="1"/>
        <v>1.5000000000000004</v>
      </c>
      <c r="F20" s="10">
        <v>3.3</v>
      </c>
      <c r="G20" s="10">
        <v>9.160628542304039E-5</v>
      </c>
      <c r="H20" s="10">
        <v>9.2891641543246806E-5</v>
      </c>
      <c r="I20" s="8"/>
      <c r="J20" s="10">
        <f t="shared" si="2"/>
        <v>7.7951718067197735E-3</v>
      </c>
      <c r="K20" s="8"/>
      <c r="L20" s="10">
        <f t="shared" si="3"/>
        <v>128.28453622253161</v>
      </c>
      <c r="M20" s="8"/>
      <c r="N20" s="10">
        <f t="shared" si="4"/>
        <v>7.1408673344800898E-7</v>
      </c>
      <c r="O20" s="8"/>
      <c r="P20" s="10">
        <f t="shared" si="5"/>
        <v>1400390.1111163939</v>
      </c>
      <c r="Q20" s="8"/>
      <c r="R20" s="8"/>
      <c r="S20" s="8"/>
      <c r="T20" s="10">
        <f t="shared" si="6"/>
        <v>1364535.1890729605</v>
      </c>
      <c r="U20" s="8"/>
      <c r="V20" s="8"/>
      <c r="W20" s="10">
        <v>1.4500000476837158</v>
      </c>
      <c r="X20" s="8"/>
      <c r="Y20" s="10">
        <v>8.8212014816235751E-5</v>
      </c>
      <c r="Z20" s="8"/>
    </row>
    <row r="21" spans="3:26" x14ac:dyDescent="0.25">
      <c r="C21" s="8"/>
      <c r="D21" s="10">
        <f t="shared" si="0"/>
        <v>2.0000000000000004</v>
      </c>
      <c r="E21" s="10">
        <f t="shared" si="1"/>
        <v>1.6000000000000005</v>
      </c>
      <c r="F21" s="10">
        <v>3.3</v>
      </c>
      <c r="G21" s="10">
        <v>1.0353680409025401E-4</v>
      </c>
      <c r="H21" s="10">
        <v>1.0487325926078483E-4</v>
      </c>
      <c r="I21" s="8"/>
      <c r="J21" s="10">
        <f t="shared" si="2"/>
        <v>7.5929531263777116E-3</v>
      </c>
      <c r="K21" s="8"/>
      <c r="L21" s="10">
        <f t="shared" si="3"/>
        <v>131.70106325640643</v>
      </c>
      <c r="M21" s="8"/>
      <c r="N21" s="10">
        <f t="shared" si="4"/>
        <v>7.8615010031225078E-7</v>
      </c>
      <c r="O21" s="8"/>
      <c r="P21" s="10">
        <f t="shared" si="5"/>
        <v>1272021.7164671356</v>
      </c>
      <c r="Q21" s="8"/>
      <c r="R21" s="8"/>
      <c r="S21" s="8"/>
      <c r="T21" s="10">
        <f t="shared" si="6"/>
        <v>1207300.1586086848</v>
      </c>
      <c r="U21" s="8"/>
      <c r="V21" s="8"/>
      <c r="W21" s="10">
        <v>1.5499999523162842</v>
      </c>
      <c r="X21" s="8"/>
      <c r="Y21" s="10">
        <v>9.5216579211410135E-5</v>
      </c>
      <c r="Z21" s="8"/>
    </row>
    <row r="22" spans="3:26" x14ac:dyDescent="0.25">
      <c r="C22" s="8"/>
      <c r="D22" s="10">
        <f t="shared" si="0"/>
        <v>2.1000000000000005</v>
      </c>
      <c r="E22" s="10">
        <f t="shared" si="1"/>
        <v>1.7000000000000006</v>
      </c>
      <c r="F22" s="10">
        <v>3.3</v>
      </c>
      <c r="G22" s="10">
        <v>1.1597821867326275E-4</v>
      </c>
      <c r="H22" s="10">
        <v>1.1735635052900761E-4</v>
      </c>
      <c r="I22" s="8"/>
      <c r="J22" s="10">
        <f t="shared" si="2"/>
        <v>7.4266739021670468E-3</v>
      </c>
      <c r="K22" s="8"/>
      <c r="L22" s="10">
        <f t="shared" si="3"/>
        <v>134.6497790495699</v>
      </c>
      <c r="M22" s="8"/>
      <c r="N22" s="10">
        <f t="shared" si="4"/>
        <v>8.6133240984054325E-7</v>
      </c>
      <c r="O22" s="8"/>
      <c r="P22" s="10">
        <f t="shared" si="5"/>
        <v>1160991.9568510465</v>
      </c>
      <c r="Q22" s="8"/>
      <c r="R22" s="8"/>
      <c r="S22" s="8"/>
      <c r="T22" s="10">
        <f t="shared" si="6"/>
        <v>1077788.5833214398</v>
      </c>
      <c r="U22" s="8"/>
      <c r="V22" s="8"/>
      <c r="W22" s="10">
        <v>1.6500000953674316</v>
      </c>
      <c r="X22" s="8"/>
      <c r="Y22" s="10">
        <v>1.0181561810895801E-4</v>
      </c>
      <c r="Z22" s="8"/>
    </row>
    <row r="23" spans="3:26" x14ac:dyDescent="0.25">
      <c r="C23" s="8"/>
      <c r="D23" s="10">
        <f t="shared" si="0"/>
        <v>2.2000000000000006</v>
      </c>
      <c r="E23" s="10">
        <f t="shared" si="1"/>
        <v>1.8000000000000007</v>
      </c>
      <c r="F23" s="10">
        <v>3.3</v>
      </c>
      <c r="G23" s="10">
        <v>1.2889709614682943E-4</v>
      </c>
      <c r="H23" s="10">
        <v>1.3030700210947543E-4</v>
      </c>
      <c r="I23" s="8"/>
      <c r="J23" s="10">
        <f t="shared" si="2"/>
        <v>7.2921527057519557E-3</v>
      </c>
      <c r="K23" s="8"/>
      <c r="L23" s="10">
        <f t="shared" si="3"/>
        <v>137.13371624969028</v>
      </c>
      <c r="M23" s="8"/>
      <c r="N23" s="10">
        <f t="shared" si="4"/>
        <v>9.3993730843067222E-7</v>
      </c>
      <c r="O23" s="8"/>
      <c r="P23" s="10">
        <f t="shared" si="5"/>
        <v>1063900.7421352484</v>
      </c>
      <c r="Q23" s="8"/>
      <c r="R23" s="8"/>
      <c r="S23" s="8"/>
      <c r="T23" s="10">
        <f t="shared" si="6"/>
        <v>969765.8344266332</v>
      </c>
      <c r="U23" s="8"/>
      <c r="V23" s="8"/>
      <c r="W23" s="10">
        <v>1.75</v>
      </c>
      <c r="X23" s="8"/>
      <c r="Y23" s="10">
        <v>1.0802107863128185E-4</v>
      </c>
      <c r="Z23" s="8"/>
    </row>
    <row r="24" spans="3:26" x14ac:dyDescent="0.25">
      <c r="C24" s="8"/>
      <c r="D24" s="10">
        <f t="shared" si="0"/>
        <v>2.3000000000000007</v>
      </c>
      <c r="E24" s="10">
        <f t="shared" si="1"/>
        <v>1.9000000000000008</v>
      </c>
      <c r="F24" s="10">
        <v>3.3</v>
      </c>
      <c r="G24" s="10">
        <v>1.422617060597986E-4</v>
      </c>
      <c r="H24" s="10">
        <v>1.4369290147442371E-4</v>
      </c>
      <c r="I24" s="8"/>
      <c r="J24" s="10">
        <f t="shared" si="2"/>
        <v>7.1859284366252909E-3</v>
      </c>
      <c r="K24" s="8"/>
      <c r="L24" s="10">
        <f t="shared" si="3"/>
        <v>139.16086262468087</v>
      </c>
      <c r="M24" s="8"/>
      <c r="N24" s="10">
        <f t="shared" si="4"/>
        <v>1.0222824390179352E-6</v>
      </c>
      <c r="O24" s="8"/>
      <c r="P24" s="10">
        <f t="shared" si="5"/>
        <v>978203.24582769803</v>
      </c>
      <c r="Q24" s="8"/>
      <c r="R24" s="8"/>
      <c r="S24" s="8"/>
      <c r="T24" s="10">
        <f t="shared" si="6"/>
        <v>878662.31512405188</v>
      </c>
      <c r="U24" s="8"/>
      <c r="V24" s="8"/>
      <c r="W24" s="10">
        <v>1.8499999046325684</v>
      </c>
      <c r="X24" s="8"/>
      <c r="Y24" s="10">
        <v>1.1384586105123162E-4</v>
      </c>
      <c r="Z24" s="8"/>
    </row>
    <row r="25" spans="3:26" x14ac:dyDescent="0.25">
      <c r="C25" s="8"/>
      <c r="D25" s="10">
        <f t="shared" si="0"/>
        <v>2.4000000000000008</v>
      </c>
      <c r="E25" s="10">
        <f t="shared" si="1"/>
        <v>2.0000000000000009</v>
      </c>
      <c r="F25" s="10">
        <v>3.3</v>
      </c>
      <c r="G25" s="10">
        <v>1.5604191867168993E-4</v>
      </c>
      <c r="H25" s="10">
        <v>1.5748334408272058E-4</v>
      </c>
      <c r="I25" s="8"/>
      <c r="J25" s="10">
        <f t="shared" si="2"/>
        <v>7.1057109983937213E-3</v>
      </c>
      <c r="K25" s="8"/>
      <c r="L25" s="10">
        <f t="shared" si="3"/>
        <v>140.73187049488146</v>
      </c>
      <c r="M25" s="8"/>
      <c r="N25" s="10">
        <f t="shared" si="4"/>
        <v>1.1087887777158857E-6</v>
      </c>
      <c r="O25" s="8"/>
      <c r="P25" s="10">
        <f t="shared" si="5"/>
        <v>901885.02995133889</v>
      </c>
      <c r="Q25" s="8"/>
      <c r="R25" s="8"/>
      <c r="S25" s="8"/>
      <c r="T25" s="10">
        <f t="shared" si="6"/>
        <v>801066.79707648489</v>
      </c>
      <c r="U25" s="8"/>
      <c r="V25" s="8"/>
      <c r="W25" s="10">
        <v>1.9500000476837158</v>
      </c>
      <c r="X25" s="8"/>
      <c r="Y25" s="10">
        <v>1.1930515756830573E-4</v>
      </c>
      <c r="Z25" s="8"/>
    </row>
    <row r="26" spans="3:26" x14ac:dyDescent="0.25">
      <c r="C26" s="8"/>
      <c r="D26" s="10">
        <f t="shared" si="0"/>
        <v>2.5000000000000009</v>
      </c>
      <c r="E26" s="10">
        <f t="shared" si="1"/>
        <v>2.100000000000001</v>
      </c>
      <c r="F26" s="10">
        <v>3.3</v>
      </c>
      <c r="G26" s="10">
        <v>1.702093577478081E-4</v>
      </c>
      <c r="H26" s="10">
        <v>1.7164925520773977E-4</v>
      </c>
      <c r="I26" s="8"/>
      <c r="J26" s="10">
        <f t="shared" si="2"/>
        <v>7.0496391374728212E-3</v>
      </c>
      <c r="K26" s="8"/>
      <c r="L26" s="10">
        <f t="shared" si="3"/>
        <v>141.85123245308176</v>
      </c>
      <c r="M26" s="8"/>
      <c r="N26" s="10">
        <f t="shared" si="4"/>
        <v>1.1999145499430607E-6</v>
      </c>
      <c r="O26" s="8"/>
      <c r="P26" s="10">
        <f t="shared" si="5"/>
        <v>833392.67787648109</v>
      </c>
      <c r="Q26" s="8"/>
      <c r="R26" s="8"/>
      <c r="S26" s="8"/>
      <c r="T26" s="10">
        <f t="shared" si="6"/>
        <v>734389.7048551651</v>
      </c>
      <c r="U26" s="8"/>
      <c r="V26" s="8"/>
      <c r="W26" s="10">
        <v>2.0499999523162842</v>
      </c>
      <c r="X26" s="8"/>
      <c r="Y26" s="10">
        <v>1.2441426224540919E-4</v>
      </c>
      <c r="Z26" s="8"/>
    </row>
    <row r="27" spans="3:26" x14ac:dyDescent="0.25">
      <c r="C27" s="8"/>
      <c r="D27" s="10">
        <f t="shared" si="0"/>
        <v>2.600000000000001</v>
      </c>
      <c r="E27" s="10">
        <f t="shared" si="1"/>
        <v>2.2000000000000011</v>
      </c>
      <c r="F27" s="10">
        <v>3.3</v>
      </c>
      <c r="G27" s="10">
        <v>1.8473727686796337E-4</v>
      </c>
      <c r="H27" s="10">
        <v>1.8616307352203876E-4</v>
      </c>
      <c r="I27" s="8"/>
      <c r="J27" s="10">
        <f t="shared" si="2"/>
        <v>7.0163358386980124E-3</v>
      </c>
      <c r="K27" s="8"/>
      <c r="L27" s="10">
        <f t="shared" si="3"/>
        <v>142.52453459889759</v>
      </c>
      <c r="M27" s="8"/>
      <c r="N27" s="10">
        <f t="shared" si="4"/>
        <v>1.2961787764321688E-6</v>
      </c>
      <c r="O27" s="8"/>
      <c r="P27" s="10">
        <f t="shared" si="5"/>
        <v>771498.51408042375</v>
      </c>
      <c r="Q27" s="8"/>
      <c r="R27" s="8"/>
      <c r="S27" s="8"/>
      <c r="T27" s="10">
        <f t="shared" si="6"/>
        <v>676636.58423059259</v>
      </c>
      <c r="U27" s="8"/>
      <c r="V27" s="8"/>
      <c r="W27" s="10">
        <v>2.1500000953674316</v>
      </c>
      <c r="X27" s="8"/>
      <c r="Y27" s="10">
        <v>1.2918858556076884E-4</v>
      </c>
      <c r="Z27" s="8"/>
    </row>
    <row r="28" spans="3:26" x14ac:dyDescent="0.25">
      <c r="C28" s="8"/>
      <c r="D28" s="10">
        <f t="shared" si="0"/>
        <v>2.7000000000000011</v>
      </c>
      <c r="E28" s="10">
        <f t="shared" si="1"/>
        <v>2.3000000000000012</v>
      </c>
      <c r="F28" s="10">
        <v>3.3</v>
      </c>
      <c r="G28" s="10">
        <v>1.9960060308221728E-4</v>
      </c>
      <c r="H28" s="10">
        <v>2.0099880930501968E-4</v>
      </c>
      <c r="I28" s="8"/>
      <c r="J28" s="10">
        <f t="shared" si="2"/>
        <v>7.0050200310590683E-3</v>
      </c>
      <c r="K28" s="8"/>
      <c r="L28" s="10">
        <f t="shared" si="3"/>
        <v>142.75476666250344</v>
      </c>
      <c r="M28" s="8"/>
      <c r="N28" s="10">
        <f t="shared" si="4"/>
        <v>1.3982062228024025E-6</v>
      </c>
      <c r="O28" s="8"/>
      <c r="P28" s="10">
        <f t="shared" si="5"/>
        <v>715202.08084592549</v>
      </c>
      <c r="Q28" s="8"/>
      <c r="R28" s="8"/>
      <c r="S28" s="8"/>
      <c r="T28" s="10">
        <f t="shared" si="6"/>
        <v>626250.61282260448</v>
      </c>
      <c r="U28" s="8"/>
      <c r="V28" s="8"/>
      <c r="W28" s="10">
        <v>2.25</v>
      </c>
      <c r="X28" s="8"/>
      <c r="Y28" s="10">
        <v>1.3364623009692878E-4</v>
      </c>
      <c r="Z28" s="8"/>
    </row>
    <row r="29" spans="3:26" x14ac:dyDescent="0.25">
      <c r="C29" s="8"/>
      <c r="D29" s="10">
        <f t="shared" si="0"/>
        <v>2.8000000000000012</v>
      </c>
      <c r="E29" s="10">
        <f t="shared" si="1"/>
        <v>2.4000000000000012</v>
      </c>
      <c r="F29" s="10">
        <v>3.3</v>
      </c>
      <c r="G29" s="10">
        <v>2.1477586415130645E-4</v>
      </c>
      <c r="H29" s="10">
        <v>2.1613189892377704E-4</v>
      </c>
      <c r="I29" s="8"/>
      <c r="J29" s="10">
        <f t="shared" si="2"/>
        <v>7.0152449796856801E-3</v>
      </c>
      <c r="K29" s="8"/>
      <c r="L29" s="10">
        <f t="shared" si="3"/>
        <v>142.54669692872298</v>
      </c>
      <c r="M29" s="8"/>
      <c r="N29" s="10">
        <f t="shared" si="4"/>
        <v>1.5067053027451062E-6</v>
      </c>
      <c r="O29" s="8"/>
      <c r="P29" s="10">
        <f t="shared" si="5"/>
        <v>663699.79463009362</v>
      </c>
      <c r="Q29" s="8"/>
      <c r="R29" s="8"/>
      <c r="S29" s="8"/>
      <c r="T29" s="10">
        <f t="shared" si="6"/>
        <v>582002.08153714763</v>
      </c>
      <c r="U29" s="8"/>
      <c r="V29" s="8"/>
      <c r="W29" s="10">
        <v>2.3499999046325684</v>
      </c>
      <c r="X29" s="8"/>
      <c r="Y29" s="10">
        <v>1.378019223921001E-4</v>
      </c>
      <c r="Z29" s="8"/>
    </row>
    <row r="30" spans="3:26" x14ac:dyDescent="0.25">
      <c r="C30" s="8"/>
      <c r="D30" s="10">
        <f t="shared" si="0"/>
        <v>2.9000000000000012</v>
      </c>
      <c r="E30" s="10">
        <f t="shared" si="1"/>
        <v>2.5000000000000013</v>
      </c>
      <c r="F30" s="10">
        <v>3.3</v>
      </c>
      <c r="G30" s="10">
        <v>2.3024117399472743E-4</v>
      </c>
      <c r="H30" s="10">
        <v>2.3153919028118253E-4</v>
      </c>
      <c r="I30" s="8"/>
      <c r="J30" s="10">
        <f t="shared" si="2"/>
        <v>7.0470469287392855E-3</v>
      </c>
      <c r="K30" s="8"/>
      <c r="L30" s="10">
        <f t="shared" si="3"/>
        <v>141.90341147322255</v>
      </c>
      <c r="M30" s="8"/>
      <c r="N30" s="10">
        <f t="shared" si="4"/>
        <v>1.6225203580688715E-6</v>
      </c>
      <c r="O30" s="8"/>
      <c r="P30" s="10">
        <f t="shared" si="5"/>
        <v>616325.08647854684</v>
      </c>
      <c r="Q30" s="8"/>
      <c r="R30" s="8"/>
      <c r="S30" s="8"/>
      <c r="T30" s="10">
        <f t="shared" si="6"/>
        <v>542908.97597170225</v>
      </c>
      <c r="U30" s="8"/>
      <c r="V30" s="8"/>
      <c r="W30" s="10">
        <v>2.4500000476837158</v>
      </c>
      <c r="X30" s="8"/>
      <c r="Y30" s="10">
        <v>1.4167452172841877E-4</v>
      </c>
      <c r="Z30" s="8"/>
    </row>
    <row r="31" spans="3:26" x14ac:dyDescent="0.25">
      <c r="C31" s="8"/>
      <c r="D31" s="10">
        <f t="shared" si="0"/>
        <v>3.0000000000000013</v>
      </c>
      <c r="E31" s="10">
        <f t="shared" si="1"/>
        <v>2.6000000000000014</v>
      </c>
      <c r="F31" s="10">
        <v>3.3</v>
      </c>
      <c r="G31" s="10">
        <v>2.4597617448307574E-4</v>
      </c>
      <c r="H31" s="10">
        <v>2.4719879729673266E-4</v>
      </c>
      <c r="I31" s="8"/>
      <c r="J31" s="10">
        <f t="shared" si="2"/>
        <v>7.1007040546932024E-3</v>
      </c>
      <c r="K31" s="8"/>
      <c r="L31" s="10">
        <f t="shared" si="3"/>
        <v>140.83110523935315</v>
      </c>
      <c r="M31" s="8"/>
      <c r="N31" s="10">
        <f t="shared" si="4"/>
        <v>1.7466040195098986E-6</v>
      </c>
      <c r="O31" s="8"/>
      <c r="P31" s="10">
        <f t="shared" si="5"/>
        <v>572539.61907210224</v>
      </c>
      <c r="Q31" s="8"/>
      <c r="R31" s="8"/>
      <c r="S31" s="8"/>
      <c r="T31" s="10">
        <f t="shared" si="6"/>
        <v>508179.29932722228</v>
      </c>
      <c r="U31" s="8"/>
      <c r="V31" s="8"/>
      <c r="W31" s="10">
        <v>2.5499999523162842</v>
      </c>
      <c r="X31" s="8"/>
      <c r="Y31" s="10">
        <v>1.4527933672070503E-4</v>
      </c>
      <c r="Z31" s="8"/>
    </row>
    <row r="32" spans="3:26" x14ac:dyDescent="0.25">
      <c r="C32" s="8"/>
      <c r="D32" s="10">
        <f t="shared" si="0"/>
        <v>3.1000000000000014</v>
      </c>
      <c r="E32" s="10">
        <f t="shared" si="1"/>
        <v>2.7000000000000015</v>
      </c>
      <c r="F32" s="10">
        <v>3.3</v>
      </c>
      <c r="G32" s="10">
        <v>2.6196203543804586E-4</v>
      </c>
      <c r="H32" s="10">
        <v>2.6309004169888794E-4</v>
      </c>
      <c r="I32" s="8"/>
      <c r="J32" s="10">
        <f t="shared" si="2"/>
        <v>7.1766522641080821E-3</v>
      </c>
      <c r="K32" s="8"/>
      <c r="L32" s="10">
        <f t="shared" si="3"/>
        <v>139.34073481603758</v>
      </c>
      <c r="M32" s="8"/>
      <c r="N32" s="10">
        <f t="shared" si="4"/>
        <v>1.8800104347368134E-6</v>
      </c>
      <c r="O32" s="8"/>
      <c r="P32" s="10">
        <f t="shared" si="5"/>
        <v>531911.94129727909</v>
      </c>
      <c r="Q32" s="8"/>
      <c r="R32" s="8"/>
      <c r="S32" s="8"/>
      <c r="T32" s="10">
        <f t="shared" si="6"/>
        <v>477168.37972715538</v>
      </c>
      <c r="U32" s="8"/>
      <c r="V32" s="8"/>
      <c r="W32" s="10">
        <v>2.6500000953674316</v>
      </c>
      <c r="X32" s="8"/>
      <c r="Y32" s="10">
        <v>1.486330438638106E-4</v>
      </c>
      <c r="Z32" s="8"/>
    </row>
    <row r="33" spans="2:26" x14ac:dyDescent="0.25">
      <c r="C33" s="8"/>
      <c r="D33" s="10">
        <f t="shared" si="0"/>
        <v>3.2000000000000015</v>
      </c>
      <c r="E33" s="10">
        <f t="shared" si="1"/>
        <v>2.8000000000000016</v>
      </c>
      <c r="F33" s="10">
        <v>3.3</v>
      </c>
      <c r="G33" s="10">
        <v>2.7818130911327899E-4</v>
      </c>
      <c r="H33" s="10">
        <v>2.7919336571358144E-4</v>
      </c>
      <c r="I33" s="8"/>
      <c r="J33" s="10">
        <f t="shared" si="2"/>
        <v>7.2762372391477889E-3</v>
      </c>
      <c r="K33" s="8"/>
      <c r="L33" s="10">
        <f t="shared" si="3"/>
        <v>137.43367170874743</v>
      </c>
      <c r="M33" s="8"/>
      <c r="N33" s="10">
        <f t="shared" si="4"/>
        <v>2.0241132006049228E-6</v>
      </c>
      <c r="O33" s="8"/>
      <c r="P33" s="10">
        <f t="shared" si="5"/>
        <v>494043.5148099137</v>
      </c>
      <c r="Q33" s="8"/>
      <c r="R33" s="8"/>
      <c r="S33" s="8"/>
      <c r="T33" s="10">
        <f t="shared" si="6"/>
        <v>449347.22752741957</v>
      </c>
      <c r="U33" s="8"/>
      <c r="V33" s="8"/>
      <c r="W33" s="10">
        <v>2.75</v>
      </c>
      <c r="X33" s="8"/>
      <c r="Y33" s="10">
        <v>1.5175275621004403E-4</v>
      </c>
      <c r="Z33" s="8"/>
    </row>
    <row r="34" spans="2:26" x14ac:dyDescent="0.25">
      <c r="C34" s="8"/>
      <c r="D34" s="10">
        <f t="shared" si="0"/>
        <v>3.3000000000000016</v>
      </c>
      <c r="E34" s="10">
        <f t="shared" si="1"/>
        <v>2.9000000000000017</v>
      </c>
      <c r="F34" s="10">
        <v>3.3</v>
      </c>
      <c r="G34" s="10">
        <v>2.94617930194363E-4</v>
      </c>
      <c r="H34" s="10">
        <v>2.9549011378549039E-4</v>
      </c>
      <c r="I34" s="8"/>
      <c r="J34" s="10">
        <f t="shared" si="2"/>
        <v>7.4009717479856848E-3</v>
      </c>
      <c r="K34" s="8"/>
      <c r="L34" s="10">
        <f t="shared" si="3"/>
        <v>135.11739188467635</v>
      </c>
      <c r="M34" s="8"/>
      <c r="N34" s="10">
        <f t="shared" si="4"/>
        <v>2.1804589778184992E-6</v>
      </c>
      <c r="O34" s="8"/>
      <c r="P34" s="10">
        <f t="shared" si="5"/>
        <v>458619.03854778217</v>
      </c>
      <c r="Q34" s="8"/>
      <c r="R34" s="8"/>
      <c r="S34" s="8"/>
      <c r="T34" s="10">
        <f t="shared" si="6"/>
        <v>424278.31842256169</v>
      </c>
      <c r="U34" s="8"/>
      <c r="V34" s="8"/>
      <c r="W34" s="10">
        <v>2.8499999046325684</v>
      </c>
      <c r="X34" s="8"/>
      <c r="Y34" s="10">
        <v>1.546528801554814E-4</v>
      </c>
      <c r="Z34" s="8"/>
    </row>
    <row r="35" spans="2:26" x14ac:dyDescent="0.25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0">
        <v>2.9500000476837158</v>
      </c>
      <c r="X35" s="8"/>
      <c r="Y35" s="10">
        <v>1.5735015040263534E-4</v>
      </c>
      <c r="Z35" s="8"/>
    </row>
    <row r="36" spans="2:26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0">
        <v>3.0499999523162842</v>
      </c>
      <c r="X36" s="8"/>
      <c r="Y36" s="10">
        <v>1.598587550688535E-4</v>
      </c>
      <c r="Z36" s="8"/>
    </row>
    <row r="37" spans="2:26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0">
        <v>3.1500000953674316</v>
      </c>
      <c r="X37" s="8"/>
      <c r="Y37" s="10">
        <v>1.621925039216876E-4</v>
      </c>
      <c r="Z37" s="8"/>
    </row>
    <row r="38" spans="2:26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0">
        <v>3.25</v>
      </c>
      <c r="X38" s="8"/>
      <c r="Y38" s="10">
        <v>1.6436637088190764E-4</v>
      </c>
      <c r="Z38" s="8"/>
    </row>
    <row r="39" spans="2:26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2:26" x14ac:dyDescent="0.25">
      <c r="C40" s="11"/>
      <c r="G40" s="6" t="s">
        <v>38</v>
      </c>
      <c r="I40" s="11"/>
      <c r="J40" s="6" t="s">
        <v>33</v>
      </c>
      <c r="K40" s="11"/>
      <c r="L40" s="6" t="s">
        <v>32</v>
      </c>
      <c r="M40" s="11"/>
      <c r="N40" s="7" t="s">
        <v>35</v>
      </c>
      <c r="O40" s="11"/>
      <c r="Q40" s="11"/>
      <c r="S40" s="11"/>
      <c r="V40" s="11"/>
      <c r="X40" s="11"/>
      <c r="Z40" s="11"/>
    </row>
    <row r="41" spans="2:26" x14ac:dyDescent="0.25">
      <c r="C41" s="11"/>
      <c r="D41" s="2" t="s">
        <v>25</v>
      </c>
      <c r="E41" s="2" t="s">
        <v>26</v>
      </c>
      <c r="F41" s="2" t="s">
        <v>27</v>
      </c>
      <c r="G41" s="2" t="s">
        <v>28</v>
      </c>
      <c r="H41" s="2" t="s">
        <v>29</v>
      </c>
      <c r="I41" s="11"/>
      <c r="J41" s="2" t="s">
        <v>30</v>
      </c>
      <c r="K41" s="11"/>
      <c r="L41" s="2" t="s">
        <v>31</v>
      </c>
      <c r="M41" s="11"/>
      <c r="N41" s="2" t="s">
        <v>34</v>
      </c>
      <c r="O41" s="12"/>
      <c r="P41" s="2" t="s">
        <v>36</v>
      </c>
      <c r="Q41" s="11"/>
      <c r="R41" s="2" t="s">
        <v>39</v>
      </c>
      <c r="S41" s="11"/>
      <c r="T41" s="2" t="s">
        <v>40</v>
      </c>
      <c r="V41" s="11"/>
      <c r="W41" s="2" t="s">
        <v>25</v>
      </c>
      <c r="X41" s="12"/>
      <c r="Y41" s="2" t="s">
        <v>41</v>
      </c>
      <c r="Z41" s="11"/>
    </row>
    <row r="42" spans="2:26" x14ac:dyDescent="0.25"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2:26" x14ac:dyDescent="0.25">
      <c r="B43" s="3"/>
      <c r="C43" s="12" t="s">
        <v>42</v>
      </c>
      <c r="D43">
        <f>0.7</f>
        <v>0.7</v>
      </c>
      <c r="E43">
        <f t="shared" ref="E43:E69" si="7">D43-0.692</f>
        <v>8.0000000000000071E-3</v>
      </c>
      <c r="F43">
        <v>3.3</v>
      </c>
      <c r="G43" s="3">
        <v>1.6206509911853599E-8</v>
      </c>
      <c r="H43" s="3">
        <v>1.66991007688466E-8</v>
      </c>
      <c r="I43" s="11"/>
      <c r="J43">
        <f t="shared" ref="J43:J69" si="8">((H43-G43)/(F43-E43))/G43</f>
        <v>9.2328763826457615E-3</v>
      </c>
      <c r="K43" s="11"/>
      <c r="L43">
        <f t="shared" ref="L43:L69" si="9">1/J43</f>
        <v>108.30860920867666</v>
      </c>
      <c r="M43" s="11"/>
      <c r="N43" s="3">
        <f t="shared" ref="N43:N69" si="10">((H43-G43)/(F43-E43))</f>
        <v>1.4963270261026754E-10</v>
      </c>
      <c r="O43" s="11"/>
      <c r="P43">
        <f t="shared" ref="P43:P69" si="11">1/N43</f>
        <v>6683031065.7730627</v>
      </c>
      <c r="Q43" s="11"/>
      <c r="R43" s="10">
        <v>200</v>
      </c>
      <c r="S43" s="11"/>
      <c r="T43" s="13">
        <f>$R$43/G43</f>
        <v>12340719938.332809</v>
      </c>
      <c r="U43" s="11"/>
      <c r="V43" s="11"/>
      <c r="W43" s="10">
        <v>5.000000074505806E-2</v>
      </c>
      <c r="X43" s="11"/>
      <c r="Y43">
        <v>-1.0035839347055653E-12</v>
      </c>
      <c r="Z43" s="11"/>
    </row>
    <row r="44" spans="2:26" x14ac:dyDescent="0.25">
      <c r="B44" s="3"/>
      <c r="C44" s="11"/>
      <c r="D44">
        <f t="shared" ref="D44:D69" si="12">D43+0.1</f>
        <v>0.79999999999999993</v>
      </c>
      <c r="E44">
        <f t="shared" si="7"/>
        <v>0.10799999999999998</v>
      </c>
      <c r="F44">
        <v>3.3</v>
      </c>
      <c r="G44" s="3">
        <v>1.3410327426299799E-7</v>
      </c>
      <c r="H44" s="3">
        <v>1.3774010199085799E-7</v>
      </c>
      <c r="I44" s="11"/>
      <c r="J44">
        <f t="shared" si="8"/>
        <v>8.4961166225202452E-3</v>
      </c>
      <c r="K44" s="11"/>
      <c r="L44">
        <f t="shared" si="9"/>
        <v>117.70083256029565</v>
      </c>
      <c r="M44" s="11"/>
      <c r="N44">
        <f t="shared" si="10"/>
        <v>1.1393570576002486E-9</v>
      </c>
      <c r="O44" s="11"/>
      <c r="P44">
        <f t="shared" si="11"/>
        <v>877687984.92917836</v>
      </c>
      <c r="Q44" s="11"/>
      <c r="R44" s="11"/>
      <c r="S44" s="11"/>
      <c r="T44" s="13">
        <f t="shared" ref="T44:T69" si="13">$R$43/G44</f>
        <v>1491387895.628618</v>
      </c>
      <c r="U44" s="11"/>
      <c r="V44" s="11"/>
      <c r="W44" s="10">
        <v>0.15000000596046448</v>
      </c>
      <c r="X44" s="11"/>
      <c r="Y44">
        <v>-1.0760651267607835E-12</v>
      </c>
      <c r="Z44" s="11"/>
    </row>
    <row r="45" spans="2:26" x14ac:dyDescent="0.25">
      <c r="B45" s="3"/>
      <c r="C45" s="11"/>
      <c r="D45">
        <f t="shared" si="12"/>
        <v>0.89999999999999991</v>
      </c>
      <c r="E45">
        <f t="shared" si="7"/>
        <v>0.20799999999999996</v>
      </c>
      <c r="F45">
        <v>3.3</v>
      </c>
      <c r="G45" s="3">
        <v>5.7786155593930701E-7</v>
      </c>
      <c r="H45" s="3">
        <v>5.9198924873271597E-7</v>
      </c>
      <c r="I45" s="11"/>
      <c r="J45">
        <f t="shared" si="8"/>
        <v>7.906931105712273E-3</v>
      </c>
      <c r="K45" s="11"/>
      <c r="L45">
        <f t="shared" si="9"/>
        <v>126.47131821821002</v>
      </c>
      <c r="M45" s="11"/>
      <c r="N45">
        <f t="shared" si="10"/>
        <v>4.5691115114517988E-9</v>
      </c>
      <c r="O45" s="11"/>
      <c r="P45">
        <f t="shared" si="11"/>
        <v>218860931.16651863</v>
      </c>
      <c r="Q45" s="11"/>
      <c r="R45" s="11"/>
      <c r="S45" s="11"/>
      <c r="T45" s="13">
        <f t="shared" si="13"/>
        <v>346103660.89313972</v>
      </c>
      <c r="U45" s="11"/>
      <c r="V45" s="11"/>
      <c r="W45" s="10">
        <v>0.25</v>
      </c>
      <c r="X45" s="11"/>
      <c r="Y45">
        <v>-2.610545677197984E-12</v>
      </c>
      <c r="Z45" s="11"/>
    </row>
    <row r="46" spans="2:26" x14ac:dyDescent="0.25">
      <c r="B46" s="3"/>
      <c r="C46" s="11"/>
      <c r="D46">
        <f t="shared" si="12"/>
        <v>0.99999999999999989</v>
      </c>
      <c r="E46">
        <f t="shared" si="7"/>
        <v>0.30799999999999994</v>
      </c>
      <c r="F46">
        <v>3.3</v>
      </c>
      <c r="G46" s="3">
        <v>1.4617525039284399E-6</v>
      </c>
      <c r="H46" s="3">
        <v>1.49466666243825E-6</v>
      </c>
      <c r="I46" s="11"/>
      <c r="J46">
        <f t="shared" si="8"/>
        <v>7.5257072572212352E-3</v>
      </c>
      <c r="K46" s="11"/>
      <c r="L46">
        <f t="shared" si="9"/>
        <v>132.87787656641277</v>
      </c>
      <c r="M46" s="11"/>
      <c r="N46">
        <f t="shared" si="10"/>
        <v>1.1000721427075573E-8</v>
      </c>
      <c r="O46" s="11"/>
      <c r="P46">
        <f t="shared" si="11"/>
        <v>90903129.092856199</v>
      </c>
      <c r="Q46" s="11"/>
      <c r="R46" s="11"/>
      <c r="S46" s="11"/>
      <c r="T46" s="13">
        <f t="shared" si="13"/>
        <v>136822067.66364533</v>
      </c>
      <c r="U46" s="11"/>
      <c r="V46" s="11"/>
      <c r="W46" s="10">
        <v>0.35000002384185791</v>
      </c>
      <c r="X46" s="11"/>
      <c r="Y46">
        <v>-3.4787565189597913E-11</v>
      </c>
      <c r="Z46" s="11"/>
    </row>
    <row r="47" spans="2:26" x14ac:dyDescent="0.25">
      <c r="B47" s="3"/>
      <c r="C47" s="11"/>
      <c r="D47">
        <f t="shared" si="12"/>
        <v>1.0999999999999999</v>
      </c>
      <c r="E47">
        <f t="shared" si="7"/>
        <v>0.40799999999999992</v>
      </c>
      <c r="F47">
        <v>3.3</v>
      </c>
      <c r="G47" s="3">
        <v>2.7578666959016101E-6</v>
      </c>
      <c r="H47" s="3">
        <v>2.8156848657090399E-6</v>
      </c>
      <c r="I47" s="11"/>
      <c r="J47">
        <f t="shared" si="8"/>
        <v>7.2492450609443013E-3</v>
      </c>
      <c r="K47" s="11"/>
      <c r="L47">
        <f t="shared" si="9"/>
        <v>137.94539867158772</v>
      </c>
      <c r="M47" s="11"/>
      <c r="N47">
        <f t="shared" si="10"/>
        <v>1.9992451524007526E-8</v>
      </c>
      <c r="O47" s="11"/>
      <c r="P47">
        <f t="shared" si="11"/>
        <v>50018878.315106601</v>
      </c>
      <c r="Q47" s="11"/>
      <c r="R47" s="11"/>
      <c r="S47" s="11"/>
      <c r="T47" s="13">
        <f t="shared" si="13"/>
        <v>72519821.315952107</v>
      </c>
      <c r="U47" s="11"/>
      <c r="V47" s="11"/>
      <c r="W47" s="10">
        <v>0.44999998807907104</v>
      </c>
      <c r="X47" s="11"/>
      <c r="Y47">
        <v>-6.8250682883075342E-10</v>
      </c>
      <c r="Z47" s="11"/>
    </row>
    <row r="48" spans="2:26" x14ac:dyDescent="0.25">
      <c r="B48" s="3"/>
      <c r="C48" s="11"/>
      <c r="D48">
        <f t="shared" si="12"/>
        <v>1.2</v>
      </c>
      <c r="E48">
        <f t="shared" si="7"/>
        <v>0.50800000000000001</v>
      </c>
      <c r="F48">
        <v>3.3</v>
      </c>
      <c r="G48" s="3">
        <v>4.4340358726913101E-6</v>
      </c>
      <c r="H48" s="3">
        <v>4.5207980292616404E-6</v>
      </c>
      <c r="I48" s="11"/>
      <c r="J48">
        <f t="shared" si="8"/>
        <v>7.008349023358341E-3</v>
      </c>
      <c r="K48" s="11"/>
      <c r="L48">
        <f t="shared" si="9"/>
        <v>142.68695760828541</v>
      </c>
      <c r="M48" s="11"/>
      <c r="N48">
        <f t="shared" si="10"/>
        <v>3.107527097791199E-8</v>
      </c>
      <c r="O48" s="11"/>
      <c r="P48">
        <f t="shared" si="11"/>
        <v>32179928.558331497</v>
      </c>
      <c r="Q48" s="11"/>
      <c r="R48" s="11"/>
      <c r="S48" s="11"/>
      <c r="T48" s="13">
        <f t="shared" si="13"/>
        <v>45105634.176704742</v>
      </c>
      <c r="U48" s="11"/>
      <c r="V48" s="11"/>
      <c r="W48" s="10">
        <v>0.55000001192092896</v>
      </c>
      <c r="X48" s="11"/>
      <c r="Y48">
        <v>-1.1889514262009016E-8</v>
      </c>
      <c r="Z48" s="11"/>
    </row>
    <row r="49" spans="2:26" x14ac:dyDescent="0.25">
      <c r="B49" s="3"/>
      <c r="C49" s="11"/>
      <c r="D49">
        <f t="shared" si="12"/>
        <v>1.3</v>
      </c>
      <c r="E49">
        <f t="shared" si="7"/>
        <v>0.6080000000000001</v>
      </c>
      <c r="F49">
        <v>3.3</v>
      </c>
      <c r="G49" s="3">
        <v>6.4706578086770597E-6</v>
      </c>
      <c r="H49" s="3">
        <v>6.5886451920960099E-6</v>
      </c>
      <c r="I49" s="11"/>
      <c r="J49">
        <f t="shared" si="8"/>
        <v>6.7734835595249267E-3</v>
      </c>
      <c r="K49" s="11"/>
      <c r="L49">
        <f t="shared" si="9"/>
        <v>147.63452088014475</v>
      </c>
      <c r="M49" s="11"/>
      <c r="N49">
        <f t="shared" si="10"/>
        <v>4.3828894286385652E-8</v>
      </c>
      <c r="O49" s="11"/>
      <c r="P49">
        <f t="shared" si="11"/>
        <v>22815998.81269706</v>
      </c>
      <c r="Q49" s="11"/>
      <c r="R49" s="11"/>
      <c r="S49" s="11"/>
      <c r="T49" s="13">
        <f>$R$43/G49</f>
        <v>30908758.570388757</v>
      </c>
      <c r="U49" s="11"/>
      <c r="V49" s="11"/>
      <c r="W49" s="10">
        <v>0.64999997615814209</v>
      </c>
      <c r="X49" s="11"/>
      <c r="Y49">
        <v>-1.4944647830361646E-7</v>
      </c>
      <c r="Z49" s="11"/>
    </row>
    <row r="50" spans="2:26" x14ac:dyDescent="0.25">
      <c r="B50" s="3"/>
      <c r="C50" s="11"/>
      <c r="D50">
        <f t="shared" si="12"/>
        <v>1.4000000000000001</v>
      </c>
      <c r="E50">
        <f t="shared" si="7"/>
        <v>0.70800000000000018</v>
      </c>
      <c r="F50">
        <v>3.3</v>
      </c>
      <c r="G50" s="3">
        <v>8.8516626419732296E-6</v>
      </c>
      <c r="H50" s="3">
        <v>9.0014946181327105E-6</v>
      </c>
      <c r="I50" s="11"/>
      <c r="J50">
        <f t="shared" si="8"/>
        <v>6.5304732789656199E-3</v>
      </c>
      <c r="K50" s="11"/>
      <c r="L50">
        <f t="shared" si="9"/>
        <v>153.12825844046526</v>
      </c>
      <c r="M50" s="11"/>
      <c r="N50">
        <f t="shared" si="10"/>
        <v>5.7805546357824399E-8</v>
      </c>
      <c r="O50" s="11"/>
      <c r="P50">
        <f t="shared" si="11"/>
        <v>17299378.052926973</v>
      </c>
      <c r="Q50" s="11"/>
      <c r="R50" s="11"/>
      <c r="S50" s="11"/>
      <c r="T50" s="13">
        <f t="shared" si="13"/>
        <v>22594625.223472774</v>
      </c>
      <c r="U50" s="11"/>
      <c r="V50" s="11"/>
      <c r="W50" s="10">
        <v>0.75</v>
      </c>
      <c r="X50" s="11"/>
      <c r="Y50">
        <v>-1.178967295345501E-6</v>
      </c>
      <c r="Z50" s="11"/>
    </row>
    <row r="51" spans="2:26" x14ac:dyDescent="0.25">
      <c r="B51" s="3"/>
      <c r="C51" s="11"/>
      <c r="D51">
        <f t="shared" si="12"/>
        <v>1.5000000000000002</v>
      </c>
      <c r="E51">
        <f t="shared" si="7"/>
        <v>0.80800000000000027</v>
      </c>
      <c r="F51">
        <v>3.3</v>
      </c>
      <c r="G51">
        <v>1.15614893729798E-5</v>
      </c>
      <c r="H51">
        <v>1.17421504910453E-5</v>
      </c>
      <c r="I51" s="11"/>
      <c r="J51">
        <f t="shared" si="8"/>
        <v>6.2705100945088452E-3</v>
      </c>
      <c r="K51" s="11"/>
      <c r="L51">
        <f t="shared" si="9"/>
        <v>159.47665898436412</v>
      </c>
      <c r="M51" s="11"/>
      <c r="N51">
        <f t="shared" si="10"/>
        <v>7.2496435820826574E-8</v>
      </c>
      <c r="O51" s="11"/>
      <c r="P51">
        <f t="shared" si="11"/>
        <v>13793781.56564109</v>
      </c>
      <c r="Q51" s="11"/>
      <c r="R51" s="11"/>
      <c r="S51" s="11"/>
      <c r="T51" s="13">
        <f t="shared" si="13"/>
        <v>17298809.309760496</v>
      </c>
      <c r="U51" s="11"/>
      <c r="V51" s="11"/>
      <c r="W51" s="10">
        <v>0.85000002384185791</v>
      </c>
      <c r="X51" s="11"/>
      <c r="Y51">
        <v>-4.4375815377861727E-6</v>
      </c>
      <c r="Z51" s="11"/>
    </row>
    <row r="52" spans="2:26" x14ac:dyDescent="0.25">
      <c r="B52" s="3"/>
      <c r="C52" s="11"/>
      <c r="D52">
        <f t="shared" si="12"/>
        <v>1.6000000000000003</v>
      </c>
      <c r="E52">
        <f t="shared" si="7"/>
        <v>0.90800000000000036</v>
      </c>
      <c r="F52">
        <v>3.3</v>
      </c>
      <c r="G52">
        <v>1.4584730706701501E-5</v>
      </c>
      <c r="H52">
        <v>1.47935907079955E-5</v>
      </c>
      <c r="I52" s="11"/>
      <c r="J52">
        <f t="shared" si="8"/>
        <v>5.9868129078691143E-3</v>
      </c>
      <c r="K52" s="11"/>
      <c r="L52">
        <f t="shared" si="9"/>
        <v>167.03378164458624</v>
      </c>
      <c r="M52" s="11"/>
      <c r="N52">
        <f t="shared" si="10"/>
        <v>8.7316054052675573E-8</v>
      </c>
      <c r="O52" s="11"/>
      <c r="P52">
        <f t="shared" si="11"/>
        <v>11452647.635642413</v>
      </c>
      <c r="Q52" s="11"/>
      <c r="R52" s="11"/>
      <c r="S52" s="11"/>
      <c r="T52" s="13">
        <f t="shared" si="13"/>
        <v>13712971.738868138</v>
      </c>
      <c r="U52" s="11"/>
      <c r="V52" s="11"/>
      <c r="W52" s="10">
        <v>0.94999998807907104</v>
      </c>
      <c r="X52" s="11"/>
      <c r="Y52">
        <v>-8.8389069787808694E-6</v>
      </c>
      <c r="Z52" s="11"/>
    </row>
    <row r="53" spans="2:26" x14ac:dyDescent="0.25">
      <c r="B53" s="3"/>
      <c r="C53" s="11"/>
      <c r="D53">
        <f t="shared" si="12"/>
        <v>1.7000000000000004</v>
      </c>
      <c r="E53">
        <f t="shared" si="7"/>
        <v>1.0080000000000005</v>
      </c>
      <c r="F53">
        <v>3.3</v>
      </c>
      <c r="G53">
        <v>1.7906242646859E-5</v>
      </c>
      <c r="H53">
        <v>1.8139075109502301E-5</v>
      </c>
      <c r="I53" s="11"/>
      <c r="J53">
        <f t="shared" si="8"/>
        <v>5.6731524356411506E-3</v>
      </c>
      <c r="K53" s="11"/>
      <c r="L53">
        <f t="shared" si="9"/>
        <v>176.26884018091525</v>
      </c>
      <c r="M53" s="11"/>
      <c r="N53">
        <f t="shared" si="10"/>
        <v>1.0158484408520958E-7</v>
      </c>
      <c r="O53" s="11"/>
      <c r="P53">
        <f t="shared" si="11"/>
        <v>9843988.1362735368</v>
      </c>
      <c r="Q53" s="11"/>
      <c r="R53" s="11"/>
      <c r="S53" s="11"/>
      <c r="T53" s="13">
        <f t="shared" si="13"/>
        <v>11169289.054344561</v>
      </c>
      <c r="U53" s="11"/>
      <c r="V53" s="11"/>
      <c r="W53" s="10">
        <v>1.0499999523162842</v>
      </c>
      <c r="X53" s="11"/>
      <c r="Y53">
        <v>-1.2961154425283894E-5</v>
      </c>
      <c r="Z53" s="11"/>
    </row>
    <row r="54" spans="2:26" x14ac:dyDescent="0.25">
      <c r="B54" s="3"/>
      <c r="C54" s="11"/>
      <c r="D54">
        <f t="shared" si="12"/>
        <v>1.8000000000000005</v>
      </c>
      <c r="E54">
        <f t="shared" si="7"/>
        <v>1.1080000000000005</v>
      </c>
      <c r="F54">
        <v>3.3</v>
      </c>
      <c r="G54">
        <v>2.1511234081117399E-5</v>
      </c>
      <c r="H54">
        <v>2.1762232790933902E-5</v>
      </c>
      <c r="I54" s="11"/>
      <c r="J54">
        <f t="shared" si="8"/>
        <v>5.3231121120673065E-3</v>
      </c>
      <c r="K54" s="11"/>
      <c r="L54">
        <f t="shared" si="9"/>
        <v>187.86002979967967</v>
      </c>
      <c r="M54" s="11"/>
      <c r="N54">
        <f t="shared" si="10"/>
        <v>1.1450671068271107E-7</v>
      </c>
      <c r="O54" s="11"/>
      <c r="P54">
        <f t="shared" si="11"/>
        <v>8733112.6187959407</v>
      </c>
      <c r="Q54" s="11"/>
      <c r="R54" s="11"/>
      <c r="S54" s="11"/>
      <c r="T54" s="13">
        <f t="shared" si="13"/>
        <v>9297467.511432102</v>
      </c>
      <c r="U54" s="11"/>
      <c r="V54" s="11"/>
      <c r="W54" s="10">
        <v>1.1500000953674316</v>
      </c>
      <c r="X54" s="11"/>
      <c r="Y54">
        <v>-1.6761687220423482E-5</v>
      </c>
      <c r="Z54" s="11"/>
    </row>
    <row r="55" spans="2:26" x14ac:dyDescent="0.25">
      <c r="B55" s="3"/>
      <c r="C55" s="11"/>
      <c r="D55">
        <f t="shared" si="12"/>
        <v>1.9000000000000006</v>
      </c>
      <c r="E55">
        <f t="shared" si="7"/>
        <v>1.2080000000000006</v>
      </c>
      <c r="F55">
        <v>3.3</v>
      </c>
      <c r="G55">
        <v>2.5385317712789401E-5</v>
      </c>
      <c r="H55">
        <v>-2.5647110305726501E-5</v>
      </c>
      <c r="I55" s="11"/>
      <c r="J55">
        <f t="shared" si="8"/>
        <v>-0.96095256033080201</v>
      </c>
      <c r="K55" s="11"/>
      <c r="L55">
        <f t="shared" si="9"/>
        <v>-1.0406340971252068</v>
      </c>
      <c r="M55" s="11"/>
      <c r="N55">
        <f t="shared" si="10"/>
        <v>-2.4394086050915834E-5</v>
      </c>
      <c r="O55" s="11"/>
      <c r="P55">
        <f t="shared" si="11"/>
        <v>-40993.542365669273</v>
      </c>
      <c r="Q55" s="11"/>
      <c r="R55" s="11"/>
      <c r="S55" s="11"/>
      <c r="T55" s="13">
        <f t="shared" si="13"/>
        <v>7878569.898663817</v>
      </c>
      <c r="U55" s="11"/>
      <c r="V55" s="11"/>
      <c r="W55" s="10">
        <v>1.25</v>
      </c>
      <c r="X55" s="11"/>
      <c r="Y55">
        <v>-2.0366214812383987E-5</v>
      </c>
      <c r="Z55" s="11"/>
    </row>
    <row r="56" spans="2:26" x14ac:dyDescent="0.25">
      <c r="B56" s="3"/>
      <c r="C56" s="11"/>
      <c r="D56">
        <f t="shared" si="12"/>
        <v>2.0000000000000004</v>
      </c>
      <c r="E56">
        <f t="shared" si="7"/>
        <v>1.3080000000000005</v>
      </c>
      <c r="F56">
        <v>3.3</v>
      </c>
      <c r="G56">
        <v>2.9514534617192098E-5</v>
      </c>
      <c r="H56">
        <v>2.97781898552785E-5</v>
      </c>
      <c r="I56" s="11"/>
      <c r="J56">
        <f t="shared" si="8"/>
        <v>4.4844700737728047E-3</v>
      </c>
      <c r="K56" s="11"/>
      <c r="L56">
        <f t="shared" si="9"/>
        <v>222.99178800377086</v>
      </c>
      <c r="M56" s="11"/>
      <c r="N56">
        <f t="shared" si="10"/>
        <v>1.3235704723212944E-7</v>
      </c>
      <c r="O56" s="11"/>
      <c r="P56">
        <f t="shared" si="11"/>
        <v>7555321.162810375</v>
      </c>
      <c r="Q56" s="11"/>
      <c r="R56" s="11"/>
      <c r="S56" s="11"/>
      <c r="T56" s="13">
        <f t="shared" si="13"/>
        <v>6776322.3304730952</v>
      </c>
      <c r="U56" s="11"/>
      <c r="V56" s="11"/>
      <c r="W56" s="10">
        <v>1.3499999046325684</v>
      </c>
      <c r="X56" s="11"/>
      <c r="Y56">
        <v>-2.3810071070329286E-5</v>
      </c>
      <c r="Z56" s="11"/>
    </row>
    <row r="57" spans="2:26" x14ac:dyDescent="0.25">
      <c r="B57" s="3"/>
      <c r="C57" s="11"/>
      <c r="D57">
        <f t="shared" si="12"/>
        <v>2.1000000000000005</v>
      </c>
      <c r="E57">
        <f t="shared" si="7"/>
        <v>1.4080000000000006</v>
      </c>
      <c r="F57">
        <v>3.3</v>
      </c>
      <c r="G57">
        <v>3.3885364246088998E-5</v>
      </c>
      <c r="H57">
        <v>3.4140397474402602E-5</v>
      </c>
      <c r="I57" s="11"/>
      <c r="J57">
        <f t="shared" si="8"/>
        <v>3.9779880847574198E-3</v>
      </c>
      <c r="K57" s="11"/>
      <c r="L57">
        <f t="shared" si="9"/>
        <v>251.38335728850745</v>
      </c>
      <c r="M57" s="11"/>
      <c r="N57">
        <f t="shared" si="10"/>
        <v>1.3479557521860711E-7</v>
      </c>
      <c r="O57" s="11"/>
      <c r="P57">
        <f t="shared" si="11"/>
        <v>7418641.1414338509</v>
      </c>
      <c r="Q57" s="11"/>
      <c r="R57" s="11"/>
      <c r="S57" s="11"/>
      <c r="T57" s="13">
        <f t="shared" si="13"/>
        <v>5902253.2131430088</v>
      </c>
      <c r="U57" s="11"/>
      <c r="V57" s="11"/>
      <c r="W57" s="10">
        <v>1.4500000476837158</v>
      </c>
      <c r="X57" s="11"/>
      <c r="Y57">
        <v>-2.7098229111288674E-5</v>
      </c>
      <c r="Z57" s="11"/>
    </row>
    <row r="58" spans="2:26" x14ac:dyDescent="0.25">
      <c r="B58" s="3"/>
      <c r="C58" s="11"/>
      <c r="D58">
        <f t="shared" si="12"/>
        <v>2.2000000000000006</v>
      </c>
      <c r="E58">
        <f t="shared" si="7"/>
        <v>1.5080000000000007</v>
      </c>
      <c r="F58">
        <v>3.3</v>
      </c>
      <c r="G58">
        <v>3.8484729884658002E-5</v>
      </c>
      <c r="H58">
        <v>3.87191103072837E-5</v>
      </c>
      <c r="I58" s="11"/>
      <c r="J58">
        <f t="shared" si="8"/>
        <v>3.3985595571676191E-3</v>
      </c>
      <c r="K58" s="11"/>
      <c r="L58">
        <f t="shared" si="9"/>
        <v>294.24230565298853</v>
      </c>
      <c r="M58" s="11"/>
      <c r="N58">
        <f t="shared" si="10"/>
        <v>1.3079264655451873E-7</v>
      </c>
      <c r="O58" s="11"/>
      <c r="P58">
        <f t="shared" si="11"/>
        <v>7645689.771887647</v>
      </c>
      <c r="Q58" s="11"/>
      <c r="R58" s="11"/>
      <c r="S58" s="11"/>
      <c r="T58" s="13">
        <f t="shared" si="13"/>
        <v>5196866.4090774953</v>
      </c>
      <c r="U58" s="11"/>
      <c r="V58" s="11"/>
      <c r="W58" s="10">
        <v>1.5499999523162842</v>
      </c>
      <c r="X58" s="11"/>
      <c r="Y58">
        <v>-3.0232442441047169E-5</v>
      </c>
      <c r="Z58" s="11"/>
    </row>
    <row r="59" spans="2:26" x14ac:dyDescent="0.25">
      <c r="B59" s="3"/>
      <c r="C59" s="11"/>
      <c r="D59">
        <f t="shared" si="12"/>
        <v>2.3000000000000007</v>
      </c>
      <c r="E59">
        <f t="shared" si="7"/>
        <v>1.6080000000000008</v>
      </c>
      <c r="F59">
        <v>3.3</v>
      </c>
      <c r="G59">
        <v>4.33000132034067E-5</v>
      </c>
      <c r="H59">
        <v>4.3500142055563602E-5</v>
      </c>
      <c r="I59" s="11"/>
      <c r="J59">
        <f t="shared" si="8"/>
        <v>2.7316264984510409E-3</v>
      </c>
      <c r="K59" s="11"/>
      <c r="L59">
        <f t="shared" si="9"/>
        <v>366.08225925727635</v>
      </c>
      <c r="M59" s="11"/>
      <c r="N59">
        <f t="shared" si="10"/>
        <v>1.1827946344970568E-7</v>
      </c>
      <c r="O59" s="11"/>
      <c r="P59">
        <f t="shared" si="11"/>
        <v>8454553.0630109422</v>
      </c>
      <c r="Q59" s="11"/>
      <c r="R59" s="11"/>
      <c r="S59" s="11"/>
      <c r="T59" s="13">
        <f t="shared" si="13"/>
        <v>4618936.2358962204</v>
      </c>
      <c r="U59" s="11"/>
      <c r="V59" s="11"/>
      <c r="W59" s="10">
        <v>1.6500000953674316</v>
      </c>
      <c r="X59" s="11"/>
      <c r="Y59">
        <v>-3.321507028886117E-5</v>
      </c>
      <c r="Z59" s="11"/>
    </row>
    <row r="60" spans="2:26" x14ac:dyDescent="0.25">
      <c r="B60" s="3"/>
      <c r="C60" s="11"/>
      <c r="D60">
        <f t="shared" si="12"/>
        <v>2.4000000000000008</v>
      </c>
      <c r="E60">
        <f t="shared" si="7"/>
        <v>1.7080000000000009</v>
      </c>
      <c r="F60">
        <v>3.3</v>
      </c>
      <c r="G60">
        <v>4.8319048801204203E-5</v>
      </c>
      <c r="H60">
        <v>4.8469759349245598E-5</v>
      </c>
      <c r="I60" s="11"/>
      <c r="J60">
        <f t="shared" si="8"/>
        <v>1.9592155065743756E-3</v>
      </c>
      <c r="K60" s="11"/>
      <c r="L60">
        <f t="shared" si="9"/>
        <v>510.40837347621209</v>
      </c>
      <c r="M60" s="11"/>
      <c r="N60">
        <f t="shared" si="10"/>
        <v>9.466742967424326E-8</v>
      </c>
      <c r="O60" s="11"/>
      <c r="P60">
        <f t="shared" si="11"/>
        <v>10563295.142173655</v>
      </c>
      <c r="Q60" s="11"/>
      <c r="R60" s="11"/>
      <c r="S60" s="11"/>
      <c r="T60" s="13">
        <f t="shared" si="13"/>
        <v>4139154.3286136794</v>
      </c>
      <c r="U60" s="11"/>
      <c r="V60" s="11"/>
      <c r="W60" s="10">
        <v>1.75</v>
      </c>
      <c r="X60" s="11"/>
      <c r="Y60">
        <v>-3.6049947084393352E-5</v>
      </c>
      <c r="Z60" s="11"/>
    </row>
    <row r="61" spans="2:26" x14ac:dyDescent="0.25">
      <c r="B61" s="3"/>
      <c r="C61" s="11"/>
      <c r="D61">
        <f t="shared" si="12"/>
        <v>2.5000000000000009</v>
      </c>
      <c r="E61">
        <f t="shared" si="7"/>
        <v>1.8080000000000009</v>
      </c>
      <c r="F61">
        <v>3.3</v>
      </c>
      <c r="G61">
        <v>5.3530115110334002E-5</v>
      </c>
      <c r="H61">
        <v>5.3614654461853199E-5</v>
      </c>
      <c r="I61" s="11"/>
      <c r="J61">
        <f t="shared" si="8"/>
        <v>1.0585025575981738E-3</v>
      </c>
      <c r="K61" s="11"/>
      <c r="L61">
        <f t="shared" si="9"/>
        <v>944.73083019192632</v>
      </c>
      <c r="M61" s="11"/>
      <c r="N61">
        <f t="shared" si="10"/>
        <v>5.6661763752813193E-8</v>
      </c>
      <c r="O61" s="11"/>
      <c r="P61">
        <f t="shared" si="11"/>
        <v>17648585.814633261</v>
      </c>
      <c r="Q61" s="11"/>
      <c r="R61" s="11"/>
      <c r="S61" s="11"/>
      <c r="T61" s="13">
        <f t="shared" si="13"/>
        <v>3736214.6445560316</v>
      </c>
      <c r="U61" s="11"/>
      <c r="V61" s="11"/>
      <c r="W61" s="10">
        <v>1.8499999046325684</v>
      </c>
      <c r="X61" s="11"/>
      <c r="Y61">
        <v>-3.8740872696507722E-5</v>
      </c>
      <c r="Z61" s="11"/>
    </row>
    <row r="62" spans="2:26" x14ac:dyDescent="0.25">
      <c r="B62" s="3"/>
      <c r="C62" s="11"/>
      <c r="D62">
        <f t="shared" si="12"/>
        <v>2.600000000000001</v>
      </c>
      <c r="E62">
        <f t="shared" si="7"/>
        <v>1.908000000000001</v>
      </c>
      <c r="F62">
        <v>3.3</v>
      </c>
      <c r="G62">
        <v>5.8921956224367002E-5</v>
      </c>
      <c r="H62">
        <v>5.8921956224367002E-5</v>
      </c>
      <c r="I62" s="11"/>
      <c r="J62">
        <f t="shared" si="8"/>
        <v>0</v>
      </c>
      <c r="K62" s="11"/>
      <c r="L62" t="e">
        <f t="shared" si="9"/>
        <v>#DIV/0!</v>
      </c>
      <c r="M62" s="11"/>
      <c r="N62">
        <f t="shared" si="10"/>
        <v>0</v>
      </c>
      <c r="O62" s="11"/>
      <c r="P62" t="e">
        <f t="shared" si="11"/>
        <v>#DIV/0!</v>
      </c>
      <c r="Q62" s="11"/>
      <c r="R62" s="11"/>
      <c r="S62" s="11"/>
      <c r="T62" s="13">
        <f t="shared" si="13"/>
        <v>3394320.4335990897</v>
      </c>
      <c r="U62" s="11"/>
      <c r="V62" s="11"/>
      <c r="W62" s="10">
        <v>1.9500000476837158</v>
      </c>
      <c r="X62" s="11"/>
      <c r="Y62">
        <v>-4.1292110836366192E-5</v>
      </c>
      <c r="Z62" s="11"/>
    </row>
    <row r="63" spans="2:26" x14ac:dyDescent="0.25">
      <c r="B63" s="3"/>
      <c r="C63" s="11"/>
      <c r="D63">
        <f t="shared" si="12"/>
        <v>2.7000000000000011</v>
      </c>
      <c r="E63">
        <f t="shared" si="7"/>
        <v>2.0080000000000009</v>
      </c>
      <c r="F63">
        <v>3.3</v>
      </c>
      <c r="G63">
        <v>6.4483749156352105E-5</v>
      </c>
      <c r="H63">
        <v>6.4379193645436303E-5</v>
      </c>
      <c r="I63" s="11"/>
      <c r="J63">
        <f t="shared" si="8"/>
        <v>-1.2549722853438484E-3</v>
      </c>
      <c r="K63" s="11"/>
      <c r="L63">
        <f t="shared" si="9"/>
        <v>-796.83034572035285</v>
      </c>
      <c r="M63" s="11"/>
      <c r="N63">
        <f t="shared" si="10"/>
        <v>-8.0925318046286665E-8</v>
      </c>
      <c r="O63" s="11"/>
      <c r="P63">
        <f t="shared" si="11"/>
        <v>-12357072.225876609</v>
      </c>
      <c r="Q63" s="11"/>
      <c r="R63" s="11"/>
      <c r="S63" s="11"/>
      <c r="T63" s="13">
        <f t="shared" si="13"/>
        <v>3101556.6342934729</v>
      </c>
      <c r="U63" s="11"/>
      <c r="V63" s="11"/>
      <c r="W63" s="10">
        <v>2.0499999523162842</v>
      </c>
      <c r="X63" s="11"/>
      <c r="Y63">
        <v>-4.3708336306735873E-5</v>
      </c>
      <c r="Z63" s="11"/>
    </row>
    <row r="64" spans="2:26" x14ac:dyDescent="0.25">
      <c r="B64" s="3"/>
      <c r="C64" s="11"/>
      <c r="D64">
        <f t="shared" si="12"/>
        <v>2.8000000000000012</v>
      </c>
      <c r="E64">
        <f t="shared" si="7"/>
        <v>2.1080000000000014</v>
      </c>
      <c r="F64">
        <v>3.3</v>
      </c>
      <c r="G64">
        <v>7.02051183907315E-5</v>
      </c>
      <c r="H64">
        <v>6.9974317739252001E-5</v>
      </c>
      <c r="I64" s="11"/>
      <c r="J64">
        <f t="shared" si="8"/>
        <v>-2.7579856291872866E-3</v>
      </c>
      <c r="K64" s="11"/>
      <c r="L64">
        <f t="shared" si="9"/>
        <v>-362.58347013021836</v>
      </c>
      <c r="M64" s="11"/>
      <c r="N64">
        <f t="shared" si="10"/>
        <v>-1.9362470761702955E-7</v>
      </c>
      <c r="O64" s="11"/>
      <c r="P64">
        <f t="shared" si="11"/>
        <v>-5164630.1358290529</v>
      </c>
      <c r="Q64" s="11"/>
      <c r="R64" s="11"/>
      <c r="S64" s="11"/>
      <c r="T64" s="13">
        <f t="shared" si="13"/>
        <v>2848795.1389368223</v>
      </c>
      <c r="U64" s="11"/>
      <c r="V64" s="11"/>
      <c r="W64" s="10">
        <v>2.1500000953674316</v>
      </c>
      <c r="X64" s="11"/>
      <c r="Y64">
        <v>-4.5993590902071446E-5</v>
      </c>
      <c r="Z64" s="11"/>
    </row>
    <row r="65" spans="2:26" x14ac:dyDescent="0.25">
      <c r="B65" s="3"/>
      <c r="C65" s="11"/>
      <c r="D65">
        <f t="shared" si="12"/>
        <v>2.9000000000000012</v>
      </c>
      <c r="E65">
        <f t="shared" si="7"/>
        <v>2.2080000000000011</v>
      </c>
      <c r="F65">
        <v>3.3</v>
      </c>
      <c r="G65">
        <v>7.6076117693446604E-5</v>
      </c>
      <c r="H65">
        <v>7.5695643317885697E-5</v>
      </c>
      <c r="I65" s="11"/>
      <c r="J65">
        <f t="shared" si="8"/>
        <v>-4.5798835219698969E-3</v>
      </c>
      <c r="K65" s="11"/>
      <c r="L65">
        <f t="shared" si="9"/>
        <v>-218.34616430810027</v>
      </c>
      <c r="M65" s="11"/>
      <c r="N65">
        <f t="shared" si="10"/>
        <v>-3.4841975783965864E-7</v>
      </c>
      <c r="O65" s="11"/>
      <c r="P65">
        <f t="shared" si="11"/>
        <v>-2870101.3002259075</v>
      </c>
      <c r="Q65" s="11"/>
      <c r="R65" s="11"/>
      <c r="S65" s="11"/>
      <c r="T65" s="13">
        <f t="shared" si="13"/>
        <v>2628945.9302578019</v>
      </c>
      <c r="U65" s="11"/>
      <c r="V65" s="11"/>
      <c r="W65" s="10">
        <v>2.25</v>
      </c>
      <c r="X65" s="11"/>
      <c r="Y65">
        <v>-4.8152880481211469E-5</v>
      </c>
      <c r="Z65" s="11"/>
    </row>
    <row r="66" spans="2:26" x14ac:dyDescent="0.25">
      <c r="B66" s="3"/>
      <c r="C66" s="11"/>
      <c r="D66">
        <f t="shared" si="12"/>
        <v>3.0000000000000013</v>
      </c>
      <c r="E66">
        <f t="shared" si="7"/>
        <v>2.3080000000000016</v>
      </c>
      <c r="F66">
        <v>3.3</v>
      </c>
      <c r="G66">
        <v>8.2087237387895598E-5</v>
      </c>
      <c r="H66">
        <v>8.1531878095120205E-5</v>
      </c>
      <c r="I66" s="11"/>
      <c r="J66">
        <f t="shared" si="8"/>
        <v>-6.8200370065315558E-3</v>
      </c>
      <c r="K66" s="11"/>
      <c r="L66">
        <f t="shared" si="9"/>
        <v>-146.62677035950085</v>
      </c>
      <c r="M66" s="11"/>
      <c r="N66">
        <f t="shared" si="10"/>
        <v>-5.5983799674938868E-7</v>
      </c>
      <c r="O66" s="11"/>
      <c r="P66">
        <f t="shared" si="11"/>
        <v>-1786231.0272013382</v>
      </c>
      <c r="Q66" s="11"/>
      <c r="R66" s="11"/>
      <c r="S66" s="11"/>
      <c r="T66" s="13">
        <f t="shared" si="13"/>
        <v>2436432.3415456</v>
      </c>
      <c r="U66" s="11"/>
      <c r="V66" s="11"/>
      <c r="W66" s="10">
        <v>2.3499999046325684</v>
      </c>
      <c r="X66" s="11"/>
      <c r="Y66">
        <v>-5.0190403271699324E-5</v>
      </c>
      <c r="Z66" s="11"/>
    </row>
    <row r="67" spans="2:26" x14ac:dyDescent="0.25">
      <c r="B67" s="3"/>
      <c r="C67" s="11"/>
      <c r="D67">
        <f t="shared" si="12"/>
        <v>3.1000000000000014</v>
      </c>
      <c r="E67">
        <f t="shared" si="7"/>
        <v>2.4080000000000013</v>
      </c>
      <c r="F67">
        <v>3.3</v>
      </c>
      <c r="G67">
        <v>8.8229375251103206E-5</v>
      </c>
      <c r="H67">
        <v>-8.7472064478788498E-5</v>
      </c>
      <c r="I67" s="11"/>
      <c r="J67">
        <f t="shared" si="8"/>
        <v>-2.2325297856498736</v>
      </c>
      <c r="K67" s="11"/>
      <c r="L67">
        <f t="shared" si="9"/>
        <v>-0.44792235536015795</v>
      </c>
      <c r="M67" s="11"/>
      <c r="N67">
        <f t="shared" si="10"/>
        <v>-1.9697470821736771E-4</v>
      </c>
      <c r="O67" s="11"/>
      <c r="P67">
        <f t="shared" si="11"/>
        <v>-5076.7939145591672</v>
      </c>
      <c r="Q67" s="11"/>
      <c r="R67" s="11"/>
      <c r="S67" s="11"/>
      <c r="T67" s="13">
        <f t="shared" si="13"/>
        <v>2266818.725971872</v>
      </c>
      <c r="U67" s="11"/>
      <c r="V67" s="11"/>
      <c r="W67" s="10">
        <v>2.4500000476837158</v>
      </c>
      <c r="X67" s="11"/>
      <c r="Y67">
        <v>-5.2110590331722051E-5</v>
      </c>
      <c r="Z67" s="11"/>
    </row>
    <row r="68" spans="2:26" x14ac:dyDescent="0.25">
      <c r="B68" s="3"/>
      <c r="C68" s="11"/>
      <c r="D68">
        <f t="shared" si="12"/>
        <v>3.2000000000000015</v>
      </c>
      <c r="E68">
        <f t="shared" si="7"/>
        <v>2.5080000000000018</v>
      </c>
      <c r="F68">
        <v>3.3</v>
      </c>
      <c r="G68">
        <v>9.4493836513720493E-5</v>
      </c>
      <c r="H68">
        <v>9.3505579570774003E-5</v>
      </c>
      <c r="I68" s="11"/>
      <c r="J68">
        <f t="shared" si="8"/>
        <v>-1.3205085288349006E-2</v>
      </c>
      <c r="K68" s="11"/>
      <c r="L68">
        <f t="shared" si="9"/>
        <v>-75.728401457755908</v>
      </c>
      <c r="M68" s="11"/>
      <c r="N68">
        <f t="shared" si="10"/>
        <v>-1.2477991703869866E-6</v>
      </c>
      <c r="O68" s="11"/>
      <c r="P68">
        <f t="shared" si="11"/>
        <v>-801411.01527569105</v>
      </c>
      <c r="Q68" s="11"/>
      <c r="R68" s="11"/>
      <c r="S68" s="11"/>
      <c r="T68" s="13">
        <f t="shared" si="13"/>
        <v>2116540.1615475737</v>
      </c>
      <c r="U68" s="11"/>
      <c r="V68" s="11"/>
      <c r="W68" s="10">
        <v>2.5499999523162842</v>
      </c>
      <c r="X68" s="11"/>
      <c r="Y68">
        <v>-5.3918462072033435E-5</v>
      </c>
      <c r="Z68" s="11"/>
    </row>
    <row r="69" spans="2:26" x14ac:dyDescent="0.25">
      <c r="B69" s="3"/>
      <c r="C69" s="11"/>
      <c r="D69">
        <f t="shared" si="12"/>
        <v>3.3000000000000016</v>
      </c>
      <c r="E69">
        <f t="shared" si="7"/>
        <v>2.6080000000000014</v>
      </c>
      <c r="F69">
        <v>3.3</v>
      </c>
      <c r="G69">
        <v>1.0087232658406701E-4</v>
      </c>
      <c r="H69">
        <v>9.96221133391373E-5</v>
      </c>
      <c r="I69" s="11"/>
      <c r="J69">
        <f t="shared" si="8"/>
        <v>-1.7910427964701388E-2</v>
      </c>
      <c r="K69" s="11"/>
      <c r="L69">
        <f t="shared" si="9"/>
        <v>-55.833395046217845</v>
      </c>
      <c r="M69" s="11"/>
      <c r="N69">
        <f t="shared" si="10"/>
        <v>-1.806666538915765E-6</v>
      </c>
      <c r="O69" s="11"/>
      <c r="P69">
        <f t="shared" si="11"/>
        <v>-553505.57419418974</v>
      </c>
      <c r="Q69" s="11"/>
      <c r="R69" s="11"/>
      <c r="S69" s="11"/>
      <c r="T69" s="13">
        <f t="shared" si="13"/>
        <v>1982704.342933143</v>
      </c>
      <c r="U69" s="11"/>
      <c r="V69" s="11"/>
      <c r="W69" s="10">
        <v>2.6500000953674316</v>
      </c>
      <c r="X69" s="11"/>
      <c r="Y69">
        <v>-5.5617849284317344E-5</v>
      </c>
      <c r="Z69" s="11"/>
    </row>
    <row r="70" spans="2:26" x14ac:dyDescent="0.25"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0">
        <v>2.75</v>
      </c>
      <c r="X70" s="11"/>
      <c r="Y70">
        <v>-5.7213746913475916E-5</v>
      </c>
      <c r="Z70" s="11"/>
    </row>
    <row r="71" spans="2:26" x14ac:dyDescent="0.25"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0">
        <v>2.8499999046325684</v>
      </c>
      <c r="X71" s="11"/>
      <c r="Y71">
        <v>-5.8710047596832737E-5</v>
      </c>
      <c r="Z71" s="11"/>
    </row>
    <row r="72" spans="2:26" x14ac:dyDescent="0.25"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0">
        <v>2.9500000476837158</v>
      </c>
      <c r="X72" s="11"/>
      <c r="Y72">
        <v>-6.0111109632998705E-5</v>
      </c>
      <c r="Z72" s="11"/>
    </row>
    <row r="73" spans="2:26" x14ac:dyDescent="0.25"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0">
        <v>3.0499999523162842</v>
      </c>
      <c r="X73" s="11"/>
      <c r="Y73">
        <v>-6.1421436839736998E-5</v>
      </c>
      <c r="Z73" s="11"/>
    </row>
    <row r="74" spans="2:26" x14ac:dyDescent="0.25"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0">
        <v>3.1500000953674316</v>
      </c>
      <c r="X74" s="11"/>
      <c r="Y74">
        <v>-6.2644525314681232E-5</v>
      </c>
      <c r="Z74" s="11"/>
    </row>
    <row r="75" spans="2:26" x14ac:dyDescent="0.25"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0">
        <v>3.25</v>
      </c>
      <c r="X75" s="11"/>
      <c r="Y75">
        <v>-6.3784958911128342E-5</v>
      </c>
      <c r="Z75" s="11"/>
    </row>
    <row r="76" spans="2:26" x14ac:dyDescent="0.25"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2:26" x14ac:dyDescent="0.25"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85" spans="4:14" x14ac:dyDescent="0.25">
      <c r="H85" s="6" t="s">
        <v>50</v>
      </c>
      <c r="I85" s="6"/>
    </row>
    <row r="86" spans="4:14" x14ac:dyDescent="0.25">
      <c r="H86" s="6" t="s">
        <v>43</v>
      </c>
      <c r="I86" s="6"/>
    </row>
    <row r="87" spans="4:14" x14ac:dyDescent="0.25">
      <c r="M87" s="6" t="s">
        <v>52</v>
      </c>
      <c r="N87" s="6" t="s">
        <v>53</v>
      </c>
    </row>
    <row r="88" spans="4:14" x14ac:dyDescent="0.25">
      <c r="E88" s="2"/>
      <c r="F88" s="2"/>
      <c r="G88" s="2" t="s">
        <v>44</v>
      </c>
      <c r="H88" s="2" t="s">
        <v>45</v>
      </c>
      <c r="I88" s="2" t="s">
        <v>47</v>
      </c>
      <c r="K88" s="2" t="s">
        <v>46</v>
      </c>
      <c r="M88" s="2" t="s">
        <v>51</v>
      </c>
      <c r="N88" s="2" t="s">
        <v>51</v>
      </c>
    </row>
    <row r="89" spans="4:14" x14ac:dyDescent="0.25">
      <c r="D89" t="s">
        <v>48</v>
      </c>
      <c r="E89">
        <v>1.25</v>
      </c>
      <c r="G89">
        <v>32179928.559999999</v>
      </c>
      <c r="H89">
        <v>24914183</v>
      </c>
      <c r="I89">
        <f>(G89*H89)/(G89+H89)</f>
        <v>14042369.820015928</v>
      </c>
      <c r="K89">
        <f>-2*POWER(10,-5)</f>
        <v>-2.0000000000000002E-5</v>
      </c>
      <c r="M89">
        <f>K89*I89</f>
        <v>-280.84739640031859</v>
      </c>
      <c r="N89">
        <v>-180</v>
      </c>
    </row>
    <row r="90" spans="4:14" x14ac:dyDescent="0.25">
      <c r="D90" t="s">
        <v>49</v>
      </c>
      <c r="E90">
        <v>0.8</v>
      </c>
    </row>
    <row r="93" spans="4:14" x14ac:dyDescent="0.25">
      <c r="D93" t="s">
        <v>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2020-04-18T16:24:33Z</dcterms:modified>
</cp:coreProperties>
</file>