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46164EB3-FCB2-46E0-8CEC-9DA4B85C551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" l="1"/>
  <c r="K75" i="1"/>
  <c r="H71" i="1"/>
  <c r="L62" i="1"/>
  <c r="H67" i="1"/>
  <c r="N62" i="1"/>
  <c r="H86" i="1"/>
  <c r="T74" i="1"/>
  <c r="K9" i="1"/>
  <c r="K51" i="1"/>
  <c r="AB79" i="1"/>
  <c r="T64" i="1"/>
  <c r="L64" i="1"/>
  <c r="L61" i="1"/>
  <c r="L60" i="1"/>
  <c r="K50" i="1"/>
  <c r="K49" i="1"/>
  <c r="P8" i="1" l="1"/>
  <c r="AE63" i="1"/>
  <c r="T79" i="1"/>
  <c r="M84" i="1" l="1"/>
  <c r="V64" i="1"/>
  <c r="H69" i="1"/>
  <c r="AB81" i="1" l="1"/>
  <c r="AB62" i="1"/>
  <c r="N67" i="1"/>
  <c r="N73" i="1"/>
  <c r="R95" i="1"/>
  <c r="Y92" i="1"/>
  <c r="R97" i="1"/>
  <c r="T52" i="1" l="1"/>
  <c r="AC51" i="1"/>
  <c r="T49" i="1"/>
  <c r="T51" i="1"/>
  <c r="F42" i="1" l="1"/>
  <c r="A45" i="2"/>
  <c r="C31" i="1"/>
  <c r="P11" i="1" l="1"/>
  <c r="P10" i="1"/>
  <c r="P7" i="1"/>
  <c r="K11" i="1"/>
  <c r="K8" i="1"/>
  <c r="K7" i="1"/>
  <c r="R98" i="1"/>
  <c r="K98" i="1"/>
  <c r="H100" i="1"/>
  <c r="V74" i="1" l="1"/>
  <c r="P9" i="1"/>
  <c r="V79" i="1"/>
  <c r="X77" i="1"/>
  <c r="I55" i="1" l="1"/>
  <c r="Y63" i="1"/>
  <c r="Y64" i="1" s="1"/>
  <c r="Y65" i="1" s="1"/>
  <c r="Y66" i="1" s="1"/>
  <c r="Y67" i="1" s="1"/>
  <c r="Y68" i="1" s="1"/>
  <c r="Y69" i="1" s="1"/>
  <c r="Y70" i="1" s="1"/>
  <c r="Y71" i="1" s="1"/>
  <c r="Y72" i="1" s="1"/>
  <c r="K69" i="1" l="1"/>
  <c r="K73" i="1" s="1"/>
  <c r="H73" i="1" s="1"/>
  <c r="T70" i="1"/>
  <c r="V70" i="1" s="1"/>
  <c r="T68" i="1"/>
  <c r="V68" i="1" s="1"/>
  <c r="T66" i="1"/>
  <c r="V66" i="1" s="1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4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J5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L63" i="1" l="1"/>
  <c r="E100" i="1"/>
  <c r="C43" i="1"/>
  <c r="C42" i="1"/>
  <c r="C41" i="1"/>
  <c r="C40" i="1"/>
  <c r="C39" i="1"/>
  <c r="C38" i="1"/>
  <c r="C37" i="1"/>
  <c r="C36" i="1"/>
  <c r="C30" i="1"/>
  <c r="H97" i="1" l="1"/>
  <c r="K71" i="1"/>
  <c r="E97" i="1"/>
  <c r="K10" i="1" s="1"/>
  <c r="T49" i="2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Y30" i="1"/>
  <c r="Y29" i="1"/>
  <c r="Y28" i="1"/>
  <c r="Y25" i="1"/>
  <c r="Y26" i="1"/>
  <c r="Y27" i="1"/>
  <c r="Y24" i="1"/>
  <c r="N43" i="2" l="1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9" i="2"/>
  <c r="P10" i="2"/>
  <c r="P11" i="2"/>
  <c r="P12" i="2"/>
  <c r="P13" i="2"/>
  <c r="P21" i="2"/>
  <c r="P22" i="2"/>
  <c r="P23" i="2"/>
  <c r="P24" i="2"/>
  <c r="P25" i="2"/>
  <c r="P33" i="2"/>
  <c r="P34" i="2"/>
  <c r="P6" i="2"/>
  <c r="N7" i="2"/>
  <c r="P7" i="2" s="1"/>
  <c r="N8" i="2"/>
  <c r="P8" i="2" s="1"/>
  <c r="N9" i="2"/>
  <c r="N10" i="2"/>
  <c r="N11" i="2"/>
  <c r="N12" i="2"/>
  <c r="N13" i="2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N22" i="2"/>
  <c r="N23" i="2"/>
  <c r="N24" i="2"/>
  <c r="N25" i="2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N34" i="2"/>
  <c r="N6" i="2"/>
  <c r="L11" i="2"/>
  <c r="L12" i="2"/>
  <c r="L13" i="2"/>
  <c r="L14" i="2"/>
  <c r="L15" i="2"/>
  <c r="L23" i="2"/>
  <c r="L24" i="2"/>
  <c r="L25" i="2"/>
  <c r="L26" i="2"/>
  <c r="L27" i="2"/>
  <c r="L6" i="2"/>
  <c r="J7" i="2"/>
  <c r="L7" i="2" s="1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J25" i="2"/>
  <c r="J26" i="2"/>
  <c r="J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C14" i="1" l="1"/>
  <c r="C16" i="1"/>
  <c r="F39" i="1" l="1"/>
  <c r="H39" i="1" s="1"/>
  <c r="F38" i="1"/>
  <c r="H38" i="1" s="1"/>
  <c r="J42" i="1"/>
  <c r="K55" i="1" s="1"/>
  <c r="F37" i="1"/>
  <c r="H37" i="1" s="1"/>
  <c r="F36" i="1"/>
  <c r="H36" i="1" s="1"/>
  <c r="F40" i="1"/>
  <c r="H40" i="1" s="1"/>
  <c r="F41" i="1"/>
  <c r="H41" i="1" s="1"/>
  <c r="J41" i="1" s="1"/>
  <c r="F43" i="1"/>
  <c r="H43" i="1" s="1"/>
  <c r="P43" i="2"/>
  <c r="J43" i="2"/>
  <c r="L43" i="2" s="1"/>
  <c r="D44" i="2"/>
  <c r="D7" i="2"/>
  <c r="J43" i="1" l="1"/>
  <c r="K56" i="1" s="1"/>
  <c r="I56" i="1"/>
  <c r="I51" i="1"/>
  <c r="I50" i="1"/>
  <c r="J40" i="1"/>
  <c r="I49" i="1"/>
  <c r="J36" i="1"/>
  <c r="I52" i="1"/>
  <c r="J38" i="1"/>
  <c r="K52" i="1" s="1"/>
  <c r="I54" i="1"/>
  <c r="J37" i="1"/>
  <c r="K54" i="1" s="1"/>
  <c r="I53" i="1"/>
  <c r="J39" i="1"/>
  <c r="K53" i="1" s="1"/>
  <c r="J44" i="2"/>
  <c r="L44" i="2" s="1"/>
  <c r="N44" i="2"/>
  <c r="P44" i="2" s="1"/>
  <c r="D45" i="2"/>
  <c r="D8" i="2"/>
  <c r="K67" i="1" l="1"/>
  <c r="H79" i="1"/>
  <c r="D46" i="2"/>
  <c r="D9" i="2"/>
  <c r="N45" i="2" l="1"/>
  <c r="P45" i="2" s="1"/>
  <c r="J45" i="2"/>
  <c r="L45" i="2" s="1"/>
  <c r="D47" i="2"/>
  <c r="D10" i="2"/>
  <c r="J46" i="2" l="1"/>
  <c r="L46" i="2" s="1"/>
  <c r="N46" i="2"/>
  <c r="P46" i="2" s="1"/>
  <c r="D48" i="2"/>
  <c r="D11" i="2"/>
  <c r="D49" i="2" l="1"/>
  <c r="J47" i="2"/>
  <c r="L47" i="2" s="1"/>
  <c r="N47" i="2"/>
  <c r="P47" i="2" s="1"/>
  <c r="D12" i="2"/>
  <c r="J48" i="2" l="1"/>
  <c r="L48" i="2" s="1"/>
  <c r="N48" i="2"/>
  <c r="P48" i="2" s="1"/>
  <c r="D50" i="2"/>
  <c r="D13" i="2"/>
  <c r="J49" i="2" l="1"/>
  <c r="L49" i="2" s="1"/>
  <c r="N49" i="2"/>
  <c r="P49" i="2" s="1"/>
  <c r="D51" i="2"/>
  <c r="D14" i="2"/>
  <c r="J50" i="2" l="1"/>
  <c r="L50" i="2" s="1"/>
  <c r="N50" i="2"/>
  <c r="P50" i="2" s="1"/>
  <c r="D52" i="2"/>
  <c r="D15" i="2"/>
  <c r="J51" i="2" l="1"/>
  <c r="L51" i="2" s="1"/>
  <c r="N51" i="2"/>
  <c r="P51" i="2" s="1"/>
  <c r="D53" i="2"/>
  <c r="D16" i="2"/>
  <c r="N52" i="2" l="1"/>
  <c r="P52" i="2" s="1"/>
  <c r="J52" i="2"/>
  <c r="L52" i="2" s="1"/>
  <c r="D54" i="2"/>
  <c r="D17" i="2"/>
  <c r="N53" i="2" l="1"/>
  <c r="P53" i="2" s="1"/>
  <c r="J53" i="2"/>
  <c r="L53" i="2" s="1"/>
  <c r="D55" i="2"/>
  <c r="D18" i="2"/>
  <c r="N54" i="2" l="1"/>
  <c r="P54" i="2" s="1"/>
  <c r="J54" i="2"/>
  <c r="L54" i="2" s="1"/>
  <c r="D56" i="2"/>
  <c r="D19" i="2"/>
  <c r="N55" i="2" l="1"/>
  <c r="P55" i="2" s="1"/>
  <c r="L55" i="2"/>
  <c r="D57" i="2"/>
  <c r="D20" i="2"/>
  <c r="N56" i="2" l="1"/>
  <c r="P56" i="2" s="1"/>
  <c r="J56" i="2"/>
  <c r="L56" i="2" s="1"/>
  <c r="D58" i="2"/>
  <c r="D21" i="2"/>
  <c r="N57" i="2" l="1"/>
  <c r="P57" i="2" s="1"/>
  <c r="J57" i="2"/>
  <c r="L57" i="2" s="1"/>
  <c r="D59" i="2"/>
  <c r="D22" i="2"/>
  <c r="N58" i="2" l="1"/>
  <c r="P58" i="2" s="1"/>
  <c r="J58" i="2"/>
  <c r="L58" i="2" s="1"/>
  <c r="D60" i="2"/>
  <c r="D23" i="2"/>
  <c r="D61" i="2" l="1"/>
  <c r="J59" i="2"/>
  <c r="L59" i="2" s="1"/>
  <c r="N59" i="2"/>
  <c r="P59" i="2" s="1"/>
  <c r="D24" i="2"/>
  <c r="J60" i="2" l="1"/>
  <c r="L60" i="2" s="1"/>
  <c r="N60" i="2"/>
  <c r="P60" i="2" s="1"/>
  <c r="D62" i="2"/>
  <c r="D25" i="2"/>
  <c r="J61" i="2" l="1"/>
  <c r="L61" i="2" s="1"/>
  <c r="N61" i="2"/>
  <c r="P61" i="2" s="1"/>
  <c r="D63" i="2"/>
  <c r="D26" i="2"/>
  <c r="J62" i="2" l="1"/>
  <c r="L62" i="2" s="1"/>
  <c r="N62" i="2"/>
  <c r="P62" i="2" s="1"/>
  <c r="D64" i="2"/>
  <c r="D27" i="2"/>
  <c r="J63" i="2" l="1"/>
  <c r="L63" i="2" s="1"/>
  <c r="N63" i="2"/>
  <c r="P63" i="2" s="1"/>
  <c r="D65" i="2"/>
  <c r="D28" i="2"/>
  <c r="N64" i="2" l="1"/>
  <c r="P64" i="2" s="1"/>
  <c r="J64" i="2"/>
  <c r="L64" i="2" s="1"/>
  <c r="D66" i="2"/>
  <c r="D29" i="2"/>
  <c r="N65" i="2" l="1"/>
  <c r="P65" i="2" s="1"/>
  <c r="J65" i="2"/>
  <c r="L65" i="2" s="1"/>
  <c r="D67" i="2"/>
  <c r="D30" i="2"/>
  <c r="N66" i="2" l="1"/>
  <c r="P66" i="2" s="1"/>
  <c r="J66" i="2"/>
  <c r="L66" i="2" s="1"/>
  <c r="D68" i="2"/>
  <c r="D31" i="2"/>
  <c r="N67" i="2" l="1"/>
  <c r="P67" i="2" s="1"/>
  <c r="J67" i="2"/>
  <c r="L67" i="2" s="1"/>
  <c r="D69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<sst xmlns="http://schemas.openxmlformats.org/spreadsheetml/2006/main" count="243" uniqueCount="178">
  <si>
    <t>Vdd</t>
  </si>
  <si>
    <t>R</t>
  </si>
  <si>
    <t>Vth_p</t>
  </si>
  <si>
    <t>Vth_n</t>
  </si>
  <si>
    <t>K0_n</t>
  </si>
  <si>
    <t>K0_p</t>
  </si>
  <si>
    <t>MB</t>
  </si>
  <si>
    <t>M3</t>
  </si>
  <si>
    <t>M4</t>
  </si>
  <si>
    <t>M6</t>
  </si>
  <si>
    <t>M7</t>
  </si>
  <si>
    <t>M5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</si>
  <si>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</si>
  <si>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</si>
  <si>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</si>
  <si>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</si>
  <si>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</si>
  <si>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</si>
  <si>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</si>
  <si>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</si>
  <si>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</si>
  <si>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</si>
  <si>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</si>
  <si>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</si>
  <si>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</si>
  <si>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</si>
  <si>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</si>
  <si>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</si>
  <si>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</si>
  <si>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</si>
  <si>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Vgs_M2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</si>
  <si>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</si>
  <si>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</si>
  <si>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</si>
  <si>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</si>
  <si>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</si>
  <si>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</si>
  <si>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</si>
  <si>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</si>
  <si>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</si>
  <si>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</si>
  <si>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</si>
  <si>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</si>
  <si>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</si>
  <si>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</si>
  <si>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</si>
  <si>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</si>
  <si>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</si>
  <si>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</si>
  <si>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</si>
  <si>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</si>
  <si>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</si>
  <si>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</si>
  <si>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</si>
  <si>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</si>
  <si>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</si>
  <si>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</si>
  <si>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</si>
  <si>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</si>
  <si>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</si>
  <si>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</si>
  <si>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</si>
  <si>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</si>
  <si>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</si>
  <si>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</si>
  <si>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R= 242,3K</t>
  </si>
  <si>
    <t>per costruz</t>
  </si>
  <si>
    <t>GVO_risultante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</si>
  <si>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</si>
  <si>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</si>
  <si>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</si>
  <si>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</si>
  <si>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</si>
  <si>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</si>
  <si>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</si>
  <si>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</si>
  <si>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</si>
  <si>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</si>
  <si>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</si>
  <si>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</si>
  <si>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</si>
  <si>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</si>
  <si>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</si>
  <si>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</si>
  <si>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</si>
  <si>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</si>
  <si>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</si>
  <si>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</si>
  <si>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</si>
  <si>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</si>
  <si>
    <t>Add_ris</t>
  </si>
  <si>
    <t>I_risultante uA</t>
  </si>
  <si>
    <t>GVO = 0,15</t>
  </si>
  <si>
    <t>GVO= 0,186</t>
  </si>
  <si>
    <t>gm_emp</t>
  </si>
  <si>
    <t>Add_emp</t>
  </si>
  <si>
    <t>GVO=0.186, Vin=1uV</t>
  </si>
  <si>
    <t>dB</t>
  </si>
  <si>
    <t>Vcm=0,1</t>
  </si>
  <si>
    <t>Vcm=0.1</t>
  </si>
  <si>
    <t>Vcm=2</t>
  </si>
  <si>
    <t>gm_n' | Vgs= 0.7</t>
  </si>
  <si>
    <t>M1</t>
  </si>
  <si>
    <t>M2</t>
  </si>
  <si>
    <t>Vcm</t>
  </si>
  <si>
    <t>dB 1uV input</t>
  </si>
  <si>
    <t>R0_n' | Vgs= 0.7</t>
  </si>
  <si>
    <t>gm_p' | Vgs= 0.9</t>
  </si>
  <si>
    <t>R0_p' | Vgs= 0.9</t>
  </si>
  <si>
    <t>N</t>
  </si>
  <si>
    <t>P</t>
  </si>
  <si>
    <t>Add_calc</t>
  </si>
  <si>
    <t>gm6 * (Ro6 || Ro7) * gm1 ( Ro2 || Ro4)</t>
  </si>
  <si>
    <t>Acm_calc</t>
  </si>
  <si>
    <t xml:space="preserve"> -1/(2* Rss * GM3)</t>
  </si>
  <si>
    <t>Acm(0)_emp</t>
  </si>
  <si>
    <t>Calcolo frequenze e capacità</t>
  </si>
  <si>
    <t>Wp1</t>
  </si>
  <si>
    <t>Rout1</t>
  </si>
  <si>
    <t>Rout</t>
  </si>
  <si>
    <t>Cc</t>
  </si>
  <si>
    <t>Wp2</t>
  </si>
  <si>
    <t>Cout</t>
  </si>
  <si>
    <t>Wz</t>
  </si>
  <si>
    <t>PM</t>
  </si>
  <si>
    <t>Rc</t>
  </si>
  <si>
    <t>pulsazione di taglio (guadagno unitario)</t>
  </si>
  <si>
    <t>f_p1</t>
  </si>
  <si>
    <t>f_p2</t>
  </si>
  <si>
    <t>f_z</t>
  </si>
  <si>
    <t>f_t imposto tale che il margine di fase sia</t>
  </si>
  <si>
    <t>f_t =</t>
  </si>
  <si>
    <t>f_t_imp</t>
  </si>
  <si>
    <t>Wt_imp</t>
  </si>
  <si>
    <t>Cc risultante per avere f_t_imp</t>
  </si>
  <si>
    <t>Sz_res</t>
  </si>
  <si>
    <t>Rc per avere lo zero con Re &lt; 0</t>
  </si>
  <si>
    <t>Rc_min</t>
  </si>
  <si>
    <t>Calcolo Add e Acm</t>
  </si>
  <si>
    <t>Dimensionamento circuito (con imposizione GVO)</t>
  </si>
  <si>
    <t>Rss</t>
  </si>
  <si>
    <t>CMRR_emp</t>
  </si>
  <si>
    <t>con Vcm = 0,2</t>
  </si>
  <si>
    <t>CMRR_calc</t>
  </si>
  <si>
    <t>Slew Rate</t>
  </si>
  <si>
    <t>SR</t>
  </si>
  <si>
    <t>SR_emp</t>
  </si>
  <si>
    <t>V/s</t>
  </si>
  <si>
    <t>GVO * wt</t>
  </si>
  <si>
    <t>Valori imposti</t>
  </si>
  <si>
    <t>Valori reali</t>
  </si>
  <si>
    <t>Calcolato dal grafico</t>
  </si>
  <si>
    <t>Ib / Cc</t>
  </si>
  <si>
    <t>SR_wt</t>
  </si>
  <si>
    <t>wt_emp</t>
  </si>
  <si>
    <t>Potenza</t>
  </si>
  <si>
    <t>Potenza stimata (con valori transistor "ideali")</t>
  </si>
  <si>
    <t>Kohm</t>
  </si>
  <si>
    <t>P_emp</t>
  </si>
  <si>
    <t>uW</t>
  </si>
  <si>
    <t>Corrente a regime statico (uA)</t>
  </si>
  <si>
    <t>Corrente max saturazione (uA)</t>
  </si>
  <si>
    <t>Alimentazione</t>
  </si>
  <si>
    <t>V</t>
  </si>
  <si>
    <t>P_max</t>
  </si>
  <si>
    <t>Specchietto riassuntivo</t>
  </si>
  <si>
    <t>Stimato</t>
  </si>
  <si>
    <t>Add(0)</t>
  </si>
  <si>
    <t>CMRR</t>
  </si>
  <si>
    <t>Power</t>
  </si>
  <si>
    <t>°</t>
  </si>
  <si>
    <t>Empirico con Vcm = 0.2V</t>
  </si>
  <si>
    <t>Vcm_0.15</t>
  </si>
  <si>
    <t>min</t>
  </si>
  <si>
    <t>max</t>
  </si>
  <si>
    <t>f_p1_emp</t>
  </si>
  <si>
    <t>PM_emp</t>
  </si>
  <si>
    <t>fz_res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</si>
</sst>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3" borderId="0" xfId="0" applyNumberForma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center"/>
    </xf>
    <xf numFmtId="0" fontId="2" fillId="6" borderId="0" xfId="0" applyFont="1" applyFill="1"/>
    <xf numFmtId="11" fontId="0" fillId="6" borderId="0" xfId="0" applyNumberFormat="1" applyFill="1"/>
    <xf numFmtId="0" fontId="0" fillId="4" borderId="0" xfId="0" applyFill="1" applyAlignment="1">
      <alignment horizontal="left"/>
    </xf>
    <xf numFmtId="11" fontId="0" fillId="4" borderId="0" xfId="0" applyNumberFormat="1" applyFill="1"/>
    <xf numFmtId="11" fontId="0" fillId="4" borderId="0" xfId="0" applyNumberFormat="1" applyFill="1" applyAlignment="1">
      <alignment horizontal="left"/>
    </xf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2" fillId="7" borderId="0" xfId="0" applyFont="1" applyFill="1"/>
    <xf numFmtId="0" fontId="4" fillId="7" borderId="0" xfId="0" applyFont="1" applyFill="1"/>
    <xf numFmtId="11" fontId="0" fillId="2" borderId="0" xfId="0" applyNumberFormat="1" applyFill="1"/>
    <xf numFmtId="0" fontId="2" fillId="2" borderId="0" xfId="0" applyFont="1" applyFill="1"/>
    <xf numFmtId="11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ill="1"/>
    <xf numFmtId="0" fontId="0" fillId="8" borderId="0" xfId="0" applyFill="1"/>
    <xf numFmtId="0" fontId="1" fillId="8" borderId="0" xfId="0" applyFont="1" applyFill="1"/>
    <xf numFmtId="11" fontId="0" fillId="8" borderId="0" xfId="0" applyNumberFormat="1" applyFill="1"/>
    <xf numFmtId="0" fontId="1" fillId="2" borderId="0" xfId="0" applyFont="1" applyFill="1" applyBorder="1"/>
    <xf numFmtId="0" fontId="2" fillId="8" borderId="0" xfId="0" applyFont="1" applyFill="1"/>
    <xf numFmtId="0" fontId="4" fillId="8" borderId="0" xfId="0" applyFont="1" applyFill="1"/>
    <xf numFmtId="0" fontId="0" fillId="9" borderId="0" xfId="0" applyFill="1"/>
    <xf numFmtId="0" fontId="1" fillId="9" borderId="0" xfId="0" applyFont="1" applyFill="1"/>
    <xf numFmtId="0" fontId="2" fillId="9" borderId="0" xfId="0" applyFont="1" applyFill="1"/>
    <xf numFmtId="0" fontId="0" fillId="9" borderId="0" xfId="0" applyFont="1" applyFill="1"/>
    <xf numFmtId="11" fontId="0" fillId="9" borderId="0" xfId="0" applyNumberFormat="1" applyFont="1" applyFill="1"/>
    <xf numFmtId="0" fontId="1" fillId="4" borderId="0" xfId="0" applyFont="1" applyFill="1" applyAlignment="1">
      <alignment horizontal="right"/>
    </xf>
    <xf numFmtId="0" fontId="4" fillId="4" borderId="0" xfId="0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18</xdr:row>
      <xdr:rowOff>14287</xdr:rowOff>
    </xdr:from>
    <xdr:to>
      <xdr:col>37</xdr:col>
      <xdr:colOff>466725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37</xdr:row>
      <xdr:rowOff>90487</xdr:rowOff>
    </xdr:from>
    <xdr:to>
      <xdr:col>37</xdr:col>
      <xdr:colOff>371475</xdr:colOff>
      <xdr:row>51</xdr:row>
      <xdr:rowOff>166687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83"/>
  <sheetViews>
    <sheetView tabSelected="1" topLeftCell="H19" zoomScaleNormal="100" workbookViewId="0">
      <selection activeCell="AE25" sqref="AE25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1" max="12" width="12" bestFit="1" customWidth="1"/>
    <col min="13" max="13" width="10.85546875" customWidth="1"/>
    <col min="14" max="14" width="12.85546875" customWidth="1"/>
    <col min="16" max="16" width="12.140625" customWidth="1"/>
    <col min="18" max="18" width="9.42578125" bestFit="1" customWidth="1"/>
  </cols>
  <sheetData>
    <row r="2" spans="1:21" x14ac:dyDescent="0.25">
      <c r="A2" s="7"/>
      <c r="B2" s="7"/>
      <c r="C2" s="7"/>
      <c r="D2" s="7"/>
      <c r="E2" s="7"/>
      <c r="F2" s="1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7"/>
      <c r="B3" s="7"/>
      <c r="C3" s="7"/>
      <c r="D3" s="7"/>
      <c r="E3" s="7"/>
      <c r="I3" s="48"/>
      <c r="J3" s="49" t="s">
        <v>165</v>
      </c>
      <c r="K3" s="48"/>
      <c r="L3" s="48"/>
      <c r="M3" s="48"/>
      <c r="N3" s="49"/>
      <c r="O3" s="48"/>
      <c r="P3" s="50"/>
      <c r="Q3" s="48"/>
      <c r="R3" s="48"/>
      <c r="S3" s="48"/>
      <c r="T3" s="48"/>
      <c r="U3" s="48"/>
    </row>
    <row r="4" spans="1:21" x14ac:dyDescent="0.25">
      <c r="A4" s="7"/>
      <c r="B4" s="8" t="s">
        <v>0</v>
      </c>
      <c r="C4" s="7">
        <v>3.3</v>
      </c>
      <c r="D4" s="7"/>
      <c r="E4" s="7"/>
      <c r="F4" s="1"/>
      <c r="I4" s="48"/>
      <c r="J4" s="48"/>
      <c r="K4" s="48"/>
      <c r="L4" s="49"/>
      <c r="M4" s="49"/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7"/>
      <c r="B5" s="7"/>
      <c r="C5" s="7"/>
      <c r="D5" s="7"/>
      <c r="E5" s="7"/>
      <c r="I5" s="48"/>
      <c r="J5" s="49" t="s">
        <v>166</v>
      </c>
      <c r="K5" s="48"/>
      <c r="L5" s="48"/>
      <c r="M5" s="48"/>
      <c r="N5" s="48"/>
      <c r="O5" s="49" t="s">
        <v>171</v>
      </c>
      <c r="P5" s="48"/>
      <c r="Q5" s="48"/>
      <c r="R5" s="48"/>
      <c r="S5" s="48"/>
      <c r="T5" s="48"/>
      <c r="U5" s="48"/>
    </row>
    <row r="6" spans="1:21" x14ac:dyDescent="0.25">
      <c r="A6" s="7"/>
      <c r="B6" s="45"/>
      <c r="C6" s="7"/>
      <c r="D6" s="7"/>
      <c r="E6" s="7"/>
      <c r="F6" s="1"/>
      <c r="I6" s="48"/>
      <c r="J6" s="48"/>
      <c r="K6" s="49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1" x14ac:dyDescent="0.25">
      <c r="A7" s="7"/>
      <c r="B7" s="8" t="s">
        <v>1</v>
      </c>
      <c r="C7" s="7">
        <v>242.3</v>
      </c>
      <c r="D7" s="8" t="s">
        <v>157</v>
      </c>
      <c r="E7" s="7"/>
      <c r="I7" s="48"/>
      <c r="J7" s="49" t="s">
        <v>167</v>
      </c>
      <c r="K7" s="51">
        <f>T64</f>
        <v>40000</v>
      </c>
      <c r="L7" s="48"/>
      <c r="M7" s="48"/>
      <c r="N7" s="48"/>
      <c r="O7" s="49" t="s">
        <v>167</v>
      </c>
      <c r="P7" s="48">
        <f>POWER(10,AB63/20)</f>
        <v>26807.110220619834</v>
      </c>
      <c r="Q7" s="48"/>
      <c r="R7" s="48"/>
      <c r="S7" s="48"/>
      <c r="T7" s="48"/>
      <c r="U7" s="48"/>
    </row>
    <row r="8" spans="1:21" x14ac:dyDescent="0.25">
      <c r="A8" s="7"/>
      <c r="B8" s="8"/>
      <c r="C8" s="7"/>
      <c r="D8" s="7"/>
      <c r="E8" s="7"/>
      <c r="I8" s="48"/>
      <c r="J8" s="49" t="s">
        <v>124</v>
      </c>
      <c r="K8" s="51">
        <f>K84</f>
        <v>80</v>
      </c>
      <c r="L8" s="49" t="s">
        <v>170</v>
      </c>
      <c r="M8" s="48"/>
      <c r="N8" s="48"/>
      <c r="O8" s="49" t="s">
        <v>124</v>
      </c>
      <c r="P8" s="48">
        <f>M84</f>
        <v>86.65</v>
      </c>
      <c r="Q8" s="49" t="s">
        <v>170</v>
      </c>
      <c r="R8" s="49"/>
      <c r="S8" s="48"/>
      <c r="T8" s="48"/>
      <c r="U8" s="48"/>
    </row>
    <row r="9" spans="1:21" x14ac:dyDescent="0.25">
      <c r="A9" s="7"/>
      <c r="B9" s="7"/>
      <c r="C9" s="7"/>
      <c r="D9" s="7"/>
      <c r="E9" s="7"/>
      <c r="I9" s="48"/>
      <c r="J9" s="49" t="s">
        <v>168</v>
      </c>
      <c r="K9" s="52">
        <f>AB79</f>
        <v>136.64186441850461</v>
      </c>
      <c r="L9" s="49" t="s">
        <v>97</v>
      </c>
      <c r="M9" s="48"/>
      <c r="N9" s="48"/>
      <c r="O9" s="49" t="s">
        <v>168</v>
      </c>
      <c r="P9" s="48">
        <f>AB81</f>
        <v>98.05</v>
      </c>
      <c r="Q9" s="49" t="s">
        <v>97</v>
      </c>
      <c r="R9" s="48"/>
      <c r="S9" s="48"/>
      <c r="T9" s="48"/>
      <c r="U9" s="48"/>
    </row>
    <row r="10" spans="1:21" x14ac:dyDescent="0.25">
      <c r="A10" s="7"/>
      <c r="B10" s="8" t="s">
        <v>2</v>
      </c>
      <c r="C10" s="7">
        <v>-0.69199999999999995</v>
      </c>
      <c r="D10" s="7"/>
      <c r="E10" s="7"/>
      <c r="F10" s="1"/>
      <c r="I10" s="48"/>
      <c r="J10" s="49" t="s">
        <v>145</v>
      </c>
      <c r="K10" s="52">
        <f>E97</f>
        <v>2197335.9955648109</v>
      </c>
      <c r="L10" s="49" t="s">
        <v>147</v>
      </c>
      <c r="M10" s="48"/>
      <c r="N10" s="48"/>
      <c r="O10" s="49" t="s">
        <v>145</v>
      </c>
      <c r="P10" s="48">
        <f>K98</f>
        <v>2187050.3597122305</v>
      </c>
      <c r="Q10" s="49" t="s">
        <v>147</v>
      </c>
      <c r="R10" s="48"/>
      <c r="S10" s="48"/>
      <c r="T10" s="48"/>
      <c r="U10" s="48"/>
    </row>
    <row r="11" spans="1:21" x14ac:dyDescent="0.25">
      <c r="A11" s="7"/>
      <c r="B11" s="7"/>
      <c r="C11" s="7"/>
      <c r="D11" s="7"/>
      <c r="E11" s="7"/>
      <c r="I11" s="48"/>
      <c r="J11" s="49" t="s">
        <v>169</v>
      </c>
      <c r="K11" s="51">
        <f>R95</f>
        <v>165</v>
      </c>
      <c r="L11" s="49" t="s">
        <v>159</v>
      </c>
      <c r="M11" s="48"/>
      <c r="N11" s="48"/>
      <c r="O11" s="49" t="s">
        <v>169</v>
      </c>
      <c r="P11" s="48">
        <f>R97</f>
        <v>167.57399999999998</v>
      </c>
      <c r="Q11" s="49" t="s">
        <v>159</v>
      </c>
      <c r="R11" s="48"/>
      <c r="S11" s="48"/>
      <c r="T11" s="48"/>
      <c r="U11" s="48"/>
    </row>
    <row r="12" spans="1:21" x14ac:dyDescent="0.25">
      <c r="A12" s="7"/>
      <c r="B12" s="8" t="s">
        <v>3</v>
      </c>
      <c r="C12" s="7">
        <v>0.498</v>
      </c>
      <c r="D12" s="7"/>
      <c r="E12" s="7"/>
      <c r="F12" s="1"/>
      <c r="I12" s="48"/>
      <c r="J12" s="48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5">
      <c r="A13" s="7"/>
      <c r="B13" s="7"/>
      <c r="C13" s="7"/>
      <c r="D13" s="7"/>
      <c r="E13" s="7"/>
      <c r="I13" s="48"/>
      <c r="J13" s="48"/>
      <c r="K13" s="49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5">
      <c r="A14" s="7"/>
      <c r="B14" s="8" t="s">
        <v>5</v>
      </c>
      <c r="C14" s="7">
        <f>1.48 * POWER(10,-2)*4.45*POWER(10,-3)</f>
        <v>6.586000000000001E-5</v>
      </c>
      <c r="D14" s="7"/>
      <c r="E14" s="7"/>
      <c r="F14" s="1"/>
      <c r="I14" s="48"/>
      <c r="J14" s="48"/>
      <c r="K14" s="49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5">
      <c r="A15" s="7"/>
      <c r="B15" s="7"/>
      <c r="C15" s="7"/>
      <c r="D15" s="7"/>
      <c r="E15" s="7"/>
      <c r="I15" s="48"/>
      <c r="J15" s="48"/>
      <c r="K15" s="49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5">
      <c r="A16" s="7"/>
      <c r="B16" s="8" t="s">
        <v>4</v>
      </c>
      <c r="C16" s="7">
        <f>4.76* POWER(10,-2)*4.56*POWER(10,-3)</f>
        <v>2.1705599999999998E-4</v>
      </c>
      <c r="D16" s="7"/>
      <c r="E16" s="7"/>
      <c r="F16" s="1"/>
      <c r="I16" s="48"/>
      <c r="J16" s="48"/>
      <c r="K16" s="49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5" x14ac:dyDescent="0.25">
      <c r="A17" s="7"/>
      <c r="B17" s="7"/>
      <c r="C17" s="7"/>
      <c r="D17" s="7"/>
      <c r="E17" s="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5" x14ac:dyDescent="0.25">
      <c r="A18" s="7"/>
      <c r="B18" s="8"/>
      <c r="C18" s="7"/>
      <c r="D18" s="7"/>
      <c r="E18" s="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21" spans="1:25" x14ac:dyDescent="0.25">
      <c r="F21" s="1"/>
      <c r="V21" s="1" t="s">
        <v>33</v>
      </c>
    </row>
    <row r="22" spans="1:2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5" x14ac:dyDescent="0.25">
      <c r="A23" s="32"/>
      <c r="B23" s="33" t="s">
        <v>41</v>
      </c>
      <c r="C23" s="34">
        <v>30</v>
      </c>
      <c r="D23" s="35"/>
      <c r="E23" s="35"/>
      <c r="F23" s="33" t="s">
        <v>139</v>
      </c>
      <c r="G23" s="35"/>
      <c r="H23" s="32"/>
      <c r="I23" s="32"/>
      <c r="J23" s="32"/>
      <c r="K23" s="32"/>
      <c r="L23" s="32"/>
      <c r="M23" s="32"/>
      <c r="N23" s="32"/>
      <c r="O23" s="32"/>
      <c r="P23" s="32"/>
      <c r="U23" s="1" t="s">
        <v>35</v>
      </c>
      <c r="V23" s="1" t="s">
        <v>34</v>
      </c>
      <c r="W23" s="1" t="s">
        <v>31</v>
      </c>
      <c r="X23" s="1" t="s">
        <v>32</v>
      </c>
      <c r="Y23" s="1" t="s">
        <v>30</v>
      </c>
    </row>
    <row r="24" spans="1:25" x14ac:dyDescent="0.25">
      <c r="A24" s="32"/>
      <c r="B24" s="33" t="s">
        <v>39</v>
      </c>
      <c r="C24" s="34">
        <v>20000</v>
      </c>
      <c r="D24" s="35"/>
      <c r="E24" s="35"/>
      <c r="F24" s="35"/>
      <c r="G24" s="35"/>
      <c r="H24" s="32"/>
      <c r="I24" s="32"/>
      <c r="J24" s="32"/>
      <c r="K24" s="32"/>
      <c r="L24" s="32"/>
      <c r="M24" s="32"/>
      <c r="N24" s="32"/>
      <c r="O24" s="32"/>
      <c r="P24" s="32"/>
      <c r="U24">
        <v>50</v>
      </c>
      <c r="V24">
        <v>55.05</v>
      </c>
      <c r="W24">
        <v>13757</v>
      </c>
      <c r="X24">
        <v>1.996</v>
      </c>
      <c r="Y24">
        <f>-X24</f>
        <v>-1.996</v>
      </c>
    </row>
    <row r="25" spans="1:25" x14ac:dyDescent="0.25">
      <c r="A25" s="32"/>
      <c r="B25" s="33" t="s">
        <v>0</v>
      </c>
      <c r="C25" s="34">
        <v>3.3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U25">
        <v>10</v>
      </c>
      <c r="V25">
        <v>16.02</v>
      </c>
      <c r="W25">
        <v>102845</v>
      </c>
      <c r="X25">
        <v>1.397</v>
      </c>
      <c r="Y25">
        <f t="shared" ref="Y25:Y30" si="0">-X25</f>
        <v>-1.397</v>
      </c>
    </row>
    <row r="26" spans="1:25" x14ac:dyDescent="0.25">
      <c r="A26" s="32"/>
      <c r="B26" s="33" t="s">
        <v>37</v>
      </c>
      <c r="C26" s="34">
        <v>10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V26">
        <v>9.3710000000000004</v>
      </c>
      <c r="W26">
        <v>200000</v>
      </c>
      <c r="X26">
        <v>1.234</v>
      </c>
      <c r="Y26">
        <f t="shared" si="0"/>
        <v>-1.234</v>
      </c>
    </row>
    <row r="27" spans="1:25" x14ac:dyDescent="0.25">
      <c r="A27" s="32"/>
      <c r="B27" s="33" t="s">
        <v>47</v>
      </c>
      <c r="C27" s="34">
        <v>20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V27">
        <v>46.32</v>
      </c>
      <c r="W27">
        <v>20000</v>
      </c>
      <c r="X27">
        <v>1.9019999999999999</v>
      </c>
      <c r="Y27">
        <f t="shared" si="0"/>
        <v>-1.9019999999999999</v>
      </c>
    </row>
    <row r="28" spans="1:25" x14ac:dyDescent="0.25">
      <c r="A28" s="32"/>
      <c r="B28" s="33" t="s">
        <v>38</v>
      </c>
      <c r="C28" s="34">
        <v>20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V28">
        <v>7.7560000000000002</v>
      </c>
      <c r="W28">
        <v>250000</v>
      </c>
      <c r="X28">
        <v>1.1870000000000001</v>
      </c>
      <c r="Y28">
        <f t="shared" si="0"/>
        <v>-1.1870000000000001</v>
      </c>
    </row>
    <row r="29" spans="1:25" x14ac:dyDescent="0.25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U29">
        <v>30</v>
      </c>
      <c r="V29">
        <v>39</v>
      </c>
      <c r="W29">
        <v>27558</v>
      </c>
      <c r="X29">
        <v>1.8029999999999999</v>
      </c>
      <c r="Y29">
        <f t="shared" si="0"/>
        <v>-1.8029999999999999</v>
      </c>
    </row>
    <row r="30" spans="1:25" x14ac:dyDescent="0.25">
      <c r="A30" s="32"/>
      <c r="B30" s="33" t="s">
        <v>36</v>
      </c>
      <c r="C30" s="34">
        <f>(C27+C28+C26)*C25</f>
        <v>165</v>
      </c>
      <c r="D30" s="32"/>
      <c r="E30" s="35" t="s">
        <v>62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U30">
        <v>5.9</v>
      </c>
      <c r="V30">
        <v>10</v>
      </c>
      <c r="W30">
        <v>185000</v>
      </c>
      <c r="X30">
        <v>1.2509999999999999</v>
      </c>
      <c r="Y30">
        <f t="shared" si="0"/>
        <v>-1.2509999999999999</v>
      </c>
    </row>
    <row r="31" spans="1:25" x14ac:dyDescent="0.25">
      <c r="A31" s="32"/>
      <c r="B31" s="33" t="s">
        <v>40</v>
      </c>
      <c r="C31" s="32">
        <f>SQRT(C23*C23/C24)</f>
        <v>0.21213203435596426</v>
      </c>
      <c r="D31" s="32"/>
      <c r="E31" s="35" t="s">
        <v>42</v>
      </c>
      <c r="F31" s="32"/>
      <c r="G31" s="32"/>
      <c r="H31" s="32"/>
      <c r="I31" s="32"/>
      <c r="J31" s="33"/>
      <c r="K31" s="32"/>
      <c r="L31" s="32"/>
      <c r="M31" s="32"/>
      <c r="N31" s="32"/>
      <c r="O31" s="32"/>
      <c r="P31" s="32"/>
    </row>
    <row r="32" spans="1:25" x14ac:dyDescent="0.25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34" x14ac:dyDescent="0.25">
      <c r="A33" s="32"/>
      <c r="B33" s="33"/>
      <c r="C33" s="32"/>
      <c r="D33" s="32"/>
      <c r="E33" s="32"/>
      <c r="F33" s="32"/>
      <c r="G33" s="32"/>
      <c r="H33" s="32"/>
      <c r="I33" s="32"/>
      <c r="J33" s="32"/>
      <c r="K33" s="32"/>
      <c r="L33" s="36" t="s">
        <v>98</v>
      </c>
      <c r="M33" s="32"/>
      <c r="N33" s="32"/>
      <c r="O33" s="32"/>
      <c r="P33" s="32"/>
    </row>
    <row r="34" spans="1:34" x14ac:dyDescent="0.25">
      <c r="A34" s="32"/>
      <c r="B34" s="33" t="s">
        <v>44</v>
      </c>
      <c r="C34" s="32">
        <v>0.15</v>
      </c>
      <c r="D34" s="32"/>
      <c r="E34" s="35" t="s">
        <v>45</v>
      </c>
      <c r="F34" s="32"/>
      <c r="G34" s="32"/>
      <c r="H34" s="32"/>
      <c r="I34" s="32"/>
      <c r="J34" s="32"/>
      <c r="K34" s="32"/>
      <c r="L34" s="36" t="s">
        <v>65</v>
      </c>
      <c r="M34" s="32"/>
      <c r="N34" s="32"/>
      <c r="O34" s="32"/>
      <c r="P34" s="3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x14ac:dyDescent="0.25">
      <c r="A35" s="32"/>
      <c r="B35" s="33"/>
      <c r="C35" s="32"/>
      <c r="D35" s="32"/>
      <c r="E35" s="32"/>
      <c r="F35" s="32"/>
      <c r="G35" s="32"/>
      <c r="H35" s="36" t="s">
        <v>63</v>
      </c>
      <c r="I35" s="36"/>
      <c r="J35" s="36" t="s">
        <v>64</v>
      </c>
      <c r="K35" s="36"/>
      <c r="L35" s="36" t="s">
        <v>91</v>
      </c>
      <c r="M35" s="32"/>
      <c r="N35" s="36" t="s">
        <v>67</v>
      </c>
      <c r="O35" s="36" t="s">
        <v>12</v>
      </c>
      <c r="P35" s="32"/>
      <c r="R35" s="13"/>
      <c r="S35" s="14" t="s">
        <v>80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x14ac:dyDescent="0.25">
      <c r="A36" s="32"/>
      <c r="B36" s="33" t="s">
        <v>43</v>
      </c>
      <c r="C36" s="32">
        <f>C26</f>
        <v>10</v>
      </c>
      <c r="D36" s="32"/>
      <c r="E36" s="33" t="s">
        <v>54</v>
      </c>
      <c r="F36" s="32">
        <f>2*C36*POWER(10,-6)/($C$14*$C$34*$C$34)</f>
        <v>13.496642710125853</v>
      </c>
      <c r="G36" s="32"/>
      <c r="H36" s="32">
        <f>ROUNDUP(F36,0)</f>
        <v>14</v>
      </c>
      <c r="I36" s="32"/>
      <c r="J36" s="32">
        <f t="shared" ref="J36:J43" si="1">1.4*H36</f>
        <v>19.599999999999998</v>
      </c>
      <c r="K36" s="32"/>
      <c r="L36" s="32">
        <v>10</v>
      </c>
      <c r="M36" s="32"/>
      <c r="N36" s="32">
        <v>-0.185</v>
      </c>
      <c r="O36" s="32">
        <v>-0.877</v>
      </c>
      <c r="P36" s="3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x14ac:dyDescent="0.25">
      <c r="A37" s="32"/>
      <c r="B37" s="33" t="s">
        <v>46</v>
      </c>
      <c r="C37" s="32">
        <f>C27</f>
        <v>20</v>
      </c>
      <c r="D37" s="32"/>
      <c r="E37" s="33" t="s">
        <v>55</v>
      </c>
      <c r="F37" s="32">
        <f t="shared" ref="F37:F41" si="2">2*C37*POWER(10,-6)/($C$14*$C$34*$C$34)</f>
        <v>26.993285420251706</v>
      </c>
      <c r="G37" s="32"/>
      <c r="H37" s="32">
        <f t="shared" ref="H37:H43" si="3">ROUNDUP(F37,0)</f>
        <v>27</v>
      </c>
      <c r="I37" s="32"/>
      <c r="J37" s="32">
        <f t="shared" si="1"/>
        <v>37.799999999999997</v>
      </c>
      <c r="K37" s="32"/>
      <c r="L37" s="32">
        <v>20.350000000000001</v>
      </c>
      <c r="M37" s="32"/>
      <c r="N37" s="32">
        <v>-0.185</v>
      </c>
      <c r="O37" s="32">
        <v>-0.877</v>
      </c>
      <c r="P37" s="32"/>
      <c r="R37" s="13"/>
      <c r="S37" s="15" t="s">
        <v>79</v>
      </c>
      <c r="T37" s="13"/>
      <c r="U37" s="13"/>
      <c r="V37" s="13"/>
      <c r="W37" s="13"/>
      <c r="X37" s="13"/>
      <c r="Y37" s="13"/>
      <c r="Z37" s="13"/>
      <c r="AA37" s="13"/>
      <c r="AB37" s="15" t="s">
        <v>81</v>
      </c>
      <c r="AC37" s="13"/>
      <c r="AD37" s="13"/>
      <c r="AE37" s="13"/>
      <c r="AF37" s="13"/>
      <c r="AG37" s="13"/>
      <c r="AH37" s="13"/>
    </row>
    <row r="38" spans="1:34" x14ac:dyDescent="0.25">
      <c r="A38" s="32"/>
      <c r="B38" s="33" t="s">
        <v>48</v>
      </c>
      <c r="C38" s="32">
        <f>C27/2</f>
        <v>10</v>
      </c>
      <c r="D38" s="32"/>
      <c r="E38" s="33" t="s">
        <v>56</v>
      </c>
      <c r="F38" s="32">
        <f>2*C38*POWER(10,-6)/($C$16*$C$34*$C$34)</f>
        <v>4.0952053335954268</v>
      </c>
      <c r="G38" s="32"/>
      <c r="H38" s="32">
        <f t="shared" si="3"/>
        <v>5</v>
      </c>
      <c r="I38" s="32"/>
      <c r="J38" s="32">
        <f t="shared" si="1"/>
        <v>7</v>
      </c>
      <c r="K38" s="32"/>
      <c r="L38" s="32">
        <v>10.18</v>
      </c>
      <c r="M38" s="32"/>
      <c r="N38" s="32">
        <v>0.187</v>
      </c>
      <c r="O38" s="32">
        <v>0.68500000000000005</v>
      </c>
      <c r="P38" s="3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x14ac:dyDescent="0.25">
      <c r="A39" s="32"/>
      <c r="B39" s="33" t="s">
        <v>49</v>
      </c>
      <c r="C39" s="32">
        <f>C27/2</f>
        <v>10</v>
      </c>
      <c r="D39" s="32"/>
      <c r="E39" s="33" t="s">
        <v>57</v>
      </c>
      <c r="F39" s="32">
        <f>2*C39*POWER(10,-6)/($C$16*$C$34*$C$34)</f>
        <v>4.0952053335954268</v>
      </c>
      <c r="G39" s="32"/>
      <c r="H39" s="32">
        <f t="shared" si="3"/>
        <v>5</v>
      </c>
      <c r="I39" s="32"/>
      <c r="J39" s="32">
        <f t="shared" si="1"/>
        <v>7</v>
      </c>
      <c r="K39" s="32"/>
      <c r="L39" s="32">
        <v>10.18</v>
      </c>
      <c r="M39" s="32"/>
      <c r="N39" s="32">
        <v>0.187</v>
      </c>
      <c r="O39" s="32">
        <v>0.68500000000000005</v>
      </c>
      <c r="P39" s="32"/>
      <c r="R39" s="13"/>
      <c r="S39" s="13" t="s">
        <v>69</v>
      </c>
      <c r="T39" s="13"/>
      <c r="U39" s="13"/>
      <c r="V39" s="13"/>
      <c r="W39" s="16" t="s">
        <v>73</v>
      </c>
      <c r="X39" s="13"/>
      <c r="Y39" s="13"/>
      <c r="Z39" s="13"/>
      <c r="AA39" s="13"/>
      <c r="AB39" s="13" t="s">
        <v>82</v>
      </c>
      <c r="AC39" s="13"/>
      <c r="AD39" s="13"/>
      <c r="AE39" s="13"/>
      <c r="AF39" s="16" t="s">
        <v>85</v>
      </c>
      <c r="AG39" s="13"/>
      <c r="AH39" s="13"/>
    </row>
    <row r="40" spans="1:34" x14ac:dyDescent="0.25">
      <c r="A40" s="32"/>
      <c r="B40" s="33" t="s">
        <v>50</v>
      </c>
      <c r="C40" s="32">
        <f>C27/2</f>
        <v>10</v>
      </c>
      <c r="D40" s="32"/>
      <c r="E40" s="33" t="s">
        <v>58</v>
      </c>
      <c r="F40" s="32">
        <f t="shared" si="2"/>
        <v>13.496642710125853</v>
      </c>
      <c r="G40" s="32"/>
      <c r="H40" s="32">
        <f t="shared" si="3"/>
        <v>14</v>
      </c>
      <c r="I40" s="32"/>
      <c r="J40" s="32">
        <f t="shared" si="1"/>
        <v>19.599999999999998</v>
      </c>
      <c r="K40" s="32"/>
      <c r="L40" s="32">
        <v>10.18</v>
      </c>
      <c r="M40" s="32"/>
      <c r="N40" s="32">
        <v>-0.186</v>
      </c>
      <c r="O40" s="32">
        <v>-0.878</v>
      </c>
      <c r="P40" s="32"/>
      <c r="R40" s="13"/>
      <c r="S40" s="13"/>
      <c r="T40" s="13"/>
      <c r="U40" s="13"/>
      <c r="V40" s="13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x14ac:dyDescent="0.25">
      <c r="A41" s="32"/>
      <c r="B41" s="33" t="s">
        <v>51</v>
      </c>
      <c r="C41" s="32">
        <f>C27/2</f>
        <v>10</v>
      </c>
      <c r="D41" s="32"/>
      <c r="E41" s="33" t="s">
        <v>59</v>
      </c>
      <c r="F41" s="32">
        <f t="shared" si="2"/>
        <v>13.496642710125853</v>
      </c>
      <c r="G41" s="32"/>
      <c r="H41" s="32">
        <f t="shared" si="3"/>
        <v>14</v>
      </c>
      <c r="I41" s="32"/>
      <c r="J41" s="32">
        <f t="shared" si="1"/>
        <v>19.599999999999998</v>
      </c>
      <c r="K41" s="32"/>
      <c r="L41" s="32">
        <v>10.18</v>
      </c>
      <c r="M41" s="32"/>
      <c r="N41" s="32">
        <v>-0.186</v>
      </c>
      <c r="O41" s="32">
        <v>-0.878</v>
      </c>
      <c r="P41" s="32"/>
      <c r="R41" s="13"/>
      <c r="S41" s="13" t="s">
        <v>70</v>
      </c>
      <c r="T41" s="13"/>
      <c r="U41" s="13"/>
      <c r="V41" s="13"/>
      <c r="W41" s="16" t="s">
        <v>74</v>
      </c>
      <c r="X41" s="13"/>
      <c r="Y41" s="13"/>
      <c r="Z41" s="13"/>
      <c r="AA41" s="13"/>
      <c r="AB41" s="13" t="s">
        <v>83</v>
      </c>
      <c r="AC41" s="13"/>
      <c r="AD41" s="13"/>
      <c r="AE41" s="13"/>
      <c r="AF41" s="13"/>
      <c r="AG41" s="13"/>
      <c r="AH41" s="13"/>
    </row>
    <row r="42" spans="1:34" x14ac:dyDescent="0.25">
      <c r="A42" s="32"/>
      <c r="B42" s="33" t="s">
        <v>52</v>
      </c>
      <c r="C42" s="32">
        <f>C28</f>
        <v>20</v>
      </c>
      <c r="D42" s="32"/>
      <c r="E42" s="33" t="s">
        <v>60</v>
      </c>
      <c r="F42" s="32">
        <f>2*C42*POWER(10,-6)/($C$16*$C$34*$C$34)</f>
        <v>8.1904106671908536</v>
      </c>
      <c r="G42" s="35" t="s">
        <v>66</v>
      </c>
      <c r="H42" s="32">
        <v>10</v>
      </c>
      <c r="I42" s="32"/>
      <c r="J42" s="32">
        <f t="shared" si="1"/>
        <v>14</v>
      </c>
      <c r="K42" s="32"/>
      <c r="L42" s="32">
        <v>20.43</v>
      </c>
      <c r="M42" s="32"/>
      <c r="N42" s="32">
        <v>0.187</v>
      </c>
      <c r="O42" s="32">
        <v>0.68500000000000005</v>
      </c>
      <c r="P42" s="32"/>
      <c r="R42" s="13"/>
      <c r="S42" s="13"/>
      <c r="T42" s="13"/>
      <c r="U42" s="13"/>
      <c r="V42" s="13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x14ac:dyDescent="0.25">
      <c r="A43" s="32"/>
      <c r="B43" s="33" t="s">
        <v>53</v>
      </c>
      <c r="C43" s="32">
        <f>C28</f>
        <v>20</v>
      </c>
      <c r="D43" s="32"/>
      <c r="E43" s="33" t="s">
        <v>61</v>
      </c>
      <c r="F43" s="32">
        <f>2*C43*POWER(10,-6)/($C$14*$C$34*$C$34)</f>
        <v>26.993285420251706</v>
      </c>
      <c r="G43" s="32"/>
      <c r="H43" s="32">
        <f t="shared" si="3"/>
        <v>27</v>
      </c>
      <c r="I43" s="32"/>
      <c r="J43" s="32">
        <f t="shared" si="1"/>
        <v>37.799999999999997</v>
      </c>
      <c r="K43" s="32"/>
      <c r="L43" s="32">
        <v>20.43</v>
      </c>
      <c r="M43" s="32"/>
      <c r="N43" s="32">
        <v>-0.185</v>
      </c>
      <c r="O43" s="32">
        <v>-0.877</v>
      </c>
      <c r="P43" s="32"/>
      <c r="R43" s="13"/>
      <c r="S43" s="13" t="s">
        <v>71</v>
      </c>
      <c r="T43" s="13"/>
      <c r="U43" s="13"/>
      <c r="V43" s="13"/>
      <c r="W43" s="16" t="s">
        <v>75</v>
      </c>
      <c r="X43" s="13"/>
      <c r="Y43" s="13"/>
      <c r="Z43" s="13"/>
      <c r="AA43" s="13"/>
      <c r="AB43" s="13" t="s">
        <v>84</v>
      </c>
      <c r="AC43" s="13"/>
      <c r="AD43" s="13"/>
      <c r="AE43" s="13"/>
      <c r="AF43" s="13"/>
      <c r="AG43" s="13"/>
      <c r="AH43" s="13"/>
    </row>
    <row r="44" spans="1:34" x14ac:dyDescent="0.25">
      <c r="A44" s="32"/>
      <c r="B44" s="33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R44" s="13"/>
      <c r="S44" s="13"/>
      <c r="T44" s="13"/>
      <c r="U44" s="13"/>
      <c r="V44" s="13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x14ac:dyDescent="0.25">
      <c r="A45" s="32"/>
      <c r="B45" s="3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R45" s="13"/>
      <c r="S45" s="13" t="s">
        <v>72</v>
      </c>
      <c r="T45" s="13"/>
      <c r="U45" s="13"/>
      <c r="V45" s="13"/>
      <c r="W45" s="16"/>
      <c r="X45" s="13"/>
      <c r="Y45" s="13"/>
      <c r="Z45" s="13"/>
      <c r="AA45" s="13"/>
      <c r="AB45" s="13" t="s">
        <v>86</v>
      </c>
      <c r="AC45" s="13"/>
      <c r="AD45" s="13"/>
      <c r="AE45" s="13"/>
      <c r="AF45" s="16" t="s">
        <v>88</v>
      </c>
      <c r="AG45" s="13"/>
      <c r="AH45" s="13"/>
    </row>
    <row r="46" spans="1:34" x14ac:dyDescent="0.25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R46" s="13"/>
      <c r="S46" s="13"/>
      <c r="T46" s="13"/>
      <c r="U46" s="13"/>
      <c r="V46" s="13"/>
      <c r="W46" s="16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x14ac:dyDescent="0.25">
      <c r="R47" s="13"/>
      <c r="S47" s="13" t="s">
        <v>78</v>
      </c>
      <c r="T47" s="13"/>
      <c r="U47" s="13"/>
      <c r="V47" s="13"/>
      <c r="W47" s="16" t="s">
        <v>76</v>
      </c>
      <c r="X47" s="13"/>
      <c r="Y47" s="13"/>
      <c r="Z47" s="13"/>
      <c r="AA47" s="13"/>
      <c r="AB47" s="13" t="s">
        <v>87</v>
      </c>
      <c r="AC47" s="13"/>
      <c r="AD47" s="13"/>
      <c r="AE47" s="13"/>
      <c r="AF47" s="13"/>
      <c r="AG47" s="13"/>
      <c r="AH47" s="13"/>
    </row>
    <row r="48" spans="1:34" x14ac:dyDescent="0.25">
      <c r="I48" s="1" t="s">
        <v>28</v>
      </c>
      <c r="K48" s="1" t="s">
        <v>23</v>
      </c>
      <c r="R48" s="13"/>
      <c r="S48" s="13"/>
      <c r="T48" s="13"/>
      <c r="U48" s="13"/>
      <c r="V48" s="13"/>
      <c r="W48" s="16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2:34" x14ac:dyDescent="0.25">
      <c r="C49" s="1" t="s">
        <v>101</v>
      </c>
      <c r="E49" s="1" t="s">
        <v>107</v>
      </c>
      <c r="G49" s="18" t="s">
        <v>110</v>
      </c>
      <c r="H49" s="11" t="s">
        <v>6</v>
      </c>
      <c r="I49" s="23">
        <f>E50*H36</f>
        <v>7.2940000000000003E-5</v>
      </c>
      <c r="J49" s="10"/>
      <c r="K49" s="23">
        <f>E54/J36</f>
        <v>3169780.6882653064</v>
      </c>
      <c r="R49" s="13"/>
      <c r="S49" s="14" t="s">
        <v>79</v>
      </c>
      <c r="T49" s="13">
        <f>N38+0.498-0.692</f>
        <v>-6.9999999999998952E-3</v>
      </c>
      <c r="U49" s="13"/>
      <c r="V49" s="13"/>
      <c r="W49" s="16" t="s">
        <v>77</v>
      </c>
      <c r="X49" s="13"/>
      <c r="Y49" s="13"/>
      <c r="Z49" s="13"/>
      <c r="AA49" s="13"/>
      <c r="AB49" s="13" t="s">
        <v>89</v>
      </c>
      <c r="AC49" s="13"/>
      <c r="AD49" s="13"/>
      <c r="AE49" s="13"/>
      <c r="AF49" s="13"/>
      <c r="AG49" s="13"/>
      <c r="AH49" s="13"/>
    </row>
    <row r="50" spans="2:34" x14ac:dyDescent="0.25">
      <c r="C50" s="2">
        <v>2.26042E-5</v>
      </c>
      <c r="E50" s="2">
        <v>5.2100000000000001E-6</v>
      </c>
      <c r="G50" s="18" t="s">
        <v>110</v>
      </c>
      <c r="H50" s="11" t="s">
        <v>102</v>
      </c>
      <c r="I50" s="23">
        <f>E50*H40</f>
        <v>7.2940000000000003E-5</v>
      </c>
      <c r="J50" s="10"/>
      <c r="K50" s="23">
        <f>E54/J41</f>
        <v>3169780.6882653064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2:34" x14ac:dyDescent="0.25">
      <c r="G51" s="18" t="s">
        <v>110</v>
      </c>
      <c r="H51" s="11" t="s">
        <v>103</v>
      </c>
      <c r="I51" s="23">
        <f>E50*H40</f>
        <v>7.2940000000000003E-5</v>
      </c>
      <c r="J51" s="10"/>
      <c r="K51" s="23">
        <f>E54/J40</f>
        <v>3169780.6882653064</v>
      </c>
      <c r="R51" s="16" t="s">
        <v>173</v>
      </c>
      <c r="S51" s="16" t="s">
        <v>172</v>
      </c>
      <c r="T51" s="13">
        <f>0.15+0.498-0.692</f>
        <v>-4.3999999999999928E-2</v>
      </c>
      <c r="U51" s="13"/>
      <c r="V51" s="13"/>
      <c r="W51" s="13"/>
      <c r="X51" s="13"/>
      <c r="Y51" s="13"/>
      <c r="Z51" s="13"/>
      <c r="AA51" s="13"/>
      <c r="AB51" s="13" t="s">
        <v>81</v>
      </c>
      <c r="AC51" s="13">
        <f>C25+N37+N40+C10</f>
        <v>2.2370000000000001</v>
      </c>
      <c r="AD51" s="13"/>
      <c r="AE51" s="13"/>
      <c r="AF51" s="13"/>
      <c r="AG51" s="13"/>
      <c r="AH51" s="13"/>
    </row>
    <row r="52" spans="2:34" x14ac:dyDescent="0.25">
      <c r="G52" s="19" t="s">
        <v>109</v>
      </c>
      <c r="H52" s="20" t="s">
        <v>7</v>
      </c>
      <c r="I52" s="21">
        <f>C50*H38</f>
        <v>1.13021E-4</v>
      </c>
      <c r="J52" s="22"/>
      <c r="K52" s="21">
        <f>C54/J38</f>
        <v>2765350.0814285716</v>
      </c>
      <c r="R52" s="16" t="s">
        <v>174</v>
      </c>
      <c r="S52" s="16" t="s">
        <v>172</v>
      </c>
      <c r="T52" s="13">
        <f>C25-0.15-0.15+C10</f>
        <v>2.3079999999999998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2:34" x14ac:dyDescent="0.25">
      <c r="C53" s="1" t="s">
        <v>106</v>
      </c>
      <c r="E53" s="1" t="s">
        <v>108</v>
      </c>
      <c r="G53" s="19" t="s">
        <v>109</v>
      </c>
      <c r="H53" s="20" t="s">
        <v>8</v>
      </c>
      <c r="I53" s="21">
        <f>C50*H39</f>
        <v>1.13021E-4</v>
      </c>
      <c r="J53" s="22"/>
      <c r="K53" s="21">
        <f>C54/J39</f>
        <v>2765350.0814285716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2:34" x14ac:dyDescent="0.25">
      <c r="C54">
        <v>19357450.57</v>
      </c>
      <c r="E54">
        <v>62127701.490000002</v>
      </c>
      <c r="G54" s="18" t="s">
        <v>110</v>
      </c>
      <c r="H54" s="11" t="s">
        <v>11</v>
      </c>
      <c r="I54" s="23">
        <f>E50*H37</f>
        <v>1.4066999999999999E-4</v>
      </c>
      <c r="J54" s="10"/>
      <c r="K54" s="23">
        <f>E54/J37</f>
        <v>1643589.9865079366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2:34" x14ac:dyDescent="0.25">
      <c r="C55" s="2"/>
      <c r="G55" s="19" t="s">
        <v>109</v>
      </c>
      <c r="H55" s="20" t="s">
        <v>9</v>
      </c>
      <c r="I55" s="21">
        <f>C50*H42</f>
        <v>2.26042E-4</v>
      </c>
      <c r="J55" s="22"/>
      <c r="K55" s="21">
        <f>C54/J42</f>
        <v>1382675.0407142858</v>
      </c>
    </row>
    <row r="56" spans="2:34" x14ac:dyDescent="0.25">
      <c r="C56" s="2"/>
      <c r="G56" s="18" t="s">
        <v>110</v>
      </c>
      <c r="H56" s="11" t="s">
        <v>10</v>
      </c>
      <c r="I56" s="23">
        <f>E50*H43</f>
        <v>1.4066999999999999E-4</v>
      </c>
      <c r="J56" s="10"/>
      <c r="K56" s="23">
        <f>E54/J43</f>
        <v>1643589.9865079366</v>
      </c>
    </row>
    <row r="57" spans="2:34" x14ac:dyDescent="0.25">
      <c r="B57" s="4"/>
      <c r="C57" s="2"/>
      <c r="E57" s="2"/>
    </row>
    <row r="58" spans="2:34" x14ac:dyDescent="0.25">
      <c r="B58" s="4"/>
      <c r="C58" s="2"/>
      <c r="E58" s="2"/>
    </row>
    <row r="59" spans="2:34" x14ac:dyDescent="0.25">
      <c r="B59" s="29"/>
      <c r="C59" s="30"/>
      <c r="D59" s="13"/>
      <c r="E59" s="30"/>
      <c r="F59" s="13"/>
      <c r="G59" s="14" t="s">
        <v>116</v>
      </c>
      <c r="H59" s="13"/>
      <c r="I59" s="13"/>
      <c r="J59" s="13"/>
      <c r="K59" s="13"/>
      <c r="L59" s="13"/>
      <c r="M59" s="13"/>
      <c r="N59" s="13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2:34" x14ac:dyDescent="0.25">
      <c r="B60" s="29"/>
      <c r="C60" s="30"/>
      <c r="D60" s="13"/>
      <c r="E60" s="30"/>
      <c r="F60" s="13"/>
      <c r="G60" s="13"/>
      <c r="H60" s="13"/>
      <c r="I60" s="13"/>
      <c r="J60" s="13"/>
      <c r="K60" s="14" t="s">
        <v>119</v>
      </c>
      <c r="L60" s="30">
        <f>(K55*K56/(K55+K56))</f>
        <v>750942.44260503666</v>
      </c>
      <c r="M60" s="13"/>
      <c r="N60" s="13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2:34" x14ac:dyDescent="0.25">
      <c r="B61" s="29"/>
      <c r="C61" s="30"/>
      <c r="D61" s="13"/>
      <c r="E61" s="30"/>
      <c r="F61" s="13"/>
      <c r="G61" s="13"/>
      <c r="H61" s="13"/>
      <c r="I61" s="13"/>
      <c r="J61" s="13"/>
      <c r="K61" s="14" t="s">
        <v>118</v>
      </c>
      <c r="L61" s="30">
        <f>(K51*K53/(K51+K53))</f>
        <v>1476893.033118003</v>
      </c>
      <c r="M61" s="13"/>
      <c r="N61" s="13"/>
      <c r="P61" s="25" t="s">
        <v>138</v>
      </c>
      <c r="Q61" s="24"/>
      <c r="R61" s="24"/>
      <c r="S61" s="24"/>
      <c r="T61" s="24"/>
      <c r="U61" s="24"/>
      <c r="V61" s="24"/>
      <c r="W61" s="24"/>
      <c r="X61" s="24"/>
      <c r="Y61" s="25" t="s">
        <v>104</v>
      </c>
      <c r="Z61" s="25"/>
      <c r="AA61" s="24"/>
      <c r="AB61" s="25" t="s">
        <v>105</v>
      </c>
      <c r="AC61" s="24"/>
      <c r="AD61" s="24"/>
      <c r="AE61" s="24"/>
      <c r="AF61" s="24"/>
      <c r="AG61" s="24"/>
      <c r="AH61" s="24"/>
    </row>
    <row r="62" spans="2:34" x14ac:dyDescent="0.25">
      <c r="B62" s="29"/>
      <c r="C62" s="30"/>
      <c r="D62" s="13"/>
      <c r="E62" s="30"/>
      <c r="F62" s="13"/>
      <c r="G62" s="13"/>
      <c r="H62" s="16" t="s">
        <v>136</v>
      </c>
      <c r="I62" s="13"/>
      <c r="J62" s="13"/>
      <c r="K62" s="15" t="s">
        <v>125</v>
      </c>
      <c r="L62" s="30">
        <f>1.5*N62</f>
        <v>6635.9349147503563</v>
      </c>
      <c r="M62" s="15" t="s">
        <v>137</v>
      </c>
      <c r="N62" s="31">
        <f>1/I55</f>
        <v>4423.9566098335708</v>
      </c>
      <c r="P62" s="24"/>
      <c r="Q62" s="24"/>
      <c r="R62" s="24"/>
      <c r="S62" s="24"/>
      <c r="T62" s="24"/>
      <c r="U62" s="24"/>
      <c r="V62" s="24"/>
      <c r="W62" s="24"/>
      <c r="X62" s="24"/>
      <c r="Y62" s="26">
        <v>0</v>
      </c>
      <c r="Z62" s="24"/>
      <c r="AA62" s="24"/>
      <c r="AB62" s="24">
        <f>69.167</f>
        <v>69.167000000000002</v>
      </c>
      <c r="AC62" s="24"/>
      <c r="AD62" s="24"/>
      <c r="AE62" s="24"/>
      <c r="AF62" s="24"/>
      <c r="AG62" s="24"/>
      <c r="AH62" s="24"/>
    </row>
    <row r="63" spans="2:34" x14ac:dyDescent="0.25">
      <c r="B63" s="29"/>
      <c r="C63" s="30"/>
      <c r="D63" s="13"/>
      <c r="E63" s="30"/>
      <c r="F63" s="13"/>
      <c r="G63" s="13"/>
      <c r="H63" s="16" t="s">
        <v>134</v>
      </c>
      <c r="I63" s="13"/>
      <c r="J63" s="13"/>
      <c r="K63" s="15" t="s">
        <v>120</v>
      </c>
      <c r="L63" s="30">
        <f>I50/H73</f>
        <v>9.1019307199121043E-12</v>
      </c>
      <c r="M63" s="13"/>
      <c r="N63" s="13"/>
      <c r="P63" s="24"/>
      <c r="Q63" s="24"/>
      <c r="R63" s="24"/>
      <c r="S63" s="24"/>
      <c r="T63" s="24"/>
      <c r="U63" s="24"/>
      <c r="V63" s="24"/>
      <c r="W63" s="24"/>
      <c r="X63" s="24"/>
      <c r="Y63" s="26">
        <f t="shared" ref="Y63:Y72" si="4">Y62+0.2</f>
        <v>0.2</v>
      </c>
      <c r="Z63" s="24"/>
      <c r="AA63" s="24"/>
      <c r="AB63" s="24">
        <v>88.564999999999998</v>
      </c>
      <c r="AC63" s="24"/>
      <c r="AD63" s="24"/>
      <c r="AE63" s="24">
        <f>20*LOG10(50*1000)</f>
        <v>93.979400086720375</v>
      </c>
      <c r="AF63" s="24"/>
      <c r="AG63" s="24"/>
      <c r="AH63" s="24"/>
    </row>
    <row r="64" spans="2:34" x14ac:dyDescent="0.25">
      <c r="B64" s="29"/>
      <c r="C64" s="30"/>
      <c r="D64" s="13"/>
      <c r="E64" s="13"/>
      <c r="F64" s="13"/>
      <c r="G64" s="13"/>
      <c r="H64" s="13"/>
      <c r="I64" s="13"/>
      <c r="J64" s="13"/>
      <c r="K64" s="15" t="s">
        <v>122</v>
      </c>
      <c r="L64" s="13">
        <f>5*POWER(10,-12)</f>
        <v>4.9999999999999997E-12</v>
      </c>
      <c r="M64" s="13"/>
      <c r="N64" s="13"/>
      <c r="P64" s="24"/>
      <c r="Q64" s="27" t="s">
        <v>92</v>
      </c>
      <c r="R64" s="24"/>
      <c r="S64" s="25" t="s">
        <v>68</v>
      </c>
      <c r="T64" s="24">
        <f>(C23/C34)*(C23/C34)</f>
        <v>40000</v>
      </c>
      <c r="U64" s="24"/>
      <c r="V64" s="24">
        <f>20*LOG10(T64)</f>
        <v>92.04119982655925</v>
      </c>
      <c r="W64" s="25" t="s">
        <v>97</v>
      </c>
      <c r="X64" s="24"/>
      <c r="Y64" s="26">
        <f t="shared" si="4"/>
        <v>0.4</v>
      </c>
      <c r="Z64" s="24"/>
      <c r="AA64" s="24"/>
      <c r="AB64" s="24">
        <v>91.26</v>
      </c>
      <c r="AC64" s="24"/>
      <c r="AD64" s="24"/>
      <c r="AE64" s="24"/>
      <c r="AF64" s="24"/>
      <c r="AG64" s="24"/>
      <c r="AH64" s="24"/>
    </row>
    <row r="65" spans="2:34" x14ac:dyDescent="0.25">
      <c r="B65" s="29"/>
      <c r="C65" s="30"/>
      <c r="D65" s="13"/>
      <c r="E65" s="13"/>
      <c r="F65" s="13"/>
      <c r="G65" s="13"/>
      <c r="H65" s="30"/>
      <c r="I65" s="13"/>
      <c r="J65" s="13"/>
      <c r="K65" s="13"/>
      <c r="L65" s="13"/>
      <c r="M65" s="13"/>
      <c r="N65" s="13"/>
      <c r="P65" s="24"/>
      <c r="Q65" s="27"/>
      <c r="R65" s="24"/>
      <c r="S65" s="24"/>
      <c r="T65" s="24"/>
      <c r="U65" s="24"/>
      <c r="V65" s="24"/>
      <c r="W65" s="24"/>
      <c r="X65" s="24"/>
      <c r="Y65" s="26">
        <f t="shared" si="4"/>
        <v>0.60000000000000009</v>
      </c>
      <c r="Z65" s="24"/>
      <c r="AA65" s="24"/>
      <c r="AB65" s="24">
        <v>92.697000000000003</v>
      </c>
      <c r="AC65" s="24"/>
      <c r="AD65" s="24"/>
      <c r="AE65" s="24"/>
      <c r="AF65" s="24"/>
      <c r="AG65" s="24"/>
      <c r="AH65" s="24"/>
    </row>
    <row r="66" spans="2:34" x14ac:dyDescent="0.25">
      <c r="B66" s="29"/>
      <c r="C66" s="3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P66" s="24"/>
      <c r="Q66" s="27" t="s">
        <v>93</v>
      </c>
      <c r="R66" s="24"/>
      <c r="S66" s="25" t="s">
        <v>90</v>
      </c>
      <c r="T66" s="24">
        <f>(C23/N40)*(C23/N40)</f>
        <v>26014.568158168571</v>
      </c>
      <c r="U66" s="24"/>
      <c r="V66" s="24">
        <f>20*LOG10(T66)</f>
        <v>88.304332420069841</v>
      </c>
      <c r="W66" s="25" t="s">
        <v>97</v>
      </c>
      <c r="X66" s="24"/>
      <c r="Y66" s="26">
        <f t="shared" si="4"/>
        <v>0.8</v>
      </c>
      <c r="Z66" s="24"/>
      <c r="AA66" s="24"/>
      <c r="AB66" s="24">
        <v>93.762</v>
      </c>
      <c r="AC66" s="24"/>
      <c r="AD66" s="24"/>
      <c r="AE66" s="24"/>
      <c r="AF66" s="24"/>
      <c r="AG66" s="24"/>
      <c r="AH66" s="24"/>
    </row>
    <row r="67" spans="2:34" x14ac:dyDescent="0.25">
      <c r="B67" s="29"/>
      <c r="C67" s="30"/>
      <c r="D67" s="13"/>
      <c r="E67" s="13"/>
      <c r="F67" s="13"/>
      <c r="G67" s="14" t="s">
        <v>117</v>
      </c>
      <c r="H67" s="30">
        <f>1/(L61*I55*L60*L63)</f>
        <v>438.24971310490042</v>
      </c>
      <c r="I67" s="13"/>
      <c r="J67" s="14" t="s">
        <v>127</v>
      </c>
      <c r="K67" s="30">
        <f>H67/(2*PI())</f>
        <v>69.74960814924988</v>
      </c>
      <c r="L67" s="13"/>
      <c r="M67" s="14" t="s">
        <v>175</v>
      </c>
      <c r="N67" s="13">
        <f>69.5</f>
        <v>69.5</v>
      </c>
      <c r="P67" s="24"/>
      <c r="Q67" s="24"/>
      <c r="R67" s="24"/>
      <c r="S67" s="24"/>
      <c r="T67" s="24"/>
      <c r="U67" s="24"/>
      <c r="V67" s="24"/>
      <c r="W67" s="24"/>
      <c r="X67" s="24"/>
      <c r="Y67" s="26">
        <f t="shared" si="4"/>
        <v>1</v>
      </c>
      <c r="Z67" s="24"/>
      <c r="AA67" s="24"/>
      <c r="AB67" s="24">
        <v>94.614000000000004</v>
      </c>
      <c r="AC67" s="24"/>
      <c r="AD67" s="24"/>
      <c r="AE67" s="24"/>
      <c r="AF67" s="24"/>
      <c r="AG67" s="24"/>
      <c r="AH67" s="24"/>
    </row>
    <row r="68" spans="2:34" x14ac:dyDescent="0.25">
      <c r="B68" s="29"/>
      <c r="C68" s="30"/>
      <c r="D68" s="13"/>
      <c r="E68" s="13"/>
      <c r="F68" s="13"/>
      <c r="G68" s="14"/>
      <c r="H68" s="13"/>
      <c r="I68" s="13"/>
      <c r="J68" s="14"/>
      <c r="K68" s="30"/>
      <c r="L68" s="13"/>
      <c r="M68" s="13"/>
      <c r="N68" s="13"/>
      <c r="P68" s="27" t="s">
        <v>99</v>
      </c>
      <c r="Q68" s="27" t="s">
        <v>96</v>
      </c>
      <c r="R68" s="24"/>
      <c r="S68" s="25" t="s">
        <v>95</v>
      </c>
      <c r="T68" s="24">
        <f>(30000)/1</f>
        <v>30000</v>
      </c>
      <c r="U68" s="24"/>
      <c r="V68" s="24">
        <f>20*LOG10(T68)</f>
        <v>89.542425094393252</v>
      </c>
      <c r="W68" s="25" t="s">
        <v>97</v>
      </c>
      <c r="X68" s="24"/>
      <c r="Y68" s="26">
        <f t="shared" si="4"/>
        <v>1.2</v>
      </c>
      <c r="Z68" s="24"/>
      <c r="AA68" s="24"/>
      <c r="AB68" s="24">
        <v>95.248000000000005</v>
      </c>
      <c r="AC68" s="24"/>
      <c r="AD68" s="24"/>
      <c r="AE68" s="24"/>
      <c r="AF68" s="24"/>
      <c r="AG68" s="24"/>
      <c r="AH68" s="24"/>
    </row>
    <row r="69" spans="2:34" x14ac:dyDescent="0.25">
      <c r="B69" s="13"/>
      <c r="C69" s="30"/>
      <c r="D69" s="13"/>
      <c r="E69" s="13"/>
      <c r="F69" s="13"/>
      <c r="G69" s="14" t="s">
        <v>121</v>
      </c>
      <c r="H69" s="30">
        <f>I55/L64</f>
        <v>45208400</v>
      </c>
      <c r="I69" s="13"/>
      <c r="J69" s="14" t="s">
        <v>128</v>
      </c>
      <c r="K69" s="30">
        <f t="shared" ref="K69" si="5">H69/(2*PI())</f>
        <v>7195140.3292756416</v>
      </c>
      <c r="L69" s="13"/>
      <c r="M69" s="13"/>
      <c r="N69" s="13"/>
      <c r="P69" s="24"/>
      <c r="Q69" s="24"/>
      <c r="R69" s="24"/>
      <c r="S69" s="24"/>
      <c r="T69" s="24"/>
      <c r="U69" s="24"/>
      <c r="V69" s="24"/>
      <c r="W69" s="24"/>
      <c r="X69" s="24"/>
      <c r="Y69" s="26">
        <f t="shared" si="4"/>
        <v>1.4</v>
      </c>
      <c r="Z69" s="24"/>
      <c r="AA69" s="24"/>
      <c r="AB69" s="24">
        <v>95.694999999999993</v>
      </c>
      <c r="AC69" s="24"/>
      <c r="AD69" s="24"/>
      <c r="AE69" s="24"/>
      <c r="AF69" s="24"/>
      <c r="AG69" s="24"/>
      <c r="AH69" s="24"/>
    </row>
    <row r="70" spans="2:34" x14ac:dyDescent="0.25">
      <c r="B70" s="13"/>
      <c r="C70" s="30"/>
      <c r="D70" s="13"/>
      <c r="E70" s="13"/>
      <c r="F70" s="13"/>
      <c r="G70" s="14"/>
      <c r="H70" s="13"/>
      <c r="I70" s="13"/>
      <c r="J70" s="14"/>
      <c r="K70" s="30"/>
      <c r="L70" s="13"/>
      <c r="M70" s="13"/>
      <c r="N70" s="13"/>
      <c r="P70" s="27" t="s">
        <v>100</v>
      </c>
      <c r="Q70" s="27" t="s">
        <v>96</v>
      </c>
      <c r="R70" s="24"/>
      <c r="S70" s="25" t="s">
        <v>95</v>
      </c>
      <c r="T70" s="24">
        <f>(120000)/1</f>
        <v>120000</v>
      </c>
      <c r="U70" s="24"/>
      <c r="V70" s="24">
        <f>20*LOG10(T70)</f>
        <v>101.5836249209525</v>
      </c>
      <c r="W70" s="25" t="s">
        <v>97</v>
      </c>
      <c r="X70" s="24"/>
      <c r="Y70" s="26">
        <f t="shared" si="4"/>
        <v>1.5999999999999999</v>
      </c>
      <c r="Z70" s="24"/>
      <c r="AA70" s="24"/>
      <c r="AB70" s="24">
        <v>95.960999999999999</v>
      </c>
      <c r="AC70" s="24"/>
      <c r="AD70" s="24"/>
      <c r="AE70" s="24"/>
      <c r="AF70" s="24"/>
      <c r="AG70" s="24"/>
      <c r="AH70" s="24"/>
    </row>
    <row r="71" spans="2:34" x14ac:dyDescent="0.25">
      <c r="B71" s="13"/>
      <c r="C71" s="30"/>
      <c r="D71" s="13"/>
      <c r="E71" s="13"/>
      <c r="F71" s="13"/>
      <c r="G71" s="14" t="s">
        <v>123</v>
      </c>
      <c r="H71" s="30">
        <f>I55/L63</f>
        <v>24834511.15547305</v>
      </c>
      <c r="I71" s="13"/>
      <c r="J71" s="14" t="s">
        <v>129</v>
      </c>
      <c r="K71" s="30">
        <f>H71/(2*PI())</f>
        <v>3952535.2096643532</v>
      </c>
      <c r="L71" s="13"/>
      <c r="M71" s="13"/>
      <c r="N71" s="13"/>
      <c r="P71" s="24"/>
      <c r="Q71" s="24"/>
      <c r="R71" s="24"/>
      <c r="S71" s="24"/>
      <c r="T71" s="24"/>
      <c r="U71" s="24"/>
      <c r="V71" s="24"/>
      <c r="W71" s="24"/>
      <c r="X71" s="24"/>
      <c r="Y71" s="26">
        <f t="shared" si="4"/>
        <v>1.7999999999999998</v>
      </c>
      <c r="Z71" s="24"/>
      <c r="AA71" s="24"/>
      <c r="AB71" s="24">
        <v>96.034000000000006</v>
      </c>
      <c r="AC71" s="24"/>
      <c r="AD71" s="24"/>
      <c r="AE71" s="24"/>
      <c r="AF71" s="24"/>
      <c r="AG71" s="24"/>
      <c r="AH71" s="24"/>
    </row>
    <row r="72" spans="2:34" x14ac:dyDescent="0.25">
      <c r="B72" s="13"/>
      <c r="C72" s="30"/>
      <c r="D72" s="13"/>
      <c r="E72" s="13"/>
      <c r="F72" s="13"/>
      <c r="G72" s="14"/>
      <c r="H72" s="13"/>
      <c r="I72" s="13"/>
      <c r="J72" s="14"/>
      <c r="K72" s="30"/>
      <c r="L72" s="13"/>
      <c r="M72" s="13"/>
      <c r="N72" s="13"/>
      <c r="P72" s="24"/>
      <c r="Q72" s="24"/>
      <c r="R72" s="24"/>
      <c r="S72" s="24"/>
      <c r="T72" s="24"/>
      <c r="U72" s="24"/>
      <c r="V72" s="24"/>
      <c r="W72" s="24"/>
      <c r="X72" s="24"/>
      <c r="Y72" s="26">
        <f t="shared" si="4"/>
        <v>1.9999999999999998</v>
      </c>
      <c r="Z72" s="24"/>
      <c r="AA72" s="24"/>
      <c r="AB72" s="24">
        <v>95.875</v>
      </c>
      <c r="AC72" s="24"/>
      <c r="AD72" s="24"/>
      <c r="AE72" s="24"/>
      <c r="AF72" s="24"/>
      <c r="AG72" s="24"/>
      <c r="AH72" s="24"/>
    </row>
    <row r="73" spans="2:34" x14ac:dyDescent="0.25">
      <c r="B73" s="13"/>
      <c r="C73" s="16" t="s">
        <v>126</v>
      </c>
      <c r="D73" s="13"/>
      <c r="E73" s="13"/>
      <c r="F73" s="13"/>
      <c r="G73" s="14" t="s">
        <v>133</v>
      </c>
      <c r="H73" s="30">
        <f>2*PI()*K73</f>
        <v>8013684.3758248659</v>
      </c>
      <c r="I73" s="13"/>
      <c r="J73" s="14" t="s">
        <v>132</v>
      </c>
      <c r="K73" s="30">
        <f>H86</f>
        <v>1275417.4807908174</v>
      </c>
      <c r="L73" s="13"/>
      <c r="M73" s="14" t="s">
        <v>154</v>
      </c>
      <c r="N73" s="13">
        <f>1.82*POWER(10,6)*2*PI()</f>
        <v>11435397.259066846</v>
      </c>
      <c r="P73" s="24"/>
      <c r="Q73" s="24"/>
      <c r="R73" s="24"/>
      <c r="S73" s="24"/>
      <c r="T73" s="27" t="s">
        <v>112</v>
      </c>
      <c r="U73" s="24"/>
      <c r="V73" s="24"/>
      <c r="W73" s="24"/>
      <c r="X73" s="24"/>
      <c r="Y73" s="26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2:34" x14ac:dyDescent="0.25">
      <c r="B74" s="13"/>
      <c r="C74" s="3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P74" s="24"/>
      <c r="Q74" s="24"/>
      <c r="R74" s="24"/>
      <c r="S74" s="25" t="s">
        <v>111</v>
      </c>
      <c r="T74" s="28">
        <f>I55*(K55*K56/(K55+K56))*I50*(K51*K53/(K51+K53))</f>
        <v>18285.658007736543</v>
      </c>
      <c r="U74" s="24"/>
      <c r="V74" s="28">
        <f>20*LOG10(T74)</f>
        <v>85.242211860051981</v>
      </c>
      <c r="W74" s="25" t="s">
        <v>97</v>
      </c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2:34" x14ac:dyDescent="0.25">
      <c r="B75" s="13"/>
      <c r="C75" s="30"/>
      <c r="D75" s="13"/>
      <c r="E75" s="13"/>
      <c r="F75" s="13"/>
      <c r="G75" s="14" t="s">
        <v>135</v>
      </c>
      <c r="H75" s="30">
        <f>1/(L63*(1/I55-L62))</f>
        <v>-49669022.310946092</v>
      </c>
      <c r="I75" s="13"/>
      <c r="J75" s="15" t="s">
        <v>177</v>
      </c>
      <c r="K75" s="30">
        <f>ABS(H75)/(2*PI())</f>
        <v>7905070.4193287054</v>
      </c>
      <c r="L75" s="13"/>
      <c r="M75" s="13"/>
      <c r="N75" s="13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2:34" x14ac:dyDescent="0.25">
      <c r="B76" s="13"/>
      <c r="C76" s="3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 spans="2:34" x14ac:dyDescent="0.25">
      <c r="B77" s="13"/>
      <c r="C77" s="3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P77" s="24"/>
      <c r="Q77" s="24"/>
      <c r="R77" s="24"/>
      <c r="S77" s="24"/>
      <c r="T77" s="24"/>
      <c r="U77" s="24"/>
      <c r="V77" s="24"/>
      <c r="W77" s="27" t="s">
        <v>140</v>
      </c>
      <c r="X77" s="28">
        <f>K54</f>
        <v>1643589.9865079366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2:34" x14ac:dyDescent="0.25">
      <c r="B78" s="13"/>
      <c r="C78" s="3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P78" s="24"/>
      <c r="Q78" s="24"/>
      <c r="R78" s="24"/>
      <c r="S78" s="24"/>
      <c r="T78" s="24" t="s">
        <v>114</v>
      </c>
      <c r="U78" s="24"/>
      <c r="V78" s="24"/>
      <c r="W78" s="24"/>
      <c r="X78" s="24"/>
      <c r="Y78" s="24"/>
      <c r="Z78" s="24"/>
      <c r="AA78" s="24"/>
      <c r="AB78" s="26"/>
      <c r="AC78" s="24"/>
      <c r="AD78" s="24"/>
      <c r="AE78" s="24"/>
      <c r="AF78" s="24"/>
      <c r="AG78" s="24"/>
      <c r="AH78" s="24"/>
    </row>
    <row r="79" spans="2:34" x14ac:dyDescent="0.25">
      <c r="B79" s="13"/>
      <c r="C79" s="30"/>
      <c r="D79" s="13"/>
      <c r="E79" s="13"/>
      <c r="F79" s="13"/>
      <c r="G79" s="14" t="s">
        <v>124</v>
      </c>
      <c r="H79" s="30">
        <f>((PI()/2)-ATAN(H73/H69)-ATAN(H73/H71))*57</f>
        <v>61.743685112404179</v>
      </c>
      <c r="I79" s="13"/>
      <c r="J79" s="13"/>
      <c r="K79" s="13"/>
      <c r="L79" s="13"/>
      <c r="M79" s="13"/>
      <c r="N79" s="13"/>
      <c r="P79" s="24"/>
      <c r="Q79" s="24"/>
      <c r="R79" s="24"/>
      <c r="S79" s="25" t="s">
        <v>113</v>
      </c>
      <c r="T79" s="28">
        <f>1/(2*X77*I52)</f>
        <v>2.6916424693198314E-3</v>
      </c>
      <c r="U79" s="24"/>
      <c r="V79" s="28">
        <f>20*LOG10(T79)</f>
        <v>-51.399652558452615</v>
      </c>
      <c r="W79" s="24" t="s">
        <v>97</v>
      </c>
      <c r="X79" s="24"/>
      <c r="Y79" s="24"/>
      <c r="Z79" s="25" t="s">
        <v>143</v>
      </c>
      <c r="AA79" s="24"/>
      <c r="AB79" s="28">
        <f>V74-V79</f>
        <v>136.64186441850461</v>
      </c>
      <c r="AC79" s="24" t="s">
        <v>97</v>
      </c>
      <c r="AD79" s="24"/>
      <c r="AE79" s="24"/>
      <c r="AF79" s="24"/>
      <c r="AG79" s="24"/>
      <c r="AH79" s="24"/>
    </row>
    <row r="80" spans="2:34" x14ac:dyDescent="0.25">
      <c r="B80" s="13"/>
      <c r="C80" s="3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2:34" x14ac:dyDescent="0.25">
      <c r="B81" s="13"/>
      <c r="C81" s="3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P81" s="24"/>
      <c r="Q81" s="24"/>
      <c r="R81" s="24"/>
      <c r="S81" s="25" t="s">
        <v>115</v>
      </c>
      <c r="T81" s="24"/>
      <c r="U81" s="24"/>
      <c r="V81" s="24">
        <v>-9.4849999999999994</v>
      </c>
      <c r="W81" s="24" t="s">
        <v>97</v>
      </c>
      <c r="X81" s="24"/>
      <c r="Y81" s="24"/>
      <c r="Z81" s="25" t="s">
        <v>141</v>
      </c>
      <c r="AA81" s="24"/>
      <c r="AB81" s="26">
        <f>AB63-V81</f>
        <v>98.05</v>
      </c>
      <c r="AC81" s="24" t="s">
        <v>97</v>
      </c>
      <c r="AD81" s="27" t="s">
        <v>142</v>
      </c>
      <c r="AE81" s="24"/>
      <c r="AF81" s="24"/>
      <c r="AG81" s="24"/>
      <c r="AH81" s="24"/>
    </row>
    <row r="82" spans="2:34" x14ac:dyDescent="0.25">
      <c r="B82" s="13"/>
      <c r="C82" s="3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2:34" x14ac:dyDescent="0.25">
      <c r="B83" s="13"/>
      <c r="C83" s="3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2:34" x14ac:dyDescent="0.25">
      <c r="B84" s="13"/>
      <c r="C84" s="30"/>
      <c r="D84" s="13"/>
      <c r="E84" s="13"/>
      <c r="F84" s="13"/>
      <c r="G84" s="16" t="s">
        <v>130</v>
      </c>
      <c r="H84" s="13"/>
      <c r="I84" s="13"/>
      <c r="J84" s="13"/>
      <c r="K84" s="54">
        <v>80</v>
      </c>
      <c r="L84" s="53" t="s">
        <v>176</v>
      </c>
      <c r="M84" s="29">
        <f>180-93.35</f>
        <v>86.65</v>
      </c>
      <c r="N84" s="13"/>
    </row>
    <row r="85" spans="2:34" x14ac:dyDescent="0.25">
      <c r="B85" s="13"/>
      <c r="C85" s="3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2:34" x14ac:dyDescent="0.25">
      <c r="B86" s="13"/>
      <c r="C86" s="30"/>
      <c r="D86" s="13"/>
      <c r="E86" s="13"/>
      <c r="F86" s="13"/>
      <c r="G86" s="13" t="s">
        <v>131</v>
      </c>
      <c r="H86" s="30">
        <f>K69*TAN((90-K84)/57)</f>
        <v>1275417.4807908174</v>
      </c>
      <c r="I86" s="13"/>
      <c r="J86" s="13"/>
      <c r="K86" s="13"/>
      <c r="L86" s="13"/>
      <c r="M86" s="13"/>
      <c r="N86" s="13"/>
    </row>
    <row r="87" spans="2:34" x14ac:dyDescent="0.25">
      <c r="B87" s="13"/>
      <c r="C87" s="3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W87">
        <v>-11.43</v>
      </c>
    </row>
    <row r="88" spans="2:34" x14ac:dyDescent="0.25">
      <c r="B88" s="13"/>
      <c r="C88" s="3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2:34" x14ac:dyDescent="0.25">
      <c r="C89" s="2"/>
    </row>
    <row r="90" spans="2:34" x14ac:dyDescent="0.25">
      <c r="C90" s="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2:34" x14ac:dyDescent="0.25">
      <c r="C91" s="2"/>
      <c r="P91" s="42"/>
      <c r="Q91" s="43" t="s">
        <v>155</v>
      </c>
      <c r="R91" s="42"/>
      <c r="S91" s="42"/>
      <c r="T91" s="42"/>
      <c r="U91" s="42"/>
      <c r="V91" s="42"/>
      <c r="W91" s="42"/>
      <c r="X91" s="42"/>
      <c r="Y91" s="42"/>
    </row>
    <row r="92" spans="2:34" x14ac:dyDescent="0.25">
      <c r="B92" s="3"/>
      <c r="C92" s="37"/>
      <c r="D92" s="7"/>
      <c r="E92" s="7"/>
      <c r="F92" s="7"/>
      <c r="G92" s="7"/>
      <c r="H92" s="7"/>
      <c r="I92" s="7"/>
      <c r="J92" s="7"/>
      <c r="K92" s="7"/>
      <c r="L92" s="7"/>
      <c r="P92" s="42"/>
      <c r="Q92" s="42"/>
      <c r="R92" s="42"/>
      <c r="S92" s="42"/>
      <c r="T92" s="42"/>
      <c r="U92" s="42"/>
      <c r="V92" s="46" t="s">
        <v>160</v>
      </c>
      <c r="W92" s="42"/>
      <c r="X92" s="42"/>
      <c r="Y92" s="42">
        <f>L36+L37+L42</f>
        <v>50.78</v>
      </c>
    </row>
    <row r="93" spans="2:34" x14ac:dyDescent="0.25">
      <c r="C93" s="37"/>
      <c r="D93" s="8" t="s">
        <v>144</v>
      </c>
      <c r="E93" s="7"/>
      <c r="F93" s="7"/>
      <c r="G93" s="7"/>
      <c r="H93" s="7"/>
      <c r="I93" s="7"/>
      <c r="J93" s="7"/>
      <c r="K93" s="7"/>
      <c r="L93" s="7"/>
      <c r="P93" s="42"/>
      <c r="Q93" s="42"/>
      <c r="R93" s="42"/>
      <c r="S93" s="42"/>
      <c r="T93" s="42"/>
      <c r="U93" s="42"/>
      <c r="V93" s="46" t="s">
        <v>161</v>
      </c>
      <c r="W93" s="42"/>
      <c r="X93" s="42"/>
      <c r="Y93" s="42">
        <v>50.853999999999999</v>
      </c>
    </row>
    <row r="94" spans="2:34" x14ac:dyDescent="0.25">
      <c r="B94" s="3"/>
      <c r="C94" s="37"/>
      <c r="D94" s="7"/>
      <c r="E94" s="7"/>
      <c r="F94" s="7"/>
      <c r="G94" s="7"/>
      <c r="H94" s="7"/>
      <c r="I94" s="7"/>
      <c r="J94" s="7"/>
      <c r="K94" s="7"/>
      <c r="L94" s="7"/>
      <c r="P94" s="42"/>
      <c r="Q94" s="46" t="s">
        <v>156</v>
      </c>
      <c r="R94" s="42"/>
      <c r="S94" s="42"/>
      <c r="T94" s="42"/>
      <c r="U94" s="42"/>
      <c r="V94" s="47"/>
      <c r="W94" s="42"/>
      <c r="X94" s="42"/>
      <c r="Y94" s="42"/>
    </row>
    <row r="95" spans="2:34" x14ac:dyDescent="0.25">
      <c r="C95" s="7"/>
      <c r="D95" s="40" t="s">
        <v>149</v>
      </c>
      <c r="E95" s="40"/>
      <c r="F95" s="40"/>
      <c r="G95" s="40" t="s">
        <v>150</v>
      </c>
      <c r="H95" s="7"/>
      <c r="I95" s="38"/>
      <c r="J95" s="40" t="s">
        <v>151</v>
      </c>
      <c r="K95" s="7"/>
      <c r="L95" s="7"/>
      <c r="P95" s="42"/>
      <c r="Q95" s="43" t="s">
        <v>110</v>
      </c>
      <c r="R95" s="42">
        <f>C4*(C26+C27+C28)</f>
        <v>165</v>
      </c>
      <c r="S95" s="43" t="s">
        <v>159</v>
      </c>
      <c r="T95" s="42"/>
      <c r="U95" s="42"/>
      <c r="V95" s="46" t="s">
        <v>162</v>
      </c>
      <c r="W95" s="42"/>
      <c r="X95" s="42">
        <v>3.3</v>
      </c>
      <c r="Y95" s="43" t="s">
        <v>163</v>
      </c>
    </row>
    <row r="96" spans="2:34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P96" s="42"/>
      <c r="Q96" s="44"/>
      <c r="R96" s="44"/>
      <c r="S96" s="42"/>
      <c r="T96" s="42"/>
      <c r="U96" s="42"/>
      <c r="V96" s="42"/>
      <c r="W96" s="42"/>
      <c r="X96" s="42"/>
      <c r="Y96" s="42"/>
    </row>
    <row r="97" spans="2:25" x14ac:dyDescent="0.25">
      <c r="C97" s="38" t="s">
        <v>152</v>
      </c>
      <c r="D97" s="8" t="s">
        <v>145</v>
      </c>
      <c r="E97" s="37">
        <f>C37*POWER(10,-6)/L63</f>
        <v>2197335.9955648109</v>
      </c>
      <c r="F97" s="40" t="s">
        <v>147</v>
      </c>
      <c r="G97" s="8" t="s">
        <v>145</v>
      </c>
      <c r="H97" s="37">
        <f>L37*POWER(10,-6)/L63</f>
        <v>2235789.3754871953</v>
      </c>
      <c r="I97" s="40" t="s">
        <v>147</v>
      </c>
      <c r="J97" s="7"/>
      <c r="K97" s="7"/>
      <c r="L97" s="7"/>
      <c r="P97" s="42"/>
      <c r="Q97" s="43" t="s">
        <v>158</v>
      </c>
      <c r="R97" s="42">
        <f>Y92*X95</f>
        <v>167.57399999999998</v>
      </c>
      <c r="S97" s="43" t="s">
        <v>159</v>
      </c>
      <c r="T97" s="42"/>
      <c r="U97" s="42"/>
      <c r="V97" s="42"/>
      <c r="W97" s="42"/>
      <c r="X97" s="42"/>
      <c r="Y97" s="42"/>
    </row>
    <row r="98" spans="2:25" x14ac:dyDescent="0.25">
      <c r="B98" s="3"/>
      <c r="C98" s="7"/>
      <c r="D98" s="7"/>
      <c r="E98" s="7"/>
      <c r="F98" s="7"/>
      <c r="G98" s="7"/>
      <c r="H98" s="7"/>
      <c r="I98" s="7"/>
      <c r="J98" s="8" t="s">
        <v>146</v>
      </c>
      <c r="K98" s="7">
        <f>(3.04)/(1.39*POWER(10,-6))</f>
        <v>2187050.3597122305</v>
      </c>
      <c r="L98" s="40" t="s">
        <v>147</v>
      </c>
      <c r="P98" s="42"/>
      <c r="Q98" s="43" t="s">
        <v>164</v>
      </c>
      <c r="R98" s="42">
        <f>Y93*X95</f>
        <v>167.81819999999999</v>
      </c>
      <c r="S98" s="43" t="s">
        <v>159</v>
      </c>
      <c r="T98" s="42"/>
      <c r="U98" s="42"/>
      <c r="V98" s="42"/>
      <c r="W98" s="42"/>
      <c r="X98" s="42"/>
      <c r="Y98" s="42"/>
    </row>
    <row r="99" spans="2:25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2:25" x14ac:dyDescent="0.25">
      <c r="B100" s="3"/>
      <c r="C100" s="38" t="s">
        <v>148</v>
      </c>
      <c r="D100" s="39" t="s">
        <v>153</v>
      </c>
      <c r="E100" s="37">
        <f>H73*C34</f>
        <v>1202052.6563737299</v>
      </c>
      <c r="F100" s="40" t="s">
        <v>147</v>
      </c>
      <c r="G100" s="39" t="s">
        <v>153</v>
      </c>
      <c r="H100" s="37">
        <f>N73*C34</f>
        <v>1715309.5888600268</v>
      </c>
      <c r="I100" s="40" t="s">
        <v>147</v>
      </c>
      <c r="J100" s="7"/>
      <c r="K100" s="7"/>
      <c r="L100" s="40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2:25" x14ac:dyDescent="0.25">
      <c r="C101" s="37"/>
      <c r="D101" s="7"/>
      <c r="E101" s="7"/>
      <c r="F101" s="7"/>
      <c r="G101" s="7"/>
      <c r="H101" s="7"/>
      <c r="I101" s="7"/>
      <c r="J101" s="7"/>
      <c r="K101" s="7"/>
      <c r="L101" s="7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2:25" x14ac:dyDescent="0.25">
      <c r="B102" s="4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25" x14ac:dyDescent="0.25"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25" x14ac:dyDescent="0.25">
      <c r="B104" s="4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25" x14ac:dyDescent="0.25">
      <c r="C105" s="2"/>
    </row>
    <row r="106" spans="2:25" x14ac:dyDescent="0.25">
      <c r="B106" s="3"/>
      <c r="C106" s="2"/>
    </row>
    <row r="107" spans="2:25" x14ac:dyDescent="0.25">
      <c r="C107" s="2"/>
    </row>
    <row r="108" spans="2:25" x14ac:dyDescent="0.25">
      <c r="B108" s="3"/>
      <c r="C108" s="2"/>
    </row>
    <row r="109" spans="2:25" x14ac:dyDescent="0.25">
      <c r="C109" s="2"/>
    </row>
    <row r="110" spans="2:25" x14ac:dyDescent="0.25">
      <c r="B110" s="3"/>
      <c r="C110" s="2"/>
    </row>
    <row r="111" spans="2:25" x14ac:dyDescent="0.25">
      <c r="C111" s="2"/>
    </row>
    <row r="112" spans="2:25" x14ac:dyDescent="0.25">
      <c r="B112" s="3"/>
      <c r="C112" s="2"/>
    </row>
    <row r="113" spans="2:3" x14ac:dyDescent="0.25">
      <c r="C113" s="2"/>
    </row>
    <row r="114" spans="2:3" x14ac:dyDescent="0.25">
      <c r="B114" s="3"/>
      <c r="C114" s="2"/>
    </row>
    <row r="115" spans="2:3" x14ac:dyDescent="0.25">
      <c r="C115" s="2"/>
    </row>
    <row r="116" spans="2:3" x14ac:dyDescent="0.25">
      <c r="B116" s="3"/>
    </row>
    <row r="118" spans="2:3" x14ac:dyDescent="0.25">
      <c r="B118" s="3"/>
    </row>
    <row r="120" spans="2:3" x14ac:dyDescent="0.25">
      <c r="B120" s="3"/>
    </row>
    <row r="122" spans="2:3" x14ac:dyDescent="0.25">
      <c r="B122" s="3"/>
    </row>
    <row r="124" spans="2:3" x14ac:dyDescent="0.25">
      <c r="B124" s="3"/>
    </row>
    <row r="126" spans="2:3" x14ac:dyDescent="0.25">
      <c r="B126" s="3"/>
    </row>
    <row r="128" spans="2:3" x14ac:dyDescent="0.25">
      <c r="B128" s="3"/>
    </row>
    <row r="130" spans="2:2" x14ac:dyDescent="0.25">
      <c r="B130" s="3"/>
    </row>
    <row r="132" spans="2:2" x14ac:dyDescent="0.25">
      <c r="B132" s="3"/>
    </row>
    <row r="134" spans="2:2" x14ac:dyDescent="0.25">
      <c r="B134" s="3"/>
    </row>
    <row r="136" spans="2:2" x14ac:dyDescent="0.25">
      <c r="B136" s="3"/>
    </row>
    <row r="138" spans="2:2" x14ac:dyDescent="0.25">
      <c r="B138" s="3"/>
    </row>
    <row r="140" spans="2:2" x14ac:dyDescent="0.25">
      <c r="B140" s="3"/>
    </row>
    <row r="142" spans="2:2" x14ac:dyDescent="0.25">
      <c r="B142" s="3"/>
    </row>
    <row r="144" spans="2:2" x14ac:dyDescent="0.25">
      <c r="B144" s="3"/>
    </row>
    <row r="146" spans="2:2" x14ac:dyDescent="0.25">
      <c r="B146" s="3"/>
    </row>
    <row r="148" spans="2:2" x14ac:dyDescent="0.25">
      <c r="B148" s="3"/>
    </row>
    <row r="150" spans="2:2" x14ac:dyDescent="0.25">
      <c r="B150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A3:AB104"/>
  <sheetViews>
    <sheetView topLeftCell="A31" workbookViewId="0">
      <selection activeCell="A45" sqref="A45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  <col min="27" max="27" width="12" bestFit="1" customWidth="1"/>
  </cols>
  <sheetData>
    <row r="3" spans="3:28" x14ac:dyDescent="0.25">
      <c r="C3" s="7"/>
      <c r="G3" s="5" t="s">
        <v>25</v>
      </c>
      <c r="I3" s="7"/>
      <c r="J3" s="5" t="s">
        <v>20</v>
      </c>
      <c r="K3" s="7"/>
      <c r="L3" s="5" t="s">
        <v>19</v>
      </c>
      <c r="M3" s="7"/>
      <c r="N3" s="6" t="s">
        <v>22</v>
      </c>
      <c r="O3" s="7"/>
      <c r="Q3" s="7"/>
      <c r="S3" s="7"/>
      <c r="U3" s="9"/>
      <c r="V3" s="7"/>
      <c r="X3" s="7"/>
      <c r="Z3" s="7"/>
      <c r="AB3" s="7"/>
    </row>
    <row r="4" spans="3:28" x14ac:dyDescent="0.25">
      <c r="C4" s="7"/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7"/>
      <c r="J4" s="1" t="s">
        <v>17</v>
      </c>
      <c r="K4" s="7"/>
      <c r="L4" s="1" t="s">
        <v>18</v>
      </c>
      <c r="M4" s="7"/>
      <c r="N4" s="1" t="s">
        <v>21</v>
      </c>
      <c r="O4" s="8"/>
      <c r="P4" s="1" t="s">
        <v>23</v>
      </c>
      <c r="Q4" s="7"/>
      <c r="R4" s="1" t="s">
        <v>26</v>
      </c>
      <c r="S4" s="7"/>
      <c r="T4" s="1" t="s">
        <v>27</v>
      </c>
      <c r="U4" s="9"/>
      <c r="V4" s="7"/>
      <c r="W4" s="1" t="s">
        <v>12</v>
      </c>
      <c r="X4" s="8"/>
      <c r="Y4" s="1" t="s">
        <v>28</v>
      </c>
      <c r="Z4" s="7"/>
      <c r="AA4" s="1" t="s">
        <v>94</v>
      </c>
      <c r="AB4" s="7"/>
    </row>
    <row r="5" spans="3:28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3:28" x14ac:dyDescent="0.25">
      <c r="C6" s="8" t="s">
        <v>24</v>
      </c>
      <c r="D6" s="9">
        <v>0.5</v>
      </c>
      <c r="E6" s="9">
        <f>D6-0.498</f>
        <v>2.0000000000000018E-3</v>
      </c>
      <c r="F6" s="9">
        <v>3.3</v>
      </c>
      <c r="G6" s="9">
        <v>9.1685244285599765E-8</v>
      </c>
      <c r="H6" s="9">
        <v>1.08744465876498E-7</v>
      </c>
      <c r="I6" s="7"/>
      <c r="J6" s="9">
        <f>((H6-G6)/(F6-E6))/G6</f>
        <v>5.6416886218919306E-2</v>
      </c>
      <c r="K6" s="7"/>
      <c r="L6" s="9">
        <f>1/J6</f>
        <v>17.725189513643375</v>
      </c>
      <c r="M6" s="7"/>
      <c r="N6" s="9">
        <f>((H6-G6)/(F6-E6))</f>
        <v>5.1725959948145037E-9</v>
      </c>
      <c r="O6" s="7"/>
      <c r="P6" s="9">
        <f>1/N6</f>
        <v>193326523.27815548</v>
      </c>
      <c r="Q6" s="7"/>
      <c r="R6" s="9">
        <v>125</v>
      </c>
      <c r="S6" s="7"/>
      <c r="T6" s="9">
        <f>$R$6/G6</f>
        <v>1363360058.3603692</v>
      </c>
      <c r="U6" s="7"/>
      <c r="V6" s="7"/>
      <c r="W6" s="9">
        <v>5.000000074505806E-2</v>
      </c>
      <c r="X6" s="7"/>
      <c r="Y6" s="9">
        <v>8.7849491592351114E-7</v>
      </c>
      <c r="Z6" s="7"/>
      <c r="AA6">
        <f>2*G6/E6</f>
        <v>9.1685244285599684E-5</v>
      </c>
      <c r="AB6" s="7"/>
    </row>
    <row r="7" spans="3:28" x14ac:dyDescent="0.25">
      <c r="C7" s="7"/>
      <c r="D7" s="9">
        <f t="shared" ref="D7:D34" si="0">D6+0.1</f>
        <v>0.6</v>
      </c>
      <c r="E7" s="9">
        <f t="shared" ref="E7:E34" si="1">D7-0.498</f>
        <v>0.10199999999999998</v>
      </c>
      <c r="F7" s="9">
        <v>3.3</v>
      </c>
      <c r="G7" s="9">
        <v>6.6201874915350345E-7</v>
      </c>
      <c r="H7" s="9">
        <v>7.3098397024295991E-7</v>
      </c>
      <c r="I7" s="7"/>
      <c r="J7" s="9">
        <f t="shared" ref="J7:J34" si="2">((H7-G7)/(F7-E7))/G7</f>
        <v>3.2574771955695546E-2</v>
      </c>
      <c r="K7" s="7"/>
      <c r="L7" s="9">
        <f t="shared" ref="L7:L34" si="3">1/J7</f>
        <v>30.698603243027605</v>
      </c>
      <c r="M7" s="7"/>
      <c r="N7" s="9">
        <f t="shared" ref="N7:N34" si="4">((H7-G7)/(F7-E7))</f>
        <v>2.1565109784070189E-8</v>
      </c>
      <c r="O7" s="7"/>
      <c r="P7" s="9">
        <f t="shared" ref="P7:P34" si="5">1/N7</f>
        <v>46371199.127336897</v>
      </c>
      <c r="Q7" s="7"/>
      <c r="R7" s="7"/>
      <c r="S7" s="7"/>
      <c r="T7" s="9">
        <f t="shared" ref="T7:T34" si="6">$R$6/G7</f>
        <v>188816404.61064348</v>
      </c>
      <c r="U7" s="7"/>
      <c r="V7" s="7"/>
      <c r="W7" s="9">
        <v>0.15000000596046448</v>
      </c>
      <c r="X7" s="7"/>
      <c r="Y7" s="9">
        <v>2.5825960392467096E-7</v>
      </c>
      <c r="Z7" s="7"/>
      <c r="AA7">
        <f t="shared" ref="AA7:AA34" si="7">2*G7/E7</f>
        <v>1.29807597873236E-5</v>
      </c>
      <c r="AB7" s="7"/>
    </row>
    <row r="8" spans="3:28" x14ac:dyDescent="0.25">
      <c r="C8" s="7"/>
      <c r="D8" s="9">
        <f t="shared" si="0"/>
        <v>0.7</v>
      </c>
      <c r="E8" s="9">
        <f t="shared" si="1"/>
        <v>0.20199999999999996</v>
      </c>
      <c r="F8" s="9">
        <v>3.3</v>
      </c>
      <c r="G8" s="9">
        <v>2.2830251964478521E-6</v>
      </c>
      <c r="H8" s="9">
        <v>2.4430669327557553E-6</v>
      </c>
      <c r="I8" s="7"/>
      <c r="J8" s="9">
        <f t="shared" si="2"/>
        <v>2.2627737734584322E-2</v>
      </c>
      <c r="K8" s="7"/>
      <c r="L8" s="9">
        <f t="shared" si="3"/>
        <v>44.193547394337884</v>
      </c>
      <c r="M8" s="7"/>
      <c r="N8" s="9">
        <f t="shared" si="4"/>
        <v>5.1659695386669852E-8</v>
      </c>
      <c r="O8" s="7"/>
      <c r="P8" s="9">
        <f t="shared" si="5"/>
        <v>19357450.571766973</v>
      </c>
      <c r="Q8" s="7"/>
      <c r="R8" s="7"/>
      <c r="S8" s="7"/>
      <c r="T8" s="9">
        <f t="shared" si="6"/>
        <v>54751914.343515307</v>
      </c>
      <c r="U8" s="7"/>
      <c r="V8" s="7"/>
      <c r="W8" s="9">
        <v>0.25</v>
      </c>
      <c r="X8" s="7"/>
      <c r="Y8" s="9">
        <v>1.5646232043309283E-7</v>
      </c>
      <c r="Z8" s="7"/>
      <c r="AA8">
        <f t="shared" si="7"/>
        <v>2.2604209865820322E-5</v>
      </c>
      <c r="AB8" s="7"/>
    </row>
    <row r="9" spans="3:28" x14ac:dyDescent="0.25">
      <c r="C9" s="7"/>
      <c r="D9" s="9">
        <f t="shared" si="0"/>
        <v>0.79999999999999993</v>
      </c>
      <c r="E9" s="9">
        <f t="shared" si="1"/>
        <v>0.30199999999999994</v>
      </c>
      <c r="F9" s="9">
        <v>3.3</v>
      </c>
      <c r="G9" s="9">
        <v>5.0172225201094989E-6</v>
      </c>
      <c r="H9" s="9">
        <v>5.2841910473944154E-6</v>
      </c>
      <c r="I9" s="7"/>
      <c r="J9" s="9">
        <f t="shared" si="2"/>
        <v>1.7748639741356965E-2</v>
      </c>
      <c r="K9" s="7"/>
      <c r="L9" s="9">
        <f t="shared" si="3"/>
        <v>56.342345924676785</v>
      </c>
      <c r="M9" s="7"/>
      <c r="N9" s="9">
        <f t="shared" si="4"/>
        <v>8.9048875011646599E-8</v>
      </c>
      <c r="O9" s="7"/>
      <c r="P9" s="9">
        <f t="shared" si="5"/>
        <v>11229788.134540848</v>
      </c>
      <c r="Q9" s="7"/>
      <c r="R9" s="7"/>
      <c r="S9" s="7"/>
      <c r="T9" s="9">
        <f t="shared" si="6"/>
        <v>24914182.996466324</v>
      </c>
      <c r="U9" s="7"/>
      <c r="V9" s="7"/>
      <c r="W9" s="9">
        <v>0.35000002384185791</v>
      </c>
      <c r="X9" s="7"/>
      <c r="Y9" s="9">
        <v>1.5886077164850576E-7</v>
      </c>
      <c r="Z9" s="7"/>
      <c r="AA9">
        <f t="shared" si="7"/>
        <v>3.3226639206023178E-5</v>
      </c>
      <c r="AB9" s="7"/>
    </row>
    <row r="10" spans="3:28" x14ac:dyDescent="0.25">
      <c r="C10" s="7"/>
      <c r="D10" s="9">
        <f t="shared" si="0"/>
        <v>0.89999999999999991</v>
      </c>
      <c r="E10" s="9">
        <f t="shared" si="1"/>
        <v>0.40199999999999991</v>
      </c>
      <c r="F10" s="9">
        <v>3.3</v>
      </c>
      <c r="G10" s="9">
        <v>8.7598918980802409E-6</v>
      </c>
      <c r="H10" s="9">
        <v>9.1380434241727926E-6</v>
      </c>
      <c r="I10" s="7"/>
      <c r="J10" s="9">
        <f t="shared" si="2"/>
        <v>1.4895967959792469E-2</v>
      </c>
      <c r="K10" s="7"/>
      <c r="L10" s="9">
        <f t="shared" si="3"/>
        <v>67.132260400883141</v>
      </c>
      <c r="M10" s="7"/>
      <c r="N10" s="9">
        <f t="shared" si="4"/>
        <v>1.304870690450489E-7</v>
      </c>
      <c r="O10" s="7"/>
      <c r="P10" s="9">
        <f t="shared" si="5"/>
        <v>7663594.617599722</v>
      </c>
      <c r="Q10" s="7"/>
      <c r="R10" s="7"/>
      <c r="S10" s="7"/>
      <c r="T10" s="9">
        <f t="shared" si="6"/>
        <v>14269582.485075433</v>
      </c>
      <c r="U10" s="7"/>
      <c r="V10" s="7"/>
      <c r="W10" s="9">
        <v>0.44999998807907104</v>
      </c>
      <c r="X10" s="7"/>
      <c r="Y10" s="9">
        <v>9.1685251391027123E-7</v>
      </c>
      <c r="Z10" s="7"/>
      <c r="AA10">
        <f t="shared" si="7"/>
        <v>4.3581551731742502E-5</v>
      </c>
      <c r="AB10" s="7"/>
    </row>
    <row r="11" spans="3:28" x14ac:dyDescent="0.25">
      <c r="C11" s="7"/>
      <c r="D11" s="9">
        <f t="shared" si="0"/>
        <v>0.99999999999999989</v>
      </c>
      <c r="E11" s="9">
        <f t="shared" si="1"/>
        <v>0.50199999999999989</v>
      </c>
      <c r="F11" s="9">
        <v>3.3</v>
      </c>
      <c r="G11" s="9">
        <v>1.3451834092848003E-5</v>
      </c>
      <c r="H11" s="9">
        <v>1.394151240674546E-5</v>
      </c>
      <c r="I11" s="7"/>
      <c r="J11" s="9">
        <f t="shared" si="2"/>
        <v>1.3010130672618019E-2</v>
      </c>
      <c r="K11" s="7"/>
      <c r="L11" s="9">
        <f t="shared" si="3"/>
        <v>76.863178792251958</v>
      </c>
      <c r="M11" s="7"/>
      <c r="N11" s="9">
        <f t="shared" si="4"/>
        <v>1.7501011933433059E-7</v>
      </c>
      <c r="O11" s="7"/>
      <c r="P11" s="9">
        <f t="shared" si="5"/>
        <v>5713955.3061480401</v>
      </c>
      <c r="Q11" s="7"/>
      <c r="R11" s="7"/>
      <c r="S11" s="7"/>
      <c r="T11" s="9">
        <f t="shared" si="6"/>
        <v>9292413.1488106381</v>
      </c>
      <c r="U11" s="7"/>
      <c r="V11" s="7"/>
      <c r="W11" s="9">
        <v>0.55000001192092896</v>
      </c>
      <c r="X11" s="7"/>
      <c r="Y11" s="9">
        <v>5.7033334996958729E-6</v>
      </c>
      <c r="Z11" s="7"/>
      <c r="AA11">
        <f t="shared" si="7"/>
        <v>5.3592964513338668E-5</v>
      </c>
      <c r="AB11" s="7"/>
    </row>
    <row r="12" spans="3:28" x14ac:dyDescent="0.25">
      <c r="C12" s="7"/>
      <c r="D12" s="9">
        <f t="shared" si="0"/>
        <v>1.0999999999999999</v>
      </c>
      <c r="E12" s="9">
        <f t="shared" si="1"/>
        <v>0.60199999999999987</v>
      </c>
      <c r="F12" s="9">
        <v>3.3</v>
      </c>
      <c r="G12" s="9">
        <v>1.9052218704018742E-5</v>
      </c>
      <c r="H12" s="9">
        <v>1.9651763068395667E-5</v>
      </c>
      <c r="I12" s="7"/>
      <c r="J12" s="9">
        <f t="shared" si="2"/>
        <v>1.1663632342295999E-2</v>
      </c>
      <c r="K12" s="7"/>
      <c r="L12" s="9">
        <f t="shared" si="3"/>
        <v>85.736584509242931</v>
      </c>
      <c r="M12" s="7"/>
      <c r="N12" s="9">
        <f t="shared" si="4"/>
        <v>2.2221807426868975E-7</v>
      </c>
      <c r="O12" s="7"/>
      <c r="P12" s="9">
        <f t="shared" si="5"/>
        <v>4500083.9976269146</v>
      </c>
      <c r="Q12" s="7"/>
      <c r="R12" s="7"/>
      <c r="S12" s="7"/>
      <c r="T12" s="9">
        <f t="shared" si="6"/>
        <v>6560915.6572212437</v>
      </c>
      <c r="U12" s="7"/>
      <c r="V12" s="7"/>
      <c r="W12" s="9">
        <v>0.64999997615814209</v>
      </c>
      <c r="X12" s="7"/>
      <c r="Y12" s="9">
        <v>1.6210071407840587E-5</v>
      </c>
      <c r="Z12" s="7"/>
      <c r="AA12">
        <f t="shared" si="7"/>
        <v>6.3296407654547324E-5</v>
      </c>
      <c r="AB12" s="7"/>
    </row>
    <row r="13" spans="3:28" x14ac:dyDescent="0.25">
      <c r="C13" s="7"/>
      <c r="D13" s="9">
        <f t="shared" si="0"/>
        <v>1.2</v>
      </c>
      <c r="E13" s="9">
        <f t="shared" si="1"/>
        <v>0.70199999999999996</v>
      </c>
      <c r="F13" s="9">
        <v>3.3</v>
      </c>
      <c r="G13" s="9">
        <v>2.5520826966385357E-5</v>
      </c>
      <c r="H13" s="9">
        <v>2.6227080525131896E-5</v>
      </c>
      <c r="I13" s="7"/>
      <c r="J13" s="9">
        <f t="shared" si="2"/>
        <v>1.0651892123380472E-2</v>
      </c>
      <c r="K13" s="7"/>
      <c r="L13" s="9">
        <f t="shared" si="3"/>
        <v>93.880034496879716</v>
      </c>
      <c r="M13" s="7"/>
      <c r="N13" s="9">
        <f t="shared" si="4"/>
        <v>2.7184509574539612E-7</v>
      </c>
      <c r="O13" s="7"/>
      <c r="P13" s="9">
        <f t="shared" si="5"/>
        <v>3678565.5347506325</v>
      </c>
      <c r="Q13" s="7"/>
      <c r="R13" s="7"/>
      <c r="S13" s="7"/>
      <c r="T13" s="9">
        <f t="shared" si="6"/>
        <v>4897960.4056186415</v>
      </c>
      <c r="U13" s="7"/>
      <c r="V13" s="7"/>
      <c r="W13" s="9">
        <v>0.75</v>
      </c>
      <c r="X13" s="7"/>
      <c r="Y13" s="9">
        <v>2.7341966415406205E-5</v>
      </c>
      <c r="Z13" s="7"/>
      <c r="AA13">
        <f t="shared" si="7"/>
        <v>7.2708908736140627E-5</v>
      </c>
      <c r="AB13" s="7"/>
    </row>
    <row r="14" spans="3:28" x14ac:dyDescent="0.25">
      <c r="C14" s="7"/>
      <c r="D14" s="9">
        <f t="shared" si="0"/>
        <v>1.3</v>
      </c>
      <c r="E14" s="9">
        <f t="shared" si="1"/>
        <v>0.80200000000000005</v>
      </c>
      <c r="F14" s="9">
        <v>3.3</v>
      </c>
      <c r="G14" s="9">
        <v>3.2815929444041103E-5</v>
      </c>
      <c r="H14" s="9">
        <v>3.3624524803599343E-5</v>
      </c>
      <c r="I14" s="7"/>
      <c r="J14" s="9">
        <f t="shared" si="2"/>
        <v>9.8640235699092218E-3</v>
      </c>
      <c r="K14" s="7"/>
      <c r="L14" s="9">
        <f t="shared" si="3"/>
        <v>101.37850877106156</v>
      </c>
      <c r="M14" s="7"/>
      <c r="N14" s="9">
        <f t="shared" si="4"/>
        <v>3.2369710150449948E-7</v>
      </c>
      <c r="O14" s="7"/>
      <c r="P14" s="9">
        <f t="shared" si="5"/>
        <v>3089307.8601944163</v>
      </c>
      <c r="Q14" s="7"/>
      <c r="R14" s="7"/>
      <c r="S14" s="7"/>
      <c r="T14" s="9">
        <f t="shared" si="6"/>
        <v>3809125.6934579429</v>
      </c>
      <c r="U14" s="7"/>
      <c r="V14" s="7"/>
      <c r="W14" s="9">
        <v>0.85000002384185791</v>
      </c>
      <c r="X14" s="7"/>
      <c r="Y14" s="9">
        <v>3.7426707422127947E-5</v>
      </c>
      <c r="Z14" s="7"/>
      <c r="AA14">
        <f t="shared" si="7"/>
        <v>8.1835235521299503E-5</v>
      </c>
      <c r="AB14" s="7"/>
    </row>
    <row r="15" spans="3:28" x14ac:dyDescent="0.25">
      <c r="C15" s="7"/>
      <c r="D15" s="9">
        <f t="shared" si="0"/>
        <v>1.4000000000000001</v>
      </c>
      <c r="E15" s="9">
        <f t="shared" si="1"/>
        <v>0.90200000000000014</v>
      </c>
      <c r="F15" s="9">
        <v>3.3</v>
      </c>
      <c r="G15" s="9">
        <v>4.0895170968724415E-5</v>
      </c>
      <c r="H15" s="9">
        <v>4.1800743929343298E-5</v>
      </c>
      <c r="I15" s="7"/>
      <c r="J15" s="9">
        <f t="shared" si="2"/>
        <v>9.234263001782414E-3</v>
      </c>
      <c r="K15" s="7"/>
      <c r="L15" s="9">
        <f t="shared" si="3"/>
        <v>108.29234556206362</v>
      </c>
      <c r="M15" s="7"/>
      <c r="N15" s="9">
        <f t="shared" si="4"/>
        <v>3.7763676422805817E-7</v>
      </c>
      <c r="O15" s="7"/>
      <c r="P15" s="9">
        <f t="shared" si="5"/>
        <v>2648047.2632057909</v>
      </c>
      <c r="Q15" s="7"/>
      <c r="R15" s="7"/>
      <c r="S15" s="7"/>
      <c r="T15" s="9">
        <f t="shared" si="6"/>
        <v>3056595.6086990521</v>
      </c>
      <c r="U15" s="7"/>
      <c r="V15" s="7"/>
      <c r="W15" s="9">
        <v>0.94999998807907104</v>
      </c>
      <c r="X15" s="7"/>
      <c r="Y15" s="9">
        <v>4.6919409214751795E-5</v>
      </c>
      <c r="Z15" s="7"/>
      <c r="AA15">
        <f t="shared" si="7"/>
        <v>9.0676654032648363E-5</v>
      </c>
      <c r="AB15" s="7"/>
    </row>
    <row r="16" spans="3:28" x14ac:dyDescent="0.25">
      <c r="C16" s="7"/>
      <c r="D16" s="9">
        <f t="shared" si="0"/>
        <v>1.5000000000000002</v>
      </c>
      <c r="E16" s="9">
        <f t="shared" si="1"/>
        <v>1.0020000000000002</v>
      </c>
      <c r="F16" s="9">
        <v>3.3</v>
      </c>
      <c r="G16" s="9">
        <v>4.9716374633135274E-5</v>
      </c>
      <c r="H16" s="9">
        <v>5.0712751544779167E-5</v>
      </c>
      <c r="I16" s="7"/>
      <c r="J16" s="9">
        <f t="shared" si="2"/>
        <v>8.7211584912659026E-3</v>
      </c>
      <c r="K16" s="7"/>
      <c r="L16" s="9">
        <f t="shared" si="3"/>
        <v>114.66366549828025</v>
      </c>
      <c r="M16" s="7"/>
      <c r="N16" s="9">
        <f t="shared" si="4"/>
        <v>4.3358438278672442E-7</v>
      </c>
      <c r="O16" s="7"/>
      <c r="P16" s="9">
        <f t="shared" si="5"/>
        <v>2306356.1320470562</v>
      </c>
      <c r="Q16" s="7"/>
      <c r="R16" s="7"/>
      <c r="S16" s="7"/>
      <c r="T16" s="9">
        <f t="shared" si="6"/>
        <v>2514262.1706106709</v>
      </c>
      <c r="U16" s="7"/>
      <c r="V16" s="7"/>
      <c r="W16" s="9">
        <v>1.0499999523162842</v>
      </c>
      <c r="X16" s="7"/>
      <c r="Y16" s="9">
        <v>5.6003831559792161E-5</v>
      </c>
      <c r="Z16" s="7"/>
      <c r="AA16">
        <f t="shared" si="7"/>
        <v>9.923428070486081E-5</v>
      </c>
      <c r="AB16" s="7"/>
    </row>
    <row r="17" spans="3:28" x14ac:dyDescent="0.25">
      <c r="C17" s="7"/>
      <c r="D17" s="9">
        <f t="shared" si="0"/>
        <v>1.6000000000000003</v>
      </c>
      <c r="E17" s="9">
        <f t="shared" si="1"/>
        <v>1.1020000000000003</v>
      </c>
      <c r="F17" s="9">
        <v>3.3</v>
      </c>
      <c r="G17" s="9">
        <v>5.9238034737063572E-5</v>
      </c>
      <c r="H17" s="9">
        <v>6.0318350733723491E-5</v>
      </c>
      <c r="I17" s="7"/>
      <c r="J17" s="9">
        <f t="shared" si="2"/>
        <v>8.2970264915596392E-3</v>
      </c>
      <c r="K17" s="7"/>
      <c r="L17" s="9">
        <f t="shared" si="3"/>
        <v>120.52510631577172</v>
      </c>
      <c r="M17" s="7"/>
      <c r="N17" s="9">
        <f t="shared" si="4"/>
        <v>4.9149954352134657E-7</v>
      </c>
      <c r="O17" s="7"/>
      <c r="P17" s="9">
        <f t="shared" si="5"/>
        <v>2034589.8855480189</v>
      </c>
      <c r="Q17" s="7"/>
      <c r="R17" s="7"/>
      <c r="S17" s="7"/>
      <c r="T17" s="9">
        <f t="shared" si="6"/>
        <v>2110130.7724814005</v>
      </c>
      <c r="U17" s="7"/>
      <c r="V17" s="7"/>
      <c r="W17" s="9">
        <v>1.1500000953674316</v>
      </c>
      <c r="X17" s="7"/>
      <c r="Y17" s="9">
        <v>6.4686064433772117E-5</v>
      </c>
      <c r="Z17" s="7"/>
      <c r="AA17">
        <f t="shared" si="7"/>
        <v>1.0751004489485219E-4</v>
      </c>
      <c r="AB17" s="7"/>
    </row>
    <row r="18" spans="3:28" x14ac:dyDescent="0.25">
      <c r="C18" s="7"/>
      <c r="D18" s="9">
        <f t="shared" si="0"/>
        <v>1.7000000000000004</v>
      </c>
      <c r="E18" s="9">
        <f t="shared" si="1"/>
        <v>1.2020000000000004</v>
      </c>
      <c r="F18" s="9">
        <v>3.3</v>
      </c>
      <c r="G18" s="9">
        <v>6.9419598730746657E-5</v>
      </c>
      <c r="H18" s="9">
        <v>7.0576395955868065E-5</v>
      </c>
      <c r="I18" s="7"/>
      <c r="J18" s="9">
        <f t="shared" si="2"/>
        <v>7.9427273605492173E-3</v>
      </c>
      <c r="K18" s="7"/>
      <c r="L18" s="9">
        <f t="shared" si="3"/>
        <v>125.90133774034676</v>
      </c>
      <c r="M18" s="7"/>
      <c r="N18" s="9">
        <f t="shared" si="4"/>
        <v>5.5138094619704913E-7</v>
      </c>
      <c r="O18" s="7"/>
      <c r="P18" s="9">
        <f t="shared" si="5"/>
        <v>1813628.1402125675</v>
      </c>
      <c r="Q18" s="7"/>
      <c r="R18" s="7"/>
      <c r="S18" s="7"/>
      <c r="T18" s="9">
        <f t="shared" si="6"/>
        <v>1800644.2313910439</v>
      </c>
      <c r="U18" s="7"/>
      <c r="V18" s="7"/>
      <c r="W18" s="9">
        <v>1.25</v>
      </c>
      <c r="X18" s="7"/>
      <c r="Y18" s="9">
        <v>7.2951093898154795E-5</v>
      </c>
      <c r="Z18" s="7"/>
      <c r="AA18">
        <f t="shared" si="7"/>
        <v>1.155068198514919E-4</v>
      </c>
      <c r="AB18" s="7"/>
    </row>
    <row r="19" spans="3:28" x14ac:dyDescent="0.25">
      <c r="C19" s="7"/>
      <c r="D19" s="9">
        <f t="shared" si="0"/>
        <v>1.8000000000000005</v>
      </c>
      <c r="E19" s="9">
        <f t="shared" si="1"/>
        <v>1.3020000000000005</v>
      </c>
      <c r="F19" s="9">
        <v>3.3</v>
      </c>
      <c r="G19" s="9">
        <v>8.0221696407534182E-5</v>
      </c>
      <c r="H19" s="9">
        <v>8.1447004049550742E-5</v>
      </c>
      <c r="I19" s="7"/>
      <c r="J19" s="9">
        <f t="shared" si="2"/>
        <v>7.6446536979337711E-3</v>
      </c>
      <c r="K19" s="7"/>
      <c r="L19" s="9">
        <f t="shared" si="3"/>
        <v>130.81037277990555</v>
      </c>
      <c r="M19" s="7"/>
      <c r="N19" s="9">
        <f t="shared" si="4"/>
        <v>6.1326708809637653E-7</v>
      </c>
      <c r="O19" s="7"/>
      <c r="P19" s="9">
        <f t="shared" si="5"/>
        <v>1630610.9025091648</v>
      </c>
      <c r="Q19" s="7"/>
      <c r="R19" s="7"/>
      <c r="S19" s="7"/>
      <c r="T19" s="9">
        <f t="shared" si="6"/>
        <v>1558181.9582197263</v>
      </c>
      <c r="U19" s="7"/>
      <c r="V19" s="7"/>
      <c r="W19" s="9">
        <v>1.3499999046325684</v>
      </c>
      <c r="X19" s="7"/>
      <c r="Y19" s="9">
        <v>8.0792393418960273E-5</v>
      </c>
      <c r="Z19" s="7"/>
      <c r="AA19">
        <f t="shared" si="7"/>
        <v>1.2322841230035967E-4</v>
      </c>
      <c r="AB19" s="7"/>
    </row>
    <row r="20" spans="3:28" x14ac:dyDescent="0.25">
      <c r="C20" s="7"/>
      <c r="D20" s="9">
        <f t="shared" si="0"/>
        <v>1.9000000000000006</v>
      </c>
      <c r="E20" s="9">
        <f t="shared" si="1"/>
        <v>1.4020000000000006</v>
      </c>
      <c r="F20" s="9">
        <v>3.3</v>
      </c>
      <c r="G20" s="9">
        <v>9.160628542304039E-5</v>
      </c>
      <c r="H20" s="9">
        <v>9.2891641543246806E-5</v>
      </c>
      <c r="I20" s="7"/>
      <c r="J20" s="9">
        <f t="shared" si="2"/>
        <v>7.3926813762358228E-3</v>
      </c>
      <c r="K20" s="7"/>
      <c r="L20" s="9">
        <f t="shared" si="3"/>
        <v>135.26891652798056</v>
      </c>
      <c r="M20" s="7"/>
      <c r="N20" s="9">
        <f t="shared" si="4"/>
        <v>6.7721608019305378E-7</v>
      </c>
      <c r="O20" s="7"/>
      <c r="P20" s="9">
        <f t="shared" si="5"/>
        <v>1476633.5727216199</v>
      </c>
      <c r="Q20" s="7"/>
      <c r="R20" s="7"/>
      <c r="S20" s="7"/>
      <c r="T20" s="9">
        <f t="shared" si="6"/>
        <v>1364535.1890729605</v>
      </c>
      <c r="U20" s="7"/>
      <c r="V20" s="7"/>
      <c r="W20" s="9">
        <v>1.4500000476837158</v>
      </c>
      <c r="X20" s="7"/>
      <c r="Y20" s="9">
        <v>8.8212014816235751E-5</v>
      </c>
      <c r="Z20" s="7"/>
      <c r="AA20">
        <f t="shared" si="7"/>
        <v>1.3067943712273945E-4</v>
      </c>
      <c r="AB20" s="7"/>
    </row>
    <row r="21" spans="3:28" x14ac:dyDescent="0.25">
      <c r="C21" s="7"/>
      <c r="D21" s="9">
        <f t="shared" si="0"/>
        <v>2.0000000000000004</v>
      </c>
      <c r="E21" s="9">
        <f t="shared" si="1"/>
        <v>1.5020000000000004</v>
      </c>
      <c r="F21" s="9">
        <v>3.3</v>
      </c>
      <c r="G21" s="9">
        <v>1.0353680409025401E-4</v>
      </c>
      <c r="H21" s="9">
        <v>1.0487325926078483E-4</v>
      </c>
      <c r="I21" s="7"/>
      <c r="J21" s="9">
        <f t="shared" si="2"/>
        <v>7.1790991739944989E-3</v>
      </c>
      <c r="K21" s="7"/>
      <c r="L21" s="9">
        <f t="shared" si="3"/>
        <v>139.29324219706987</v>
      </c>
      <c r="M21" s="7"/>
      <c r="N21" s="9">
        <f t="shared" si="4"/>
        <v>7.4330098472237279E-7</v>
      </c>
      <c r="O21" s="7"/>
      <c r="P21" s="9">
        <f t="shared" si="5"/>
        <v>1345350.0271811234</v>
      </c>
      <c r="Q21" s="7"/>
      <c r="R21" s="7"/>
      <c r="S21" s="7"/>
      <c r="T21" s="9">
        <f t="shared" si="6"/>
        <v>1207300.1586086848</v>
      </c>
      <c r="U21" s="7"/>
      <c r="V21" s="7"/>
      <c r="W21" s="9">
        <v>1.5499999523162842</v>
      </c>
      <c r="X21" s="7"/>
      <c r="Y21" s="9">
        <v>9.5216579211410135E-5</v>
      </c>
      <c r="Z21" s="7"/>
      <c r="AA21">
        <f t="shared" si="7"/>
        <v>1.3786525178462579E-4</v>
      </c>
      <c r="AB21" s="7"/>
    </row>
    <row r="22" spans="3:28" x14ac:dyDescent="0.25">
      <c r="C22" s="7"/>
      <c r="D22" s="9">
        <f t="shared" si="0"/>
        <v>2.1000000000000005</v>
      </c>
      <c r="E22" s="9">
        <f t="shared" si="1"/>
        <v>1.6020000000000005</v>
      </c>
      <c r="F22" s="9">
        <v>3.3</v>
      </c>
      <c r="G22" s="9">
        <v>1.1597821867326275E-4</v>
      </c>
      <c r="H22" s="9">
        <v>1.1735635052900761E-4</v>
      </c>
      <c r="I22" s="7"/>
      <c r="J22" s="9">
        <f t="shared" si="2"/>
        <v>6.9980437240678879E-3</v>
      </c>
      <c r="K22" s="7"/>
      <c r="L22" s="9">
        <f t="shared" si="3"/>
        <v>142.89707801635609</v>
      </c>
      <c r="M22" s="7"/>
      <c r="N22" s="9">
        <f t="shared" si="4"/>
        <v>8.116206453149995E-7</v>
      </c>
      <c r="O22" s="7"/>
      <c r="P22" s="9">
        <f t="shared" si="5"/>
        <v>1232102.7142081733</v>
      </c>
      <c r="Q22" s="7"/>
      <c r="R22" s="7"/>
      <c r="S22" s="7"/>
      <c r="T22" s="9">
        <f t="shared" si="6"/>
        <v>1077788.5833214398</v>
      </c>
      <c r="U22" s="7"/>
      <c r="V22" s="7"/>
      <c r="W22" s="9">
        <v>1.6500000953674316</v>
      </c>
      <c r="X22" s="7"/>
      <c r="Y22" s="9">
        <v>1.0181561810895801E-4</v>
      </c>
      <c r="Z22" s="7"/>
      <c r="AA22">
        <f t="shared" si="7"/>
        <v>1.447917836120633E-4</v>
      </c>
      <c r="AB22" s="7"/>
    </row>
    <row r="23" spans="3:28" x14ac:dyDescent="0.25">
      <c r="C23" s="7"/>
      <c r="D23" s="9">
        <f t="shared" si="0"/>
        <v>2.2000000000000006</v>
      </c>
      <c r="E23" s="9">
        <f t="shared" si="1"/>
        <v>1.7020000000000006</v>
      </c>
      <c r="F23" s="9">
        <v>3.3</v>
      </c>
      <c r="G23" s="9">
        <v>1.2889709614682943E-4</v>
      </c>
      <c r="H23" s="9">
        <v>1.3030700210947543E-4</v>
      </c>
      <c r="I23" s="7"/>
      <c r="J23" s="9">
        <f t="shared" si="2"/>
        <v>6.8449493483278678E-3</v>
      </c>
      <c r="K23" s="7"/>
      <c r="L23" s="9">
        <f t="shared" si="3"/>
        <v>146.09311904467006</v>
      </c>
      <c r="M23" s="7"/>
      <c r="N23" s="9">
        <f t="shared" si="4"/>
        <v>8.8229409427159463E-7</v>
      </c>
      <c r="O23" s="7"/>
      <c r="P23" s="9">
        <f t="shared" si="5"/>
        <v>1133408.9239547513</v>
      </c>
      <c r="Q23" s="7"/>
      <c r="R23" s="7"/>
      <c r="S23" s="7"/>
      <c r="T23" s="9">
        <f t="shared" si="6"/>
        <v>969765.8344266332</v>
      </c>
      <c r="U23" s="7"/>
      <c r="V23" s="7"/>
      <c r="W23" s="9">
        <v>1.75</v>
      </c>
      <c r="X23" s="7"/>
      <c r="Y23" s="9">
        <v>1.0802107863128185E-4</v>
      </c>
      <c r="Z23" s="7"/>
      <c r="AA23">
        <f t="shared" si="7"/>
        <v>1.5146544788111559E-4</v>
      </c>
      <c r="AB23" s="7"/>
    </row>
    <row r="24" spans="3:28" x14ac:dyDescent="0.25">
      <c r="C24" s="7"/>
      <c r="D24" s="9">
        <f t="shared" si="0"/>
        <v>2.3000000000000007</v>
      </c>
      <c r="E24" s="9">
        <f t="shared" si="1"/>
        <v>1.8020000000000007</v>
      </c>
      <c r="F24" s="9">
        <v>3.3</v>
      </c>
      <c r="G24" s="9">
        <v>1.422617060597986E-4</v>
      </c>
      <c r="H24" s="9">
        <v>1.4369290147442371E-4</v>
      </c>
      <c r="I24" s="7"/>
      <c r="J24" s="9">
        <f t="shared" si="2"/>
        <v>6.7158209688086817E-3</v>
      </c>
      <c r="K24" s="7"/>
      <c r="L24" s="9">
        <f t="shared" si="3"/>
        <v>148.90212300840858</v>
      </c>
      <c r="M24" s="7"/>
      <c r="N24" s="9">
        <f t="shared" si="4"/>
        <v>9.5540414861489256E-7</v>
      </c>
      <c r="O24" s="7"/>
      <c r="P24" s="9">
        <f t="shared" si="5"/>
        <v>1046677.4730356371</v>
      </c>
      <c r="Q24" s="7"/>
      <c r="R24" s="7"/>
      <c r="S24" s="7"/>
      <c r="T24" s="9">
        <f t="shared" si="6"/>
        <v>878662.31512405188</v>
      </c>
      <c r="U24" s="7"/>
      <c r="V24" s="7"/>
      <c r="W24" s="9">
        <v>1.8499999046325684</v>
      </c>
      <c r="X24" s="7"/>
      <c r="Y24" s="9">
        <v>1.1384586105123162E-4</v>
      </c>
      <c r="Z24" s="7"/>
      <c r="AA24">
        <f t="shared" si="7"/>
        <v>1.5789312548257329E-4</v>
      </c>
      <c r="AB24" s="7"/>
    </row>
    <row r="25" spans="3:28" x14ac:dyDescent="0.25">
      <c r="C25" s="7"/>
      <c r="D25" s="9">
        <f t="shared" si="0"/>
        <v>2.4000000000000008</v>
      </c>
      <c r="E25" s="9">
        <f t="shared" si="1"/>
        <v>1.9020000000000008</v>
      </c>
      <c r="F25" s="9">
        <v>3.3</v>
      </c>
      <c r="G25" s="9">
        <v>1.5604191867168993E-4</v>
      </c>
      <c r="H25" s="9">
        <v>1.5748334408272058E-4</v>
      </c>
      <c r="I25" s="7"/>
      <c r="J25" s="9">
        <f t="shared" si="2"/>
        <v>6.6075996408525286E-3</v>
      </c>
      <c r="K25" s="7"/>
      <c r="L25" s="9">
        <f t="shared" si="3"/>
        <v>151.34088842449563</v>
      </c>
      <c r="M25" s="7"/>
      <c r="N25" s="9">
        <f t="shared" si="4"/>
        <v>1.0310625257729979E-6</v>
      </c>
      <c r="O25" s="7"/>
      <c r="P25" s="9">
        <f t="shared" si="5"/>
        <v>969873.28605536313</v>
      </c>
      <c r="Q25" s="7"/>
      <c r="R25" s="7"/>
      <c r="S25" s="7"/>
      <c r="T25" s="9">
        <f t="shared" si="6"/>
        <v>801066.79707648489</v>
      </c>
      <c r="U25" s="7"/>
      <c r="V25" s="7"/>
      <c r="W25" s="9">
        <v>1.9500000476837158</v>
      </c>
      <c r="X25" s="7"/>
      <c r="Y25" s="9">
        <v>1.1930515756830573E-4</v>
      </c>
      <c r="Z25" s="7"/>
      <c r="AA25">
        <f t="shared" si="7"/>
        <v>1.6408193340871699E-4</v>
      </c>
      <c r="AB25" s="7"/>
    </row>
    <row r="26" spans="3:28" x14ac:dyDescent="0.25">
      <c r="C26" s="7"/>
      <c r="D26" s="9">
        <f t="shared" si="0"/>
        <v>2.5000000000000009</v>
      </c>
      <c r="E26" s="9">
        <f t="shared" si="1"/>
        <v>2.0020000000000007</v>
      </c>
      <c r="F26" s="9">
        <v>3.3</v>
      </c>
      <c r="G26" s="9">
        <v>1.702093577478081E-4</v>
      </c>
      <c r="H26" s="9">
        <v>1.7164925520773977E-4</v>
      </c>
      <c r="I26" s="7"/>
      <c r="J26" s="9">
        <f t="shared" si="2"/>
        <v>6.5173859514386619E-3</v>
      </c>
      <c r="K26" s="7"/>
      <c r="L26" s="9">
        <f t="shared" si="3"/>
        <v>153.43574977008348</v>
      </c>
      <c r="M26" s="7"/>
      <c r="N26" s="9">
        <f t="shared" si="4"/>
        <v>1.1093200769889619E-6</v>
      </c>
      <c r="O26" s="7"/>
      <c r="P26" s="9">
        <f t="shared" si="5"/>
        <v>901453.07990306057</v>
      </c>
      <c r="Q26" s="7"/>
      <c r="R26" s="7"/>
      <c r="S26" s="7"/>
      <c r="T26" s="9">
        <f t="shared" si="6"/>
        <v>734389.7048551651</v>
      </c>
      <c r="U26" s="7"/>
      <c r="V26" s="7"/>
      <c r="W26" s="9">
        <v>2.0499999523162842</v>
      </c>
      <c r="X26" s="7"/>
      <c r="Y26" s="9">
        <v>1.2441426224540919E-4</v>
      </c>
      <c r="Z26" s="7"/>
      <c r="AA26">
        <f t="shared" si="7"/>
        <v>1.7003931842937865E-4</v>
      </c>
      <c r="AB26" s="7"/>
    </row>
    <row r="27" spans="3:28" x14ac:dyDescent="0.25">
      <c r="C27" s="7"/>
      <c r="D27" s="9">
        <f t="shared" si="0"/>
        <v>2.600000000000001</v>
      </c>
      <c r="E27" s="9">
        <f t="shared" si="1"/>
        <v>2.1020000000000012</v>
      </c>
      <c r="F27" s="9">
        <v>3.3</v>
      </c>
      <c r="G27" s="9">
        <v>1.8473727686796337E-4</v>
      </c>
      <c r="H27" s="9">
        <v>1.8616307352203876E-4</v>
      </c>
      <c r="I27" s="7"/>
      <c r="J27" s="9">
        <f t="shared" si="2"/>
        <v>6.442378482944754E-3</v>
      </c>
      <c r="K27" s="7"/>
      <c r="L27" s="9">
        <f t="shared" si="3"/>
        <v>155.22217495407207</v>
      </c>
      <c r="M27" s="7"/>
      <c r="N27" s="9">
        <f t="shared" si="4"/>
        <v>1.1901474574919749E-6</v>
      </c>
      <c r="O27" s="7"/>
      <c r="P27" s="9">
        <f t="shared" si="5"/>
        <v>840232.01806213404</v>
      </c>
      <c r="Q27" s="7"/>
      <c r="R27" s="7"/>
      <c r="S27" s="7"/>
      <c r="T27" s="9">
        <f t="shared" si="6"/>
        <v>676636.58423059259</v>
      </c>
      <c r="U27" s="7"/>
      <c r="V27" s="7"/>
      <c r="W27" s="9">
        <v>2.1500000953674316</v>
      </c>
      <c r="X27" s="7"/>
      <c r="Y27" s="9">
        <v>1.2918858556076884E-4</v>
      </c>
      <c r="Z27" s="7"/>
      <c r="AA27">
        <f t="shared" si="7"/>
        <v>1.7577286095905165E-4</v>
      </c>
      <c r="AB27" s="7"/>
    </row>
    <row r="28" spans="3:28" x14ac:dyDescent="0.25">
      <c r="C28" s="7"/>
      <c r="D28" s="9">
        <f t="shared" si="0"/>
        <v>2.7000000000000011</v>
      </c>
      <c r="E28" s="9">
        <f t="shared" si="1"/>
        <v>2.2020000000000008</v>
      </c>
      <c r="F28" s="9">
        <v>3.3</v>
      </c>
      <c r="G28" s="9">
        <v>1.9960060308221728E-4</v>
      </c>
      <c r="H28" s="9">
        <v>2.0099880930501968E-4</v>
      </c>
      <c r="I28" s="7"/>
      <c r="J28" s="9">
        <f t="shared" si="2"/>
        <v>6.3797996639882197E-3</v>
      </c>
      <c r="K28" s="7"/>
      <c r="L28" s="9">
        <f t="shared" si="3"/>
        <v>156.74473379542886</v>
      </c>
      <c r="M28" s="7"/>
      <c r="N28" s="9">
        <f t="shared" si="4"/>
        <v>1.2734118604757759E-6</v>
      </c>
      <c r="O28" s="7"/>
      <c r="P28" s="9">
        <f t="shared" si="5"/>
        <v>785291.88476882654</v>
      </c>
      <c r="Q28" s="7"/>
      <c r="R28" s="7"/>
      <c r="S28" s="7"/>
      <c r="T28" s="9">
        <f t="shared" si="6"/>
        <v>626250.61282260448</v>
      </c>
      <c r="U28" s="7"/>
      <c r="V28" s="7"/>
      <c r="W28" s="9">
        <v>2.25</v>
      </c>
      <c r="X28" s="7"/>
      <c r="Y28" s="9">
        <v>1.3364623009692878E-4</v>
      </c>
      <c r="Z28" s="7"/>
      <c r="AA28">
        <f t="shared" si="7"/>
        <v>1.8129028436168683E-4</v>
      </c>
      <c r="AB28" s="7"/>
    </row>
    <row r="29" spans="3:28" x14ac:dyDescent="0.25">
      <c r="C29" s="7"/>
      <c r="D29" s="9">
        <f t="shared" si="0"/>
        <v>2.8000000000000012</v>
      </c>
      <c r="E29" s="9">
        <f t="shared" si="1"/>
        <v>2.3020000000000014</v>
      </c>
      <c r="F29" s="9">
        <v>3.3</v>
      </c>
      <c r="G29" s="9">
        <v>2.1477586415130645E-4</v>
      </c>
      <c r="H29" s="9">
        <v>2.1613189892377704E-4</v>
      </c>
      <c r="I29" s="7"/>
      <c r="J29" s="9">
        <f t="shared" si="2"/>
        <v>6.326373228173459E-3</v>
      </c>
      <c r="K29" s="7"/>
      <c r="L29" s="9">
        <f t="shared" si="3"/>
        <v>158.06844837207282</v>
      </c>
      <c r="M29" s="7"/>
      <c r="N29" s="9">
        <f t="shared" si="4"/>
        <v>1.3587522770246449E-6</v>
      </c>
      <c r="O29" s="7"/>
      <c r="P29" s="9">
        <f t="shared" si="5"/>
        <v>735969.32782314823</v>
      </c>
      <c r="Q29" s="7"/>
      <c r="R29" s="7"/>
      <c r="S29" s="7"/>
      <c r="T29" s="9">
        <f t="shared" si="6"/>
        <v>582002.08153714763</v>
      </c>
      <c r="U29" s="7"/>
      <c r="V29" s="7"/>
      <c r="W29" s="9">
        <v>2.3499999046325684</v>
      </c>
      <c r="X29" s="7"/>
      <c r="Y29" s="9">
        <v>1.378019223921001E-4</v>
      </c>
      <c r="Z29" s="7"/>
      <c r="AA29">
        <f t="shared" si="7"/>
        <v>1.8659936068749462E-4</v>
      </c>
      <c r="AB29" s="7"/>
    </row>
    <row r="30" spans="3:28" x14ac:dyDescent="0.25">
      <c r="C30" s="7"/>
      <c r="D30" s="9">
        <f t="shared" si="0"/>
        <v>2.9000000000000012</v>
      </c>
      <c r="E30" s="9">
        <f t="shared" si="1"/>
        <v>2.402000000000001</v>
      </c>
      <c r="F30" s="9">
        <v>3.3</v>
      </c>
      <c r="G30" s="9">
        <v>2.3024117399472743E-4</v>
      </c>
      <c r="H30" s="9">
        <v>2.3153919028118253E-4</v>
      </c>
      <c r="I30" s="7"/>
      <c r="J30" s="9">
        <f t="shared" si="2"/>
        <v>6.2779928095672895E-3</v>
      </c>
      <c r="K30" s="7"/>
      <c r="L30" s="9">
        <f t="shared" si="3"/>
        <v>159.28657937869238</v>
      </c>
      <c r="M30" s="7"/>
      <c r="N30" s="9">
        <f t="shared" si="4"/>
        <v>1.44545243480523E-6</v>
      </c>
      <c r="O30" s="7"/>
      <c r="P30" s="9">
        <f t="shared" si="5"/>
        <v>691824.90957216918</v>
      </c>
      <c r="Q30" s="7"/>
      <c r="R30" s="7"/>
      <c r="S30" s="7"/>
      <c r="T30" s="9">
        <f t="shared" si="6"/>
        <v>542908.97597170225</v>
      </c>
      <c r="U30" s="7"/>
      <c r="V30" s="7"/>
      <c r="W30" s="9">
        <v>2.4500000476837158</v>
      </c>
      <c r="X30" s="7"/>
      <c r="Y30" s="9">
        <v>1.4167452172841877E-4</v>
      </c>
      <c r="Z30" s="7"/>
      <c r="AA30">
        <f t="shared" si="7"/>
        <v>1.9170788842192118E-4</v>
      </c>
      <c r="AB30" s="7"/>
    </row>
    <row r="31" spans="3:28" x14ac:dyDescent="0.25">
      <c r="C31" s="7"/>
      <c r="D31" s="9">
        <f t="shared" si="0"/>
        <v>3.0000000000000013</v>
      </c>
      <c r="E31" s="9">
        <f t="shared" si="1"/>
        <v>2.5020000000000016</v>
      </c>
      <c r="F31" s="9">
        <v>3.3</v>
      </c>
      <c r="G31" s="9">
        <v>2.4597617448307574E-4</v>
      </c>
      <c r="H31" s="9">
        <v>2.4719879729673266E-4</v>
      </c>
      <c r="I31" s="7"/>
      <c r="J31" s="9">
        <f t="shared" si="2"/>
        <v>6.2286877672747378E-3</v>
      </c>
      <c r="K31" s="7"/>
      <c r="L31" s="9">
        <f t="shared" si="3"/>
        <v>160.54745997286261</v>
      </c>
      <c r="M31" s="7"/>
      <c r="N31" s="9">
        <f t="shared" si="4"/>
        <v>1.5321087890437703E-6</v>
      </c>
      <c r="O31" s="7"/>
      <c r="P31" s="9">
        <f t="shared" si="5"/>
        <v>652695.16574219672</v>
      </c>
      <c r="Q31" s="7"/>
      <c r="R31" s="7"/>
      <c r="S31" s="7"/>
      <c r="T31" s="9">
        <f t="shared" si="6"/>
        <v>508179.29932722228</v>
      </c>
      <c r="U31" s="7"/>
      <c r="V31" s="7"/>
      <c r="W31" s="9">
        <v>2.5499999523162842</v>
      </c>
      <c r="X31" s="7"/>
      <c r="Y31" s="9">
        <v>1.4527933672070503E-4</v>
      </c>
      <c r="Z31" s="7"/>
      <c r="AA31">
        <f t="shared" si="7"/>
        <v>1.9662364067392132E-4</v>
      </c>
      <c r="AB31" s="7"/>
    </row>
    <row r="32" spans="3:28" x14ac:dyDescent="0.25">
      <c r="C32" s="7"/>
      <c r="D32" s="9">
        <f t="shared" si="0"/>
        <v>3.1000000000000014</v>
      </c>
      <c r="E32" s="9">
        <f t="shared" si="1"/>
        <v>2.6020000000000012</v>
      </c>
      <c r="F32" s="9">
        <v>3.3</v>
      </c>
      <c r="G32" s="9">
        <v>2.6196203543804586E-4</v>
      </c>
      <c r="H32" s="9">
        <v>2.6309004169888794E-4</v>
      </c>
      <c r="I32" s="7"/>
      <c r="J32" s="9">
        <f t="shared" si="2"/>
        <v>6.1690420608378881E-3</v>
      </c>
      <c r="K32" s="7"/>
      <c r="L32" s="9">
        <f t="shared" si="3"/>
        <v>162.09972150265719</v>
      </c>
      <c r="M32" s="7"/>
      <c r="N32" s="9">
        <f t="shared" si="4"/>
        <v>1.6160548149600103E-6</v>
      </c>
      <c r="O32" s="7"/>
      <c r="P32" s="9">
        <f t="shared" si="5"/>
        <v>618790.89170916844</v>
      </c>
      <c r="Q32" s="7"/>
      <c r="R32" s="7"/>
      <c r="S32" s="7"/>
      <c r="T32" s="9">
        <f t="shared" si="6"/>
        <v>477168.37972715538</v>
      </c>
      <c r="U32" s="7"/>
      <c r="V32" s="7"/>
      <c r="W32" s="9">
        <v>2.6500000953674316</v>
      </c>
      <c r="X32" s="7"/>
      <c r="Y32" s="9">
        <v>1.486330438638106E-4</v>
      </c>
      <c r="Z32" s="7"/>
      <c r="AA32">
        <f t="shared" si="7"/>
        <v>2.0135437005230265E-4</v>
      </c>
      <c r="AB32" s="7"/>
    </row>
    <row r="33" spans="1:28" x14ac:dyDescent="0.25">
      <c r="C33" s="7"/>
      <c r="D33" s="9">
        <f t="shared" si="0"/>
        <v>3.2000000000000015</v>
      </c>
      <c r="E33" s="9">
        <f t="shared" si="1"/>
        <v>2.7020000000000017</v>
      </c>
      <c r="F33" s="9">
        <v>3.3</v>
      </c>
      <c r="G33" s="9">
        <v>2.7818130911327899E-4</v>
      </c>
      <c r="H33" s="9">
        <v>2.7919336571358144E-4</v>
      </c>
      <c r="I33" s="7"/>
      <c r="J33" s="9">
        <f t="shared" si="2"/>
        <v>6.083810400625239E-3</v>
      </c>
      <c r="K33" s="7"/>
      <c r="L33" s="9">
        <f t="shared" si="3"/>
        <v>164.37067136366201</v>
      </c>
      <c r="M33" s="7"/>
      <c r="N33" s="9">
        <f t="shared" si="4"/>
        <v>1.6924023416429114E-6</v>
      </c>
      <c r="O33" s="7"/>
      <c r="P33" s="9">
        <f t="shared" si="5"/>
        <v>590876.04371265706</v>
      </c>
      <c r="Q33" s="7"/>
      <c r="R33" s="7"/>
      <c r="S33" s="7"/>
      <c r="T33" s="9">
        <f t="shared" si="6"/>
        <v>449347.22752741957</v>
      </c>
      <c r="U33" s="7"/>
      <c r="V33" s="7"/>
      <c r="W33" s="9">
        <v>2.75</v>
      </c>
      <c r="X33" s="7"/>
      <c r="Y33" s="9">
        <v>1.5175275621004403E-4</v>
      </c>
      <c r="Z33" s="7"/>
      <c r="AA33">
        <f t="shared" si="7"/>
        <v>2.0590770474706056E-4</v>
      </c>
      <c r="AB33" s="7"/>
    </row>
    <row r="34" spans="1:28" x14ac:dyDescent="0.25">
      <c r="C34" s="7"/>
      <c r="D34" s="9">
        <f t="shared" si="0"/>
        <v>3.3000000000000016</v>
      </c>
      <c r="E34" s="9">
        <f t="shared" si="1"/>
        <v>2.8020000000000014</v>
      </c>
      <c r="F34" s="9">
        <v>3.3</v>
      </c>
      <c r="G34" s="9">
        <v>2.94617930194363E-4</v>
      </c>
      <c r="H34" s="9">
        <v>2.9549011378549039E-4</v>
      </c>
      <c r="I34" s="7"/>
      <c r="J34" s="9">
        <f t="shared" si="2"/>
        <v>5.9445556208720272E-3</v>
      </c>
      <c r="K34" s="7"/>
      <c r="L34" s="9">
        <f t="shared" si="3"/>
        <v>168.22115289642232</v>
      </c>
      <c r="M34" s="7"/>
      <c r="N34" s="9">
        <f t="shared" si="4"/>
        <v>1.7513726729465831E-6</v>
      </c>
      <c r="O34" s="7"/>
      <c r="P34" s="9">
        <f t="shared" si="5"/>
        <v>570980.70299198967</v>
      </c>
      <c r="Q34" s="7"/>
      <c r="R34" s="7"/>
      <c r="S34" s="7"/>
      <c r="T34" s="9">
        <f t="shared" si="6"/>
        <v>424278.31842256169</v>
      </c>
      <c r="U34" s="7"/>
      <c r="V34" s="7"/>
      <c r="W34" s="9">
        <v>2.8499999046325684</v>
      </c>
      <c r="X34" s="7"/>
      <c r="Y34" s="9">
        <v>1.546528801554814E-4</v>
      </c>
      <c r="Z34" s="7"/>
      <c r="AA34">
        <f t="shared" si="7"/>
        <v>2.1029117073116549E-4</v>
      </c>
      <c r="AB34" s="7"/>
    </row>
    <row r="35" spans="1:28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>
        <v>2.9500000476837158</v>
      </c>
      <c r="X35" s="7"/>
      <c r="Y35" s="9">
        <v>1.5735015040263534E-4</v>
      </c>
      <c r="Z35" s="7"/>
      <c r="AA35" s="7"/>
      <c r="AB35" s="7"/>
    </row>
    <row r="36" spans="1:28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9">
        <v>3.0499999523162842</v>
      </c>
      <c r="X36" s="7"/>
      <c r="Y36" s="9">
        <v>1.598587550688535E-4</v>
      </c>
      <c r="Z36" s="7"/>
      <c r="AA36" s="7"/>
      <c r="AB36" s="7"/>
    </row>
    <row r="37" spans="1:28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9">
        <v>3.1500000953674316</v>
      </c>
      <c r="X37" s="7"/>
      <c r="Y37" s="9">
        <v>1.621925039216876E-4</v>
      </c>
      <c r="Z37" s="7"/>
      <c r="AA37" s="7"/>
      <c r="AB37" s="7"/>
    </row>
    <row r="38" spans="1:28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9">
        <v>3.25</v>
      </c>
      <c r="X38" s="7"/>
      <c r="Y38" s="9">
        <v>1.6436637088190764E-4</v>
      </c>
      <c r="Z38" s="7"/>
      <c r="AA38" s="7"/>
      <c r="AB38" s="7"/>
    </row>
    <row r="39" spans="1:2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C40" s="10"/>
      <c r="G40" s="5" t="s">
        <v>25</v>
      </c>
      <c r="I40" s="10"/>
      <c r="J40" s="5" t="s">
        <v>20</v>
      </c>
      <c r="K40" s="10"/>
      <c r="L40" s="5" t="s">
        <v>19</v>
      </c>
      <c r="M40" s="10"/>
      <c r="N40" s="6" t="s">
        <v>22</v>
      </c>
      <c r="O40" s="10"/>
      <c r="Q40" s="10"/>
      <c r="S40" s="10"/>
      <c r="V40" s="10"/>
      <c r="X40" s="10"/>
      <c r="Z40" s="10"/>
      <c r="AB40" s="10"/>
    </row>
    <row r="41" spans="1:28" x14ac:dyDescent="0.25">
      <c r="C41" s="10"/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  <c r="I41" s="10"/>
      <c r="J41" s="1" t="s">
        <v>17</v>
      </c>
      <c r="K41" s="10"/>
      <c r="L41" s="1" t="s">
        <v>18</v>
      </c>
      <c r="M41" s="10"/>
      <c r="N41" s="1" t="s">
        <v>21</v>
      </c>
      <c r="O41" s="11"/>
      <c r="P41" s="1" t="s">
        <v>23</v>
      </c>
      <c r="Q41" s="10"/>
      <c r="R41" s="1" t="s">
        <v>26</v>
      </c>
      <c r="S41" s="10"/>
      <c r="T41" s="1" t="s">
        <v>27</v>
      </c>
      <c r="V41" s="10"/>
      <c r="W41" s="1" t="s">
        <v>12</v>
      </c>
      <c r="X41" s="11"/>
      <c r="Y41" s="1" t="s">
        <v>28</v>
      </c>
      <c r="Z41" s="10"/>
      <c r="AA41" s="1" t="s">
        <v>94</v>
      </c>
      <c r="AB41" s="10"/>
    </row>
    <row r="42" spans="1:28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2"/>
      <c r="C43" s="11" t="s">
        <v>29</v>
      </c>
      <c r="D43">
        <f>0.7</f>
        <v>0.7</v>
      </c>
      <c r="E43">
        <f>D43-0.692</f>
        <v>8.0000000000000071E-3</v>
      </c>
      <c r="F43">
        <v>3.3</v>
      </c>
      <c r="G43" s="2">
        <v>3.5781964058401201E-9</v>
      </c>
      <c r="H43" s="2">
        <v>1.66991007688466E-8</v>
      </c>
      <c r="I43" s="10"/>
      <c r="J43">
        <f t="shared" ref="J43:J69" si="8">((H43-G43)/(F43-E43))/G43</f>
        <v>1.1138834936291488</v>
      </c>
      <c r="K43" s="10"/>
      <c r="L43">
        <f t="shared" ref="L43:L68" si="9">1/J43</f>
        <v>0.8977599593848864</v>
      </c>
      <c r="M43" s="10"/>
      <c r="N43" s="2">
        <f t="shared" ref="N43:N69" si="10">((H43-G43)/(F43-E43))</f>
        <v>3.9856939134284568E-9</v>
      </c>
      <c r="O43" s="10"/>
      <c r="P43">
        <f t="shared" ref="P43:P69" si="11">1/N43</f>
        <v>250897339.7658149</v>
      </c>
      <c r="Q43" s="10"/>
      <c r="R43" s="9">
        <v>200</v>
      </c>
      <c r="S43" s="10"/>
      <c r="T43" s="12">
        <f>$R$43/G43</f>
        <v>55894081072.121101</v>
      </c>
      <c r="U43" s="10"/>
      <c r="V43" s="10"/>
      <c r="W43" s="9">
        <v>5.000000074505806E-2</v>
      </c>
      <c r="X43" s="10"/>
      <c r="Y43">
        <v>-1.0035839347055653E-12</v>
      </c>
      <c r="Z43" s="10"/>
      <c r="AA43" s="2">
        <f>2*G43/E43</f>
        <v>8.945491014600292E-7</v>
      </c>
      <c r="AB43" s="10"/>
    </row>
    <row r="44" spans="1:28" x14ac:dyDescent="0.25">
      <c r="B44" s="2"/>
      <c r="C44" s="10"/>
      <c r="D44">
        <f t="shared" ref="D44:D69" si="12">D43+0.1</f>
        <v>0.79999999999999993</v>
      </c>
      <c r="E44">
        <f t="shared" ref="E44:E69" si="13">D44-0.692</f>
        <v>0.10799999999999998</v>
      </c>
      <c r="F44">
        <v>3.3</v>
      </c>
      <c r="G44" s="2">
        <v>1.2177109454114501E-7</v>
      </c>
      <c r="H44" s="2">
        <v>1.3774010199085799E-7</v>
      </c>
      <c r="I44" s="10"/>
      <c r="J44">
        <f t="shared" si="8"/>
        <v>4.1083821259829179E-2</v>
      </c>
      <c r="K44" s="10"/>
      <c r="L44">
        <f t="shared" si="9"/>
        <v>24.340481711173666</v>
      </c>
      <c r="M44" s="10"/>
      <c r="N44">
        <f t="shared" si="10"/>
        <v>5.0028218827421625E-9</v>
      </c>
      <c r="O44" s="10"/>
      <c r="P44">
        <f t="shared" si="11"/>
        <v>199887188.35855833</v>
      </c>
      <c r="Q44" s="10"/>
      <c r="R44" s="10"/>
      <c r="S44" s="10"/>
      <c r="T44" s="12">
        <f t="shared" ref="T44:T69" si="14">$R$43/G44</f>
        <v>1642425903.7305636</v>
      </c>
      <c r="U44" s="10"/>
      <c r="V44" s="10"/>
      <c r="W44" s="9">
        <v>0.15000000596046448</v>
      </c>
      <c r="X44" s="10"/>
      <c r="Y44">
        <v>-1.0760651267607835E-12</v>
      </c>
      <c r="Z44" s="10"/>
      <c r="AA44" s="2">
        <f t="shared" ref="AA44:AA69" si="15">2*G44/E44</f>
        <v>2.2550202692804634E-6</v>
      </c>
      <c r="AB44" s="10"/>
    </row>
    <row r="45" spans="1:28" x14ac:dyDescent="0.25">
      <c r="A45">
        <f>(L45/0.186)*(L45/0.186)</f>
        <v>32801.749981489193</v>
      </c>
      <c r="B45" s="2"/>
      <c r="C45" s="10"/>
      <c r="D45">
        <f t="shared" si="12"/>
        <v>0.89999999999999991</v>
      </c>
      <c r="E45">
        <f t="shared" si="13"/>
        <v>0.20799999999999996</v>
      </c>
      <c r="F45">
        <v>3.3</v>
      </c>
      <c r="G45">
        <v>5.4222078915699999E-7</v>
      </c>
      <c r="H45" s="2">
        <v>5.9198924873271597E-7</v>
      </c>
      <c r="I45" s="10"/>
      <c r="J45">
        <f t="shared" si="8"/>
        <v>2.9685102220676489E-2</v>
      </c>
      <c r="K45" s="10"/>
      <c r="L45">
        <f t="shared" si="9"/>
        <v>33.686931328923386</v>
      </c>
      <c r="M45" s="10"/>
      <c r="N45">
        <f t="shared" si="10"/>
        <v>1.6095879552301419E-8</v>
      </c>
      <c r="O45" s="10"/>
      <c r="P45">
        <f t="shared" si="11"/>
        <v>62127701.48724293</v>
      </c>
      <c r="Q45" s="10"/>
      <c r="R45" s="10"/>
      <c r="S45" s="10"/>
      <c r="T45" s="12">
        <f t="shared" si="14"/>
        <v>368853433.87689626</v>
      </c>
      <c r="U45" s="10"/>
      <c r="V45" s="10"/>
      <c r="W45" s="9">
        <v>0.25</v>
      </c>
      <c r="X45" s="10"/>
      <c r="Y45">
        <v>-2.610545677197984E-12</v>
      </c>
      <c r="Z45" s="10"/>
      <c r="AA45" s="2">
        <f t="shared" si="15"/>
        <v>5.2136614342019236E-6</v>
      </c>
      <c r="AB45" s="10"/>
    </row>
    <row r="46" spans="1:28" x14ac:dyDescent="0.25">
      <c r="B46" s="2"/>
      <c r="C46" s="10"/>
      <c r="D46">
        <f t="shared" si="12"/>
        <v>0.99999999999999989</v>
      </c>
      <c r="E46">
        <f t="shared" si="13"/>
        <v>0.30799999999999994</v>
      </c>
      <c r="F46">
        <v>3.3</v>
      </c>
      <c r="G46" s="2">
        <v>1.3825958831148499E-6</v>
      </c>
      <c r="H46" s="2">
        <v>1.49466666243825E-6</v>
      </c>
      <c r="I46" s="10"/>
      <c r="J46">
        <f t="shared" si="8"/>
        <v>2.7091655434994803E-2</v>
      </c>
      <c r="K46" s="10"/>
      <c r="L46">
        <f t="shared" si="9"/>
        <v>36.911734773810871</v>
      </c>
      <c r="M46" s="10"/>
      <c r="N46">
        <f t="shared" si="10"/>
        <v>3.7456811271189865E-8</v>
      </c>
      <c r="O46" s="10"/>
      <c r="P46">
        <f t="shared" si="11"/>
        <v>26697414.063357715</v>
      </c>
      <c r="Q46" s="10"/>
      <c r="R46" s="10"/>
      <c r="S46" s="10"/>
      <c r="T46" s="12">
        <f t="shared" si="14"/>
        <v>144655428.56197435</v>
      </c>
      <c r="U46" s="10"/>
      <c r="V46" s="10"/>
      <c r="W46" s="9">
        <v>0.35000002384185791</v>
      </c>
      <c r="X46" s="10"/>
      <c r="Y46">
        <v>-3.4787565189597913E-11</v>
      </c>
      <c r="Z46" s="10"/>
      <c r="AA46" s="2">
        <f t="shared" si="15"/>
        <v>8.9778953449016252E-6</v>
      </c>
      <c r="AB46" s="10"/>
    </row>
    <row r="47" spans="1:28" x14ac:dyDescent="0.25">
      <c r="B47" s="2"/>
      <c r="C47" s="10"/>
      <c r="D47">
        <f t="shared" si="12"/>
        <v>1.0999999999999999</v>
      </c>
      <c r="E47">
        <f t="shared" si="13"/>
        <v>0.40799999999999992</v>
      </c>
      <c r="F47">
        <v>3.3</v>
      </c>
      <c r="G47" s="2">
        <v>2.6193890789727401E-6</v>
      </c>
      <c r="H47" s="2">
        <v>2.8156848657090399E-6</v>
      </c>
      <c r="I47" s="10"/>
      <c r="J47">
        <f t="shared" si="8"/>
        <v>2.5912700589018005E-2</v>
      </c>
      <c r="K47" s="10"/>
      <c r="L47">
        <f t="shared" si="9"/>
        <v>38.591114676168004</v>
      </c>
      <c r="M47" s="10"/>
      <c r="N47">
        <f t="shared" si="10"/>
        <v>6.7875444929564251E-8</v>
      </c>
      <c r="O47" s="10"/>
      <c r="P47">
        <f t="shared" si="11"/>
        <v>14732868.43331518</v>
      </c>
      <c r="Q47" s="10"/>
      <c r="R47" s="10"/>
      <c r="S47" s="10"/>
      <c r="T47" s="12">
        <f t="shared" si="14"/>
        <v>76353681.7059782</v>
      </c>
      <c r="U47" s="10"/>
      <c r="V47" s="10"/>
      <c r="W47" s="9">
        <v>0.44999998807907104</v>
      </c>
      <c r="X47" s="10"/>
      <c r="Y47">
        <v>-6.8250682883075342E-10</v>
      </c>
      <c r="Z47" s="10"/>
      <c r="AA47" s="2">
        <f t="shared" si="15"/>
        <v>1.2840142543984023E-5</v>
      </c>
      <c r="AB47" s="10"/>
    </row>
    <row r="48" spans="1:28" x14ac:dyDescent="0.25">
      <c r="B48" s="2"/>
      <c r="C48" s="10"/>
      <c r="D48">
        <f t="shared" si="12"/>
        <v>1.2</v>
      </c>
      <c r="E48">
        <f t="shared" si="13"/>
        <v>0.50800000000000001</v>
      </c>
      <c r="F48">
        <v>3.3</v>
      </c>
      <c r="G48" s="2">
        <v>4.2231044972140799E-6</v>
      </c>
      <c r="H48" s="2">
        <v>4.5207980292616404E-6</v>
      </c>
      <c r="I48" s="10"/>
      <c r="J48">
        <f t="shared" si="8"/>
        <v>2.5247719531218998E-2</v>
      </c>
      <c r="K48" s="10"/>
      <c r="L48">
        <f t="shared" si="9"/>
        <v>39.607537574373495</v>
      </c>
      <c r="M48" s="10"/>
      <c r="N48">
        <f t="shared" si="10"/>
        <v>1.0662375789669071E-7</v>
      </c>
      <c r="O48" s="10"/>
      <c r="P48">
        <f t="shared" si="11"/>
        <v>9378772.7962928712</v>
      </c>
      <c r="Q48" s="10"/>
      <c r="R48" s="10"/>
      <c r="S48" s="10"/>
      <c r="T48" s="12">
        <f t="shared" si="14"/>
        <v>47358525.021565787</v>
      </c>
      <c r="U48" s="10"/>
      <c r="V48" s="10"/>
      <c r="W48" s="9">
        <v>0.55000001192092896</v>
      </c>
      <c r="X48" s="10"/>
      <c r="Y48">
        <v>-1.1889514262009016E-8</v>
      </c>
      <c r="Z48" s="10"/>
      <c r="AA48" s="2">
        <f t="shared" si="15"/>
        <v>1.6626395658323148E-5</v>
      </c>
      <c r="AB48" s="10"/>
    </row>
    <row r="49" spans="2:28" x14ac:dyDescent="0.25">
      <c r="B49" s="2"/>
      <c r="C49" s="10"/>
      <c r="D49">
        <f t="shared" si="12"/>
        <v>1.3</v>
      </c>
      <c r="E49">
        <f t="shared" si="13"/>
        <v>0.6080000000000001</v>
      </c>
      <c r="F49">
        <v>3.3</v>
      </c>
      <c r="G49" s="2">
        <v>6.1756436480209197E-6</v>
      </c>
      <c r="H49" s="2">
        <v>6.5886451920960099E-6</v>
      </c>
      <c r="I49" s="10"/>
      <c r="J49">
        <f t="shared" si="8"/>
        <v>2.4842448132627322E-2</v>
      </c>
      <c r="K49" s="10"/>
      <c r="L49">
        <f t="shared" si="9"/>
        <v>40.253681708874346</v>
      </c>
      <c r="M49" s="10"/>
      <c r="N49">
        <f t="shared" si="10"/>
        <v>1.5341810701154908E-7</v>
      </c>
      <c r="O49" s="10"/>
      <c r="P49">
        <f t="shared" si="11"/>
        <v>6518135.4370688563</v>
      </c>
      <c r="Q49" s="10"/>
      <c r="R49" s="10"/>
      <c r="S49" s="10"/>
      <c r="T49" s="12">
        <f>$R$43/G49</f>
        <v>32385288.303364635</v>
      </c>
      <c r="U49" s="10"/>
      <c r="V49" s="10"/>
      <c r="W49" s="9">
        <v>0.64999997615814209</v>
      </c>
      <c r="X49" s="10"/>
      <c r="Y49">
        <v>-1.4944647830361646E-7</v>
      </c>
      <c r="Z49" s="10"/>
      <c r="AA49" s="2">
        <f t="shared" si="15"/>
        <v>2.0314617263226707E-5</v>
      </c>
      <c r="AB49" s="10"/>
    </row>
    <row r="50" spans="2:28" x14ac:dyDescent="0.25">
      <c r="B50" s="2"/>
      <c r="C50" s="10"/>
      <c r="D50">
        <f t="shared" si="12"/>
        <v>1.4000000000000001</v>
      </c>
      <c r="E50">
        <f t="shared" si="13"/>
        <v>0.70800000000000018</v>
      </c>
      <c r="F50">
        <v>3.3</v>
      </c>
      <c r="G50" s="2">
        <v>8.4621497080661407E-6</v>
      </c>
      <c r="H50" s="2">
        <v>9.0014946181327105E-6</v>
      </c>
      <c r="I50" s="10"/>
      <c r="J50">
        <f t="shared" si="8"/>
        <v>2.4589567095600666E-2</v>
      </c>
      <c r="K50" s="10"/>
      <c r="L50">
        <f t="shared" si="9"/>
        <v>40.667653729410738</v>
      </c>
      <c r="M50" s="10"/>
      <c r="N50">
        <f t="shared" si="10"/>
        <v>2.0808059801950997E-7</v>
      </c>
      <c r="O50" s="10"/>
      <c r="P50">
        <f t="shared" si="11"/>
        <v>4805830.0942898979</v>
      </c>
      <c r="Q50" s="10"/>
      <c r="R50" s="10"/>
      <c r="S50" s="10"/>
      <c r="T50" s="12">
        <f t="shared" si="14"/>
        <v>23634656.310719665</v>
      </c>
      <c r="U50" s="10"/>
      <c r="V50" s="10"/>
      <c r="W50" s="9">
        <v>0.75</v>
      </c>
      <c r="X50" s="10"/>
      <c r="Y50">
        <v>-1.178967295345501E-6</v>
      </c>
      <c r="Z50" s="10"/>
      <c r="AA50" s="2">
        <f t="shared" si="15"/>
        <v>2.3904377706401522E-5</v>
      </c>
      <c r="AB50" s="10"/>
    </row>
    <row r="51" spans="2:28" x14ac:dyDescent="0.25">
      <c r="B51" s="2"/>
      <c r="C51" s="10"/>
      <c r="D51">
        <f t="shared" si="12"/>
        <v>1.5000000000000002</v>
      </c>
      <c r="E51">
        <f t="shared" si="13"/>
        <v>0.80800000000000027</v>
      </c>
      <c r="F51">
        <v>3.3</v>
      </c>
      <c r="G51">
        <v>1.1068189451179901E-5</v>
      </c>
      <c r="H51">
        <v>1.17421504910453E-5</v>
      </c>
      <c r="I51" s="10"/>
      <c r="J51">
        <f t="shared" si="8"/>
        <v>2.4434877689492117E-2</v>
      </c>
      <c r="K51" s="10"/>
      <c r="L51">
        <f t="shared" si="9"/>
        <v>40.925107655850319</v>
      </c>
      <c r="M51" s="10"/>
      <c r="N51">
        <f t="shared" si="10"/>
        <v>2.7044985548370774E-7</v>
      </c>
      <c r="O51" s="10"/>
      <c r="P51">
        <f t="shared" si="11"/>
        <v>3697543.1109455386</v>
      </c>
      <c r="Q51" s="10"/>
      <c r="R51" s="10"/>
      <c r="S51" s="10"/>
      <c r="T51" s="12">
        <f t="shared" si="14"/>
        <v>18069802.73351568</v>
      </c>
      <c r="U51" s="10"/>
      <c r="V51" s="10"/>
      <c r="W51" s="9">
        <v>0.85000002384185791</v>
      </c>
      <c r="X51" s="10"/>
      <c r="Y51">
        <v>-4.4375815377861727E-6</v>
      </c>
      <c r="Z51" s="10"/>
      <c r="AA51" s="2">
        <f t="shared" si="15"/>
        <v>2.7396508542524497E-5</v>
      </c>
      <c r="AB51" s="10"/>
    </row>
    <row r="52" spans="2:28" x14ac:dyDescent="0.25">
      <c r="B52" s="2"/>
      <c r="C52" s="10"/>
      <c r="D52">
        <f t="shared" si="12"/>
        <v>1.6000000000000003</v>
      </c>
      <c r="E52">
        <f t="shared" si="13"/>
        <v>0.90800000000000036</v>
      </c>
      <c r="F52">
        <v>3.3</v>
      </c>
      <c r="G52">
        <v>1.39794246933889E-5</v>
      </c>
      <c r="H52">
        <v>1.47935907079955E-5</v>
      </c>
      <c r="I52" s="10"/>
      <c r="J52">
        <f t="shared" si="8"/>
        <v>2.4347955292122844E-2</v>
      </c>
      <c r="K52" s="10"/>
      <c r="L52">
        <f t="shared" si="9"/>
        <v>41.071210621268243</v>
      </c>
      <c r="M52" s="10"/>
      <c r="N52">
        <f t="shared" si="10"/>
        <v>3.4037040744423105E-7</v>
      </c>
      <c r="O52" s="10"/>
      <c r="P52">
        <f t="shared" si="11"/>
        <v>2937975.7409252678</v>
      </c>
      <c r="Q52" s="10"/>
      <c r="R52" s="10"/>
      <c r="S52" s="10"/>
      <c r="T52" s="12">
        <f t="shared" si="14"/>
        <v>14306740.397877982</v>
      </c>
      <c r="U52" s="10"/>
      <c r="V52" s="10"/>
      <c r="W52" s="9">
        <v>0.94999998807907104</v>
      </c>
      <c r="X52" s="10"/>
      <c r="Y52">
        <v>-8.8389069787808694E-6</v>
      </c>
      <c r="Z52" s="10"/>
      <c r="AA52" s="2">
        <f t="shared" si="15"/>
        <v>3.0791684346671573E-5</v>
      </c>
      <c r="AB52" s="10"/>
    </row>
    <row r="53" spans="2:28" x14ac:dyDescent="0.25">
      <c r="B53" s="2"/>
      <c r="C53" s="10"/>
      <c r="D53">
        <f t="shared" si="12"/>
        <v>1.7000000000000004</v>
      </c>
      <c r="E53">
        <f t="shared" si="13"/>
        <v>1.0080000000000005</v>
      </c>
      <c r="F53">
        <v>3.3</v>
      </c>
      <c r="G53">
        <v>1.7181704606628001E-5</v>
      </c>
      <c r="H53">
        <v>1.8139075109502301E-5</v>
      </c>
      <c r="I53" s="10"/>
      <c r="J53">
        <f t="shared" si="8"/>
        <v>2.4310796108279725E-2</v>
      </c>
      <c r="K53" s="10"/>
      <c r="L53">
        <f t="shared" si="9"/>
        <v>41.133988189692474</v>
      </c>
      <c r="M53" s="10"/>
      <c r="N53">
        <f t="shared" si="10"/>
        <v>4.1770091748442384E-7</v>
      </c>
      <c r="O53" s="10"/>
      <c r="P53">
        <f t="shared" si="11"/>
        <v>2394057.465859625</v>
      </c>
      <c r="Q53" s="10"/>
      <c r="R53" s="10"/>
      <c r="S53" s="10"/>
      <c r="T53" s="12">
        <f t="shared" si="14"/>
        <v>11640288.584803637</v>
      </c>
      <c r="U53" s="10"/>
      <c r="V53" s="10"/>
      <c r="W53" s="9">
        <v>1.0499999523162842</v>
      </c>
      <c r="X53" s="10"/>
      <c r="Y53">
        <v>-1.2961154425283894E-5</v>
      </c>
      <c r="Z53" s="10"/>
      <c r="AA53" s="2">
        <f t="shared" si="15"/>
        <v>3.409068374330951E-5</v>
      </c>
      <c r="AB53" s="10"/>
    </row>
    <row r="54" spans="2:28" x14ac:dyDescent="0.25">
      <c r="B54" s="2"/>
      <c r="C54" s="10"/>
      <c r="D54">
        <f t="shared" si="12"/>
        <v>1.8000000000000005</v>
      </c>
      <c r="E54">
        <f t="shared" si="13"/>
        <v>1.1080000000000005</v>
      </c>
      <c r="F54">
        <v>3.3</v>
      </c>
      <c r="G54">
        <v>2.06611584872007E-5</v>
      </c>
      <c r="H54">
        <v>2.1762232790933902E-5</v>
      </c>
      <c r="I54" s="10"/>
      <c r="J54">
        <f t="shared" si="8"/>
        <v>2.431204038715893E-2</v>
      </c>
      <c r="K54" s="10"/>
      <c r="L54">
        <f t="shared" si="9"/>
        <v>41.131882971376498</v>
      </c>
      <c r="M54" s="10"/>
      <c r="N54">
        <f t="shared" si="10"/>
        <v>5.0231491958631489E-7</v>
      </c>
      <c r="O54" s="10"/>
      <c r="P54">
        <f t="shared" si="11"/>
        <v>1990782.9949059791</v>
      </c>
      <c r="Q54" s="10"/>
      <c r="R54" s="10"/>
      <c r="S54" s="10"/>
      <c r="T54" s="12">
        <f t="shared" si="14"/>
        <v>9679999.3148446735</v>
      </c>
      <c r="U54" s="10"/>
      <c r="V54" s="10"/>
      <c r="W54" s="9">
        <v>1.1500000953674316</v>
      </c>
      <c r="X54" s="10"/>
      <c r="Y54">
        <v>-1.6761687220423482E-5</v>
      </c>
      <c r="Z54" s="10"/>
      <c r="AA54" s="2">
        <f t="shared" si="15"/>
        <v>3.7294509904694388E-5</v>
      </c>
      <c r="AB54" s="10"/>
    </row>
    <row r="55" spans="2:28" x14ac:dyDescent="0.25">
      <c r="B55" s="2"/>
      <c r="C55" s="10"/>
      <c r="D55">
        <f t="shared" si="12"/>
        <v>1.9000000000000006</v>
      </c>
      <c r="E55">
        <f t="shared" si="13"/>
        <v>1.2080000000000006</v>
      </c>
      <c r="F55">
        <v>3.3</v>
      </c>
      <c r="G55">
        <v>2.4404242140008099E-5</v>
      </c>
      <c r="H55">
        <v>2.5647110305726501E-5</v>
      </c>
      <c r="I55" s="10"/>
      <c r="J55">
        <f>((H55-G55)/(F55-E55))/G55</f>
        <v>2.4344343017529194E-2</v>
      </c>
      <c r="K55" s="10"/>
      <c r="L55">
        <f t="shared" si="9"/>
        <v>41.077304870373702</v>
      </c>
      <c r="M55" s="10"/>
      <c r="N55">
        <f t="shared" si="10"/>
        <v>5.9410524173919794E-7</v>
      </c>
      <c r="O55" s="10"/>
      <c r="P55">
        <f t="shared" si="11"/>
        <v>1683203.4625255552</v>
      </c>
      <c r="Q55" s="10"/>
      <c r="R55" s="10"/>
      <c r="S55" s="10"/>
      <c r="T55" s="12">
        <f t="shared" si="14"/>
        <v>8195296.4920029929</v>
      </c>
      <c r="U55" s="10"/>
      <c r="V55" s="10"/>
      <c r="W55" s="9">
        <v>1.25</v>
      </c>
      <c r="X55" s="10"/>
      <c r="Y55">
        <v>-2.0366214812383987E-5</v>
      </c>
      <c r="Z55" s="10"/>
      <c r="AA55" s="2">
        <f t="shared" si="15"/>
        <v>4.04043744039869E-5</v>
      </c>
      <c r="AB55" s="10"/>
    </row>
    <row r="56" spans="2:28" x14ac:dyDescent="0.25">
      <c r="B56" s="2"/>
      <c r="C56" s="10"/>
      <c r="D56">
        <f t="shared" si="12"/>
        <v>2.0000000000000004</v>
      </c>
      <c r="E56">
        <f t="shared" si="13"/>
        <v>1.3080000000000005</v>
      </c>
      <c r="F56">
        <v>3.3</v>
      </c>
      <c r="G56">
        <v>2.8397760615916899E-5</v>
      </c>
      <c r="H56">
        <v>2.97781898552785E-5</v>
      </c>
      <c r="I56" s="10"/>
      <c r="J56">
        <f t="shared" si="8"/>
        <v>2.4402859623943771E-2</v>
      </c>
      <c r="K56" s="10"/>
      <c r="L56">
        <f t="shared" si="9"/>
        <v>40.978803935699936</v>
      </c>
      <c r="M56" s="10"/>
      <c r="N56">
        <f t="shared" si="10"/>
        <v>6.9298656594457911E-7</v>
      </c>
      <c r="O56" s="10"/>
      <c r="P56">
        <f t="shared" si="11"/>
        <v>1443029.4166481346</v>
      </c>
      <c r="Q56" s="10"/>
      <c r="R56" s="10"/>
      <c r="S56" s="10"/>
      <c r="T56" s="12">
        <f t="shared" si="14"/>
        <v>7042808.8575371793</v>
      </c>
      <c r="U56" s="10"/>
      <c r="V56" s="10"/>
      <c r="W56" s="9">
        <v>1.3499999046325684</v>
      </c>
      <c r="X56" s="10"/>
      <c r="Y56">
        <v>-2.3810071070329286E-5</v>
      </c>
      <c r="Z56" s="10"/>
      <c r="AA56" s="2">
        <f t="shared" si="15"/>
        <v>4.3421652317915731E-5</v>
      </c>
      <c r="AB56" s="10"/>
    </row>
    <row r="57" spans="2:28" x14ac:dyDescent="0.25">
      <c r="B57" s="2"/>
      <c r="C57" s="10"/>
      <c r="D57">
        <f t="shared" si="12"/>
        <v>2.1000000000000005</v>
      </c>
      <c r="E57">
        <f t="shared" si="13"/>
        <v>1.4080000000000006</v>
      </c>
      <c r="F57">
        <v>3.3</v>
      </c>
      <c r="G57">
        <v>3.2628893677610897E-5</v>
      </c>
      <c r="H57">
        <v>3.4140397474402602E-5</v>
      </c>
      <c r="I57" s="10"/>
      <c r="J57">
        <f t="shared" si="8"/>
        <v>2.448419116134698E-2</v>
      </c>
      <c r="K57" s="10"/>
      <c r="L57">
        <f t="shared" si="9"/>
        <v>40.84268062645635</v>
      </c>
      <c r="M57" s="10"/>
      <c r="N57">
        <f t="shared" si="10"/>
        <v>7.9889207018589104E-7</v>
      </c>
      <c r="O57" s="10"/>
      <c r="P57">
        <f t="shared" si="11"/>
        <v>1251733.5411369323</v>
      </c>
      <c r="Q57" s="10"/>
      <c r="R57" s="10"/>
      <c r="S57" s="10"/>
      <c r="T57" s="12">
        <f t="shared" si="14"/>
        <v>6129536.6608532863</v>
      </c>
      <c r="U57" s="10"/>
      <c r="V57" s="10"/>
      <c r="W57" s="9">
        <v>1.4500000476837158</v>
      </c>
      <c r="X57" s="10"/>
      <c r="Y57">
        <v>-2.7098229111288674E-5</v>
      </c>
      <c r="Z57" s="10"/>
      <c r="AA57" s="2">
        <f t="shared" si="15"/>
        <v>4.6347860337515458E-5</v>
      </c>
      <c r="AB57" s="10"/>
    </row>
    <row r="58" spans="2:28" x14ac:dyDescent="0.25">
      <c r="B58" s="2"/>
      <c r="C58" s="10"/>
      <c r="D58">
        <f t="shared" si="12"/>
        <v>2.2000000000000006</v>
      </c>
      <c r="E58">
        <f t="shared" si="13"/>
        <v>1.5080000000000007</v>
      </c>
      <c r="F58">
        <v>3.3</v>
      </c>
      <c r="G58">
        <v>3.70852030755486E-5</v>
      </c>
      <c r="H58">
        <v>3.87191103072837E-5</v>
      </c>
      <c r="I58" s="10"/>
      <c r="J58">
        <f t="shared" si="8"/>
        <v>2.4586048168064478E-2</v>
      </c>
      <c r="K58" s="10"/>
      <c r="L58">
        <f t="shared" si="9"/>
        <v>40.673474369050027</v>
      </c>
      <c r="M58" s="10"/>
      <c r="N58">
        <f t="shared" si="10"/>
        <v>9.1177858913789076E-7</v>
      </c>
      <c r="O58" s="10"/>
      <c r="P58">
        <f t="shared" si="11"/>
        <v>1096757.4934453382</v>
      </c>
      <c r="Q58" s="10"/>
      <c r="R58" s="10"/>
      <c r="S58" s="10"/>
      <c r="T58" s="12">
        <f t="shared" si="14"/>
        <v>5392986.5125065492</v>
      </c>
      <c r="U58" s="10"/>
      <c r="V58" s="10"/>
      <c r="W58" s="9">
        <v>1.5499999523162842</v>
      </c>
      <c r="X58" s="10"/>
      <c r="Y58">
        <v>-3.0232442441047169E-5</v>
      </c>
      <c r="Z58" s="10"/>
      <c r="AA58" s="2">
        <f t="shared" si="15"/>
        <v>4.9184619463592288E-5</v>
      </c>
      <c r="AB58" s="10"/>
    </row>
    <row r="59" spans="2:28" x14ac:dyDescent="0.25">
      <c r="B59" s="2"/>
      <c r="C59" s="10"/>
      <c r="D59">
        <f t="shared" si="12"/>
        <v>2.3000000000000007</v>
      </c>
      <c r="E59">
        <f t="shared" si="13"/>
        <v>1.6080000000000008</v>
      </c>
      <c r="F59">
        <v>3.3</v>
      </c>
      <c r="G59">
        <v>4.1754636185942197E-5</v>
      </c>
      <c r="H59">
        <v>4.3500142055563602E-5</v>
      </c>
      <c r="I59" s="10"/>
      <c r="J59">
        <f t="shared" si="8"/>
        <v>2.4706785847495812E-2</v>
      </c>
      <c r="K59" s="10"/>
      <c r="L59">
        <f t="shared" si="9"/>
        <v>40.474710315318347</v>
      </c>
      <c r="M59" s="10"/>
      <c r="N59">
        <f t="shared" si="10"/>
        <v>1.0316228543861732E-6</v>
      </c>
      <c r="O59" s="10"/>
      <c r="P59">
        <f t="shared" si="11"/>
        <v>969346.49687943456</v>
      </c>
      <c r="Q59" s="10"/>
      <c r="R59" s="10"/>
      <c r="S59" s="10"/>
      <c r="T59" s="12">
        <f t="shared" si="14"/>
        <v>4789887.2620840911</v>
      </c>
      <c r="U59" s="10"/>
      <c r="V59" s="10"/>
      <c r="W59" s="9">
        <v>1.6500000953674316</v>
      </c>
      <c r="X59" s="10"/>
      <c r="Y59">
        <v>-3.321507028886117E-5</v>
      </c>
      <c r="Z59" s="10"/>
      <c r="AA59" s="2">
        <f t="shared" si="15"/>
        <v>5.193362709694301E-5</v>
      </c>
      <c r="AB59" s="10"/>
    </row>
    <row r="60" spans="2:28" x14ac:dyDescent="0.25">
      <c r="B60" s="2"/>
      <c r="C60" s="10"/>
      <c r="D60">
        <f t="shared" si="12"/>
        <v>2.4000000000000008</v>
      </c>
      <c r="E60">
        <f t="shared" si="13"/>
        <v>1.7080000000000009</v>
      </c>
      <c r="F60">
        <v>3.3</v>
      </c>
      <c r="G60">
        <v>4.66255369246937E-5</v>
      </c>
      <c r="H60">
        <v>4.8469759349245598E-5</v>
      </c>
      <c r="I60" s="10"/>
      <c r="J60">
        <f t="shared" si="8"/>
        <v>2.4845422650509291E-2</v>
      </c>
      <c r="K60" s="10"/>
      <c r="L60">
        <f t="shared" si="9"/>
        <v>40.248862499406975</v>
      </c>
      <c r="M60" s="10"/>
      <c r="N60">
        <f t="shared" si="10"/>
        <v>1.1584311712009421E-6</v>
      </c>
      <c r="O60" s="10"/>
      <c r="P60">
        <f t="shared" si="11"/>
        <v>863236.43981653475</v>
      </c>
      <c r="Q60" s="10"/>
      <c r="R60" s="10"/>
      <c r="S60" s="10"/>
      <c r="T60" s="12">
        <f t="shared" si="14"/>
        <v>4289494.8389125466</v>
      </c>
      <c r="U60" s="10"/>
      <c r="V60" s="10"/>
      <c r="W60" s="9">
        <v>1.75</v>
      </c>
      <c r="X60" s="10"/>
      <c r="Y60">
        <v>-3.6049947084393352E-5</v>
      </c>
      <c r="Z60" s="10"/>
      <c r="AA60" s="2">
        <f t="shared" si="15"/>
        <v>5.4596647452802902E-5</v>
      </c>
      <c r="AB60" s="10"/>
    </row>
    <row r="61" spans="2:28" x14ac:dyDescent="0.25">
      <c r="B61" s="2"/>
      <c r="C61" s="10"/>
      <c r="D61">
        <f t="shared" si="12"/>
        <v>2.5000000000000009</v>
      </c>
      <c r="E61">
        <f t="shared" si="13"/>
        <v>1.8080000000000009</v>
      </c>
      <c r="F61">
        <v>3.3</v>
      </c>
      <c r="G61">
        <v>5.1686656661331701E-5</v>
      </c>
      <c r="H61">
        <v>5.3614654461853199E-5</v>
      </c>
      <c r="I61" s="10"/>
      <c r="J61">
        <f t="shared" si="8"/>
        <v>2.5001108803731853E-2</v>
      </c>
      <c r="K61" s="10"/>
      <c r="L61">
        <f t="shared" si="9"/>
        <v>39.998225992710069</v>
      </c>
      <c r="M61" s="10"/>
      <c r="N61">
        <f t="shared" si="10"/>
        <v>1.2922237268910856E-6</v>
      </c>
      <c r="O61" s="10"/>
      <c r="P61">
        <f t="shared" si="11"/>
        <v>773859.80398755241</v>
      </c>
      <c r="Q61" s="10"/>
      <c r="R61" s="10"/>
      <c r="S61" s="10"/>
      <c r="T61" s="12">
        <f t="shared" si="14"/>
        <v>3869470.6316654808</v>
      </c>
      <c r="U61" s="10"/>
      <c r="V61" s="10"/>
      <c r="W61" s="9">
        <v>1.8499999046325684</v>
      </c>
      <c r="X61" s="10"/>
      <c r="Y61">
        <v>-3.8740872696507722E-5</v>
      </c>
      <c r="Z61" s="10"/>
      <c r="AA61" s="2">
        <f t="shared" si="15"/>
        <v>5.7175505156340349E-5</v>
      </c>
      <c r="AB61" s="10"/>
    </row>
    <row r="62" spans="2:28" x14ac:dyDescent="0.25">
      <c r="B62" s="2"/>
      <c r="C62" s="10"/>
      <c r="D62">
        <f t="shared" si="12"/>
        <v>2.600000000000001</v>
      </c>
      <c r="E62">
        <f t="shared" si="13"/>
        <v>1.908000000000001</v>
      </c>
      <c r="F62">
        <v>3.3</v>
      </c>
      <c r="G62">
        <v>5.6927132391138002E-5</v>
      </c>
      <c r="H62">
        <v>5.8921956224367002E-5</v>
      </c>
      <c r="I62" s="10"/>
      <c r="J62">
        <f t="shared" si="8"/>
        <v>2.5173639324350398E-2</v>
      </c>
      <c r="K62" s="10"/>
      <c r="L62">
        <f t="shared" si="9"/>
        <v>39.724093410391504</v>
      </c>
      <c r="M62" s="10"/>
      <c r="N62">
        <f t="shared" si="10"/>
        <v>1.433063098584053E-6</v>
      </c>
      <c r="O62" s="10"/>
      <c r="P62">
        <f t="shared" si="11"/>
        <v>697805.98006330372</v>
      </c>
      <c r="Q62" s="10"/>
      <c r="R62" s="10"/>
      <c r="S62" s="10"/>
      <c r="T62" s="12">
        <f t="shared" si="14"/>
        <v>3513263.2120976909</v>
      </c>
      <c r="U62" s="10"/>
      <c r="V62" s="10"/>
      <c r="W62" s="9">
        <v>1.9500000476837158</v>
      </c>
      <c r="X62" s="10"/>
      <c r="Y62">
        <v>-4.1292110836366192E-5</v>
      </c>
      <c r="Z62" s="10"/>
      <c r="AA62" s="2">
        <f t="shared" si="15"/>
        <v>5.9672046531591162E-5</v>
      </c>
      <c r="AB62" s="10"/>
    </row>
    <row r="63" spans="2:28" x14ac:dyDescent="0.25">
      <c r="B63" s="2"/>
      <c r="C63" s="10"/>
      <c r="D63">
        <f t="shared" si="12"/>
        <v>2.7000000000000011</v>
      </c>
      <c r="E63">
        <f t="shared" si="13"/>
        <v>2.0080000000000009</v>
      </c>
      <c r="F63">
        <v>3.3</v>
      </c>
      <c r="G63">
        <v>6.2336512201000005E-5</v>
      </c>
      <c r="H63">
        <v>6.4379193645436303E-5</v>
      </c>
      <c r="I63" s="10"/>
      <c r="J63">
        <f t="shared" si="8"/>
        <v>2.5362708531293396E-2</v>
      </c>
      <c r="K63" s="10"/>
      <c r="L63">
        <f t="shared" si="9"/>
        <v>39.427965619924429</v>
      </c>
      <c r="M63" s="10"/>
      <c r="N63">
        <f t="shared" si="10"/>
        <v>1.5810227898113777E-6</v>
      </c>
      <c r="O63" s="10"/>
      <c r="P63">
        <f t="shared" si="11"/>
        <v>632501.95154954342</v>
      </c>
      <c r="Q63" s="10"/>
      <c r="R63" s="10"/>
      <c r="S63" s="10"/>
      <c r="T63" s="12">
        <f t="shared" si="14"/>
        <v>3208392.5285250656</v>
      </c>
      <c r="U63" s="10"/>
      <c r="V63" s="10"/>
      <c r="W63" s="9">
        <v>2.0499999523162842</v>
      </c>
      <c r="X63" s="10"/>
      <c r="Y63">
        <v>-4.3708336306735873E-5</v>
      </c>
      <c r="Z63" s="10"/>
      <c r="AA63" s="2">
        <f t="shared" si="15"/>
        <v>6.2088159562748979E-5</v>
      </c>
      <c r="AB63" s="10"/>
    </row>
    <row r="64" spans="2:28" x14ac:dyDescent="0.25">
      <c r="B64" s="2"/>
      <c r="C64" s="10"/>
      <c r="D64">
        <f t="shared" si="12"/>
        <v>2.8000000000000012</v>
      </c>
      <c r="E64">
        <f t="shared" si="13"/>
        <v>2.1080000000000014</v>
      </c>
      <c r="F64">
        <v>3.3</v>
      </c>
      <c r="G64">
        <v>6.7904751631431295E-5</v>
      </c>
      <c r="H64">
        <v>6.9974317739252001E-5</v>
      </c>
      <c r="I64" s="10"/>
      <c r="J64">
        <f t="shared" si="8"/>
        <v>2.5568360622620849E-2</v>
      </c>
      <c r="K64" s="10"/>
      <c r="L64">
        <f t="shared" si="9"/>
        <v>39.110837599626144</v>
      </c>
      <c r="M64" s="10"/>
      <c r="N64">
        <f t="shared" si="10"/>
        <v>1.7362131777019369E-6</v>
      </c>
      <c r="O64" s="10"/>
      <c r="P64">
        <f t="shared" si="11"/>
        <v>575966.13874547742</v>
      </c>
      <c r="Q64" s="10"/>
      <c r="R64" s="10"/>
      <c r="S64" s="10"/>
      <c r="T64" s="12">
        <f t="shared" si="14"/>
        <v>2945301.9883725685</v>
      </c>
      <c r="U64" s="10"/>
      <c r="V64" s="10"/>
      <c r="W64" s="9">
        <v>2.1500000953674316</v>
      </c>
      <c r="X64" s="10"/>
      <c r="Y64">
        <v>-4.5993590902071446E-5</v>
      </c>
      <c r="Z64" s="10"/>
      <c r="AA64" s="2">
        <f t="shared" si="15"/>
        <v>6.4425760561130223E-5</v>
      </c>
      <c r="AB64" s="10"/>
    </row>
    <row r="65" spans="2:28" x14ac:dyDescent="0.25">
      <c r="B65" s="2"/>
      <c r="C65" s="10"/>
      <c r="D65">
        <f t="shared" si="12"/>
        <v>2.9000000000000012</v>
      </c>
      <c r="E65">
        <f t="shared" si="13"/>
        <v>2.2080000000000011</v>
      </c>
      <c r="F65">
        <v>3.3</v>
      </c>
      <c r="G65">
        <v>7.3622177296783802E-5</v>
      </c>
      <c r="H65">
        <v>7.5695643317885697E-5</v>
      </c>
      <c r="I65" s="10"/>
      <c r="J65">
        <f t="shared" si="8"/>
        <v>2.5790848319361213E-2</v>
      </c>
      <c r="K65" s="10"/>
      <c r="L65">
        <f t="shared" si="9"/>
        <v>38.773443495043907</v>
      </c>
      <c r="M65" s="10"/>
      <c r="N65">
        <f t="shared" si="10"/>
        <v>1.8987784076024698E-6</v>
      </c>
      <c r="O65" s="10"/>
      <c r="P65">
        <f t="shared" si="11"/>
        <v>526654.39842591737</v>
      </c>
      <c r="Q65" s="10"/>
      <c r="R65" s="10"/>
      <c r="S65" s="10"/>
      <c r="T65" s="12">
        <f t="shared" si="14"/>
        <v>2716572.7413054523</v>
      </c>
      <c r="U65" s="10"/>
      <c r="V65" s="10"/>
      <c r="W65" s="9">
        <v>2.25</v>
      </c>
      <c r="X65" s="10"/>
      <c r="Y65">
        <v>-4.8152880481211469E-5</v>
      </c>
      <c r="Z65" s="10"/>
      <c r="AA65" s="2">
        <f t="shared" si="15"/>
        <v>6.6686754797811389E-5</v>
      </c>
      <c r="AB65" s="10"/>
    </row>
    <row r="66" spans="2:28" x14ac:dyDescent="0.25">
      <c r="B66" s="2"/>
      <c r="C66" s="10"/>
      <c r="D66">
        <f t="shared" si="12"/>
        <v>3.0000000000000013</v>
      </c>
      <c r="E66">
        <f t="shared" si="13"/>
        <v>2.3080000000000016</v>
      </c>
      <c r="F66">
        <v>3.3</v>
      </c>
      <c r="G66">
        <v>7.9479534178972204E-5</v>
      </c>
      <c r="H66">
        <v>8.1531878095120205E-5</v>
      </c>
      <c r="I66" s="10"/>
      <c r="J66">
        <f t="shared" si="8"/>
        <v>2.6030538529621464E-2</v>
      </c>
      <c r="K66" s="10"/>
      <c r="L66">
        <f t="shared" si="9"/>
        <v>38.416416120705669</v>
      </c>
      <c r="M66" s="10"/>
      <c r="N66">
        <f t="shared" si="10"/>
        <v>2.0688950767621019E-6</v>
      </c>
      <c r="O66" s="10"/>
      <c r="P66">
        <f t="shared" si="11"/>
        <v>483349.78957223747</v>
      </c>
      <c r="Q66" s="10"/>
      <c r="R66" s="10"/>
      <c r="S66" s="10"/>
      <c r="T66" s="12">
        <f t="shared" si="14"/>
        <v>2516371.0641489108</v>
      </c>
      <c r="U66" s="10"/>
      <c r="V66" s="10"/>
      <c r="W66" s="9">
        <v>2.3499999046325684</v>
      </c>
      <c r="X66" s="10"/>
      <c r="Y66">
        <v>-5.0190403271699324E-5</v>
      </c>
      <c r="Z66" s="10"/>
      <c r="AA66" s="2">
        <f t="shared" si="15"/>
        <v>6.8873079877792155E-5</v>
      </c>
      <c r="AB66" s="10"/>
    </row>
    <row r="67" spans="2:28" x14ac:dyDescent="0.25">
      <c r="B67" s="2"/>
      <c r="C67" s="10"/>
      <c r="D67">
        <f t="shared" si="12"/>
        <v>3.1000000000000014</v>
      </c>
      <c r="E67">
        <f t="shared" si="13"/>
        <v>2.4080000000000013</v>
      </c>
      <c r="F67">
        <v>3.3</v>
      </c>
      <c r="G67">
        <v>8.5467931057792198E-5</v>
      </c>
      <c r="H67">
        <v>8.7472064478788498E-5</v>
      </c>
      <c r="I67" s="10"/>
      <c r="J67">
        <f t="shared" si="8"/>
        <v>2.6288062886290847E-2</v>
      </c>
      <c r="K67" s="10"/>
      <c r="L67">
        <f t="shared" si="9"/>
        <v>38.040079420286887</v>
      </c>
      <c r="M67" s="10"/>
      <c r="N67">
        <f t="shared" si="10"/>
        <v>2.2467863464084118E-6</v>
      </c>
      <c r="O67" s="10"/>
      <c r="P67">
        <f t="shared" si="11"/>
        <v>445080.14818522672</v>
      </c>
      <c r="Q67" s="10"/>
      <c r="R67" s="10"/>
      <c r="S67" s="10"/>
      <c r="T67" s="12">
        <f t="shared" si="14"/>
        <v>2340058.9849865776</v>
      </c>
      <c r="U67" s="10"/>
      <c r="V67" s="10"/>
      <c r="W67" s="9">
        <v>2.4500000476837158</v>
      </c>
      <c r="X67" s="10"/>
      <c r="Y67">
        <v>-5.2110590331722051E-5</v>
      </c>
      <c r="Z67" s="10"/>
      <c r="AA67" s="2">
        <f t="shared" si="15"/>
        <v>7.0986653702485183E-5</v>
      </c>
      <c r="AB67" s="10"/>
    </row>
    <row r="68" spans="2:28" x14ac:dyDescent="0.25">
      <c r="B68" s="2"/>
      <c r="C68" s="10"/>
      <c r="D68">
        <f t="shared" si="12"/>
        <v>3.2000000000000015</v>
      </c>
      <c r="E68">
        <f t="shared" si="13"/>
        <v>2.5080000000000018</v>
      </c>
      <c r="F68">
        <v>3.3</v>
      </c>
      <c r="G68">
        <v>9.1578869614750106E-5</v>
      </c>
      <c r="H68">
        <v>9.3505579570774003E-5</v>
      </c>
      <c r="I68" s="10"/>
      <c r="J68">
        <f t="shared" si="8"/>
        <v>2.6564147397463017E-2</v>
      </c>
      <c r="K68" s="10"/>
      <c r="L68">
        <f t="shared" si="9"/>
        <v>37.644724110193124</v>
      </c>
      <c r="M68" s="10"/>
      <c r="N68">
        <f t="shared" si="10"/>
        <v>2.4327145909392691E-6</v>
      </c>
      <c r="O68" s="10"/>
      <c r="P68">
        <f t="shared" si="11"/>
        <v>411063.42837114353</v>
      </c>
      <c r="Q68" s="10"/>
      <c r="R68" s="10"/>
      <c r="S68" s="10"/>
      <c r="T68" s="12">
        <f t="shared" si="14"/>
        <v>2183909.9001915078</v>
      </c>
      <c r="U68" s="10"/>
      <c r="V68" s="10"/>
      <c r="W68" s="9">
        <v>2.5499999523162842</v>
      </c>
      <c r="X68" s="10"/>
      <c r="Y68">
        <v>-5.3918462072033435E-5</v>
      </c>
      <c r="Z68" s="10"/>
      <c r="AA68" s="2">
        <f t="shared" si="15"/>
        <v>7.3029401606658731E-5</v>
      </c>
      <c r="AB68" s="10"/>
    </row>
    <row r="69" spans="2:28" x14ac:dyDescent="0.25">
      <c r="B69" s="2"/>
      <c r="C69" s="10"/>
      <c r="D69">
        <f t="shared" si="12"/>
        <v>3.3000000000000016</v>
      </c>
      <c r="E69">
        <f t="shared" si="13"/>
        <v>2.6080000000000014</v>
      </c>
      <c r="F69">
        <v>3.3</v>
      </c>
      <c r="G69">
        <v>9.7804215329233598E-5</v>
      </c>
      <c r="H69">
        <v>9.96221133391373E-5</v>
      </c>
      <c r="I69" s="10"/>
      <c r="J69">
        <f t="shared" si="8"/>
        <v>2.6859989998205862E-2</v>
      </c>
      <c r="K69" s="10"/>
      <c r="L69">
        <f>1/J69</f>
        <v>37.23009576946216</v>
      </c>
      <c r="M69" s="10"/>
      <c r="N69">
        <f t="shared" si="10"/>
        <v>2.627020245525587E-6</v>
      </c>
      <c r="O69" s="10"/>
      <c r="P69">
        <f t="shared" si="11"/>
        <v>380659.41886181786</v>
      </c>
      <c r="Q69" s="10"/>
      <c r="R69" s="10"/>
      <c r="S69" s="10"/>
      <c r="T69" s="12">
        <f t="shared" si="14"/>
        <v>2044901.6366702567</v>
      </c>
      <c r="U69" s="10"/>
      <c r="V69" s="10"/>
      <c r="W69" s="9">
        <v>2.6500000953674316</v>
      </c>
      <c r="X69" s="10"/>
      <c r="Y69">
        <v>-5.5617849284317344E-5</v>
      </c>
      <c r="Z69" s="10"/>
      <c r="AA69" s="2">
        <f t="shared" si="15"/>
        <v>7.5003232614442899E-5</v>
      </c>
      <c r="AB69" s="10"/>
    </row>
    <row r="70" spans="2:2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9">
        <v>2.75</v>
      </c>
      <c r="X70" s="10"/>
      <c r="Y70">
        <v>-5.7213746913475916E-5</v>
      </c>
      <c r="Z70" s="10"/>
      <c r="AA70" s="10"/>
      <c r="AB70" s="10"/>
    </row>
    <row r="71" spans="2:2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9">
        <v>2.8499999046325684</v>
      </c>
      <c r="X71" s="10"/>
      <c r="Y71">
        <v>-5.8710047596832737E-5</v>
      </c>
      <c r="Z71" s="10"/>
      <c r="AA71" s="10"/>
      <c r="AB71" s="10"/>
    </row>
    <row r="72" spans="2:2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9">
        <v>2.9500000476837158</v>
      </c>
      <c r="X72" s="10"/>
      <c r="Y72">
        <v>-6.0111109632998705E-5</v>
      </c>
      <c r="Z72" s="10"/>
      <c r="AA72" s="10"/>
      <c r="AB72" s="10"/>
    </row>
    <row r="73" spans="2:2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9">
        <v>3.0499999523162842</v>
      </c>
      <c r="X73" s="10"/>
      <c r="Y73">
        <v>-6.1421436839736998E-5</v>
      </c>
      <c r="Z73" s="10"/>
      <c r="AA73" s="10"/>
      <c r="AB73" s="10"/>
    </row>
    <row r="74" spans="2:2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9">
        <v>3.1500000953674316</v>
      </c>
      <c r="X74" s="10"/>
      <c r="Y74">
        <v>-6.2644525314681232E-5</v>
      </c>
      <c r="Z74" s="10"/>
      <c r="AA74" s="10"/>
      <c r="AB74" s="10"/>
    </row>
    <row r="75" spans="2:28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9">
        <v>3.25</v>
      </c>
      <c r="X75" s="10"/>
      <c r="Y75">
        <v>-6.3784958911128342E-5</v>
      </c>
      <c r="Z75" s="10"/>
      <c r="AA75" s="10"/>
      <c r="AB75" s="10"/>
    </row>
    <row r="76" spans="2:28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85" spans="5:14" x14ac:dyDescent="0.25">
      <c r="H85" s="5"/>
      <c r="I85" s="5"/>
    </row>
    <row r="86" spans="5:14" x14ac:dyDescent="0.25">
      <c r="H86" s="5"/>
      <c r="I86" s="5"/>
    </row>
    <row r="87" spans="5:14" x14ac:dyDescent="0.25">
      <c r="M87" s="5"/>
      <c r="N87" s="5"/>
    </row>
    <row r="88" spans="5:14" x14ac:dyDescent="0.25">
      <c r="E88" s="1"/>
      <c r="F88" s="1"/>
      <c r="G88" s="1"/>
      <c r="H88" s="1"/>
      <c r="I88" s="1"/>
      <c r="K88" s="1"/>
      <c r="M88" s="1"/>
      <c r="N88" s="1"/>
    </row>
    <row r="99" spans="4:16" x14ac:dyDescent="0.25">
      <c r="D99" s="1"/>
    </row>
    <row r="100" spans="4:16" x14ac:dyDescent="0.25">
      <c r="O100" s="9"/>
    </row>
    <row r="101" spans="4:16" x14ac:dyDescent="0.25">
      <c r="D101" s="1"/>
      <c r="E101" s="1"/>
      <c r="F101" s="1"/>
      <c r="G101" s="1"/>
      <c r="H101" s="1"/>
      <c r="J101" s="1"/>
      <c r="K101" s="9"/>
      <c r="L101" s="1"/>
      <c r="M101" s="9"/>
      <c r="N101" s="1"/>
      <c r="O101" s="17"/>
      <c r="P101" s="1"/>
    </row>
    <row r="102" spans="4:16" x14ac:dyDescent="0.25">
      <c r="K102" s="9"/>
      <c r="M102" s="9"/>
      <c r="N102" s="2"/>
      <c r="O102" s="9"/>
    </row>
    <row r="103" spans="4:16" x14ac:dyDescent="0.25">
      <c r="O103" s="9"/>
    </row>
    <row r="104" spans="4:16" x14ac:dyDescent="0.25">
      <c r="O104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2020-04-26T16:25:26Z</dcterms:modified>
</cp:coreProperties>
</file>