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lessiomorgantini/Desktop/"/>
    </mc:Choice>
  </mc:AlternateContent>
  <xr:revisionPtr revIDLastSave="0" documentId="13_ncr:1_{9E58AB75-F879-A44A-800D-AF8ECD6ADF14}" xr6:coauthVersionLast="47" xr6:coauthVersionMax="47" xr10:uidLastSave="{00000000-0000-0000-0000-000000000000}"/>
  <bookViews>
    <workbookView xWindow="0" yWindow="0" windowWidth="28800" windowHeight="18000" activeTab="4" xr2:uid="{1AB77673-B84E-6E42-AA1F-0DA988828B0F}"/>
  </bookViews>
  <sheets>
    <sheet name="Cost Behavior" sheetId="3" r:id="rId1"/>
    <sheet name="Break-even 1" sheetId="4" r:id="rId2"/>
    <sheet name="Break-even 2" sheetId="5" r:id="rId3"/>
    <sheet name="Master Budget" sheetId="7" r:id="rId4"/>
    <sheet name="16 Questions"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2" i="8" l="1"/>
  <c r="I79" i="8"/>
  <c r="D83" i="8"/>
  <c r="D70" i="8"/>
  <c r="I66" i="8" s="1"/>
  <c r="M60" i="8"/>
  <c r="D51" i="8"/>
  <c r="H47" i="8" s="1"/>
  <c r="H41" i="8"/>
  <c r="D45" i="8"/>
  <c r="F36" i="8"/>
  <c r="D34" i="8"/>
  <c r="D33" i="8"/>
  <c r="F26" i="8"/>
  <c r="E18" i="8"/>
  <c r="K15" i="8" s="1"/>
  <c r="J10" i="8"/>
  <c r="H1" i="8"/>
  <c r="K6" i="8" s="1"/>
  <c r="G56" i="7"/>
  <c r="G55" i="7"/>
  <c r="G54" i="7"/>
  <c r="G53" i="7"/>
  <c r="F62" i="7"/>
  <c r="F60" i="7"/>
  <c r="F58" i="7"/>
  <c r="F56" i="7"/>
  <c r="F55" i="7"/>
  <c r="F54" i="7"/>
  <c r="F53" i="7"/>
  <c r="E62" i="7"/>
  <c r="E56" i="7"/>
  <c r="E55" i="7"/>
  <c r="E54" i="7"/>
  <c r="D62" i="7"/>
  <c r="E53" i="7" s="1"/>
  <c r="D56" i="7"/>
  <c r="D55" i="7"/>
  <c r="D54" i="7"/>
  <c r="G51" i="7"/>
  <c r="F51" i="7"/>
  <c r="E51" i="7"/>
  <c r="D51" i="7"/>
  <c r="G49" i="7"/>
  <c r="G48" i="7"/>
  <c r="G47" i="7"/>
  <c r="G46" i="7"/>
  <c r="F49" i="7"/>
  <c r="F48" i="7"/>
  <c r="F47" i="7"/>
  <c r="F46" i="7"/>
  <c r="E49" i="7"/>
  <c r="E48" i="7"/>
  <c r="E47" i="7"/>
  <c r="E46" i="7"/>
  <c r="D49" i="7"/>
  <c r="D48" i="7"/>
  <c r="D46" i="7"/>
  <c r="G44" i="7"/>
  <c r="G43" i="7"/>
  <c r="G42" i="7"/>
  <c r="G41" i="7"/>
  <c r="F44" i="7"/>
  <c r="F42" i="7"/>
  <c r="D44" i="7"/>
  <c r="E44" i="7"/>
  <c r="F41" i="7"/>
  <c r="E41" i="7"/>
  <c r="G37" i="7"/>
  <c r="G36" i="7"/>
  <c r="G35" i="7"/>
  <c r="G34" i="7"/>
  <c r="F37" i="7"/>
  <c r="F36" i="7"/>
  <c r="F35" i="7"/>
  <c r="F34" i="7"/>
  <c r="E37" i="7"/>
  <c r="E36" i="7"/>
  <c r="E35" i="7"/>
  <c r="E34" i="7"/>
  <c r="D37" i="7"/>
  <c r="D36" i="7"/>
  <c r="E25" i="5"/>
  <c r="E29" i="5"/>
  <c r="E16" i="5"/>
  <c r="I17" i="5"/>
  <c r="I16" i="5"/>
  <c r="H17" i="5"/>
  <c r="H16" i="5"/>
  <c r="H11" i="4"/>
  <c r="D15" i="4"/>
  <c r="D13" i="4"/>
  <c r="D14" i="4" s="1"/>
  <c r="D6" i="4"/>
  <c r="D8" i="4" s="1"/>
  <c r="H5" i="4" s="1"/>
  <c r="F35" i="3"/>
  <c r="H7" i="3"/>
  <c r="H6" i="3"/>
  <c r="E30" i="3"/>
  <c r="E28" i="3"/>
  <c r="G7" i="3"/>
  <c r="G6" i="3"/>
  <c r="F21" i="8" l="1"/>
  <c r="G31" i="8"/>
  <c r="G8" i="3"/>
  <c r="H8" i="3"/>
  <c r="G10" i="3" l="1"/>
  <c r="E21" i="3" s="1"/>
  <c r="G11" i="3" l="1"/>
  <c r="E23" i="3" s="1"/>
  <c r="D8" i="5" l="1"/>
  <c r="C8" i="5"/>
  <c r="E7" i="5"/>
  <c r="E6" i="5"/>
  <c r="E5" i="5"/>
  <c r="H18" i="5" l="1"/>
  <c r="G5" i="5"/>
  <c r="F5" i="5"/>
  <c r="I18" i="5"/>
  <c r="F6" i="5"/>
  <c r="J16" i="5"/>
  <c r="G6" i="5"/>
  <c r="E8" i="5"/>
  <c r="E10" i="5" s="1"/>
  <c r="J17" i="5"/>
  <c r="G7" i="5"/>
  <c r="F7" i="5"/>
  <c r="F11" i="5"/>
  <c r="G11" i="5"/>
  <c r="H12" i="5" s="1"/>
  <c r="E11" i="5" l="1"/>
  <c r="E12" i="5" s="1"/>
  <c r="G8" i="5"/>
  <c r="F8" i="5"/>
  <c r="I20" i="5"/>
  <c r="I19" i="5"/>
  <c r="I21" i="5" s="1"/>
  <c r="H20" i="5"/>
  <c r="H19" i="5"/>
  <c r="H21" i="5" s="1"/>
  <c r="J20" i="5"/>
  <c r="J19" i="5"/>
  <c r="J21" i="5" l="1"/>
  <c r="J24" i="5" l="1"/>
  <c r="J22" i="5"/>
  <c r="J23" i="5" s="1"/>
  <c r="I24" i="5" l="1"/>
  <c r="H24" i="5"/>
</calcChain>
</file>

<file path=xl/sharedStrings.xml><?xml version="1.0" encoding="utf-8"?>
<sst xmlns="http://schemas.openxmlformats.org/spreadsheetml/2006/main" count="240" uniqueCount="209">
  <si>
    <t>Madison County Airport handles several daily commuter flights and many private flights.</t>
  </si>
  <si>
    <t>The county budget officer has compiled the following data regarding airport costs and activity over the past year.</t>
  </si>
  <si>
    <t>Month</t>
  </si>
  <si>
    <t># of Flights</t>
  </si>
  <si>
    <t>Airport Costs</t>
  </si>
  <si>
    <t>January</t>
  </si>
  <si>
    <t>February</t>
  </si>
  <si>
    <t>March</t>
  </si>
  <si>
    <t>April</t>
  </si>
  <si>
    <t>May</t>
  </si>
  <si>
    <t>June</t>
  </si>
  <si>
    <t>July</t>
  </si>
  <si>
    <t>August</t>
  </si>
  <si>
    <t>September</t>
  </si>
  <si>
    <t>October</t>
  </si>
  <si>
    <t>November</t>
  </si>
  <si>
    <t>December</t>
  </si>
  <si>
    <t>Estimate the cost equation using least-squares regression.</t>
  </si>
  <si>
    <t>Use the Hi-Lo method to estimate the cost equation.</t>
  </si>
  <si>
    <t>What are variable costs per flight?</t>
  </si>
  <si>
    <t>What are the airport's fixed costs?</t>
  </si>
  <si>
    <t>a.</t>
  </si>
  <si>
    <t>b.</t>
  </si>
  <si>
    <t>Predict the airport's costs during a month when</t>
  </si>
  <si>
    <t>flights originate there.</t>
  </si>
  <si>
    <t>Predicted cost during a month with 1,600 flights is</t>
  </si>
  <si>
    <t>College Avenue Bookstore sells new college textbooks at the publishers' suggested retail prices.</t>
  </si>
  <si>
    <t>Determine the bookstore's annual break-even point in sales dollars.</t>
  </si>
  <si>
    <t>SKYZ Company produces two models of basketball hoops, Ausom Garage Mount and Delux Ground Mount.</t>
  </si>
  <si>
    <t>Presented is sales information for the year 2017:</t>
  </si>
  <si>
    <t>Units manufactured and sold</t>
  </si>
  <si>
    <t>Sales Revenue</t>
  </si>
  <si>
    <t>Variable Costs</t>
  </si>
  <si>
    <t>Contribution Margin</t>
  </si>
  <si>
    <t>Fixed Costs</t>
  </si>
  <si>
    <t>Before-tax Profit</t>
  </si>
  <si>
    <t>Tax (40%)</t>
  </si>
  <si>
    <t>After-tax Profit</t>
  </si>
  <si>
    <t>Ausom</t>
  </si>
  <si>
    <t>Delux</t>
  </si>
  <si>
    <t>Total</t>
  </si>
  <si>
    <t>Determine the break-even point in sales dollars.</t>
  </si>
  <si>
    <t>In September, Jim Foster started a teddy bear company with $50,000 in cash and $30,000 in office equipment and furnishings.  (His contributed capital is therefore $80,000.)</t>
  </si>
  <si>
    <t>Foster manufactures teddy bears, which sell for $20.00 each.  Half of the sales are on credit and half are for cash.  Half of credit sales are collected in the month following the sale, the other half are collected in the month after that.  The bears cost $7.00 each in materials and $5.00 in labor.  Labor costs are paid in the month incurred.  Materials costs are paid in the month after the materials are delivered.</t>
  </si>
  <si>
    <t>Additional Selling, General and Administrative Expenses are $10,000 per month, including $1,000 in equipment depreciation.  Foster begins manufacturing in September though the bears are not available for sale until October.</t>
  </si>
  <si>
    <t>Foster can borrow at an annual rate of 12%.  He needs to maintain a minimum cash balance of $5,000.  Assume that borrowings take place at the beginning of the month and repayments occur at the end of the month.</t>
  </si>
  <si>
    <t>Production Schedule</t>
  </si>
  <si>
    <t>Sept</t>
  </si>
  <si>
    <t>Oct</t>
  </si>
  <si>
    <t>Nov</t>
  </si>
  <si>
    <t>Dec</t>
  </si>
  <si>
    <t>Inv-BoM</t>
  </si>
  <si>
    <t>Demand</t>
  </si>
  <si>
    <t>Target Inv-EoM</t>
  </si>
  <si>
    <t>Req Production</t>
  </si>
  <si>
    <t>Depreciation</t>
  </si>
  <si>
    <t xml:space="preserve">                                          </t>
  </si>
  <si>
    <t>Cash Flows</t>
  </si>
  <si>
    <t>Current Month Sales</t>
  </si>
  <si>
    <t>Prior Month Sales</t>
  </si>
  <si>
    <t>Two Months Ago Sales</t>
  </si>
  <si>
    <t>Total Cash Collections</t>
  </si>
  <si>
    <t>Payments to Employees</t>
  </si>
  <si>
    <t>Payments to Suppliers</t>
  </si>
  <si>
    <t>Payments of SG&amp;A</t>
  </si>
  <si>
    <t>Total Cash Payments</t>
  </si>
  <si>
    <t>Net Cash Flow</t>
  </si>
  <si>
    <t>Cash In</t>
  </si>
  <si>
    <t>Cash Required</t>
  </si>
  <si>
    <t>Borrowing Required</t>
  </si>
  <si>
    <t>Prepare a production schedule, Income Statement for each month, Cash Budget, and Balance Sheet as of December 31.</t>
  </si>
  <si>
    <t>Cash contributed</t>
  </si>
  <si>
    <t>Selling price</t>
  </si>
  <si>
    <t>Sales for cash</t>
  </si>
  <si>
    <t>Sales on credit</t>
  </si>
  <si>
    <t>Credit sales collection</t>
  </si>
  <si>
    <t>in month after sale</t>
  </si>
  <si>
    <t>2 months after sale</t>
  </si>
  <si>
    <t>Direct materials per bear</t>
  </si>
  <si>
    <t>Paid in the following month</t>
  </si>
  <si>
    <t>Direct labor</t>
  </si>
  <si>
    <t>Paid in the month incurred</t>
  </si>
  <si>
    <t>Ending inventory</t>
  </si>
  <si>
    <t>Forecasted sales</t>
  </si>
  <si>
    <t>units</t>
  </si>
  <si>
    <t>Fixed SG&amp;A</t>
  </si>
  <si>
    <t>per month</t>
  </si>
  <si>
    <t>Minimum cash</t>
  </si>
  <si>
    <t>Borrowing rate</t>
  </si>
  <si>
    <t>Borrowings take place at beginning of month and repayments at the end of a month.</t>
  </si>
  <si>
    <t>Next month's sales</t>
  </si>
  <si>
    <t>Production begins in September, but sale do not occur until October.</t>
  </si>
  <si>
    <t>Enter the yellow highlighted cells into Canvas</t>
  </si>
  <si>
    <t>Cash Out</t>
  </si>
  <si>
    <t>Balance</t>
  </si>
  <si>
    <t xml:space="preserve">Use the least squares regression results </t>
  </si>
  <si>
    <t>How much do customer actually owe Ralph Lauren at March 28, 2020?</t>
  </si>
  <si>
    <t>Calculate Ralph Lauren's Cash Collection Cycle (CCC).</t>
  </si>
  <si>
    <t>What is Ralph Lauren's Current Ratio?</t>
  </si>
  <si>
    <t>What is Ralph Lauren's Gross Profit Margin Percentage?</t>
  </si>
  <si>
    <t>What is Ralph Lauren's aveage tax rate?</t>
  </si>
  <si>
    <t>What is the numerator for the Basic Earnings per Share calculation?</t>
  </si>
  <si>
    <t>a</t>
  </si>
  <si>
    <t>Ralph Lauren did not make any acquisitions during the year because the balance in Goodwill declined</t>
  </si>
  <si>
    <t>b</t>
  </si>
  <si>
    <t>Ralph Lauren made acquisitions during the year because the decline in the balance of Goodwill is less than the Impairment of Goodwill</t>
  </si>
  <si>
    <t>c</t>
  </si>
  <si>
    <t>d</t>
  </si>
  <si>
    <t>Ralph Lauren made acquisitions during the year because the balance of Goodwill increased</t>
  </si>
  <si>
    <t>(Assume straight-line depreciation with no salvage values.)</t>
  </si>
  <si>
    <t>How many shares of Teasury Stock does Ralph Lauren hold as of March 28, 2020?</t>
  </si>
  <si>
    <t>What is Ralph Lauren't debt-to-equity ratio?</t>
  </si>
  <si>
    <t>What must be true about Ralph Lauren's "Commitments and Contingencies?"</t>
  </si>
  <si>
    <t>They don't have any.</t>
  </si>
  <si>
    <t>They don't want to recognize them on the balance sheet.</t>
  </si>
  <si>
    <t>The amounts are not probable and estimable.</t>
  </si>
  <si>
    <t>The potential gains cancel out the potential losses.</t>
  </si>
  <si>
    <t>How much was the Dividend Ralph Lauren paid for the year ending March 28, 2020?</t>
  </si>
  <si>
    <t>Which of the following is true?</t>
  </si>
  <si>
    <t>The facts described here are summarized in referencable cells below:</t>
  </si>
  <si>
    <t>Calculate days inventory on-hand (DOH).  Use the Inventory balance at March 28, 2020 in the numerator.</t>
  </si>
  <si>
    <t>Calculate days sales outstanding (DSO).  Use Accounts Receivable, gross at March 28, 2020 in the numerator.</t>
  </si>
  <si>
    <t>Calculate Days Payable Outstanding (DPO).  Use the Accounts Payable balance at March 28, 2020 in the numerator.</t>
  </si>
  <si>
    <t>What is the numerator for the Diluted Earnings per Share calculation?</t>
  </si>
  <si>
    <t>Ralph Lauren did not make any acquisitions during the year because the decline in Goodwill is because of Amortization</t>
  </si>
  <si>
    <t>Based on the information in the Property and Equipment note, what is the average age of Ralph Lauren's depreciable assets as of March 28, 2020?</t>
  </si>
  <si>
    <t>It then pays the publishers an amount equal to</t>
  </si>
  <si>
    <t>of the suggested retail price.</t>
  </si>
  <si>
    <t>The store's other variable costs average</t>
  </si>
  <si>
    <t>of sales revenue and annual fixed costs amount to</t>
  </si>
  <si>
    <t xml:space="preserve">Assuming an average textbook has a suggested retail price of </t>
  </si>
  <si>
    <t>determine the store's break-even point in units.</t>
  </si>
  <si>
    <t>b1.</t>
  </si>
  <si>
    <t>How many Ausom hoops must be sold to break even?</t>
  </si>
  <si>
    <t>b2.</t>
  </si>
  <si>
    <t>How many Delux hoops must be sold to break even?</t>
  </si>
  <si>
    <t>Foster’s policy is to have on hand, by the end of the month, sufficient inventory to fulfill 75% of the demand for the coming month.  Forecast sales for October, November, and December are 2,000, 3,000 and 8,000.  January demand is forecast at 2,000.</t>
  </si>
  <si>
    <t>Cash-Beg of Month</t>
  </si>
  <si>
    <t>Cash-End of Month</t>
  </si>
  <si>
    <t>Max</t>
  </si>
  <si>
    <t>Min</t>
  </si>
  <si>
    <t>Difference</t>
  </si>
  <si>
    <t>variable cost per flight</t>
  </si>
  <si>
    <t xml:space="preserve">Fixed Cost </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</si>
  <si>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</si>
  <si>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</si>
  <si>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</si>
  <si>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</si>
  <si>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</si>
  <si>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</si>
  <si>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</si>
  <si>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</si>
  <si>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</si>
  <si>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</si>
  <si>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</si>
  <si>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</si>
  <si>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</si>
  <si>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</si>
  <si>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</si>
  <si>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</si>
  <si>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</si>
  <si>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</si>
  <si>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</si>
  <si>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</si>
  <si>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</si>
  <si>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X Variable 1</t>
  </si>
  <si>
    <t>Contr Margin%</t>
  </si>
  <si>
    <t>BreakEvenRevenue</t>
  </si>
  <si>
    <t>Variable</t>
  </si>
  <si>
    <t>Contr Margin</t>
  </si>
  <si>
    <t>Quantity Break even</t>
  </si>
  <si>
    <t>VC</t>
  </si>
  <si>
    <t>Weight</t>
  </si>
  <si>
    <t>Weighted selling price</t>
  </si>
  <si>
    <t>Weighted VC</t>
  </si>
  <si>
    <t>Weighted Contribution margin</t>
  </si>
  <si>
    <t>Contribution margin</t>
  </si>
  <si>
    <t>Revenue</t>
  </si>
  <si>
    <t>Q break even</t>
  </si>
  <si>
    <t>Tot.</t>
  </si>
  <si>
    <t xml:space="preserve">Account receivables </t>
  </si>
  <si>
    <t>Allowance</t>
  </si>
  <si>
    <t>Revenues</t>
  </si>
  <si>
    <t>Inventory</t>
  </si>
  <si>
    <t>CGS</t>
  </si>
  <si>
    <t>Accounts payable</t>
  </si>
  <si>
    <t>Current assets</t>
  </si>
  <si>
    <t xml:space="preserve">Current liabilities </t>
  </si>
  <si>
    <t>Sales</t>
  </si>
  <si>
    <t>Income tax provision</t>
  </si>
  <si>
    <t>EBT</t>
  </si>
  <si>
    <t>EPS</t>
  </si>
  <si>
    <t>Net income</t>
  </si>
  <si>
    <t># shares</t>
  </si>
  <si>
    <t>Dialuted EPS</t>
  </si>
  <si>
    <t># share</t>
  </si>
  <si>
    <t>Net Income</t>
  </si>
  <si>
    <t>B</t>
  </si>
  <si>
    <t>Prop&amp;Equip</t>
  </si>
  <si>
    <t>Dep Exp</t>
  </si>
  <si>
    <t>Issued</t>
  </si>
  <si>
    <t>Outstanding</t>
  </si>
  <si>
    <t>Diff</t>
  </si>
  <si>
    <t>BB</t>
  </si>
  <si>
    <t>EB</t>
  </si>
  <si>
    <t>- Dividend</t>
  </si>
  <si>
    <t>Liabilities</t>
  </si>
  <si>
    <t>Equity</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</si>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</sst>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 numFmtId="167" formatCode="0.0%"/>
    <numFmt numFmtId="171" formatCode="&quot;$&quot;#,##0.0_);[Red]\(&quot;$&quot;#,##0.0\)"/>
  </numFmts>
  <fonts count="8" x14ac:knownFonts="1">
    <font>
      <sz val="12"/>
      <color theme="1"/>
      <name val="Calibri"/>
      <family val="2"/>
      <scheme val="minor"/>
    </font>
    <font>
      <sz val="12"/>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cellStyleXfs>
  <cellXfs count="92">
    <xf numFmtId="0" fontId="0" fillId="0" borderId="0" xfId="0"/>
    <xf numFmtId="6" fontId="0" fillId="0" borderId="0" xfId="0" applyNumberFormat="1"/>
    <xf numFmtId="164" fontId="0" fillId="0" borderId="0" xfId="1" applyNumberFormat="1" applyFont="1"/>
    <xf numFmtId="0" fontId="0" fillId="0" borderId="0" xfId="0" applyAlignment="1">
      <alignment horizontal="center"/>
    </xf>
    <xf numFmtId="0" fontId="0" fillId="2" borderId="1" xfId="0" applyFill="1" applyBorder="1"/>
    <xf numFmtId="3" fontId="0" fillId="0" borderId="0" xfId="0" applyNumberFormat="1"/>
    <xf numFmtId="9" fontId="0" fillId="0" borderId="0" xfId="0" applyNumberFormat="1"/>
    <xf numFmtId="0" fontId="3" fillId="0" borderId="0" xfId="0" applyFont="1" applyAlignment="1">
      <alignment vertical="center"/>
    </xf>
    <xf numFmtId="37" fontId="3" fillId="0" borderId="0" xfId="4" applyNumberFormat="1"/>
    <xf numFmtId="37" fontId="5" fillId="0" borderId="0" xfId="4" applyNumberFormat="1" applyFont="1" applyAlignment="1">
      <alignment horizontal="center"/>
    </xf>
    <xf numFmtId="37" fontId="6" fillId="0" borderId="0" xfId="4" applyNumberFormat="1" applyFont="1"/>
    <xf numFmtId="9" fontId="3" fillId="0" borderId="0" xfId="3" applyFont="1"/>
    <xf numFmtId="44" fontId="3" fillId="0" borderId="0" xfId="2" applyFont="1"/>
    <xf numFmtId="165" fontId="3" fillId="0" borderId="0" xfId="2" applyNumberFormat="1" applyFont="1"/>
    <xf numFmtId="37" fontId="6" fillId="2" borderId="1" xfId="4" applyNumberFormat="1" applyFont="1" applyFill="1" applyBorder="1"/>
    <xf numFmtId="0" fontId="0" fillId="0" borderId="0" xfId="0" applyAlignment="1">
      <alignment horizontal="center" vertical="center"/>
    </xf>
    <xf numFmtId="8" fontId="0" fillId="2" borderId="1" xfId="0" applyNumberFormat="1" applyFill="1" applyBorder="1"/>
    <xf numFmtId="164" fontId="0" fillId="2" borderId="1" xfId="1" applyNumberFormat="1" applyFont="1" applyFill="1" applyBorder="1"/>
    <xf numFmtId="1" fontId="0" fillId="2" borderId="1" xfId="0" applyNumberFormat="1" applyFill="1" applyBorder="1"/>
    <xf numFmtId="166" fontId="0" fillId="2" borderId="1" xfId="0" applyNumberFormat="1" applyFill="1" applyBorder="1"/>
    <xf numFmtId="167" fontId="0" fillId="2" borderId="1" xfId="3" applyNumberFormat="1" applyFont="1" applyFill="1" applyBorder="1"/>
    <xf numFmtId="0" fontId="0" fillId="2" borderId="1" xfId="0" applyFill="1" applyBorder="1" applyAlignment="1">
      <alignment horizontal="center"/>
    </xf>
    <xf numFmtId="0" fontId="3" fillId="0" borderId="0" xfId="0" applyFont="1" applyAlignment="1">
      <alignment horizontal="left" vertical="top" wrapText="1"/>
    </xf>
    <xf numFmtId="2" fontId="0" fillId="0" borderId="0" xfId="0" applyNumberFormat="1"/>
    <xf numFmtId="44" fontId="0" fillId="2" borderId="1" xfId="2" applyFont="1" applyFill="1" applyBorder="1"/>
    <xf numFmtId="8" fontId="0" fillId="2" borderId="1" xfId="1" applyNumberFormat="1" applyFont="1" applyFill="1" applyBorder="1"/>
    <xf numFmtId="0" fontId="0" fillId="0" borderId="5" xfId="0" applyBorder="1"/>
    <xf numFmtId="0" fontId="0" fillId="0" borderId="2" xfId="0" applyBorder="1"/>
    <xf numFmtId="0" fontId="0" fillId="0" borderId="6" xfId="0" applyBorder="1"/>
    <xf numFmtId="0" fontId="0" fillId="0" borderId="7" xfId="0" applyBorder="1"/>
    <xf numFmtId="0" fontId="0" fillId="0" borderId="11" xfId="0" applyBorder="1"/>
    <xf numFmtId="0" fontId="0" fillId="0" borderId="11" xfId="0" applyFill="1" applyBorder="1" applyAlignment="1"/>
    <xf numFmtId="0" fontId="0" fillId="0" borderId="11" xfId="0" applyBorder="1" applyAlignment="1">
      <alignment horizontal="center"/>
    </xf>
    <xf numFmtId="164" fontId="0" fillId="0" borderId="11" xfId="0" applyNumberFormat="1" applyBorder="1"/>
    <xf numFmtId="6" fontId="0" fillId="0" borderId="11" xfId="0" applyNumberFormat="1" applyBorder="1"/>
    <xf numFmtId="44" fontId="0" fillId="0" borderId="11" xfId="2" applyFont="1" applyBorder="1"/>
    <xf numFmtId="8" fontId="0" fillId="0" borderId="11" xfId="0" applyNumberFormat="1" applyBorder="1"/>
    <xf numFmtId="0" fontId="0" fillId="0" borderId="12"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4" xfId="0" applyBorder="1"/>
    <xf numFmtId="0" fontId="0" fillId="0" borderId="15" xfId="0" applyFill="1" applyBorder="1" applyAlignment="1"/>
    <xf numFmtId="0" fontId="0" fillId="0" borderId="15" xfId="0" applyBorder="1"/>
    <xf numFmtId="0" fontId="7" fillId="0" borderId="16" xfId="0" applyFont="1" applyFill="1" applyBorder="1" applyAlignment="1">
      <alignment horizontal="center"/>
    </xf>
    <xf numFmtId="0" fontId="7" fillId="0" borderId="17" xfId="0" applyFont="1" applyFill="1" applyBorder="1" applyAlignment="1">
      <alignment horizontal="center"/>
    </xf>
    <xf numFmtId="0" fontId="0" fillId="0" borderId="18" xfId="0" applyBorder="1"/>
    <xf numFmtId="0" fontId="0" fillId="0" borderId="19" xfId="0" applyBorder="1"/>
    <xf numFmtId="0" fontId="0" fillId="0" borderId="13" xfId="0" applyBorder="1"/>
    <xf numFmtId="0" fontId="0" fillId="0" borderId="20" xfId="0" applyBorder="1"/>
    <xf numFmtId="0" fontId="0" fillId="0" borderId="1" xfId="0" applyBorder="1" applyAlignment="1">
      <alignment horizontal="center"/>
    </xf>
    <xf numFmtId="0" fontId="0" fillId="0" borderId="21" xfId="0" applyFill="1" applyBorder="1" applyAlignment="1"/>
    <xf numFmtId="0" fontId="0" fillId="0" borderId="13" xfId="0" applyFill="1" applyBorder="1" applyAlignment="1"/>
    <xf numFmtId="0" fontId="0" fillId="0" borderId="22" xfId="0" applyFill="1" applyBorder="1" applyAlignment="1"/>
    <xf numFmtId="0" fontId="0" fillId="0" borderId="23" xfId="0" applyFill="1" applyBorder="1" applyAlignment="1"/>
    <xf numFmtId="0" fontId="0" fillId="0" borderId="24" xfId="0" applyFill="1" applyBorder="1" applyAlignment="1"/>
    <xf numFmtId="0" fontId="0" fillId="0" borderId="25" xfId="0" applyBorder="1"/>
    <xf numFmtId="0" fontId="7" fillId="0" borderId="26" xfId="0" applyFont="1" applyFill="1" applyBorder="1" applyAlignment="1">
      <alignment horizontal="center"/>
    </xf>
    <xf numFmtId="0" fontId="7" fillId="0" borderId="25" xfId="0" applyFont="1" applyFill="1" applyBorder="1" applyAlignment="1">
      <alignment horizontal="center"/>
    </xf>
    <xf numFmtId="0" fontId="7" fillId="0" borderId="18" xfId="0" applyFont="1" applyFill="1" applyBorder="1" applyAlignment="1">
      <alignment horizontal="center"/>
    </xf>
    <xf numFmtId="0" fontId="7" fillId="0" borderId="19" xfId="0" applyFont="1" applyFill="1" applyBorder="1" applyAlignment="1">
      <alignment horizontal="center"/>
    </xf>
    <xf numFmtId="0" fontId="7" fillId="0" borderId="27" xfId="0" applyFont="1" applyFill="1" applyBorder="1" applyAlignment="1">
      <alignment horizontal="center"/>
    </xf>
    <xf numFmtId="0" fontId="0" fillId="2" borderId="21" xfId="0" applyFill="1" applyBorder="1" applyAlignment="1"/>
    <xf numFmtId="0" fontId="0" fillId="2" borderId="13" xfId="0" applyFill="1" applyBorder="1" applyAlignment="1"/>
    <xf numFmtId="0" fontId="0" fillId="0" borderId="9" xfId="0" applyBorder="1"/>
    <xf numFmtId="0" fontId="0" fillId="0" borderId="3" xfId="0" applyBorder="1"/>
    <xf numFmtId="0" fontId="0" fillId="0" borderId="10" xfId="0" applyBorder="1"/>
    <xf numFmtId="9" fontId="0" fillId="0" borderId="2" xfId="0" applyNumberFormat="1" applyBorder="1"/>
    <xf numFmtId="8" fontId="0" fillId="0" borderId="3" xfId="0" applyNumberFormat="1" applyBorder="1"/>
    <xf numFmtId="0" fontId="0" fillId="0" borderId="16" xfId="0" applyBorder="1"/>
    <xf numFmtId="0" fontId="0" fillId="0" borderId="28" xfId="0" applyBorder="1"/>
    <xf numFmtId="0" fontId="0" fillId="0" borderId="29" xfId="0" applyBorder="1"/>
    <xf numFmtId="6" fontId="0" fillId="0" borderId="6" xfId="0" applyNumberFormat="1" applyBorder="1"/>
    <xf numFmtId="6" fontId="0" fillId="0" borderId="8" xfId="0" applyNumberFormat="1" applyBorder="1"/>
    <xf numFmtId="171" fontId="0" fillId="0" borderId="10" xfId="0" applyNumberFormat="1" applyBorder="1"/>
    <xf numFmtId="3" fontId="0" fillId="0" borderId="11" xfId="0" applyNumberFormat="1" applyBorder="1"/>
    <xf numFmtId="9" fontId="0" fillId="0" borderId="11" xfId="3" applyFont="1" applyBorder="1"/>
    <xf numFmtId="6" fontId="0" fillId="0" borderId="15" xfId="0" applyNumberFormat="1" applyBorder="1"/>
    <xf numFmtId="0" fontId="0" fillId="0" borderId="30" xfId="0" applyBorder="1"/>
    <xf numFmtId="6" fontId="0" fillId="0" borderId="30" xfId="0" applyNumberFormat="1" applyBorder="1"/>
    <xf numFmtId="9" fontId="0" fillId="0" borderId="30" xfId="3" applyFont="1" applyBorder="1"/>
    <xf numFmtId="4" fontId="0" fillId="0" borderId="11" xfId="2" applyNumberFormat="1" applyFont="1" applyBorder="1"/>
    <xf numFmtId="2" fontId="0" fillId="0" borderId="11" xfId="0" applyNumberFormat="1" applyBorder="1"/>
    <xf numFmtId="44" fontId="0" fillId="2" borderId="1" xfId="2" applyNumberFormat="1" applyFont="1" applyFill="1" applyBorder="1"/>
    <xf numFmtId="37" fontId="3" fillId="0" borderId="11" xfId="4" applyNumberFormat="1" applyBorder="1"/>
    <xf numFmtId="37" fontId="6" fillId="0" borderId="11" xfId="4" applyNumberFormat="1" applyFont="1" applyBorder="1"/>
    <xf numFmtId="37" fontId="3" fillId="2" borderId="11" xfId="4" applyNumberFormat="1" applyFill="1" applyBorder="1"/>
    <xf numFmtId="37" fontId="5" fillId="0" borderId="11" xfId="4" applyNumberFormat="1" applyFont="1" applyBorder="1" applyAlignment="1">
      <alignment horizontal="center"/>
    </xf>
    <xf numFmtId="37" fontId="3" fillId="0" borderId="15" xfId="4" applyNumberFormat="1" applyBorder="1"/>
    <xf numFmtId="37" fontId="4" fillId="0" borderId="1" xfId="4" applyNumberFormat="1" applyFont="1" applyBorder="1"/>
    <xf numFmtId="44" fontId="0" fillId="2" borderId="1" xfId="0" applyNumberFormat="1" applyFill="1" applyBorder="1"/>
    <xf numFmtId="0" fontId="0" fillId="0" borderId="11" xfId="0" quotePrefix="1" applyBorder="1"/>
    <xf numFmtId="2" fontId="0" fillId="2" borderId="1" xfId="0" applyNumberFormat="1" applyFill="1" applyBorder="1"/>
  </cellXfs>
  <cellStyles count="5">
    <cellStyle name="Comma" xfId="1" builtinId="3"/>
    <cellStyle name="Currency" xfId="2" builtinId="4"/>
    <cellStyle name="Normal" xfId="0" builtinId="0"/>
    <cellStyle name="Normal 2" xfId="4" xr:uid="{BAD8ADC7-8474-D644-91DA-07684DC0CCC6}"/>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4C9D-98CA-DE44-AA54-EB3A2D882586}">
  <dimension ref="A1:P35"/>
  <sheetViews>
    <sheetView topLeftCell="A3" zoomScale="76" zoomScaleNormal="301" workbookViewId="0">
      <selection activeCell="F35" sqref="F35"/>
    </sheetView>
  </sheetViews>
  <sheetFormatPr baseColWidth="10" defaultRowHeight="16" x14ac:dyDescent="0.2"/>
  <cols>
    <col min="5" max="5" width="12.6640625" bestFit="1" customWidth="1"/>
    <col min="6" max="7" width="19.6640625" bestFit="1" customWidth="1"/>
    <col min="8" max="8" width="11.6640625" bestFit="1" customWidth="1"/>
    <col min="10" max="10" width="17.83203125" bestFit="1" customWidth="1"/>
    <col min="15" max="15" width="13" bestFit="1" customWidth="1"/>
  </cols>
  <sheetData>
    <row r="1" spans="1:16" x14ac:dyDescent="0.2">
      <c r="A1" t="s">
        <v>0</v>
      </c>
    </row>
    <row r="2" spans="1:16" x14ac:dyDescent="0.2">
      <c r="A2" t="s">
        <v>1</v>
      </c>
    </row>
    <row r="4" spans="1:16" ht="17" thickBot="1" x14ac:dyDescent="0.25"/>
    <row r="5" spans="1:16" ht="17" thickBot="1" x14ac:dyDescent="0.25">
      <c r="B5" t="s">
        <v>2</v>
      </c>
      <c r="C5" t="s">
        <v>3</v>
      </c>
      <c r="D5" t="s">
        <v>4</v>
      </c>
      <c r="F5" s="30"/>
      <c r="G5" s="30" t="s">
        <v>3</v>
      </c>
      <c r="H5" s="30" t="s">
        <v>4</v>
      </c>
      <c r="J5" s="49" t="s">
        <v>144</v>
      </c>
      <c r="K5" s="47"/>
      <c r="L5" s="30"/>
      <c r="M5" s="30"/>
      <c r="N5" s="30"/>
      <c r="O5" s="30"/>
      <c r="P5" s="30"/>
    </row>
    <row r="6" spans="1:16" ht="17" thickBot="1" x14ac:dyDescent="0.25">
      <c r="B6" t="s">
        <v>5</v>
      </c>
      <c r="C6" s="2">
        <v>987</v>
      </c>
      <c r="D6" s="1">
        <v>21396</v>
      </c>
      <c r="F6" s="30" t="s">
        <v>139</v>
      </c>
      <c r="G6" s="33">
        <f>MAX(C6:C17)</f>
        <v>1566</v>
      </c>
      <c r="H6" s="34">
        <f>D17</f>
        <v>21082</v>
      </c>
      <c r="J6" s="48"/>
      <c r="K6" s="40"/>
      <c r="L6" s="40"/>
      <c r="M6" s="40"/>
      <c r="N6" s="40"/>
      <c r="O6" s="40"/>
      <c r="P6" s="40"/>
    </row>
    <row r="7" spans="1:16" ht="17" thickBot="1" x14ac:dyDescent="0.25">
      <c r="B7" t="s">
        <v>6</v>
      </c>
      <c r="C7" s="2">
        <v>855</v>
      </c>
      <c r="D7" s="1">
        <v>17425</v>
      </c>
      <c r="F7" s="30" t="s">
        <v>140</v>
      </c>
      <c r="G7" s="33">
        <f>MIN(C6:C17)</f>
        <v>855</v>
      </c>
      <c r="H7" s="34">
        <f>D7</f>
        <v>17425</v>
      </c>
      <c r="J7" s="43" t="s">
        <v>145</v>
      </c>
      <c r="K7" s="44"/>
      <c r="L7" s="45"/>
      <c r="M7" s="45"/>
      <c r="N7" s="45"/>
      <c r="O7" s="45"/>
      <c r="P7" s="46"/>
    </row>
    <row r="8" spans="1:16" x14ac:dyDescent="0.2">
      <c r="B8" t="s">
        <v>7</v>
      </c>
      <c r="C8" s="2">
        <v>1426</v>
      </c>
      <c r="D8" s="1">
        <v>19093</v>
      </c>
      <c r="F8" s="30" t="s">
        <v>141</v>
      </c>
      <c r="G8" s="33">
        <f>G6-G7</f>
        <v>711</v>
      </c>
      <c r="H8" s="34">
        <f>H6-H7</f>
        <v>3657</v>
      </c>
      <c r="J8" s="52" t="s">
        <v>146</v>
      </c>
      <c r="K8" s="50">
        <v>0.66058699402777077</v>
      </c>
      <c r="L8" s="42"/>
      <c r="M8" s="42"/>
      <c r="N8" s="42"/>
      <c r="O8" s="42"/>
      <c r="P8" s="42"/>
    </row>
    <row r="9" spans="1:16" x14ac:dyDescent="0.2">
      <c r="B9" t="s">
        <v>8</v>
      </c>
      <c r="C9" s="2">
        <v>903</v>
      </c>
      <c r="D9" s="1">
        <v>18010</v>
      </c>
      <c r="F9" s="37"/>
      <c r="G9" s="38"/>
      <c r="H9" s="39"/>
      <c r="J9" s="53" t="s">
        <v>147</v>
      </c>
      <c r="K9" s="51">
        <v>0.43637517667864612</v>
      </c>
      <c r="L9" s="30"/>
      <c r="M9" s="30"/>
      <c r="N9" s="30"/>
      <c r="O9" s="30"/>
      <c r="P9" s="30"/>
    </row>
    <row r="10" spans="1:16" x14ac:dyDescent="0.2">
      <c r="B10" t="s">
        <v>9</v>
      </c>
      <c r="C10" s="2">
        <v>1085</v>
      </c>
      <c r="D10" s="1">
        <v>19366</v>
      </c>
      <c r="F10" s="30" t="s">
        <v>142</v>
      </c>
      <c r="G10" s="35">
        <f>H8/G8</f>
        <v>5.1434599156118139</v>
      </c>
      <c r="H10" s="30"/>
      <c r="J10" s="53" t="s">
        <v>148</v>
      </c>
      <c r="K10" s="51">
        <v>0.38001269434651075</v>
      </c>
      <c r="L10" s="30"/>
      <c r="M10" s="30"/>
      <c r="N10" s="30"/>
      <c r="O10" s="30"/>
      <c r="P10" s="30"/>
    </row>
    <row r="11" spans="1:16" x14ac:dyDescent="0.2">
      <c r="B11" t="s">
        <v>10</v>
      </c>
      <c r="C11" s="2">
        <v>1296</v>
      </c>
      <c r="D11" s="1">
        <v>20108</v>
      </c>
      <c r="F11" s="30" t="s">
        <v>143</v>
      </c>
      <c r="G11" s="36">
        <f>H6-(G10*G6)</f>
        <v>13027.3417721519</v>
      </c>
      <c r="H11" s="30"/>
      <c r="J11" s="53" t="s">
        <v>149</v>
      </c>
      <c r="K11" s="51">
        <v>1643.1930385673897</v>
      </c>
      <c r="L11" s="30"/>
      <c r="M11" s="30"/>
      <c r="N11" s="30"/>
      <c r="O11" s="30"/>
      <c r="P11" s="30"/>
    </row>
    <row r="12" spans="1:16" ht="17" thickBot="1" x14ac:dyDescent="0.25">
      <c r="B12" t="s">
        <v>11</v>
      </c>
      <c r="C12" s="2">
        <v>1130</v>
      </c>
      <c r="D12" s="1">
        <v>18489</v>
      </c>
      <c r="J12" s="54" t="s">
        <v>150</v>
      </c>
      <c r="K12" s="51">
        <v>12</v>
      </c>
      <c r="L12" s="30"/>
      <c r="M12" s="30"/>
      <c r="N12" s="30"/>
      <c r="O12" s="30"/>
      <c r="P12" s="30"/>
    </row>
    <row r="13" spans="1:16" ht="17" thickBot="1" x14ac:dyDescent="0.25">
      <c r="B13" t="s">
        <v>12</v>
      </c>
      <c r="C13" s="2">
        <v>1462</v>
      </c>
      <c r="D13" s="1">
        <v>24633</v>
      </c>
      <c r="J13" s="48"/>
      <c r="K13" s="40"/>
      <c r="L13" s="40"/>
      <c r="M13" s="40"/>
      <c r="N13" s="40"/>
      <c r="O13" s="40"/>
      <c r="P13" s="40"/>
    </row>
    <row r="14" spans="1:16" ht="17" thickBot="1" x14ac:dyDescent="0.25">
      <c r="B14" t="s">
        <v>13</v>
      </c>
      <c r="C14" s="2">
        <v>1299</v>
      </c>
      <c r="D14" s="1">
        <v>19857</v>
      </c>
      <c r="J14" s="55" t="s">
        <v>151</v>
      </c>
      <c r="K14" s="45"/>
      <c r="L14" s="45"/>
      <c r="M14" s="45"/>
      <c r="N14" s="45"/>
      <c r="O14" s="45"/>
      <c r="P14" s="46"/>
    </row>
    <row r="15" spans="1:16" ht="17" thickBot="1" x14ac:dyDescent="0.25">
      <c r="B15" t="s">
        <v>14</v>
      </c>
      <c r="C15" s="2">
        <v>1312</v>
      </c>
      <c r="D15" s="1">
        <v>20937</v>
      </c>
      <c r="J15" s="60"/>
      <c r="K15" s="57" t="s">
        <v>155</v>
      </c>
      <c r="L15" s="58" t="s">
        <v>156</v>
      </c>
      <c r="M15" s="58" t="s">
        <v>157</v>
      </c>
      <c r="N15" s="58" t="s">
        <v>158</v>
      </c>
      <c r="O15" s="58" t="s">
        <v>159</v>
      </c>
      <c r="P15" s="46"/>
    </row>
    <row r="16" spans="1:16" x14ac:dyDescent="0.2">
      <c r="B16" t="s">
        <v>15</v>
      </c>
      <c r="C16" s="2">
        <v>944</v>
      </c>
      <c r="D16" s="1">
        <v>17022</v>
      </c>
      <c r="J16" s="52" t="s">
        <v>152</v>
      </c>
      <c r="K16" s="50">
        <v>1</v>
      </c>
      <c r="L16" s="41">
        <v>20904852.04670335</v>
      </c>
      <c r="M16" s="41">
        <v>20904852.04670335</v>
      </c>
      <c r="N16" s="41">
        <v>7.7422987530455938</v>
      </c>
      <c r="O16" s="41">
        <v>1.9367445173636765E-2</v>
      </c>
      <c r="P16" s="42"/>
    </row>
    <row r="17" spans="1:16" x14ac:dyDescent="0.2">
      <c r="B17" t="s">
        <v>16</v>
      </c>
      <c r="C17" s="2">
        <v>1566</v>
      </c>
      <c r="D17" s="1">
        <v>21082</v>
      </c>
      <c r="J17" s="53" t="s">
        <v>153</v>
      </c>
      <c r="K17" s="51">
        <v>10</v>
      </c>
      <c r="L17" s="31">
        <v>27000833.619963314</v>
      </c>
      <c r="M17" s="31">
        <v>2700083.3619963313</v>
      </c>
      <c r="N17" s="31"/>
      <c r="O17" s="31"/>
      <c r="P17" s="30"/>
    </row>
    <row r="18" spans="1:16" ht="17" thickBot="1" x14ac:dyDescent="0.25">
      <c r="J18" s="54" t="s">
        <v>40</v>
      </c>
      <c r="K18" s="51">
        <v>11</v>
      </c>
      <c r="L18" s="31">
        <v>47905685.666666664</v>
      </c>
      <c r="M18" s="31"/>
      <c r="N18" s="31"/>
      <c r="O18" s="31"/>
      <c r="P18" s="30"/>
    </row>
    <row r="19" spans="1:16" ht="17" thickBot="1" x14ac:dyDescent="0.25">
      <c r="A19" s="3">
        <v>1</v>
      </c>
      <c r="B19" t="s">
        <v>18</v>
      </c>
      <c r="J19" s="42"/>
      <c r="K19" s="40"/>
      <c r="L19" s="40"/>
      <c r="M19" s="40"/>
      <c r="N19" s="40"/>
      <c r="O19" s="40"/>
      <c r="P19" s="40"/>
    </row>
    <row r="20" spans="1:16" ht="17" thickBot="1" x14ac:dyDescent="0.25">
      <c r="J20" s="56"/>
      <c r="K20" s="57" t="s">
        <v>160</v>
      </c>
      <c r="L20" s="58" t="s">
        <v>149</v>
      </c>
      <c r="M20" s="58" t="s">
        <v>161</v>
      </c>
      <c r="N20" s="58" t="s">
        <v>162</v>
      </c>
      <c r="O20" s="58" t="s">
        <v>163</v>
      </c>
      <c r="P20" s="59" t="s">
        <v>164</v>
      </c>
    </row>
    <row r="21" spans="1:16" ht="17" thickBot="1" x14ac:dyDescent="0.25">
      <c r="A21" s="3" t="s">
        <v>21</v>
      </c>
      <c r="B21" t="s">
        <v>19</v>
      </c>
      <c r="E21" s="24">
        <f>G10</f>
        <v>5.1434599156118139</v>
      </c>
      <c r="J21" s="52" t="s">
        <v>154</v>
      </c>
      <c r="K21" s="61">
        <v>12882.046673916877</v>
      </c>
      <c r="L21" s="41">
        <v>2525.7298739884482</v>
      </c>
      <c r="M21" s="41">
        <v>5.1003263676707</v>
      </c>
      <c r="N21" s="41">
        <v>4.6380588092957974E-4</v>
      </c>
      <c r="O21" s="41">
        <v>7254.3698120608187</v>
      </c>
      <c r="P21" s="41">
        <v>18509.723535772937</v>
      </c>
    </row>
    <row r="22" spans="1:16" ht="17" thickBot="1" x14ac:dyDescent="0.25">
      <c r="J22" s="54" t="s">
        <v>165</v>
      </c>
      <c r="K22" s="62">
        <v>5.8067605967751472</v>
      </c>
      <c r="L22" s="31">
        <v>2.0868871188320064</v>
      </c>
      <c r="M22" s="31">
        <v>2.7824986528380546</v>
      </c>
      <c r="N22" s="31">
        <v>1.9367445173636796E-2</v>
      </c>
      <c r="O22" s="31">
        <v>1.1568863275958572</v>
      </c>
      <c r="P22" s="31">
        <v>10.456634865954438</v>
      </c>
    </row>
    <row r="23" spans="1:16" ht="17" thickBot="1" x14ac:dyDescent="0.25">
      <c r="A23" s="3" t="s">
        <v>22</v>
      </c>
      <c r="B23" t="s">
        <v>20</v>
      </c>
      <c r="E23" s="25">
        <f>G11</f>
        <v>13027.3417721519</v>
      </c>
    </row>
    <row r="26" spans="1:16" x14ac:dyDescent="0.2">
      <c r="A26" s="3">
        <v>2</v>
      </c>
      <c r="B26" t="s">
        <v>17</v>
      </c>
    </row>
    <row r="27" spans="1:16" ht="17" thickBot="1" x14ac:dyDescent="0.25"/>
    <row r="28" spans="1:16" ht="17" thickBot="1" x14ac:dyDescent="0.25">
      <c r="A28" s="3" t="s">
        <v>21</v>
      </c>
      <c r="B28" t="s">
        <v>19</v>
      </c>
      <c r="E28" s="24">
        <f>K22</f>
        <v>5.8067605967751472</v>
      </c>
    </row>
    <row r="29" spans="1:16" ht="17" thickBot="1" x14ac:dyDescent="0.25"/>
    <row r="30" spans="1:16" ht="17" thickBot="1" x14ac:dyDescent="0.25">
      <c r="A30" s="3" t="s">
        <v>22</v>
      </c>
      <c r="B30" t="s">
        <v>20</v>
      </c>
      <c r="E30" s="24">
        <f>K21</f>
        <v>12882.046673916877</v>
      </c>
    </row>
    <row r="33" spans="1:7" x14ac:dyDescent="0.2">
      <c r="A33" s="3">
        <v>3</v>
      </c>
      <c r="B33" t="s">
        <v>23</v>
      </c>
      <c r="F33" s="5">
        <v>1600</v>
      </c>
      <c r="G33" t="s">
        <v>24</v>
      </c>
    </row>
    <row r="34" spans="1:7" ht="17" thickBot="1" x14ac:dyDescent="0.25">
      <c r="B34" t="s">
        <v>95</v>
      </c>
    </row>
    <row r="35" spans="1:7" ht="17" thickBot="1" x14ac:dyDescent="0.25">
      <c r="B35" t="s">
        <v>25</v>
      </c>
      <c r="F35" s="24">
        <f>E30+E28*F33</f>
        <v>22172.863628757113</v>
      </c>
    </row>
  </sheetData>
  <mergeCells count="2">
    <mergeCell ref="J7:K7"/>
    <mergeCell ref="F9:H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C8D70-2F3C-CF42-895A-4C5E25722BF4}">
  <dimension ref="A1:J24"/>
  <sheetViews>
    <sheetView zoomScaleNormal="276" workbookViewId="0">
      <selection activeCell="H11" sqref="H11"/>
    </sheetView>
  </sheetViews>
  <sheetFormatPr baseColWidth="10" defaultRowHeight="16" x14ac:dyDescent="0.2"/>
  <cols>
    <col min="3" max="3" width="17.83203125" bestFit="1" customWidth="1"/>
    <col min="4" max="4" width="13.33203125" bestFit="1" customWidth="1"/>
    <col min="6" max="6" width="12" customWidth="1"/>
    <col min="8" max="8" width="13.33203125" bestFit="1" customWidth="1"/>
  </cols>
  <sheetData>
    <row r="1" spans="1:10" x14ac:dyDescent="0.2">
      <c r="A1" t="s">
        <v>26</v>
      </c>
    </row>
    <row r="2" spans="1:10" x14ac:dyDescent="0.2">
      <c r="A2" t="s">
        <v>126</v>
      </c>
      <c r="E2" s="6">
        <v>0.75</v>
      </c>
      <c r="F2" t="s">
        <v>127</v>
      </c>
    </row>
    <row r="3" spans="1:10" x14ac:dyDescent="0.2">
      <c r="A3" t="s">
        <v>128</v>
      </c>
      <c r="E3" s="6">
        <v>0.04</v>
      </c>
      <c r="F3" t="s">
        <v>129</v>
      </c>
      <c r="J3" s="1">
        <v>365290</v>
      </c>
    </row>
    <row r="4" spans="1:10" ht="17" thickBot="1" x14ac:dyDescent="0.25"/>
    <row r="5" spans="1:10" ht="17" thickBot="1" x14ac:dyDescent="0.25">
      <c r="A5" t="s">
        <v>21</v>
      </c>
      <c r="B5" t="s">
        <v>27</v>
      </c>
      <c r="H5" s="16">
        <f>D8</f>
        <v>1739476.1904761908</v>
      </c>
    </row>
    <row r="6" spans="1:10" ht="17" thickBot="1" x14ac:dyDescent="0.25">
      <c r="C6" s="26" t="s">
        <v>166</v>
      </c>
      <c r="D6" s="66">
        <f>1-(E2+E3)</f>
        <v>0.20999999999999996</v>
      </c>
      <c r="E6" s="27"/>
      <c r="F6" s="28"/>
    </row>
    <row r="7" spans="1:10" ht="17" thickBot="1" x14ac:dyDescent="0.25">
      <c r="C7" s="68"/>
      <c r="D7" s="69"/>
      <c r="E7" s="69"/>
      <c r="F7" s="70"/>
    </row>
    <row r="8" spans="1:10" ht="17" thickBot="1" x14ac:dyDescent="0.25">
      <c r="C8" s="63" t="s">
        <v>167</v>
      </c>
      <c r="D8" s="67">
        <f>J3/D6</f>
        <v>1739476.1904761908</v>
      </c>
      <c r="E8" s="64"/>
      <c r="F8" s="65"/>
    </row>
    <row r="10" spans="1:10" ht="17" thickBot="1" x14ac:dyDescent="0.25">
      <c r="A10" t="s">
        <v>22</v>
      </c>
      <c r="B10" t="s">
        <v>130</v>
      </c>
      <c r="G10" s="1">
        <v>120</v>
      </c>
    </row>
    <row r="11" spans="1:10" ht="17" thickBot="1" x14ac:dyDescent="0.25">
      <c r="B11" t="s">
        <v>131</v>
      </c>
      <c r="H11" s="17">
        <f>D15</f>
        <v>14495.634920634919</v>
      </c>
    </row>
    <row r="12" spans="1:10" ht="17" thickBot="1" x14ac:dyDescent="0.25"/>
    <row r="13" spans="1:10" x14ac:dyDescent="0.2">
      <c r="C13" s="26" t="s">
        <v>168</v>
      </c>
      <c r="D13" s="71">
        <f>E2*G10+E3*G10</f>
        <v>94.8</v>
      </c>
    </row>
    <row r="14" spans="1:10" x14ac:dyDescent="0.2">
      <c r="C14" s="29" t="s">
        <v>169</v>
      </c>
      <c r="D14" s="72">
        <f>G10-D13</f>
        <v>25.200000000000003</v>
      </c>
    </row>
    <row r="15" spans="1:10" ht="17" thickBot="1" x14ac:dyDescent="0.25">
      <c r="C15" s="63" t="s">
        <v>170</v>
      </c>
      <c r="D15" s="73">
        <f>J3/D14</f>
        <v>14495.634920634919</v>
      </c>
    </row>
    <row r="17" spans="5:8" x14ac:dyDescent="0.2">
      <c r="F17" s="6"/>
    </row>
    <row r="18" spans="5:8" x14ac:dyDescent="0.2">
      <c r="H18" s="6"/>
    </row>
    <row r="24" spans="5:8" x14ac:dyDescent="0.2">
      <c r="E24" s="5"/>
      <c r="G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A48B-52C5-2C44-83FD-F8B1E8AF69EF}">
  <dimension ref="A1:J29"/>
  <sheetViews>
    <sheetView zoomScaleNormal="261" workbookViewId="0">
      <selection activeCell="E16" sqref="E16"/>
    </sheetView>
  </sheetViews>
  <sheetFormatPr baseColWidth="10" defaultRowHeight="16" x14ac:dyDescent="0.2"/>
  <cols>
    <col min="2" max="2" width="25.1640625" bestFit="1" customWidth="1"/>
    <col min="4" max="4" width="11.6640625" bestFit="1" customWidth="1"/>
    <col min="7" max="7" width="26.33203125" bestFit="1" customWidth="1"/>
    <col min="10" max="10" width="11.83203125" bestFit="1" customWidth="1"/>
  </cols>
  <sheetData>
    <row r="1" spans="1:10" x14ac:dyDescent="0.2">
      <c r="A1" t="s">
        <v>28</v>
      </c>
    </row>
    <row r="2" spans="1:10" x14ac:dyDescent="0.2">
      <c r="A2" t="s">
        <v>29</v>
      </c>
    </row>
    <row r="4" spans="1:10" x14ac:dyDescent="0.2">
      <c r="B4" s="30"/>
      <c r="C4" s="32" t="s">
        <v>38</v>
      </c>
      <c r="D4" s="32" t="s">
        <v>39</v>
      </c>
      <c r="E4" s="32" t="s">
        <v>40</v>
      </c>
      <c r="F4" s="32" t="s">
        <v>38</v>
      </c>
      <c r="G4" s="32" t="s">
        <v>39</v>
      </c>
    </row>
    <row r="5" spans="1:10" x14ac:dyDescent="0.2">
      <c r="B5" s="30" t="s">
        <v>30</v>
      </c>
      <c r="C5" s="74">
        <v>1000</v>
      </c>
      <c r="D5" s="74">
        <v>1500</v>
      </c>
      <c r="E5" s="74">
        <f>C5+D5</f>
        <v>2500</v>
      </c>
      <c r="F5" s="75">
        <f>C5/$E$5</f>
        <v>0.4</v>
      </c>
      <c r="G5" s="75">
        <f>D5/$E$5</f>
        <v>0.6</v>
      </c>
    </row>
    <row r="6" spans="1:10" x14ac:dyDescent="0.2">
      <c r="B6" s="30" t="s">
        <v>31</v>
      </c>
      <c r="C6" s="34">
        <v>300000</v>
      </c>
      <c r="D6" s="34">
        <v>700000</v>
      </c>
      <c r="E6" s="74">
        <f>C6+D6</f>
        <v>1000000</v>
      </c>
      <c r="F6" s="75">
        <f>C6/$E$6</f>
        <v>0.3</v>
      </c>
      <c r="G6" s="75">
        <f>D6/$E$6</f>
        <v>0.7</v>
      </c>
    </row>
    <row r="7" spans="1:10" x14ac:dyDescent="0.2">
      <c r="B7" s="30" t="s">
        <v>32</v>
      </c>
      <c r="C7" s="34">
        <v>200000</v>
      </c>
      <c r="D7" s="34">
        <v>420000</v>
      </c>
      <c r="E7" s="74">
        <f>C7+D7</f>
        <v>620000</v>
      </c>
      <c r="F7" s="75">
        <f>C7/$E$7</f>
        <v>0.32258064516129031</v>
      </c>
      <c r="G7" s="75">
        <f>D7/$E$7</f>
        <v>0.67741935483870963</v>
      </c>
    </row>
    <row r="8" spans="1:10" ht="17" thickBot="1" x14ac:dyDescent="0.25">
      <c r="B8" s="77" t="s">
        <v>33</v>
      </c>
      <c r="C8" s="78">
        <f>C6-C7</f>
        <v>100000</v>
      </c>
      <c r="D8" s="78">
        <f t="shared" ref="D8:E8" si="0">D6-D7</f>
        <v>280000</v>
      </c>
      <c r="E8" s="78">
        <f t="shared" si="0"/>
        <v>380000</v>
      </c>
      <c r="F8" s="79">
        <f>C8/$E$8</f>
        <v>0.26315789473684209</v>
      </c>
      <c r="G8" s="79">
        <f>D8/$E$8</f>
        <v>0.73684210526315785</v>
      </c>
    </row>
    <row r="9" spans="1:10" x14ac:dyDescent="0.2">
      <c r="B9" s="42" t="s">
        <v>34</v>
      </c>
      <c r="C9" s="42"/>
      <c r="D9" s="42"/>
      <c r="E9" s="76">
        <v>276398</v>
      </c>
      <c r="F9" s="42"/>
      <c r="G9" s="42"/>
    </row>
    <row r="10" spans="1:10" x14ac:dyDescent="0.2">
      <c r="B10" s="30" t="s">
        <v>35</v>
      </c>
      <c r="C10" s="30"/>
      <c r="D10" s="30"/>
      <c r="E10" s="34">
        <f>E8-E9</f>
        <v>103602</v>
      </c>
      <c r="F10" s="30"/>
      <c r="G10" s="30"/>
    </row>
    <row r="11" spans="1:10" x14ac:dyDescent="0.2">
      <c r="B11" s="30" t="s">
        <v>36</v>
      </c>
      <c r="C11" s="30"/>
      <c r="D11" s="30"/>
      <c r="E11" s="34">
        <f>E10*0.4</f>
        <v>41440.800000000003</v>
      </c>
      <c r="F11" s="34">
        <f>0.4*(C8/C5)</f>
        <v>40</v>
      </c>
      <c r="G11" s="36">
        <f>0.6*(D8/D5)</f>
        <v>111.99999999999999</v>
      </c>
    </row>
    <row r="12" spans="1:10" x14ac:dyDescent="0.2">
      <c r="B12" s="30" t="s">
        <v>37</v>
      </c>
      <c r="C12" s="30"/>
      <c r="D12" s="30"/>
      <c r="E12" s="34">
        <f>E10-E11</f>
        <v>62161.2</v>
      </c>
      <c r="F12" s="30"/>
      <c r="G12" s="30"/>
      <c r="H12" s="23">
        <f>E9/(G11+F11)</f>
        <v>1818.4078947368421</v>
      </c>
    </row>
    <row r="15" spans="1:10" ht="17" thickBot="1" x14ac:dyDescent="0.25">
      <c r="G15" s="30"/>
      <c r="H15" s="30" t="s">
        <v>38</v>
      </c>
      <c r="I15" s="30" t="s">
        <v>39</v>
      </c>
      <c r="J15" s="30" t="s">
        <v>179</v>
      </c>
    </row>
    <row r="16" spans="1:10" ht="17" thickBot="1" x14ac:dyDescent="0.25">
      <c r="A16" t="s">
        <v>21</v>
      </c>
      <c r="B16" t="s">
        <v>41</v>
      </c>
      <c r="E16" s="82">
        <f>H24</f>
        <v>727.3631578947369</v>
      </c>
      <c r="G16" s="30" t="s">
        <v>72</v>
      </c>
      <c r="H16" s="34">
        <f>C6/C5</f>
        <v>300</v>
      </c>
      <c r="I16" s="36">
        <f>D6/D5</f>
        <v>466.66666666666669</v>
      </c>
      <c r="J16" s="35">
        <f>E6/E5</f>
        <v>400</v>
      </c>
    </row>
    <row r="17" spans="1:10" x14ac:dyDescent="0.2">
      <c r="G17" s="30" t="s">
        <v>171</v>
      </c>
      <c r="H17" s="34">
        <f>C7/C5</f>
        <v>200</v>
      </c>
      <c r="I17" s="34">
        <f>D7/D5</f>
        <v>280</v>
      </c>
      <c r="J17" s="35">
        <f>E7/E5</f>
        <v>248</v>
      </c>
    </row>
    <row r="18" spans="1:10" x14ac:dyDescent="0.2">
      <c r="G18" s="30" t="s">
        <v>172</v>
      </c>
      <c r="H18" s="75">
        <f>C5/E5</f>
        <v>0.4</v>
      </c>
      <c r="I18" s="75">
        <f>D5/E5</f>
        <v>0.6</v>
      </c>
      <c r="J18" s="30"/>
    </row>
    <row r="19" spans="1:10" x14ac:dyDescent="0.2">
      <c r="G19" s="30" t="s">
        <v>173</v>
      </c>
      <c r="H19" s="34">
        <f>$H$18*H16</f>
        <v>120</v>
      </c>
      <c r="I19" s="34">
        <f>$I$18*I16</f>
        <v>280</v>
      </c>
      <c r="J19" s="34">
        <f>(H16*H18)+(I16*I18)</f>
        <v>400</v>
      </c>
    </row>
    <row r="20" spans="1:10" x14ac:dyDescent="0.2">
      <c r="G20" s="30" t="s">
        <v>174</v>
      </c>
      <c r="H20" s="34">
        <f>$H$18*H17</f>
        <v>80</v>
      </c>
      <c r="I20" s="34">
        <f>$I$18*I17</f>
        <v>168</v>
      </c>
      <c r="J20" s="34">
        <f>(H17*H18)+(I17*I18)</f>
        <v>248</v>
      </c>
    </row>
    <row r="21" spans="1:10" x14ac:dyDescent="0.2">
      <c r="G21" s="30" t="s">
        <v>175</v>
      </c>
      <c r="H21" s="34">
        <f>H19-H20</f>
        <v>40</v>
      </c>
      <c r="I21" s="34">
        <f>I19-I20</f>
        <v>112</v>
      </c>
      <c r="J21" s="34">
        <f>J19-J20</f>
        <v>152</v>
      </c>
    </row>
    <row r="22" spans="1:10" x14ac:dyDescent="0.2">
      <c r="G22" s="30" t="s">
        <v>176</v>
      </c>
      <c r="H22" s="30"/>
      <c r="I22" s="30"/>
      <c r="J22" s="75">
        <f>J21/J19</f>
        <v>0.38</v>
      </c>
    </row>
    <row r="23" spans="1:10" x14ac:dyDescent="0.2">
      <c r="G23" s="30" t="s">
        <v>177</v>
      </c>
      <c r="H23" s="30"/>
      <c r="I23" s="30"/>
      <c r="J23" s="36">
        <f>$E$9/J22</f>
        <v>727363.15789473685</v>
      </c>
    </row>
    <row r="24" spans="1:10" ht="17" thickBot="1" x14ac:dyDescent="0.25">
      <c r="G24" s="80" t="s">
        <v>178</v>
      </c>
      <c r="H24" s="35">
        <f>H18*J24</f>
        <v>727.3631578947369</v>
      </c>
      <c r="I24" s="81">
        <f>I18*J24</f>
        <v>1091.0447368421053</v>
      </c>
      <c r="J24" s="81">
        <f>E9/J21</f>
        <v>1818.4078947368421</v>
      </c>
    </row>
    <row r="25" spans="1:10" ht="17" thickBot="1" x14ac:dyDescent="0.25">
      <c r="A25" t="s">
        <v>132</v>
      </c>
      <c r="B25" t="s">
        <v>133</v>
      </c>
      <c r="E25" s="18">
        <f>H24</f>
        <v>727.3631578947369</v>
      </c>
    </row>
    <row r="28" spans="1:10" ht="17" thickBot="1" x14ac:dyDescent="0.25"/>
    <row r="29" spans="1:10" ht="17" thickBot="1" x14ac:dyDescent="0.25">
      <c r="A29" t="s">
        <v>134</v>
      </c>
      <c r="B29" t="s">
        <v>135</v>
      </c>
      <c r="E29" s="18">
        <f>I24</f>
        <v>1091.0447368421053</v>
      </c>
      <c r="F29" s="3"/>
      <c r="G2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A3074-F7DC-E24A-ADBB-484E50A26289}">
  <dimension ref="B1:O62"/>
  <sheetViews>
    <sheetView topLeftCell="A39" zoomScale="134" zoomScaleNormal="203" workbookViewId="0">
      <selection activeCell="E44" sqref="E44"/>
    </sheetView>
  </sheetViews>
  <sheetFormatPr baseColWidth="10" defaultColWidth="8.83203125" defaultRowHeight="15" x14ac:dyDescent="0.2"/>
  <cols>
    <col min="1" max="1" width="8.83203125" style="8"/>
    <col min="2" max="2" width="17.1640625" style="8" customWidth="1"/>
    <col min="3" max="3" width="5" style="8" customWidth="1"/>
    <col min="4" max="4" width="11.1640625" style="8" bestFit="1" customWidth="1"/>
    <col min="5" max="5" width="9.33203125" style="8" bestFit="1" customWidth="1"/>
    <col min="6" max="7" width="9.5" style="8" bestFit="1" customWidth="1"/>
    <col min="8" max="9" width="8.83203125" style="8"/>
    <col min="10" max="10" width="3.1640625" style="8" customWidth="1"/>
    <col min="11" max="11" width="19.5" style="8" customWidth="1"/>
    <col min="12" max="12" width="9.5" style="8" bestFit="1" customWidth="1"/>
    <col min="13" max="13" width="3.33203125" style="8" customWidth="1"/>
    <col min="14" max="14" width="3.83203125" style="8" customWidth="1"/>
    <col min="15" max="15" width="18" style="8" customWidth="1"/>
    <col min="16" max="16" width="9.5" style="8" bestFit="1" customWidth="1"/>
    <col min="17" max="16384" width="8.83203125" style="8"/>
  </cols>
  <sheetData>
    <row r="1" spans="2:15" x14ac:dyDescent="0.2">
      <c r="B1" s="8" t="s">
        <v>119</v>
      </c>
    </row>
    <row r="2" spans="2:15" x14ac:dyDescent="0.2">
      <c r="B2" s="22" t="s">
        <v>42</v>
      </c>
      <c r="C2" s="22"/>
      <c r="D2" s="22"/>
      <c r="E2" s="22"/>
      <c r="F2" s="22"/>
      <c r="G2" s="22"/>
      <c r="H2" s="22"/>
      <c r="I2" s="22"/>
      <c r="J2" s="22"/>
      <c r="K2" s="22"/>
      <c r="L2" s="22"/>
      <c r="M2" s="22"/>
      <c r="N2" s="22"/>
      <c r="O2" s="22"/>
    </row>
    <row r="3" spans="2:15" ht="54" customHeight="1" x14ac:dyDescent="0.2">
      <c r="B3" s="22" t="s">
        <v>43</v>
      </c>
      <c r="C3" s="22"/>
      <c r="D3" s="22"/>
      <c r="E3" s="22"/>
      <c r="F3" s="22"/>
      <c r="G3" s="22"/>
      <c r="H3" s="22"/>
      <c r="I3" s="22"/>
      <c r="J3" s="22"/>
      <c r="K3" s="22"/>
      <c r="L3" s="22"/>
      <c r="M3" s="22"/>
      <c r="N3" s="22"/>
      <c r="O3" s="22"/>
    </row>
    <row r="4" spans="2:15" ht="40" customHeight="1" x14ac:dyDescent="0.2">
      <c r="B4" s="22" t="s">
        <v>136</v>
      </c>
      <c r="C4" s="22"/>
      <c r="D4" s="22"/>
      <c r="E4" s="22"/>
      <c r="F4" s="22"/>
      <c r="G4" s="22"/>
      <c r="H4" s="22"/>
      <c r="I4" s="22"/>
      <c r="J4" s="22"/>
      <c r="K4" s="22"/>
      <c r="L4" s="22"/>
      <c r="M4" s="22"/>
      <c r="N4" s="22"/>
      <c r="O4" s="22"/>
    </row>
    <row r="5" spans="2:15" ht="40" customHeight="1" x14ac:dyDescent="0.2">
      <c r="B5" s="22" t="s">
        <v>44</v>
      </c>
      <c r="C5" s="22"/>
      <c r="D5" s="22"/>
      <c r="E5" s="22"/>
      <c r="F5" s="22"/>
      <c r="G5" s="22"/>
      <c r="H5" s="22"/>
      <c r="I5" s="22"/>
      <c r="J5" s="22"/>
      <c r="K5" s="22"/>
      <c r="L5" s="22"/>
      <c r="M5" s="22"/>
      <c r="N5" s="22"/>
      <c r="O5" s="22"/>
    </row>
    <row r="6" spans="2:15" ht="36" customHeight="1" x14ac:dyDescent="0.2">
      <c r="B6" s="22" t="s">
        <v>45</v>
      </c>
      <c r="C6" s="22"/>
      <c r="D6" s="22"/>
      <c r="E6" s="22"/>
      <c r="F6" s="22"/>
      <c r="G6" s="22"/>
      <c r="H6" s="22"/>
      <c r="I6" s="22"/>
      <c r="J6" s="22"/>
      <c r="K6" s="22"/>
      <c r="L6" s="22"/>
      <c r="M6" s="22"/>
      <c r="N6" s="22"/>
      <c r="O6" s="22"/>
    </row>
    <row r="7" spans="2:15" x14ac:dyDescent="0.2">
      <c r="B7" s="7"/>
    </row>
    <row r="8" spans="2:15" x14ac:dyDescent="0.2">
      <c r="B8" s="7" t="s">
        <v>70</v>
      </c>
    </row>
    <row r="9" spans="2:15" x14ac:dyDescent="0.2">
      <c r="B9" s="7" t="s">
        <v>92</v>
      </c>
    </row>
    <row r="11" spans="2:15" x14ac:dyDescent="0.2">
      <c r="B11" s="8" t="s">
        <v>71</v>
      </c>
      <c r="D11" s="13">
        <v>50000</v>
      </c>
    </row>
    <row r="12" spans="2:15" x14ac:dyDescent="0.2">
      <c r="B12" s="8" t="s">
        <v>72</v>
      </c>
      <c r="D12" s="13">
        <v>20</v>
      </c>
    </row>
    <row r="13" spans="2:15" x14ac:dyDescent="0.2">
      <c r="B13" s="8" t="s">
        <v>73</v>
      </c>
      <c r="D13" s="11">
        <v>0.5</v>
      </c>
    </row>
    <row r="14" spans="2:15" x14ac:dyDescent="0.2">
      <c r="B14" s="8" t="s">
        <v>74</v>
      </c>
      <c r="D14" s="11">
        <v>0.5</v>
      </c>
    </row>
    <row r="15" spans="2:15" x14ac:dyDescent="0.2">
      <c r="B15" s="8" t="s">
        <v>75</v>
      </c>
      <c r="D15" s="11">
        <v>0.5</v>
      </c>
      <c r="E15" s="8" t="s">
        <v>76</v>
      </c>
    </row>
    <row r="16" spans="2:15" x14ac:dyDescent="0.2">
      <c r="D16" s="11">
        <v>0.5</v>
      </c>
      <c r="E16" s="8" t="s">
        <v>77</v>
      </c>
    </row>
    <row r="17" spans="2:8" x14ac:dyDescent="0.2">
      <c r="B17" s="8" t="s">
        <v>78</v>
      </c>
      <c r="D17" s="12">
        <v>7</v>
      </c>
      <c r="E17" s="8" t="s">
        <v>79</v>
      </c>
    </row>
    <row r="18" spans="2:8" x14ac:dyDescent="0.2">
      <c r="B18" s="8" t="s">
        <v>80</v>
      </c>
      <c r="D18" s="12">
        <v>5</v>
      </c>
      <c r="E18" s="8" t="s">
        <v>81</v>
      </c>
    </row>
    <row r="19" spans="2:8" x14ac:dyDescent="0.2">
      <c r="B19" s="8" t="s">
        <v>82</v>
      </c>
      <c r="D19" s="11">
        <v>0.75</v>
      </c>
      <c r="E19" s="8" t="s">
        <v>90</v>
      </c>
    </row>
    <row r="20" spans="2:8" x14ac:dyDescent="0.2">
      <c r="B20" s="8" t="s">
        <v>83</v>
      </c>
      <c r="D20" s="8" t="s">
        <v>14</v>
      </c>
      <c r="E20" s="8">
        <v>2000</v>
      </c>
      <c r="F20" s="8" t="s">
        <v>84</v>
      </c>
    </row>
    <row r="21" spans="2:8" x14ac:dyDescent="0.2">
      <c r="D21" s="8" t="s">
        <v>15</v>
      </c>
      <c r="E21" s="8">
        <v>3000</v>
      </c>
      <c r="F21" s="8" t="s">
        <v>84</v>
      </c>
    </row>
    <row r="22" spans="2:8" x14ac:dyDescent="0.2">
      <c r="D22" s="8" t="s">
        <v>16</v>
      </c>
      <c r="E22" s="8">
        <v>8000</v>
      </c>
      <c r="F22" s="8" t="s">
        <v>84</v>
      </c>
    </row>
    <row r="23" spans="2:8" x14ac:dyDescent="0.2">
      <c r="D23" s="8" t="s">
        <v>5</v>
      </c>
      <c r="E23" s="8">
        <v>2000</v>
      </c>
      <c r="F23" s="8" t="s">
        <v>84</v>
      </c>
    </row>
    <row r="24" spans="2:8" x14ac:dyDescent="0.2">
      <c r="B24" s="8" t="s">
        <v>85</v>
      </c>
      <c r="D24" s="12">
        <v>10000</v>
      </c>
      <c r="E24" s="8" t="s">
        <v>86</v>
      </c>
    </row>
    <row r="25" spans="2:8" x14ac:dyDescent="0.2">
      <c r="B25" s="8" t="s">
        <v>55</v>
      </c>
      <c r="D25" s="12">
        <v>1000</v>
      </c>
      <c r="E25" s="8" t="s">
        <v>86</v>
      </c>
    </row>
    <row r="26" spans="2:8" x14ac:dyDescent="0.2">
      <c r="B26" s="8" t="s">
        <v>87</v>
      </c>
      <c r="D26" s="12">
        <v>5000</v>
      </c>
    </row>
    <row r="27" spans="2:8" x14ac:dyDescent="0.2">
      <c r="B27" s="8" t="s">
        <v>88</v>
      </c>
      <c r="D27" s="11">
        <v>0.12</v>
      </c>
    </row>
    <row r="28" spans="2:8" x14ac:dyDescent="0.2">
      <c r="B28" s="8" t="s">
        <v>89</v>
      </c>
    </row>
    <row r="29" spans="2:8" x14ac:dyDescent="0.2">
      <c r="B29" s="8" t="s">
        <v>91</v>
      </c>
    </row>
    <row r="30" spans="2:8" ht="16" thickBot="1" x14ac:dyDescent="0.25"/>
    <row r="31" spans="2:8" ht="16" thickBot="1" x14ac:dyDescent="0.25">
      <c r="B31" s="88" t="s">
        <v>46</v>
      </c>
    </row>
    <row r="32" spans="2:8" x14ac:dyDescent="0.2">
      <c r="D32" s="86" t="s">
        <v>47</v>
      </c>
      <c r="E32" s="86" t="s">
        <v>48</v>
      </c>
      <c r="F32" s="86" t="s">
        <v>49</v>
      </c>
      <c r="G32" s="86" t="s">
        <v>50</v>
      </c>
      <c r="H32" s="9"/>
    </row>
    <row r="34" spans="2:8" x14ac:dyDescent="0.2">
      <c r="B34" s="83" t="s">
        <v>51</v>
      </c>
      <c r="C34" s="83"/>
      <c r="D34" s="83">
        <v>0</v>
      </c>
      <c r="E34" s="83">
        <f>D36</f>
        <v>1500</v>
      </c>
      <c r="F34" s="83">
        <f>E36</f>
        <v>2250</v>
      </c>
      <c r="G34" s="83">
        <f>F36</f>
        <v>6000</v>
      </c>
    </row>
    <row r="35" spans="2:8" x14ac:dyDescent="0.2">
      <c r="B35" s="83" t="s">
        <v>52</v>
      </c>
      <c r="C35" s="83"/>
      <c r="D35" s="83">
        <v>0</v>
      </c>
      <c r="E35" s="83">
        <f>E20</f>
        <v>2000</v>
      </c>
      <c r="F35" s="83">
        <f>E21</f>
        <v>3000</v>
      </c>
      <c r="G35" s="83">
        <f>E22</f>
        <v>8000</v>
      </c>
    </row>
    <row r="36" spans="2:8" x14ac:dyDescent="0.2">
      <c r="B36" s="83" t="s">
        <v>53</v>
      </c>
      <c r="C36" s="83"/>
      <c r="D36" s="84">
        <f>D19*E20</f>
        <v>1500</v>
      </c>
      <c r="E36" s="84">
        <f>D19*E21</f>
        <v>2250</v>
      </c>
      <c r="F36" s="84">
        <f>D19*E22</f>
        <v>6000</v>
      </c>
      <c r="G36" s="84">
        <f>D19*E23</f>
        <v>1500</v>
      </c>
      <c r="H36" s="10"/>
    </row>
    <row r="37" spans="2:8" x14ac:dyDescent="0.2">
      <c r="B37" s="83" t="s">
        <v>54</v>
      </c>
      <c r="C37" s="83"/>
      <c r="D37" s="83">
        <f>-D34+D35+D36</f>
        <v>1500</v>
      </c>
      <c r="E37" s="83">
        <f>-E34+E35+E36</f>
        <v>2750</v>
      </c>
      <c r="F37" s="85">
        <f>-F34+F35+F36</f>
        <v>6750</v>
      </c>
      <c r="G37" s="83">
        <f>-G34+G35+G36</f>
        <v>3500</v>
      </c>
    </row>
    <row r="39" spans="2:8" ht="16" thickBot="1" x14ac:dyDescent="0.25">
      <c r="B39" s="8" t="s">
        <v>56</v>
      </c>
    </row>
    <row r="40" spans="2:8" ht="16" thickBot="1" x14ac:dyDescent="0.25">
      <c r="B40" s="88" t="s">
        <v>57</v>
      </c>
    </row>
    <row r="41" spans="2:8" x14ac:dyDescent="0.2">
      <c r="B41" s="87" t="s">
        <v>58</v>
      </c>
      <c r="C41" s="83"/>
      <c r="D41" s="83"/>
      <c r="E41" s="83">
        <f>E35*$D$12*$D$13</f>
        <v>20000</v>
      </c>
      <c r="F41" s="85">
        <f>F35*$D$12*$D$13</f>
        <v>30000</v>
      </c>
      <c r="G41" s="83">
        <f>G35*$D$12*$D$13</f>
        <v>80000</v>
      </c>
    </row>
    <row r="42" spans="2:8" x14ac:dyDescent="0.2">
      <c r="B42" s="83" t="s">
        <v>59</v>
      </c>
      <c r="C42" s="83"/>
      <c r="D42" s="83"/>
      <c r="E42" s="83"/>
      <c r="F42" s="83">
        <f>(E20*D12)*D14*D15</f>
        <v>10000</v>
      </c>
      <c r="G42" s="83">
        <f>E21*D12*D13*D14</f>
        <v>15000</v>
      </c>
    </row>
    <row r="43" spans="2:8" x14ac:dyDescent="0.2">
      <c r="B43" s="83" t="s">
        <v>60</v>
      </c>
      <c r="C43" s="83"/>
      <c r="D43" s="84"/>
      <c r="E43" s="84"/>
      <c r="F43" s="84"/>
      <c r="G43" s="84">
        <f>E20*D12*D14*D15</f>
        <v>10000</v>
      </c>
      <c r="H43" s="10"/>
    </row>
    <row r="44" spans="2:8" x14ac:dyDescent="0.2">
      <c r="B44" s="83" t="s">
        <v>61</v>
      </c>
      <c r="C44" s="83"/>
      <c r="D44" s="83">
        <f>D11</f>
        <v>50000</v>
      </c>
      <c r="E44" s="85">
        <f>SUM(E41:E43)</f>
        <v>20000</v>
      </c>
      <c r="F44" s="83">
        <f>SUM(F41:F43)</f>
        <v>40000</v>
      </c>
      <c r="G44" s="85">
        <f>SUM(G41:G43)</f>
        <v>105000</v>
      </c>
    </row>
    <row r="46" spans="2:8" x14ac:dyDescent="0.2">
      <c r="B46" s="83" t="s">
        <v>62</v>
      </c>
      <c r="C46" s="83"/>
      <c r="D46" s="83">
        <f>D37*$D$18</f>
        <v>7500</v>
      </c>
      <c r="E46" s="83">
        <f>E37*$D$18</f>
        <v>13750</v>
      </c>
      <c r="F46" s="83">
        <f>F37*$D$18</f>
        <v>33750</v>
      </c>
      <c r="G46" s="83">
        <f>G37*$D$18</f>
        <v>17500</v>
      </c>
    </row>
    <row r="47" spans="2:8" x14ac:dyDescent="0.2">
      <c r="B47" s="83" t="s">
        <v>63</v>
      </c>
      <c r="C47" s="83"/>
      <c r="D47" s="83"/>
      <c r="E47" s="83">
        <f>D37*$D$17</f>
        <v>10500</v>
      </c>
      <c r="F47" s="83">
        <f>E37*$D$17</f>
        <v>19250</v>
      </c>
      <c r="G47" s="83">
        <f>F37*$D$17</f>
        <v>47250</v>
      </c>
    </row>
    <row r="48" spans="2:8" x14ac:dyDescent="0.2">
      <c r="B48" s="83" t="s">
        <v>64</v>
      </c>
      <c r="C48" s="83"/>
      <c r="D48" s="83">
        <f>D24-D25</f>
        <v>9000</v>
      </c>
      <c r="E48" s="84">
        <f>$D$24-$D$25</f>
        <v>9000</v>
      </c>
      <c r="F48" s="84">
        <f>$D$24-$D$25</f>
        <v>9000</v>
      </c>
      <c r="G48" s="84">
        <f>$D$24-$D$25</f>
        <v>9000</v>
      </c>
      <c r="H48" s="10"/>
    </row>
    <row r="49" spans="2:8" x14ac:dyDescent="0.2">
      <c r="B49" s="83" t="s">
        <v>65</v>
      </c>
      <c r="C49" s="83"/>
      <c r="D49" s="83">
        <f>SUM(D46:D48)</f>
        <v>16500</v>
      </c>
      <c r="E49" s="85">
        <f>SUM(E46:E48)</f>
        <v>33250</v>
      </c>
      <c r="F49" s="83">
        <f>SUM(F46:F48)</f>
        <v>62000</v>
      </c>
      <c r="G49" s="83">
        <f>SUM(G46:G48)</f>
        <v>73750</v>
      </c>
    </row>
    <row r="51" spans="2:8" x14ac:dyDescent="0.2">
      <c r="B51" s="8" t="s">
        <v>66</v>
      </c>
      <c r="D51" s="8">
        <f>D44-D49</f>
        <v>33500</v>
      </c>
      <c r="E51" s="8">
        <f>E44-E49</f>
        <v>-13250</v>
      </c>
      <c r="F51" s="8">
        <f>F44-F49</f>
        <v>-22000</v>
      </c>
      <c r="G51" s="8">
        <f>G44-G49</f>
        <v>31250</v>
      </c>
    </row>
    <row r="53" spans="2:8" x14ac:dyDescent="0.2">
      <c r="B53" s="8" t="s">
        <v>137</v>
      </c>
      <c r="D53" s="8">
        <v>0</v>
      </c>
      <c r="E53" s="8">
        <f>D62</f>
        <v>33500</v>
      </c>
      <c r="F53" s="8">
        <f>E62</f>
        <v>20250</v>
      </c>
      <c r="G53" s="8">
        <f>F62</f>
        <v>5000</v>
      </c>
    </row>
    <row r="54" spans="2:8" x14ac:dyDescent="0.2">
      <c r="B54" s="8" t="s">
        <v>67</v>
      </c>
      <c r="D54" s="10">
        <f>D44</f>
        <v>50000</v>
      </c>
      <c r="E54" s="10">
        <f>E44</f>
        <v>20000</v>
      </c>
      <c r="F54" s="10">
        <f>F44</f>
        <v>40000</v>
      </c>
      <c r="G54" s="10">
        <f>G44</f>
        <v>105000</v>
      </c>
      <c r="H54" s="10"/>
    </row>
    <row r="55" spans="2:8" ht="16" thickBot="1" x14ac:dyDescent="0.25">
      <c r="B55" s="8" t="s">
        <v>93</v>
      </c>
      <c r="D55" s="10">
        <f>D49</f>
        <v>16500</v>
      </c>
      <c r="E55" s="10">
        <f>E49</f>
        <v>33250</v>
      </c>
      <c r="F55" s="10">
        <f>F49</f>
        <v>62000</v>
      </c>
      <c r="G55" s="10">
        <f>G49+(F60-F27*F60)*F27</f>
        <v>73750</v>
      </c>
      <c r="H55" s="10"/>
    </row>
    <row r="56" spans="2:8" ht="16" thickBot="1" x14ac:dyDescent="0.25">
      <c r="B56" s="8" t="s">
        <v>94</v>
      </c>
      <c r="D56" s="10">
        <f>D54-D55</f>
        <v>33500</v>
      </c>
      <c r="E56" s="10">
        <f>E53+E54-E55</f>
        <v>20250</v>
      </c>
      <c r="F56" s="10">
        <f>F53+F54-F55</f>
        <v>-1750</v>
      </c>
      <c r="G56" s="14">
        <f>G53+G54-G55</f>
        <v>36250</v>
      </c>
      <c r="H56" s="10"/>
    </row>
    <row r="57" spans="2:8" x14ac:dyDescent="0.2">
      <c r="D57" s="10"/>
      <c r="E57" s="10"/>
      <c r="F57" s="10"/>
      <c r="G57" s="10"/>
      <c r="H57" s="10"/>
    </row>
    <row r="58" spans="2:8" x14ac:dyDescent="0.2">
      <c r="B58" s="8" t="s">
        <v>68</v>
      </c>
      <c r="D58" s="10">
        <v>0</v>
      </c>
      <c r="E58" s="10">
        <v>0</v>
      </c>
      <c r="F58" s="10">
        <f>D26-F56</f>
        <v>6750</v>
      </c>
      <c r="G58" s="10"/>
      <c r="H58" s="10"/>
    </row>
    <row r="60" spans="2:8" x14ac:dyDescent="0.2">
      <c r="B60" s="8" t="s">
        <v>69</v>
      </c>
      <c r="D60" s="10">
        <v>0</v>
      </c>
      <c r="E60" s="10">
        <v>0</v>
      </c>
      <c r="F60" s="10">
        <f>F58/(1-F27)</f>
        <v>6750</v>
      </c>
      <c r="G60" s="10"/>
      <c r="H60" s="10"/>
    </row>
    <row r="62" spans="2:8" x14ac:dyDescent="0.2">
      <c r="B62" s="8" t="s">
        <v>138</v>
      </c>
      <c r="D62" s="8">
        <f>D56</f>
        <v>33500</v>
      </c>
      <c r="E62" s="8">
        <f>E56</f>
        <v>20250</v>
      </c>
      <c r="F62" s="8">
        <f>F56+F60-F860*F27</f>
        <v>5000</v>
      </c>
    </row>
  </sheetData>
  <mergeCells count="5">
    <mergeCell ref="B2:O2"/>
    <mergeCell ref="B3:O3"/>
    <mergeCell ref="B4:O4"/>
    <mergeCell ref="B5:O5"/>
    <mergeCell ref="B6:O6"/>
  </mergeCells>
  <phoneticPr fontId="2" type="noConversion"/>
  <pageMargins left="0.7" right="0.7" top="0.75" bottom="0.75" header="0.3" footer="0.3"/>
  <pageSetup orientation="portrait" r:id="rId1"/>
  <colBreaks count="1" manualBreakCount="1">
    <brk id="9"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BDCA-06D7-FA43-982E-218B9D435ADB}">
  <dimension ref="A1:M90"/>
  <sheetViews>
    <sheetView tabSelected="1" topLeftCell="A65" zoomScaleNormal="211" workbookViewId="0">
      <selection activeCell="H1" sqref="H1"/>
    </sheetView>
  </sheetViews>
  <sheetFormatPr baseColWidth="10" defaultRowHeight="16" x14ac:dyDescent="0.2"/>
  <cols>
    <col min="1" max="1" width="10.83203125" style="15"/>
  </cols>
  <sheetData>
    <row r="1" spans="1:11" ht="17" thickBot="1" x14ac:dyDescent="0.25">
      <c r="A1" s="15">
        <v>1</v>
      </c>
      <c r="B1" t="s">
        <v>96</v>
      </c>
      <c r="H1" s="89">
        <f>SUM(E3:E4)</f>
        <v>553.29999999999995</v>
      </c>
    </row>
    <row r="3" spans="1:11" x14ac:dyDescent="0.2">
      <c r="C3" s="30" t="s">
        <v>180</v>
      </c>
      <c r="D3" s="30"/>
      <c r="E3" s="35">
        <v>277.10000000000002</v>
      </c>
    </row>
    <row r="4" spans="1:11" x14ac:dyDescent="0.2">
      <c r="C4" s="37" t="s">
        <v>181</v>
      </c>
      <c r="D4" s="39"/>
      <c r="E4" s="35">
        <v>276.2</v>
      </c>
    </row>
    <row r="5" spans="1:11" ht="17" thickBot="1" x14ac:dyDescent="0.25"/>
    <row r="6" spans="1:11" ht="17" thickBot="1" x14ac:dyDescent="0.25">
      <c r="A6" s="15">
        <v>2</v>
      </c>
      <c r="B6" t="s">
        <v>121</v>
      </c>
      <c r="K6" s="19">
        <f>H1/(D8/365)</f>
        <v>32.785885905386536</v>
      </c>
    </row>
    <row r="8" spans="1:11" x14ac:dyDescent="0.2">
      <c r="C8" s="30" t="s">
        <v>182</v>
      </c>
      <c r="D8" s="30">
        <v>6159.8</v>
      </c>
    </row>
    <row r="9" spans="1:11" ht="17" thickBot="1" x14ac:dyDescent="0.25"/>
    <row r="10" spans="1:11" ht="17" thickBot="1" x14ac:dyDescent="0.25">
      <c r="A10" s="15">
        <v>3</v>
      </c>
      <c r="B10" t="s">
        <v>120</v>
      </c>
      <c r="J10" s="19">
        <f>D12/(D13/365)</f>
        <v>107.20646319569121</v>
      </c>
    </row>
    <row r="12" spans="1:11" x14ac:dyDescent="0.2">
      <c r="C12" s="30" t="s">
        <v>183</v>
      </c>
      <c r="D12" s="30">
        <v>736.2</v>
      </c>
    </row>
    <row r="13" spans="1:11" x14ac:dyDescent="0.2">
      <c r="C13" s="30" t="s">
        <v>184</v>
      </c>
      <c r="D13" s="30">
        <v>2506.5</v>
      </c>
    </row>
    <row r="14" spans="1:11" ht="17" thickBot="1" x14ac:dyDescent="0.25"/>
    <row r="15" spans="1:11" ht="17" thickBot="1" x14ac:dyDescent="0.25">
      <c r="A15" s="15">
        <v>4</v>
      </c>
      <c r="B15" t="s">
        <v>122</v>
      </c>
      <c r="K15" s="19">
        <f>E17/(E18/365)</f>
        <v>35.939357670057852</v>
      </c>
    </row>
    <row r="17" spans="1:7" x14ac:dyDescent="0.2">
      <c r="C17" s="30" t="s">
        <v>185</v>
      </c>
      <c r="D17" s="30"/>
      <c r="E17" s="30">
        <v>246.8</v>
      </c>
    </row>
    <row r="18" spans="1:7" x14ac:dyDescent="0.2">
      <c r="C18" s="37" t="s">
        <v>184</v>
      </c>
      <c r="D18" s="39"/>
      <c r="E18" s="30">
        <f>D13</f>
        <v>2506.5</v>
      </c>
    </row>
    <row r="20" spans="1:7" ht="17" thickBot="1" x14ac:dyDescent="0.25"/>
    <row r="21" spans="1:7" ht="17" thickBot="1" x14ac:dyDescent="0.25">
      <c r="A21" s="15">
        <v>5</v>
      </c>
      <c r="B21" t="s">
        <v>97</v>
      </c>
      <c r="F21" s="19">
        <f>K6+J10-K15</f>
        <v>104.0529914310199</v>
      </c>
    </row>
    <row r="25" spans="1:7" ht="17" thickBot="1" x14ac:dyDescent="0.25"/>
    <row r="26" spans="1:7" ht="17" thickBot="1" x14ac:dyDescent="0.25">
      <c r="A26" s="15">
        <v>6</v>
      </c>
      <c r="B26" t="s">
        <v>98</v>
      </c>
      <c r="F26" s="19">
        <f>E28/E29</f>
        <v>1.6133843212237093</v>
      </c>
    </row>
    <row r="28" spans="1:7" x14ac:dyDescent="0.2">
      <c r="C28" s="30" t="s">
        <v>186</v>
      </c>
      <c r="D28" s="30"/>
      <c r="E28" s="30">
        <v>3375.2</v>
      </c>
    </row>
    <row r="29" spans="1:7" x14ac:dyDescent="0.2">
      <c r="C29" s="30" t="s">
        <v>187</v>
      </c>
      <c r="D29" s="30"/>
      <c r="E29" s="30">
        <v>2092</v>
      </c>
    </row>
    <row r="30" spans="1:7" ht="17" thickBot="1" x14ac:dyDescent="0.25"/>
    <row r="31" spans="1:7" ht="17" thickBot="1" x14ac:dyDescent="0.25">
      <c r="A31" s="15">
        <v>7</v>
      </c>
      <c r="B31" t="s">
        <v>99</v>
      </c>
      <c r="G31" s="20">
        <f>(D33-D34)/D33</f>
        <v>0.59308743790382801</v>
      </c>
    </row>
    <row r="33" spans="1:8" x14ac:dyDescent="0.2">
      <c r="C33" s="30" t="s">
        <v>188</v>
      </c>
      <c r="D33" s="30">
        <f>D8</f>
        <v>6159.8</v>
      </c>
    </row>
    <row r="34" spans="1:8" x14ac:dyDescent="0.2">
      <c r="C34" s="30" t="s">
        <v>184</v>
      </c>
      <c r="D34" s="30">
        <f>D13</f>
        <v>2506.5</v>
      </c>
    </row>
    <row r="35" spans="1:8" ht="17" thickBot="1" x14ac:dyDescent="0.25"/>
    <row r="36" spans="1:8" ht="17" thickBot="1" x14ac:dyDescent="0.25">
      <c r="A36" s="15">
        <v>8</v>
      </c>
      <c r="B36" t="s">
        <v>100</v>
      </c>
      <c r="F36" s="20">
        <f>E38/E39</f>
        <v>0.17738970588235295</v>
      </c>
    </row>
    <row r="38" spans="1:8" x14ac:dyDescent="0.2">
      <c r="C38" s="30" t="s">
        <v>189</v>
      </c>
      <c r="D38" s="30"/>
      <c r="E38" s="30">
        <v>57.9</v>
      </c>
    </row>
    <row r="39" spans="1:8" x14ac:dyDescent="0.2">
      <c r="C39" s="37" t="s">
        <v>190</v>
      </c>
      <c r="D39" s="39"/>
      <c r="E39" s="30">
        <v>326.39999999999998</v>
      </c>
    </row>
    <row r="40" spans="1:8" ht="17" thickBot="1" x14ac:dyDescent="0.25"/>
    <row r="41" spans="1:8" ht="17" thickBot="1" x14ac:dyDescent="0.25">
      <c r="A41" s="15">
        <v>9</v>
      </c>
      <c r="B41" t="s">
        <v>101</v>
      </c>
      <c r="H41" s="19">
        <f>D44</f>
        <v>384.3</v>
      </c>
    </row>
    <row r="43" spans="1:8" x14ac:dyDescent="0.2">
      <c r="C43" s="30" t="s">
        <v>191</v>
      </c>
      <c r="D43" s="30">
        <v>5.07</v>
      </c>
    </row>
    <row r="44" spans="1:8" x14ac:dyDescent="0.2">
      <c r="C44" s="30" t="s">
        <v>192</v>
      </c>
      <c r="D44" s="30">
        <v>384.3</v>
      </c>
    </row>
    <row r="45" spans="1:8" x14ac:dyDescent="0.2">
      <c r="C45" s="30" t="s">
        <v>193</v>
      </c>
      <c r="D45" s="81">
        <f>D44/D43</f>
        <v>75.798816568047329</v>
      </c>
    </row>
    <row r="46" spans="1:8" ht="17" thickBot="1" x14ac:dyDescent="0.25"/>
    <row r="47" spans="1:8" ht="17" thickBot="1" x14ac:dyDescent="0.25">
      <c r="A47" s="15">
        <v>10</v>
      </c>
      <c r="B47" t="s">
        <v>123</v>
      </c>
      <c r="H47" s="19">
        <f>D51</f>
        <v>384.45600000000007</v>
      </c>
    </row>
    <row r="49" spans="1:13" x14ac:dyDescent="0.2">
      <c r="C49" s="30" t="s">
        <v>194</v>
      </c>
      <c r="D49" s="30">
        <v>4.9800000000000004</v>
      </c>
    </row>
    <row r="50" spans="1:13" x14ac:dyDescent="0.2">
      <c r="C50" s="30" t="s">
        <v>195</v>
      </c>
      <c r="D50" s="30">
        <v>77.2</v>
      </c>
    </row>
    <row r="51" spans="1:13" x14ac:dyDescent="0.2">
      <c r="C51" s="30" t="s">
        <v>196</v>
      </c>
      <c r="D51" s="30">
        <f>D49*D50</f>
        <v>384.45600000000007</v>
      </c>
    </row>
    <row r="52" spans="1:13" ht="17" thickBot="1" x14ac:dyDescent="0.25"/>
    <row r="53" spans="1:13" ht="17" thickBot="1" x14ac:dyDescent="0.25">
      <c r="A53" s="15">
        <v>11</v>
      </c>
      <c r="B53" t="s">
        <v>118</v>
      </c>
      <c r="E53" s="21" t="s">
        <v>197</v>
      </c>
    </row>
    <row r="54" spans="1:13" x14ac:dyDescent="0.2">
      <c r="B54" s="3" t="s">
        <v>102</v>
      </c>
      <c r="C54" t="s">
        <v>103</v>
      </c>
    </row>
    <row r="55" spans="1:13" x14ac:dyDescent="0.2">
      <c r="B55" s="3" t="s">
        <v>104</v>
      </c>
      <c r="C55" t="s">
        <v>105</v>
      </c>
    </row>
    <row r="56" spans="1:13" x14ac:dyDescent="0.2">
      <c r="B56" s="3" t="s">
        <v>106</v>
      </c>
      <c r="C56" t="s">
        <v>124</v>
      </c>
    </row>
    <row r="57" spans="1:13" x14ac:dyDescent="0.2">
      <c r="B57" s="3" t="s">
        <v>107</v>
      </c>
      <c r="C57" t="s">
        <v>108</v>
      </c>
    </row>
    <row r="59" spans="1:13" ht="17" thickBot="1" x14ac:dyDescent="0.25"/>
    <row r="60" spans="1:13" ht="17" thickBot="1" x14ac:dyDescent="0.25">
      <c r="A60" s="15">
        <v>12</v>
      </c>
      <c r="B60" t="s">
        <v>125</v>
      </c>
      <c r="M60" s="19">
        <f>D63/D64</f>
        <v>12.603000811030009</v>
      </c>
    </row>
    <row r="61" spans="1:13" x14ac:dyDescent="0.2">
      <c r="B61" t="s">
        <v>109</v>
      </c>
    </row>
    <row r="63" spans="1:13" x14ac:dyDescent="0.2">
      <c r="C63" s="30" t="s">
        <v>198</v>
      </c>
      <c r="D63" s="30">
        <v>3107.9</v>
      </c>
    </row>
    <row r="64" spans="1:13" x14ac:dyDescent="0.2">
      <c r="C64" s="30" t="s">
        <v>199</v>
      </c>
      <c r="D64" s="30">
        <v>246.6</v>
      </c>
    </row>
    <row r="65" spans="1:9" ht="17" thickBot="1" x14ac:dyDescent="0.25"/>
    <row r="66" spans="1:9" ht="17" thickBot="1" x14ac:dyDescent="0.25">
      <c r="A66" s="15">
        <v>13</v>
      </c>
      <c r="B66" t="s">
        <v>110</v>
      </c>
      <c r="I66" s="4">
        <f>D70</f>
        <v>57.300000000000004</v>
      </c>
    </row>
    <row r="68" spans="1:9" x14ac:dyDescent="0.2">
      <c r="C68" s="30" t="s">
        <v>200</v>
      </c>
      <c r="D68" s="30">
        <v>104.9</v>
      </c>
    </row>
    <row r="69" spans="1:9" x14ac:dyDescent="0.2">
      <c r="C69" s="30" t="s">
        <v>201</v>
      </c>
      <c r="D69" s="30">
        <v>47.6</v>
      </c>
    </row>
    <row r="70" spans="1:9" x14ac:dyDescent="0.2">
      <c r="C70" s="30" t="s">
        <v>202</v>
      </c>
      <c r="D70" s="30">
        <f>D68-D69</f>
        <v>57.300000000000004</v>
      </c>
    </row>
    <row r="71" spans="1:9" ht="17" thickBot="1" x14ac:dyDescent="0.25"/>
    <row r="72" spans="1:9" ht="17" thickBot="1" x14ac:dyDescent="0.25">
      <c r="A72" s="15">
        <v>14</v>
      </c>
      <c r="B72" t="s">
        <v>111</v>
      </c>
      <c r="F72" s="91">
        <f>D74/D75</f>
        <v>1.703167353607367</v>
      </c>
    </row>
    <row r="74" spans="1:9" x14ac:dyDescent="0.2">
      <c r="C74" s="30" t="s">
        <v>206</v>
      </c>
      <c r="D74" s="30">
        <v>4586.8</v>
      </c>
    </row>
    <row r="75" spans="1:9" x14ac:dyDescent="0.2">
      <c r="C75" s="30" t="s">
        <v>207</v>
      </c>
      <c r="D75" s="30">
        <v>2693.1</v>
      </c>
    </row>
    <row r="78" spans="1:9" ht="17" thickBot="1" x14ac:dyDescent="0.25"/>
    <row r="79" spans="1:9" ht="17" thickBot="1" x14ac:dyDescent="0.25">
      <c r="A79" s="15">
        <v>15</v>
      </c>
      <c r="B79" t="s">
        <v>117</v>
      </c>
      <c r="I79" s="4">
        <f>D83</f>
        <v>369.40000000000055</v>
      </c>
    </row>
    <row r="81" spans="1:8" x14ac:dyDescent="0.2">
      <c r="C81" s="30" t="s">
        <v>203</v>
      </c>
      <c r="D81" s="30">
        <v>5979.1</v>
      </c>
    </row>
    <row r="82" spans="1:8" x14ac:dyDescent="0.2">
      <c r="C82" s="30" t="s">
        <v>196</v>
      </c>
      <c r="D82" s="30">
        <v>384.3</v>
      </c>
    </row>
    <row r="83" spans="1:8" x14ac:dyDescent="0.2">
      <c r="C83" s="90" t="s">
        <v>205</v>
      </c>
      <c r="D83" s="30">
        <f>D81+D82-D84</f>
        <v>369.40000000000055</v>
      </c>
    </row>
    <row r="84" spans="1:8" x14ac:dyDescent="0.2">
      <c r="C84" s="30" t="s">
        <v>204</v>
      </c>
      <c r="D84" s="30">
        <v>5994</v>
      </c>
    </row>
    <row r="85" spans="1:8" ht="17" thickBot="1" x14ac:dyDescent="0.25"/>
    <row r="86" spans="1:8" ht="17" thickBot="1" x14ac:dyDescent="0.25">
      <c r="A86" s="15">
        <v>16</v>
      </c>
      <c r="B86" t="s">
        <v>112</v>
      </c>
      <c r="H86" s="21" t="s">
        <v>208</v>
      </c>
    </row>
    <row r="87" spans="1:8" x14ac:dyDescent="0.2">
      <c r="B87" s="15" t="s">
        <v>102</v>
      </c>
      <c r="C87" t="s">
        <v>113</v>
      </c>
    </row>
    <row r="88" spans="1:8" x14ac:dyDescent="0.2">
      <c r="B88" s="15" t="s">
        <v>104</v>
      </c>
      <c r="C88" t="s">
        <v>114</v>
      </c>
    </row>
    <row r="89" spans="1:8" x14ac:dyDescent="0.2">
      <c r="B89" s="15" t="s">
        <v>106</v>
      </c>
      <c r="C89" t="s">
        <v>115</v>
      </c>
    </row>
    <row r="90" spans="1:8" x14ac:dyDescent="0.2">
      <c r="B90" s="15" t="s">
        <v>107</v>
      </c>
      <c r="C90" t="s">
        <v>116</v>
      </c>
    </row>
  </sheetData>
  <mergeCells count="3">
    <mergeCell ref="C4:D4"/>
    <mergeCell ref="C18:D18"/>
    <mergeCell ref="C39:D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Cost Behavior</vt:lpstr>
      <vt:lpstr>Break-even 1</vt:lpstr>
      <vt:lpstr>Break-even 2</vt:lpstr>
      <vt:lpstr>Master Budget</vt:lpstr>
      <vt:lpstr>16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Porter</dc:creator>
  <cp:lastModifiedBy>Microsoft Office User</cp:lastModifiedBy>
  <dcterms:created xsi:type="dcterms:W3CDTF">2023-02-06T16:52:34Z</dcterms:created>
  <dcterms:modified xsi:type="dcterms:W3CDTF">2023-02-14T03:51:41Z</dcterms:modified>
</cp:coreProperties>
</file>