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R\42d\"/>
    </mc:Choice>
  </mc:AlternateContent>
  <bookViews>
    <workbookView xWindow="0" yWindow="0" windowWidth="19200" windowHeight="6600"/>
  </bookViews>
  <sheets>
    <sheet name="Упоминания" sheetId="1" r:id="rId1"/>
  </sheets>
  <definedNames>
    <definedName name="_xlnm._FilterDatabase" localSheetId="0" hidden="1">Упоминания!$A$1:$AZ$1</definedName>
  </definedNames>
  <calcPr calcId="162913"/>
</workbook>
</file>

<file path=xl/calcChain.xml><?xml version="1.0" encoding="utf-8"?>
<calcChain xmlns="http://schemas.openxmlformats.org/spreadsheetml/2006/main">
  <c r="J653" i="1" l="1"/>
  <c r="G653" i="1"/>
  <c r="AI1254" i="1"/>
  <c r="P1254" i="1"/>
  <c r="J1254" i="1"/>
  <c r="G1254" i="1"/>
  <c r="AI246" i="1"/>
  <c r="P246" i="1"/>
  <c r="J246" i="1"/>
  <c r="G246" i="1"/>
  <c r="J636" i="1"/>
  <c r="G636" i="1"/>
  <c r="AI476" i="1"/>
  <c r="P476" i="1"/>
  <c r="J476" i="1"/>
  <c r="G476" i="1"/>
  <c r="AI213" i="1"/>
  <c r="P213" i="1"/>
  <c r="J213" i="1"/>
  <c r="G213" i="1"/>
  <c r="P600" i="1"/>
  <c r="J600" i="1"/>
  <c r="G600" i="1"/>
  <c r="P923" i="1"/>
  <c r="J923" i="1"/>
  <c r="G923" i="1"/>
  <c r="P665" i="1"/>
  <c r="J665" i="1"/>
  <c r="G665" i="1"/>
  <c r="AI533" i="1"/>
  <c r="P533" i="1"/>
  <c r="J533" i="1"/>
  <c r="G533" i="1"/>
  <c r="AI912" i="1"/>
  <c r="J912" i="1"/>
  <c r="G912" i="1"/>
  <c r="AI484" i="1"/>
  <c r="J484" i="1"/>
  <c r="G484" i="1"/>
  <c r="P33" i="1"/>
  <c r="J33" i="1"/>
  <c r="G33" i="1"/>
  <c r="AI777" i="1"/>
  <c r="P777" i="1"/>
  <c r="J777" i="1"/>
  <c r="G777" i="1"/>
  <c r="AI1134" i="1"/>
  <c r="P1134" i="1"/>
  <c r="J1134" i="1"/>
  <c r="G1134" i="1"/>
  <c r="AI1213" i="1"/>
  <c r="P1213" i="1"/>
  <c r="J1213" i="1"/>
  <c r="G1213" i="1"/>
  <c r="AI458" i="1"/>
  <c r="P458" i="1"/>
  <c r="J458" i="1"/>
  <c r="G458" i="1"/>
  <c r="AI776" i="1"/>
  <c r="P776" i="1"/>
  <c r="J776" i="1"/>
  <c r="G776" i="1"/>
  <c r="AI1253" i="1"/>
  <c r="P1253" i="1"/>
  <c r="J1253" i="1"/>
  <c r="G1253" i="1"/>
  <c r="AI847" i="1"/>
  <c r="P847" i="1"/>
  <c r="J847" i="1"/>
  <c r="G847" i="1"/>
  <c r="AI1252" i="1"/>
  <c r="P1252" i="1"/>
  <c r="J1252" i="1"/>
  <c r="G1252" i="1"/>
  <c r="AI1194" i="1"/>
  <c r="P1194" i="1"/>
  <c r="J1194" i="1"/>
  <c r="G1194" i="1"/>
  <c r="P996" i="1"/>
  <c r="J996" i="1"/>
  <c r="G996" i="1"/>
  <c r="AI1251" i="1"/>
  <c r="P1251" i="1"/>
  <c r="J1251" i="1"/>
  <c r="G1251" i="1"/>
  <c r="AI922" i="1"/>
  <c r="P922" i="1"/>
  <c r="J922" i="1"/>
  <c r="G922" i="1"/>
  <c r="AI1008" i="1"/>
  <c r="P1008" i="1"/>
  <c r="J1008" i="1"/>
  <c r="G1008" i="1"/>
  <c r="P1110" i="1"/>
  <c r="J1110" i="1"/>
  <c r="G1110" i="1"/>
  <c r="J652" i="1"/>
  <c r="G652" i="1"/>
  <c r="P715" i="1"/>
  <c r="J715" i="1"/>
  <c r="G715" i="1"/>
  <c r="AI261" i="1"/>
  <c r="P261" i="1"/>
  <c r="J261" i="1"/>
  <c r="G261" i="1"/>
  <c r="AI1193" i="1"/>
  <c r="P1193" i="1"/>
  <c r="J1193" i="1"/>
  <c r="G1193" i="1"/>
  <c r="AI1192" i="1"/>
  <c r="P1192" i="1"/>
  <c r="J1192" i="1"/>
  <c r="G1192" i="1"/>
  <c r="AI911" i="1"/>
  <c r="P911" i="1"/>
  <c r="J911" i="1"/>
  <c r="G911" i="1"/>
  <c r="AI701" i="1"/>
  <c r="P701" i="1"/>
  <c r="J701" i="1"/>
  <c r="G701" i="1"/>
  <c r="AI910" i="1"/>
  <c r="P910" i="1"/>
  <c r="J910" i="1"/>
  <c r="G910" i="1"/>
  <c r="P475" i="1"/>
  <c r="J475" i="1"/>
  <c r="G475" i="1"/>
  <c r="AI1057" i="1"/>
  <c r="P1057" i="1"/>
  <c r="J1057" i="1"/>
  <c r="G1057" i="1"/>
  <c r="P1133" i="1"/>
  <c r="J1133" i="1"/>
  <c r="G1133" i="1"/>
  <c r="AI714" i="1"/>
  <c r="P714" i="1"/>
  <c r="J714" i="1"/>
  <c r="G714" i="1"/>
  <c r="J921" i="1"/>
  <c r="G921" i="1"/>
  <c r="P651" i="1"/>
  <c r="J651" i="1"/>
  <c r="G651" i="1"/>
  <c r="P1250" i="1"/>
  <c r="J1250" i="1"/>
  <c r="G1250" i="1"/>
  <c r="P920" i="1"/>
  <c r="J920" i="1"/>
  <c r="G920" i="1"/>
  <c r="P599" i="1"/>
  <c r="J599" i="1"/>
  <c r="G599" i="1"/>
  <c r="P1212" i="1"/>
  <c r="J1212" i="1"/>
  <c r="G1212" i="1"/>
  <c r="AI664" i="1"/>
  <c r="P664" i="1"/>
  <c r="J664" i="1"/>
  <c r="G664" i="1"/>
  <c r="AI1249" i="1"/>
  <c r="P1249" i="1"/>
  <c r="J1249" i="1"/>
  <c r="G1249" i="1"/>
  <c r="AI919" i="1"/>
  <c r="P919" i="1"/>
  <c r="J919" i="1"/>
  <c r="G919" i="1"/>
  <c r="AI1007" i="1"/>
  <c r="P1007" i="1"/>
  <c r="J1007" i="1"/>
  <c r="G1007" i="1"/>
  <c r="AI792" i="1"/>
  <c r="P792" i="1"/>
  <c r="J792" i="1"/>
  <c r="G792" i="1"/>
  <c r="AI43" i="1"/>
  <c r="P43" i="1"/>
  <c r="J43" i="1"/>
  <c r="G43" i="1"/>
  <c r="AI523" i="1"/>
  <c r="P523" i="1"/>
  <c r="J523" i="1"/>
  <c r="G523" i="1"/>
  <c r="P1132" i="1"/>
  <c r="J1132" i="1"/>
  <c r="G1132" i="1"/>
  <c r="AI650" i="1"/>
  <c r="P650" i="1"/>
  <c r="J650" i="1"/>
  <c r="G650" i="1"/>
  <c r="AI1211" i="1"/>
  <c r="P1211" i="1"/>
  <c r="J1211" i="1"/>
  <c r="G1211" i="1"/>
  <c r="AI824" i="1"/>
  <c r="P824" i="1"/>
  <c r="J824" i="1"/>
  <c r="G824" i="1"/>
  <c r="P193" i="1"/>
  <c r="J193" i="1"/>
  <c r="G193" i="1"/>
  <c r="AI165" i="1"/>
  <c r="P165" i="1"/>
  <c r="J165" i="1"/>
  <c r="G165" i="1"/>
  <c r="AI995" i="1"/>
  <c r="P995" i="1"/>
  <c r="J995" i="1"/>
  <c r="G995" i="1"/>
  <c r="AI760" i="1"/>
  <c r="P760" i="1"/>
  <c r="J760" i="1"/>
  <c r="G760" i="1"/>
  <c r="J389" i="1"/>
  <c r="G389" i="1"/>
  <c r="AI467" i="1"/>
  <c r="P467" i="1"/>
  <c r="J467" i="1"/>
  <c r="G467" i="1"/>
  <c r="AI156" i="1"/>
  <c r="P156" i="1"/>
  <c r="J156" i="1"/>
  <c r="G156" i="1"/>
  <c r="AI1294" i="1"/>
  <c r="P1294" i="1"/>
  <c r="J1294" i="1"/>
  <c r="G1294" i="1"/>
  <c r="AI973" i="1"/>
  <c r="P973" i="1"/>
  <c r="J973" i="1"/>
  <c r="G973" i="1"/>
  <c r="AI89" i="1"/>
  <c r="J89" i="1"/>
  <c r="G89" i="1"/>
  <c r="AI649" i="1"/>
  <c r="P649" i="1"/>
  <c r="J649" i="1"/>
  <c r="G649" i="1"/>
  <c r="AI784" i="1"/>
  <c r="P784" i="1"/>
  <c r="J784" i="1"/>
  <c r="G784" i="1"/>
  <c r="AI611" i="1"/>
  <c r="P611" i="1"/>
  <c r="J611" i="1"/>
  <c r="G611" i="1"/>
  <c r="AI1103" i="1"/>
  <c r="P1103" i="1"/>
  <c r="J1103" i="1"/>
  <c r="G1103" i="1"/>
  <c r="AI28" i="1"/>
  <c r="P28" i="1"/>
  <c r="J28" i="1"/>
  <c r="G28" i="1"/>
  <c r="AI759" i="1"/>
  <c r="P759" i="1"/>
  <c r="J759" i="1"/>
  <c r="G759" i="1"/>
  <c r="AI334" i="1"/>
  <c r="P334" i="1"/>
  <c r="J334" i="1"/>
  <c r="G334" i="1"/>
  <c r="J1280" i="1"/>
  <c r="G1280" i="1"/>
  <c r="AI775" i="1"/>
  <c r="P775" i="1"/>
  <c r="J775" i="1"/>
  <c r="G775" i="1"/>
  <c r="AI23" i="1"/>
  <c r="P23" i="1"/>
  <c r="J23" i="1"/>
  <c r="G23" i="1"/>
  <c r="AI1075" i="1"/>
  <c r="P1075" i="1"/>
  <c r="J1075" i="1"/>
  <c r="G1075" i="1"/>
  <c r="P1162" i="1"/>
  <c r="J1162" i="1"/>
  <c r="G1162" i="1"/>
  <c r="AI1210" i="1"/>
  <c r="J1210" i="1"/>
  <c r="G1210" i="1"/>
  <c r="P236" i="1"/>
  <c r="J236" i="1"/>
  <c r="G236" i="1"/>
  <c r="P280" i="1"/>
  <c r="J280" i="1"/>
  <c r="G280" i="1"/>
  <c r="P366" i="1"/>
  <c r="J366" i="1"/>
  <c r="G366" i="1"/>
  <c r="J457" i="1"/>
  <c r="G457" i="1"/>
  <c r="P344" i="1"/>
  <c r="J344" i="1"/>
  <c r="G344" i="1"/>
  <c r="P663" i="1"/>
  <c r="J663" i="1"/>
  <c r="G663" i="1"/>
  <c r="AI1051" i="1"/>
  <c r="P1051" i="1"/>
  <c r="J1051" i="1"/>
  <c r="G1051" i="1"/>
  <c r="P1038" i="1"/>
  <c r="J1038" i="1"/>
  <c r="G1038" i="1"/>
  <c r="AI909" i="1"/>
  <c r="P909" i="1"/>
  <c r="J909" i="1"/>
  <c r="G909" i="1"/>
  <c r="P700" i="1"/>
  <c r="J700" i="1"/>
  <c r="G700" i="1"/>
  <c r="AI396" i="1"/>
  <c r="P396" i="1"/>
  <c r="J396" i="1"/>
  <c r="G396" i="1"/>
  <c r="AI908" i="1"/>
  <c r="P908" i="1"/>
  <c r="J908" i="1"/>
  <c r="G908" i="1"/>
  <c r="AI648" i="1"/>
  <c r="P648" i="1"/>
  <c r="J648" i="1"/>
  <c r="G648" i="1"/>
  <c r="P1102" i="1"/>
  <c r="J1102" i="1"/>
  <c r="G1102" i="1"/>
  <c r="AI774" i="1"/>
  <c r="J774" i="1"/>
  <c r="G774" i="1"/>
  <c r="J456" i="1"/>
  <c r="G456" i="1"/>
  <c r="P455" i="1"/>
  <c r="J455" i="1"/>
  <c r="G455" i="1"/>
  <c r="J177" i="1"/>
  <c r="G177" i="1"/>
  <c r="AI454" i="1"/>
  <c r="P454" i="1"/>
  <c r="J454" i="1"/>
  <c r="G454" i="1"/>
  <c r="AI235" i="1"/>
  <c r="J235" i="1"/>
  <c r="G235" i="1"/>
  <c r="AI615" i="1"/>
  <c r="P615" i="1"/>
  <c r="J615" i="1"/>
  <c r="G615" i="1"/>
  <c r="AI598" i="1"/>
  <c r="P598" i="1"/>
  <c r="J598" i="1"/>
  <c r="G598" i="1"/>
  <c r="AI37" i="1"/>
  <c r="P37" i="1"/>
  <c r="J37" i="1"/>
  <c r="G37" i="1"/>
  <c r="AI1101" i="1"/>
  <c r="P1101" i="1"/>
  <c r="J1101" i="1"/>
  <c r="G1101" i="1"/>
  <c r="AI212" i="1"/>
  <c r="P212" i="1"/>
  <c r="J212" i="1"/>
  <c r="G212" i="1"/>
  <c r="P343" i="1"/>
  <c r="J343" i="1"/>
  <c r="G343" i="1"/>
  <c r="P453" i="1"/>
  <c r="J453" i="1"/>
  <c r="G453" i="1"/>
  <c r="J274" i="1"/>
  <c r="G274" i="1"/>
  <c r="J846" i="1"/>
  <c r="G846" i="1"/>
  <c r="P1279" i="1"/>
  <c r="J1279" i="1"/>
  <c r="G1279" i="1"/>
  <c r="AI811" i="1"/>
  <c r="P811" i="1"/>
  <c r="J811" i="1"/>
  <c r="G811" i="1"/>
  <c r="AI149" i="1"/>
  <c r="P149" i="1"/>
  <c r="J149" i="1"/>
  <c r="G149" i="1"/>
  <c r="P253" i="1"/>
  <c r="J253" i="1"/>
  <c r="G253" i="1"/>
  <c r="AI490" i="1"/>
  <c r="P490" i="1"/>
  <c r="J490" i="1"/>
  <c r="G490" i="1"/>
  <c r="AI218" i="1"/>
  <c r="P218" i="1"/>
  <c r="J218" i="1"/>
  <c r="G218" i="1"/>
  <c r="P260" i="1"/>
  <c r="J260" i="1"/>
  <c r="G260" i="1"/>
  <c r="AI234" i="1"/>
  <c r="P234" i="1"/>
  <c r="J234" i="1"/>
  <c r="G234" i="1"/>
  <c r="AI88" i="1"/>
  <c r="P88" i="1"/>
  <c r="J88" i="1"/>
  <c r="G88" i="1"/>
  <c r="AI773" i="1"/>
  <c r="P773" i="1"/>
  <c r="J773" i="1"/>
  <c r="G773" i="1"/>
  <c r="AI27" i="1"/>
  <c r="P27" i="1"/>
  <c r="J27" i="1"/>
  <c r="G27" i="1"/>
  <c r="AI316" i="1"/>
  <c r="P316" i="1"/>
  <c r="J316" i="1"/>
  <c r="G316" i="1"/>
  <c r="P388" i="1"/>
  <c r="J388" i="1"/>
  <c r="G388" i="1"/>
  <c r="J684" i="1"/>
  <c r="G684" i="1"/>
  <c r="AI98" i="1"/>
  <c r="P98" i="1"/>
  <c r="J98" i="1"/>
  <c r="G98" i="1"/>
  <c r="P823" i="1"/>
  <c r="J823" i="1"/>
  <c r="G823" i="1"/>
  <c r="J647" i="1"/>
  <c r="G647" i="1"/>
  <c r="AI6" i="1"/>
  <c r="P6" i="1"/>
  <c r="J6" i="1"/>
  <c r="G6" i="1"/>
  <c r="AI372" i="1"/>
  <c r="P372" i="1"/>
  <c r="J372" i="1"/>
  <c r="G372" i="1"/>
  <c r="P290" i="1"/>
  <c r="J290" i="1"/>
  <c r="G290" i="1"/>
  <c r="P109" i="1"/>
  <c r="J109" i="1"/>
  <c r="G109" i="1"/>
  <c r="P371" i="1"/>
  <c r="J371" i="1"/>
  <c r="G371" i="1"/>
  <c r="P1100" i="1"/>
  <c r="J1100" i="1"/>
  <c r="G1100" i="1"/>
  <c r="J545" i="1"/>
  <c r="G545" i="1"/>
  <c r="J822" i="1"/>
  <c r="G822" i="1"/>
  <c r="J1006" i="1"/>
  <c r="G1006" i="1"/>
  <c r="J1278" i="1"/>
  <c r="G1278" i="1"/>
  <c r="J337" i="1"/>
  <c r="G337" i="1"/>
  <c r="P1005" i="1"/>
  <c r="J1005" i="1"/>
  <c r="G1005" i="1"/>
  <c r="J1004" i="1"/>
  <c r="G1004" i="1"/>
  <c r="P532" i="1"/>
  <c r="J532" i="1"/>
  <c r="G532" i="1"/>
  <c r="J955" i="1"/>
  <c r="G955" i="1"/>
  <c r="J466" i="1"/>
  <c r="G466" i="1"/>
  <c r="AI683" i="1"/>
  <c r="P683" i="1"/>
  <c r="J683" i="1"/>
  <c r="G683" i="1"/>
  <c r="AI278" i="1"/>
  <c r="P278" i="1"/>
  <c r="J278" i="1"/>
  <c r="G278" i="1"/>
  <c r="AI907" i="1"/>
  <c r="P907" i="1"/>
  <c r="J907" i="1"/>
  <c r="G907" i="1"/>
  <c r="J233" i="1"/>
  <c r="G233" i="1"/>
  <c r="AI1021" i="1"/>
  <c r="P1021" i="1"/>
  <c r="J1021" i="1"/>
  <c r="G1021" i="1"/>
  <c r="P75" i="1"/>
  <c r="J75" i="1"/>
  <c r="G75" i="1"/>
  <c r="AI564" i="1"/>
  <c r="P564" i="1"/>
  <c r="J564" i="1"/>
  <c r="G564" i="1"/>
  <c r="AI1277" i="1"/>
  <c r="P1277" i="1"/>
  <c r="J1277" i="1"/>
  <c r="G1277" i="1"/>
  <c r="AI176" i="1"/>
  <c r="P176" i="1"/>
  <c r="J176" i="1"/>
  <c r="G176" i="1"/>
  <c r="P734" i="1"/>
  <c r="J734" i="1"/>
  <c r="G734" i="1"/>
  <c r="AI474" i="1"/>
  <c r="J474" i="1"/>
  <c r="G474" i="1"/>
  <c r="P259" i="1"/>
  <c r="J259" i="1"/>
  <c r="G259" i="1"/>
  <c r="AI147" i="1"/>
  <c r="P147" i="1"/>
  <c r="J147" i="1"/>
  <c r="G147" i="1"/>
  <c r="AI803" i="1"/>
  <c r="P803" i="1"/>
  <c r="J803" i="1"/>
  <c r="G803" i="1"/>
  <c r="AI646" i="1"/>
  <c r="P646" i="1"/>
  <c r="J646" i="1"/>
  <c r="G646" i="1"/>
  <c r="AI906" i="1"/>
  <c r="P906" i="1"/>
  <c r="J906" i="1"/>
  <c r="G906" i="1"/>
  <c r="AI1209" i="1"/>
  <c r="P1209" i="1"/>
  <c r="J1209" i="1"/>
  <c r="G1209" i="1"/>
  <c r="P486" i="1"/>
  <c r="J486" i="1"/>
  <c r="G486" i="1"/>
  <c r="AI791" i="1"/>
  <c r="P791" i="1"/>
  <c r="J791" i="1"/>
  <c r="G791" i="1"/>
  <c r="P489" i="1"/>
  <c r="J489" i="1"/>
  <c r="G489" i="1"/>
  <c r="P972" i="1"/>
  <c r="J972" i="1"/>
  <c r="G972" i="1"/>
  <c r="P845" i="1"/>
  <c r="J845" i="1"/>
  <c r="G845" i="1"/>
  <c r="P1144" i="1"/>
  <c r="J1144" i="1"/>
  <c r="G1144" i="1"/>
  <c r="P905" i="1"/>
  <c r="J905" i="1"/>
  <c r="G905" i="1"/>
  <c r="P1020" i="1"/>
  <c r="J1020" i="1"/>
  <c r="G1020" i="1"/>
  <c r="P215" i="1"/>
  <c r="J215" i="1"/>
  <c r="G215" i="1"/>
  <c r="P758" i="1"/>
  <c r="J758" i="1"/>
  <c r="G758" i="1"/>
  <c r="P565" i="1"/>
  <c r="J565" i="1"/>
  <c r="G565" i="1"/>
  <c r="P645" i="1"/>
  <c r="J645" i="1"/>
  <c r="G645" i="1"/>
  <c r="P333" i="1"/>
  <c r="J333" i="1"/>
  <c r="G333" i="1"/>
  <c r="P607" i="1"/>
  <c r="J607" i="1"/>
  <c r="G607" i="1"/>
  <c r="AI614" i="1"/>
  <c r="P614" i="1"/>
  <c r="J614" i="1"/>
  <c r="G614" i="1"/>
  <c r="P1151" i="1"/>
  <c r="J1151" i="1"/>
  <c r="G1151" i="1"/>
  <c r="AI1290" i="1"/>
  <c r="P1290" i="1"/>
  <c r="J1290" i="1"/>
  <c r="G1290" i="1"/>
  <c r="AI452" i="1"/>
  <c r="P452" i="1"/>
  <c r="J452" i="1"/>
  <c r="G452" i="1"/>
  <c r="AI128" i="1"/>
  <c r="P128" i="1"/>
  <c r="J128" i="1"/>
  <c r="G128" i="1"/>
  <c r="P1131" i="1"/>
  <c r="J1131" i="1"/>
  <c r="G1131" i="1"/>
  <c r="AI42" i="1"/>
  <c r="P42" i="1"/>
  <c r="J42" i="1"/>
  <c r="G42" i="1"/>
  <c r="AI485" i="1"/>
  <c r="P485" i="1"/>
  <c r="J485" i="1"/>
  <c r="G485" i="1"/>
  <c r="AI689" i="1"/>
  <c r="P689" i="1"/>
  <c r="J689" i="1"/>
  <c r="G689" i="1"/>
  <c r="AI277" i="1"/>
  <c r="P277" i="1"/>
  <c r="J277" i="1"/>
  <c r="G277" i="1"/>
  <c r="AI297" i="1"/>
  <c r="P297" i="1"/>
  <c r="J297" i="1"/>
  <c r="G297" i="1"/>
  <c r="AI742" i="1"/>
  <c r="P742" i="1"/>
  <c r="J742" i="1"/>
  <c r="G742" i="1"/>
  <c r="AI644" i="1"/>
  <c r="P644" i="1"/>
  <c r="J644" i="1"/>
  <c r="G644" i="1"/>
  <c r="AI954" i="1"/>
  <c r="P954" i="1"/>
  <c r="J954" i="1"/>
  <c r="G954" i="1"/>
  <c r="AI68" i="1"/>
  <c r="P68" i="1"/>
  <c r="J68" i="1"/>
  <c r="G68" i="1"/>
  <c r="AI451" i="1"/>
  <c r="P451" i="1"/>
  <c r="J451" i="1"/>
  <c r="G451" i="1"/>
  <c r="AI97" i="1"/>
  <c r="P97" i="1"/>
  <c r="J97" i="1"/>
  <c r="G97" i="1"/>
  <c r="AI741" i="1"/>
  <c r="P741" i="1"/>
  <c r="J741" i="1"/>
  <c r="G741" i="1"/>
  <c r="AI733" i="1"/>
  <c r="P733" i="1"/>
  <c r="J733" i="1"/>
  <c r="G733" i="1"/>
  <c r="P164" i="1"/>
  <c r="J164" i="1"/>
  <c r="G164" i="1"/>
  <c r="P713" i="1"/>
  <c r="J713" i="1"/>
  <c r="G713" i="1"/>
  <c r="AI465" i="1"/>
  <c r="P465" i="1"/>
  <c r="J465" i="1"/>
  <c r="G465" i="1"/>
  <c r="AI387" i="1"/>
  <c r="P387" i="1"/>
  <c r="J387" i="1"/>
  <c r="G387" i="1"/>
  <c r="AI510" i="1"/>
  <c r="P510" i="1"/>
  <c r="J510" i="1"/>
  <c r="G510" i="1"/>
  <c r="AI82" i="1"/>
  <c r="P82" i="1"/>
  <c r="J82" i="1"/>
  <c r="G82" i="1"/>
  <c r="P740" i="1"/>
  <c r="J740" i="1"/>
  <c r="G740" i="1"/>
  <c r="AI570" i="1"/>
  <c r="P570" i="1"/>
  <c r="J570" i="1"/>
  <c r="G570" i="1"/>
  <c r="P732" i="1"/>
  <c r="J732" i="1"/>
  <c r="G732" i="1"/>
  <c r="P325" i="1"/>
  <c r="J325" i="1"/>
  <c r="G325" i="1"/>
  <c r="J450" i="1"/>
  <c r="G450" i="1"/>
  <c r="P579" i="1"/>
  <c r="J579" i="1"/>
  <c r="G579" i="1"/>
  <c r="P449" i="1"/>
  <c r="J449" i="1"/>
  <c r="G449" i="1"/>
  <c r="AI1037" i="1"/>
  <c r="G1037" i="1"/>
  <c r="P411" i="1"/>
  <c r="J411" i="1"/>
  <c r="G411" i="1"/>
  <c r="AI597" i="1"/>
  <c r="P597" i="1"/>
  <c r="J597" i="1"/>
  <c r="G597" i="1"/>
  <c r="AI41" i="1"/>
  <c r="P41" i="1"/>
  <c r="J41" i="1"/>
  <c r="G41" i="1"/>
  <c r="AI874" i="1"/>
  <c r="P874" i="1"/>
  <c r="J874" i="1"/>
  <c r="G874" i="1"/>
  <c r="AI232" i="1"/>
  <c r="P232" i="1"/>
  <c r="J232" i="1"/>
  <c r="G232" i="1"/>
  <c r="AI643" i="1"/>
  <c r="P643" i="1"/>
  <c r="J643" i="1"/>
  <c r="G643" i="1"/>
  <c r="AI596" i="1"/>
  <c r="P596" i="1"/>
  <c r="J596" i="1"/>
  <c r="G596" i="1"/>
  <c r="AI351" i="1"/>
  <c r="P351" i="1"/>
  <c r="J351" i="1"/>
  <c r="G351" i="1"/>
  <c r="G964" i="1"/>
  <c r="AI1208" i="1"/>
  <c r="P1208" i="1"/>
  <c r="J1208" i="1"/>
  <c r="G1208" i="1"/>
  <c r="AI211" i="1"/>
  <c r="P211" i="1"/>
  <c r="J211" i="1"/>
  <c r="G211" i="1"/>
  <c r="P642" i="1"/>
  <c r="J642" i="1"/>
  <c r="G642" i="1"/>
  <c r="AI1036" i="1"/>
  <c r="P1036" i="1"/>
  <c r="J1036" i="1"/>
  <c r="G1036" i="1"/>
  <c r="AI410" i="1"/>
  <c r="P410" i="1"/>
  <c r="J410" i="1"/>
  <c r="G410" i="1"/>
  <c r="AI1207" i="1"/>
  <c r="P1207" i="1"/>
  <c r="J1207" i="1"/>
  <c r="G1207" i="1"/>
  <c r="AI1035" i="1"/>
  <c r="P1035" i="1"/>
  <c r="J1035" i="1"/>
  <c r="G1035" i="1"/>
  <c r="AI569" i="1"/>
  <c r="P569" i="1"/>
  <c r="J569" i="1"/>
  <c r="G569" i="1"/>
  <c r="AI448" i="1"/>
  <c r="P448" i="1"/>
  <c r="J448" i="1"/>
  <c r="G448" i="1"/>
  <c r="AI106" i="1"/>
  <c r="P106" i="1"/>
  <c r="J106" i="1"/>
  <c r="G106" i="1"/>
  <c r="P810" i="1"/>
  <c r="J810" i="1"/>
  <c r="G810" i="1"/>
  <c r="P488" i="1"/>
  <c r="J488" i="1"/>
  <c r="G488" i="1"/>
  <c r="AI22" i="1"/>
  <c r="P22" i="1"/>
  <c r="J22" i="1"/>
  <c r="G22" i="1"/>
  <c r="AI613" i="1"/>
  <c r="P613" i="1"/>
  <c r="J613" i="1"/>
  <c r="G613" i="1"/>
  <c r="AI363" i="1"/>
  <c r="P363" i="1"/>
  <c r="J363" i="1"/>
  <c r="G363" i="1"/>
  <c r="P1206" i="1"/>
  <c r="J1206" i="1"/>
  <c r="G1206" i="1"/>
  <c r="AI712" i="1"/>
  <c r="P712" i="1"/>
  <c r="J712" i="1"/>
  <c r="G712" i="1"/>
  <c r="AI301" i="1"/>
  <c r="P301" i="1"/>
  <c r="J301" i="1"/>
  <c r="G301" i="1"/>
  <c r="AI447" i="1"/>
  <c r="P447" i="1"/>
  <c r="J447" i="1"/>
  <c r="G447" i="1"/>
  <c r="P386" i="1"/>
  <c r="J386" i="1"/>
  <c r="G386" i="1"/>
  <c r="AI1034" i="1"/>
  <c r="P1034" i="1"/>
  <c r="J1034" i="1"/>
  <c r="G1034" i="1"/>
  <c r="AI4" i="1"/>
  <c r="P4" i="1"/>
  <c r="J4" i="1"/>
  <c r="G4" i="1"/>
  <c r="P953" i="1"/>
  <c r="J953" i="1"/>
  <c r="G953" i="1"/>
  <c r="AI844" i="1"/>
  <c r="P844" i="1"/>
  <c r="J844" i="1"/>
  <c r="G844" i="1"/>
  <c r="AI641" i="1"/>
  <c r="P641" i="1"/>
  <c r="J641" i="1"/>
  <c r="G641" i="1"/>
  <c r="AI169" i="1"/>
  <c r="P169" i="1"/>
  <c r="J169" i="1"/>
  <c r="G169" i="1"/>
  <c r="AI640" i="1"/>
  <c r="P640" i="1"/>
  <c r="J640" i="1"/>
  <c r="G640" i="1"/>
  <c r="J682" i="1"/>
  <c r="G682" i="1"/>
  <c r="P731" i="1"/>
  <c r="J731" i="1"/>
  <c r="G731" i="1"/>
  <c r="AI802" i="1"/>
  <c r="J802" i="1"/>
  <c r="G802" i="1"/>
  <c r="AI231" i="1"/>
  <c r="J231" i="1"/>
  <c r="G231" i="1"/>
  <c r="AI1072" i="1"/>
  <c r="J1072" i="1"/>
  <c r="G1072" i="1"/>
  <c r="AI244" i="1"/>
  <c r="J244" i="1"/>
  <c r="G244" i="1"/>
  <c r="AI183" i="1"/>
  <c r="J183" i="1"/>
  <c r="G183" i="1"/>
  <c r="AI772" i="1"/>
  <c r="J772" i="1"/>
  <c r="G772" i="1"/>
  <c r="AI127" i="1"/>
  <c r="J127" i="1"/>
  <c r="G127" i="1"/>
  <c r="P952" i="1"/>
  <c r="J952" i="1"/>
  <c r="G952" i="1"/>
  <c r="P1064" i="1"/>
  <c r="J1064" i="1"/>
  <c r="G1064" i="1"/>
  <c r="P409" i="1"/>
  <c r="J409" i="1"/>
  <c r="G409" i="1"/>
  <c r="AI296" i="1"/>
  <c r="P296" i="1"/>
  <c r="J296" i="1"/>
  <c r="G296" i="1"/>
  <c r="AI192" i="1"/>
  <c r="P192" i="1"/>
  <c r="J192" i="1"/>
  <c r="G192" i="1"/>
  <c r="AI464" i="1"/>
  <c r="P464" i="1"/>
  <c r="J464" i="1"/>
  <c r="G464" i="1"/>
  <c r="AI586" i="1"/>
  <c r="P586" i="1"/>
  <c r="J586" i="1"/>
  <c r="G586" i="1"/>
  <c r="AI1033" i="1"/>
  <c r="P1033" i="1"/>
  <c r="J1033" i="1"/>
  <c r="G1033" i="1"/>
  <c r="AI672" i="1"/>
  <c r="P672" i="1"/>
  <c r="J672" i="1"/>
  <c r="G672" i="1"/>
  <c r="P563" i="1"/>
  <c r="J563" i="1"/>
  <c r="G563" i="1"/>
  <c r="P815" i="1"/>
  <c r="J815" i="1"/>
  <c r="G815" i="1"/>
  <c r="AI963" i="1"/>
  <c r="J963" i="1"/>
  <c r="G963" i="1"/>
  <c r="J13" i="1"/>
  <c r="G13" i="1"/>
  <c r="AI276" i="1"/>
  <c r="P276" i="1"/>
  <c r="J276" i="1"/>
  <c r="G276" i="1"/>
  <c r="AI1130" i="1"/>
  <c r="J1130" i="1"/>
  <c r="G1130" i="1"/>
  <c r="AI50" i="1"/>
  <c r="P50" i="1"/>
  <c r="J50" i="1"/>
  <c r="G50" i="1"/>
  <c r="AI694" i="1"/>
  <c r="P694" i="1"/>
  <c r="J694" i="1"/>
  <c r="G694" i="1"/>
  <c r="AI809" i="1"/>
  <c r="P809" i="1"/>
  <c r="J809" i="1"/>
  <c r="G809" i="1"/>
  <c r="AI238" i="1"/>
  <c r="P238" i="1"/>
  <c r="J238" i="1"/>
  <c r="G238" i="1"/>
  <c r="P30" i="1"/>
  <c r="J30" i="1"/>
  <c r="G30" i="1"/>
  <c r="P699" i="1"/>
  <c r="J699" i="1"/>
  <c r="G699" i="1"/>
  <c r="AI315" i="1"/>
  <c r="J315" i="1"/>
  <c r="G315" i="1"/>
  <c r="P87" i="1"/>
  <c r="J87" i="1"/>
  <c r="G87" i="1"/>
  <c r="AI67" i="1"/>
  <c r="P67" i="1"/>
  <c r="J67" i="1"/>
  <c r="G67" i="1"/>
  <c r="AI21" i="1"/>
  <c r="P21" i="1"/>
  <c r="J21" i="1"/>
  <c r="G21" i="1"/>
  <c r="AI163" i="1"/>
  <c r="P163" i="1"/>
  <c r="J163" i="1"/>
  <c r="G163" i="1"/>
  <c r="AI662" i="1"/>
  <c r="P662" i="1"/>
  <c r="J662" i="1"/>
  <c r="G662" i="1"/>
  <c r="AI418" i="1"/>
  <c r="P418" i="1"/>
  <c r="J418" i="1"/>
  <c r="G418" i="1"/>
  <c r="P81" i="1"/>
  <c r="J81" i="1"/>
  <c r="G81" i="1"/>
  <c r="AI873" i="1"/>
  <c r="P873" i="1"/>
  <c r="J873" i="1"/>
  <c r="G873" i="1"/>
  <c r="AI385" i="1"/>
  <c r="P385" i="1"/>
  <c r="J385" i="1"/>
  <c r="G385" i="1"/>
  <c r="P473" i="1"/>
  <c r="J473" i="1"/>
  <c r="G473" i="1"/>
  <c r="P661" i="1"/>
  <c r="J661" i="1"/>
  <c r="G661" i="1"/>
  <c r="AI1141" i="1"/>
  <c r="P1141" i="1"/>
  <c r="J1141" i="1"/>
  <c r="G1141" i="1"/>
  <c r="P522" i="1"/>
  <c r="J522" i="1"/>
  <c r="G522" i="1"/>
  <c r="P295" i="1"/>
  <c r="J295" i="1"/>
  <c r="G295" i="1"/>
  <c r="J145" i="1"/>
  <c r="G145" i="1"/>
  <c r="AI991" i="1"/>
  <c r="P991" i="1"/>
  <c r="J991" i="1"/>
  <c r="G991" i="1"/>
  <c r="J273" i="1"/>
  <c r="G273" i="1"/>
  <c r="J105" i="1"/>
  <c r="G105" i="1"/>
  <c r="P509" i="1"/>
  <c r="J509" i="1"/>
  <c r="G509" i="1"/>
  <c r="AI808" i="1"/>
  <c r="P808" i="1"/>
  <c r="J808" i="1"/>
  <c r="G808" i="1"/>
  <c r="AI807" i="1"/>
  <c r="P807" i="1"/>
  <c r="J807" i="1"/>
  <c r="G807" i="1"/>
  <c r="AI951" i="1"/>
  <c r="P951" i="1"/>
  <c r="J951" i="1"/>
  <c r="G951" i="1"/>
  <c r="AI821" i="1"/>
  <c r="P821" i="1"/>
  <c r="J821" i="1"/>
  <c r="G821" i="1"/>
  <c r="AI688" i="1"/>
  <c r="P688" i="1"/>
  <c r="J688" i="1"/>
  <c r="G688" i="1"/>
  <c r="AI272" i="1"/>
  <c r="P272" i="1"/>
  <c r="J272" i="1"/>
  <c r="G272" i="1"/>
  <c r="P757" i="1"/>
  <c r="J757" i="1"/>
  <c r="G757" i="1"/>
  <c r="AI562" i="1"/>
  <c r="P562" i="1"/>
  <c r="J562" i="1"/>
  <c r="G562" i="1"/>
  <c r="AI711" i="1"/>
  <c r="P711" i="1"/>
  <c r="J711" i="1"/>
  <c r="G711" i="1"/>
  <c r="AI872" i="1"/>
  <c r="P872" i="1"/>
  <c r="J872" i="1"/>
  <c r="G872" i="1"/>
  <c r="AI294" i="1"/>
  <c r="P294" i="1"/>
  <c r="J294" i="1"/>
  <c r="G294" i="1"/>
  <c r="AI1205" i="1"/>
  <c r="P1205" i="1"/>
  <c r="J1205" i="1"/>
  <c r="G1205" i="1"/>
  <c r="AI153" i="1"/>
  <c r="P153" i="1"/>
  <c r="J153" i="1"/>
  <c r="G153" i="1"/>
  <c r="AI730" i="1"/>
  <c r="P730" i="1"/>
  <c r="J730" i="1"/>
  <c r="G730" i="1"/>
  <c r="AI289" i="1"/>
  <c r="P289" i="1"/>
  <c r="J289" i="1"/>
  <c r="G289" i="1"/>
  <c r="P660" i="1"/>
  <c r="J660" i="1"/>
  <c r="G660" i="1"/>
  <c r="P595" i="1"/>
  <c r="J595" i="1"/>
  <c r="G595" i="1"/>
  <c r="J152" i="1"/>
  <c r="G152" i="1"/>
  <c r="J1079" i="1"/>
  <c r="G1079" i="1"/>
  <c r="P496" i="1"/>
  <c r="J496" i="1"/>
  <c r="G496" i="1"/>
  <c r="P1161" i="1"/>
  <c r="J1161" i="1"/>
  <c r="G1161" i="1"/>
  <c r="AI1204" i="1"/>
  <c r="P1204" i="1"/>
  <c r="J1204" i="1"/>
  <c r="G1204" i="1"/>
  <c r="P1168" i="1"/>
  <c r="J1168" i="1"/>
  <c r="G1168" i="1"/>
  <c r="AI126" i="1"/>
  <c r="P126" i="1"/>
  <c r="J126" i="1"/>
  <c r="G126" i="1"/>
  <c r="J1167" i="1"/>
  <c r="G1167" i="1"/>
  <c r="J1019" i="1"/>
  <c r="G1019" i="1"/>
  <c r="AI125" i="1"/>
  <c r="P125" i="1"/>
  <c r="J125" i="1"/>
  <c r="G125" i="1"/>
  <c r="AI113" i="1"/>
  <c r="P113" i="1"/>
  <c r="J113" i="1"/>
  <c r="G113" i="1"/>
  <c r="AI691" i="1"/>
  <c r="P691" i="1"/>
  <c r="J691" i="1"/>
  <c r="G691" i="1"/>
  <c r="AI1003" i="1"/>
  <c r="P1003" i="1"/>
  <c r="J1003" i="1"/>
  <c r="G1003" i="1"/>
  <c r="AI990" i="1"/>
  <c r="P990" i="1"/>
  <c r="J990" i="1"/>
  <c r="G990" i="1"/>
  <c r="AI971" i="1"/>
  <c r="P971" i="1"/>
  <c r="J971" i="1"/>
  <c r="G971" i="1"/>
  <c r="AI463" i="1"/>
  <c r="P463" i="1"/>
  <c r="J463" i="1"/>
  <c r="G463" i="1"/>
  <c r="P1071" i="1"/>
  <c r="J1071" i="1"/>
  <c r="G1071" i="1"/>
  <c r="AI472" i="1"/>
  <c r="P472" i="1"/>
  <c r="J472" i="1"/>
  <c r="G472" i="1"/>
  <c r="AI697" i="1"/>
  <c r="J697" i="1"/>
  <c r="G697" i="1"/>
  <c r="AI1032" i="1"/>
  <c r="P1032" i="1"/>
  <c r="J1032" i="1"/>
  <c r="G1032" i="1"/>
  <c r="AI979" i="1"/>
  <c r="P979" i="1"/>
  <c r="J979" i="1"/>
  <c r="G979" i="1"/>
  <c r="AI124" i="1"/>
  <c r="P124" i="1"/>
  <c r="J124" i="1"/>
  <c r="G124" i="1"/>
  <c r="P1298" i="1"/>
  <c r="J1298" i="1"/>
  <c r="G1298" i="1"/>
  <c r="AI729" i="1"/>
  <c r="P729" i="1"/>
  <c r="J729" i="1"/>
  <c r="G729" i="1"/>
  <c r="AI104" i="1"/>
  <c r="P104" i="1"/>
  <c r="J104" i="1"/>
  <c r="G104" i="1"/>
  <c r="P1129" i="1"/>
  <c r="J1129" i="1"/>
  <c r="G1129" i="1"/>
  <c r="J1203" i="1"/>
  <c r="G1203" i="1"/>
  <c r="J471" i="1"/>
  <c r="G471" i="1"/>
  <c r="P1202" i="1"/>
  <c r="J1202" i="1"/>
  <c r="G1202" i="1"/>
  <c r="J342" i="1"/>
  <c r="G342" i="1"/>
  <c r="P1201" i="1"/>
  <c r="J1201" i="1"/>
  <c r="G1201" i="1"/>
  <c r="P314" i="1"/>
  <c r="J314" i="1"/>
  <c r="G314" i="1"/>
  <c r="AI1200" i="1"/>
  <c r="P1200" i="1"/>
  <c r="J1200" i="1"/>
  <c r="G1200" i="1"/>
  <c r="P123" i="1"/>
  <c r="J123" i="1"/>
  <c r="G123" i="1"/>
  <c r="J771" i="1"/>
  <c r="G771" i="1"/>
  <c r="AI1276" i="1"/>
  <c r="P1276" i="1"/>
  <c r="J1276" i="1"/>
  <c r="G1276" i="1"/>
  <c r="AI424" i="1"/>
  <c r="P424" i="1"/>
  <c r="J424" i="1"/>
  <c r="G424" i="1"/>
  <c r="AI1289" i="1"/>
  <c r="P1289" i="1"/>
  <c r="J1289" i="1"/>
  <c r="G1289" i="1"/>
  <c r="AI1288" i="1"/>
  <c r="P1288" i="1"/>
  <c r="J1288" i="1"/>
  <c r="G1288" i="1"/>
  <c r="P871" i="1"/>
  <c r="J871" i="1"/>
  <c r="G871" i="1"/>
  <c r="AI414" i="1"/>
  <c r="P414" i="1"/>
  <c r="J414" i="1"/>
  <c r="G414" i="1"/>
  <c r="P806" i="1"/>
  <c r="J806" i="1"/>
  <c r="G806" i="1"/>
  <c r="P681" i="1"/>
  <c r="J681" i="1"/>
  <c r="G681" i="1"/>
  <c r="J1248" i="1"/>
  <c r="G1248" i="1"/>
  <c r="AI814" i="1"/>
  <c r="P814" i="1"/>
  <c r="J814" i="1"/>
  <c r="G814" i="1"/>
  <c r="AI1247" i="1"/>
  <c r="P1247" i="1"/>
  <c r="J1247" i="1"/>
  <c r="G1247" i="1"/>
  <c r="AI416" i="1"/>
  <c r="P416" i="1"/>
  <c r="J416" i="1"/>
  <c r="G416" i="1"/>
  <c r="P1246" i="1"/>
  <c r="J1246" i="1"/>
  <c r="G1246" i="1"/>
  <c r="AI1245" i="1"/>
  <c r="P1245" i="1"/>
  <c r="J1245" i="1"/>
  <c r="G1245" i="1"/>
  <c r="P122" i="1"/>
  <c r="J122" i="1"/>
  <c r="G122" i="1"/>
  <c r="AI335" i="1"/>
  <c r="P335" i="1"/>
  <c r="J335" i="1"/>
  <c r="G335" i="1"/>
  <c r="AI162" i="1"/>
  <c r="P162" i="1"/>
  <c r="J162" i="1"/>
  <c r="G162" i="1"/>
  <c r="P1244" i="1"/>
  <c r="J1244" i="1"/>
  <c r="G1244" i="1"/>
  <c r="P805" i="1"/>
  <c r="J805" i="1"/>
  <c r="G805" i="1"/>
  <c r="J370" i="1"/>
  <c r="G370" i="1"/>
  <c r="J568" i="1"/>
  <c r="G568" i="1"/>
  <c r="AI1275" i="1"/>
  <c r="J1275" i="1"/>
  <c r="G1275" i="1"/>
  <c r="AI612" i="1"/>
  <c r="P612" i="1"/>
  <c r="J612" i="1"/>
  <c r="G612" i="1"/>
  <c r="P305" i="1"/>
  <c r="J305" i="1"/>
  <c r="G305" i="1"/>
  <c r="P237" i="1"/>
  <c r="J237" i="1"/>
  <c r="G237" i="1"/>
  <c r="AI516" i="1"/>
  <c r="P516" i="1"/>
  <c r="J516" i="1"/>
  <c r="G516" i="1"/>
  <c r="P749" i="1"/>
  <c r="J749" i="1"/>
  <c r="G749" i="1"/>
  <c r="AI804" i="1"/>
  <c r="P804" i="1"/>
  <c r="J804" i="1"/>
  <c r="G804" i="1"/>
  <c r="AI69" i="1"/>
  <c r="P69" i="1"/>
  <c r="J69" i="1"/>
  <c r="G69" i="1"/>
  <c r="AI271" i="1"/>
  <c r="P271" i="1"/>
  <c r="J271" i="1"/>
  <c r="G271" i="1"/>
  <c r="AI1274" i="1"/>
  <c r="P1274" i="1"/>
  <c r="J1274" i="1"/>
  <c r="G1274" i="1"/>
  <c r="AI1063" i="1"/>
  <c r="P1063" i="1"/>
  <c r="J1063" i="1"/>
  <c r="G1063" i="1"/>
  <c r="AI876" i="1"/>
  <c r="P876" i="1"/>
  <c r="J876" i="1"/>
  <c r="G876" i="1"/>
  <c r="AI379" i="1"/>
  <c r="P379" i="1"/>
  <c r="J379" i="1"/>
  <c r="G379" i="1"/>
  <c r="AI24" i="1"/>
  <c r="P24" i="1"/>
  <c r="J24" i="1"/>
  <c r="G24" i="1"/>
  <c r="P748" i="1"/>
  <c r="J748" i="1"/>
  <c r="G748" i="1"/>
  <c r="AI783" i="1"/>
  <c r="P783" i="1"/>
  <c r="J783" i="1"/>
  <c r="G783" i="1"/>
  <c r="AI230" i="1"/>
  <c r="J230" i="1"/>
  <c r="G230" i="1"/>
  <c r="P175" i="1"/>
  <c r="J175" i="1"/>
  <c r="G175" i="1"/>
  <c r="AI408" i="1"/>
  <c r="P408" i="1"/>
  <c r="J408" i="1"/>
  <c r="G408" i="1"/>
  <c r="AI1243" i="1"/>
  <c r="P1243" i="1"/>
  <c r="J1243" i="1"/>
  <c r="G1243" i="1"/>
  <c r="AI324" i="1"/>
  <c r="P324" i="1"/>
  <c r="J324" i="1"/>
  <c r="G324" i="1"/>
  <c r="P336" i="1"/>
  <c r="J336" i="1"/>
  <c r="G336" i="1"/>
  <c r="AI1242" i="1"/>
  <c r="P1242" i="1"/>
  <c r="J1242" i="1"/>
  <c r="G1242" i="1"/>
  <c r="J384" i="1"/>
  <c r="G384" i="1"/>
  <c r="J693" i="1"/>
  <c r="G693" i="1"/>
  <c r="J687" i="1"/>
  <c r="G687" i="1"/>
  <c r="AI146" i="1"/>
  <c r="P146" i="1"/>
  <c r="J146" i="1"/>
  <c r="G146" i="1"/>
  <c r="J610" i="1"/>
  <c r="G610" i="1"/>
  <c r="P1273" i="1"/>
  <c r="J1273" i="1"/>
  <c r="G1273" i="1"/>
  <c r="AI855" i="1"/>
  <c r="P855" i="1"/>
  <c r="J855" i="1"/>
  <c r="G855" i="1"/>
  <c r="AI378" i="1"/>
  <c r="P378" i="1"/>
  <c r="J378" i="1"/>
  <c r="G378" i="1"/>
  <c r="P487" i="1"/>
  <c r="J487" i="1"/>
  <c r="G487" i="1"/>
  <c r="P201" i="1"/>
  <c r="J201" i="1"/>
  <c r="G201" i="1"/>
  <c r="AI692" i="1"/>
  <c r="J692" i="1"/>
  <c r="G692" i="1"/>
  <c r="AI1241" i="1"/>
  <c r="P1241" i="1"/>
  <c r="J1241" i="1"/>
  <c r="G1241" i="1"/>
  <c r="AI782" i="1"/>
  <c r="P782" i="1"/>
  <c r="J782" i="1"/>
  <c r="G782" i="1"/>
  <c r="AI635" i="1"/>
  <c r="P635" i="1"/>
  <c r="J635" i="1"/>
  <c r="G635" i="1"/>
  <c r="AI1031" i="1"/>
  <c r="P1031" i="1"/>
  <c r="J1031" i="1"/>
  <c r="G1031" i="1"/>
  <c r="AI983" i="1"/>
  <c r="P983" i="1"/>
  <c r="J983" i="1"/>
  <c r="G983" i="1"/>
  <c r="AI1094" i="1"/>
  <c r="P1094" i="1"/>
  <c r="J1094" i="1"/>
  <c r="G1094" i="1"/>
  <c r="AI659" i="1"/>
  <c r="P659" i="1"/>
  <c r="J659" i="1"/>
  <c r="G659" i="1"/>
  <c r="P1272" i="1"/>
  <c r="J1272" i="1"/>
  <c r="G1272" i="1"/>
  <c r="AI1191" i="1"/>
  <c r="P1191" i="1"/>
  <c r="J1191" i="1"/>
  <c r="G1191" i="1"/>
  <c r="AI634" i="1"/>
  <c r="P634" i="1"/>
  <c r="J634" i="1"/>
  <c r="G634" i="1"/>
  <c r="P531" i="1"/>
  <c r="J531" i="1"/>
  <c r="G531" i="1"/>
  <c r="AI863" i="1"/>
  <c r="P863" i="1"/>
  <c r="J863" i="1"/>
  <c r="G863" i="1"/>
  <c r="AI252" i="1"/>
  <c r="P252" i="1"/>
  <c r="J252" i="1"/>
  <c r="G252" i="1"/>
  <c r="P96" i="1"/>
  <c r="J96" i="1"/>
  <c r="G96" i="1"/>
  <c r="J680" i="1"/>
  <c r="G680" i="1"/>
  <c r="AI1190" i="1"/>
  <c r="P1190" i="1"/>
  <c r="J1190" i="1"/>
  <c r="G1190" i="1"/>
  <c r="AI1056" i="1"/>
  <c r="P1056" i="1"/>
  <c r="J1056" i="1"/>
  <c r="G1056" i="1"/>
  <c r="P897" i="1"/>
  <c r="J897" i="1"/>
  <c r="G897" i="1"/>
  <c r="P103" i="1"/>
  <c r="J103" i="1"/>
  <c r="G103" i="1"/>
  <c r="AI728" i="1"/>
  <c r="P728" i="1"/>
  <c r="J728" i="1"/>
  <c r="G728" i="1"/>
  <c r="AI111" i="1"/>
  <c r="P111" i="1"/>
  <c r="J111" i="1"/>
  <c r="G111" i="1"/>
  <c r="P168" i="1"/>
  <c r="J168" i="1"/>
  <c r="G168" i="1"/>
  <c r="P332" i="1"/>
  <c r="J332" i="1"/>
  <c r="G332" i="1"/>
  <c r="P594" i="1"/>
  <c r="J594" i="1"/>
  <c r="G594" i="1"/>
  <c r="AI1240" i="1"/>
  <c r="P1240" i="1"/>
  <c r="J1240" i="1"/>
  <c r="G1240" i="1"/>
  <c r="AI210" i="1"/>
  <c r="P210" i="1"/>
  <c r="J210" i="1"/>
  <c r="G210" i="1"/>
  <c r="P441" i="1"/>
  <c r="J441" i="1"/>
  <c r="G441" i="1"/>
  <c r="P982" i="1"/>
  <c r="J982" i="1"/>
  <c r="G982" i="1"/>
  <c r="P869" i="1"/>
  <c r="J869" i="1"/>
  <c r="G869" i="1"/>
  <c r="AI423" i="1"/>
  <c r="P423" i="1"/>
  <c r="J423" i="1"/>
  <c r="G423" i="1"/>
  <c r="AI1189" i="1"/>
  <c r="P1189" i="1"/>
  <c r="J1189" i="1"/>
  <c r="G1189" i="1"/>
  <c r="P1239" i="1"/>
  <c r="J1239" i="1"/>
  <c r="G1239" i="1"/>
  <c r="AI84" i="1"/>
  <c r="P84" i="1"/>
  <c r="J84" i="1"/>
  <c r="G84" i="1"/>
  <c r="J1238" i="1"/>
  <c r="G1238" i="1"/>
  <c r="AI1237" i="1"/>
  <c r="P1237" i="1"/>
  <c r="J1237" i="1"/>
  <c r="G1237" i="1"/>
  <c r="AI868" i="1"/>
  <c r="P868" i="1"/>
  <c r="J868" i="1"/>
  <c r="G868" i="1"/>
  <c r="AI544" i="1"/>
  <c r="P544" i="1"/>
  <c r="J544" i="1"/>
  <c r="G544" i="1"/>
  <c r="AI346" i="1"/>
  <c r="P346" i="1"/>
  <c r="J346" i="1"/>
  <c r="G346" i="1"/>
  <c r="AI1188" i="1"/>
  <c r="P1188" i="1"/>
  <c r="J1188" i="1"/>
  <c r="G1188" i="1"/>
  <c r="AI270" i="1"/>
  <c r="P270" i="1"/>
  <c r="J270" i="1"/>
  <c r="G270" i="1"/>
  <c r="J329" i="1"/>
  <c r="G329" i="1"/>
  <c r="AI633" i="1"/>
  <c r="P633" i="1"/>
  <c r="J633" i="1"/>
  <c r="G633" i="1"/>
  <c r="AI843" i="1"/>
  <c r="P843" i="1"/>
  <c r="J843" i="1"/>
  <c r="G843" i="1"/>
  <c r="J1236" i="1"/>
  <c r="G1236" i="1"/>
  <c r="AI1235" i="1"/>
  <c r="P1235" i="1"/>
  <c r="J1235" i="1"/>
  <c r="G1235" i="1"/>
  <c r="AI383" i="1"/>
  <c r="P383" i="1"/>
  <c r="J383" i="1"/>
  <c r="G383" i="1"/>
  <c r="P362" i="1"/>
  <c r="J362" i="1"/>
  <c r="G362" i="1"/>
  <c r="P561" i="1"/>
  <c r="J561" i="1"/>
  <c r="G561" i="1"/>
  <c r="AI1234" i="1"/>
  <c r="P1234" i="1"/>
  <c r="J1234" i="1"/>
  <c r="G1234" i="1"/>
  <c r="AI1271" i="1"/>
  <c r="P1271" i="1"/>
  <c r="J1271" i="1"/>
  <c r="G1271" i="1"/>
  <c r="AI658" i="1"/>
  <c r="P658" i="1"/>
  <c r="J658" i="1"/>
  <c r="G658" i="1"/>
  <c r="AI632" i="1"/>
  <c r="P632" i="1"/>
  <c r="J632" i="1"/>
  <c r="G632" i="1"/>
  <c r="J867" i="1"/>
  <c r="G867" i="1"/>
  <c r="AI415" i="1"/>
  <c r="P415" i="1"/>
  <c r="J415" i="1"/>
  <c r="G415" i="1"/>
  <c r="AI781" i="1"/>
  <c r="P781" i="1"/>
  <c r="J781" i="1"/>
  <c r="G781" i="1"/>
  <c r="AI229" i="1"/>
  <c r="P229" i="1"/>
  <c r="J229" i="1"/>
  <c r="G229" i="1"/>
  <c r="AI440" i="1"/>
  <c r="P440" i="1"/>
  <c r="J440" i="1"/>
  <c r="G440" i="1"/>
  <c r="AI502" i="1"/>
  <c r="P502" i="1"/>
  <c r="J502" i="1"/>
  <c r="G502" i="1"/>
  <c r="AI40" i="1"/>
  <c r="P40" i="1"/>
  <c r="J40" i="1"/>
  <c r="G40" i="1"/>
  <c r="AI631" i="1"/>
  <c r="P631" i="1"/>
  <c r="J631" i="1"/>
  <c r="G631" i="1"/>
  <c r="AI1233" i="1"/>
  <c r="P1233" i="1"/>
  <c r="J1233" i="1"/>
  <c r="G1233" i="1"/>
  <c r="AI95" i="1"/>
  <c r="P95" i="1"/>
  <c r="J95" i="1"/>
  <c r="G95" i="1"/>
  <c r="AI341" i="1"/>
  <c r="P341" i="1"/>
  <c r="J341" i="1"/>
  <c r="G341" i="1"/>
  <c r="P217" i="1"/>
  <c r="J217" i="1"/>
  <c r="G217" i="1"/>
  <c r="AI439" i="1"/>
  <c r="P439" i="1"/>
  <c r="J439" i="1"/>
  <c r="G439" i="1"/>
  <c r="P970" i="1"/>
  <c r="J970" i="1"/>
  <c r="G970" i="1"/>
  <c r="AI770" i="1"/>
  <c r="P770" i="1"/>
  <c r="J770" i="1"/>
  <c r="G770" i="1"/>
  <c r="J543" i="1"/>
  <c r="G543" i="1"/>
  <c r="AI574" i="1"/>
  <c r="P574" i="1"/>
  <c r="J574" i="1"/>
  <c r="G574" i="1"/>
  <c r="AI323" i="1"/>
  <c r="P323" i="1"/>
  <c r="J323" i="1"/>
  <c r="G323" i="1"/>
  <c r="AI155" i="1"/>
  <c r="P155" i="1"/>
  <c r="J155" i="1"/>
  <c r="G155" i="1"/>
  <c r="AI293" i="1"/>
  <c r="P293" i="1"/>
  <c r="J293" i="1"/>
  <c r="G293" i="1"/>
  <c r="P769" i="1"/>
  <c r="J769" i="1"/>
  <c r="G769" i="1"/>
  <c r="AI403" i="1"/>
  <c r="P403" i="1"/>
  <c r="J403" i="1"/>
  <c r="G403" i="1"/>
  <c r="P228" i="1"/>
  <c r="J228" i="1"/>
  <c r="G228" i="1"/>
  <c r="P609" i="1"/>
  <c r="J609" i="1"/>
  <c r="G609" i="1"/>
  <c r="J1232" i="1"/>
  <c r="G1232" i="1"/>
  <c r="AI1018" i="1"/>
  <c r="P1018" i="1"/>
  <c r="J1018" i="1"/>
  <c r="G1018" i="1"/>
  <c r="AI438" i="1"/>
  <c r="P438" i="1"/>
  <c r="J438" i="1"/>
  <c r="G438" i="1"/>
  <c r="J836" i="1"/>
  <c r="G836" i="1"/>
  <c r="J747" i="1"/>
  <c r="G747" i="1"/>
  <c r="AI1166" i="1"/>
  <c r="P1166" i="1"/>
  <c r="J1166" i="1"/>
  <c r="G1166" i="1"/>
  <c r="J835" i="1"/>
  <c r="G835" i="1"/>
  <c r="J671" i="1"/>
  <c r="G671" i="1"/>
  <c r="AI530" i="1"/>
  <c r="P530" i="1"/>
  <c r="J530" i="1"/>
  <c r="G530" i="1"/>
  <c r="J382" i="1"/>
  <c r="G382" i="1"/>
  <c r="P214" i="1"/>
  <c r="J214" i="1"/>
  <c r="G214" i="1"/>
  <c r="AI593" i="1"/>
  <c r="P593" i="1"/>
  <c r="J593" i="1"/>
  <c r="G593" i="1"/>
  <c r="AI981" i="1"/>
  <c r="P981" i="1"/>
  <c r="J981" i="1"/>
  <c r="G981" i="1"/>
  <c r="AI560" i="1"/>
  <c r="P560" i="1"/>
  <c r="J560" i="1"/>
  <c r="G560" i="1"/>
  <c r="AI200" i="1"/>
  <c r="P200" i="1"/>
  <c r="J200" i="1"/>
  <c r="G200" i="1"/>
  <c r="AI322" i="1"/>
  <c r="P322" i="1"/>
  <c r="J322" i="1"/>
  <c r="G322" i="1"/>
  <c r="AI994" i="1"/>
  <c r="P994" i="1"/>
  <c r="J994" i="1"/>
  <c r="G994" i="1"/>
  <c r="AI39" i="1"/>
  <c r="P39" i="1"/>
  <c r="J39" i="1"/>
  <c r="G39" i="1"/>
  <c r="AI813" i="1"/>
  <c r="P813" i="1"/>
  <c r="J813" i="1"/>
  <c r="G813" i="1"/>
  <c r="AI377" i="1"/>
  <c r="P377" i="1"/>
  <c r="J377" i="1"/>
  <c r="G377" i="1"/>
  <c r="P313" i="1"/>
  <c r="J313" i="1"/>
  <c r="G313" i="1"/>
  <c r="P1140" i="1"/>
  <c r="J1140" i="1"/>
  <c r="G1140" i="1"/>
  <c r="AI1231" i="1"/>
  <c r="P1231" i="1"/>
  <c r="J1231" i="1"/>
  <c r="G1231" i="1"/>
  <c r="AI118" i="1"/>
  <c r="J118" i="1"/>
  <c r="G118" i="1"/>
  <c r="J1230" i="1"/>
  <c r="G1230" i="1"/>
  <c r="P20" i="1"/>
  <c r="J20" i="1"/>
  <c r="G20" i="1"/>
  <c r="AI834" i="1"/>
  <c r="P834" i="1"/>
  <c r="J834" i="1"/>
  <c r="G834" i="1"/>
  <c r="AI862" i="1"/>
  <c r="P862" i="1"/>
  <c r="J862" i="1"/>
  <c r="G862" i="1"/>
  <c r="AI1229" i="1"/>
  <c r="P1229" i="1"/>
  <c r="J1229" i="1"/>
  <c r="G1229" i="1"/>
  <c r="J1187" i="1"/>
  <c r="G1187" i="1"/>
  <c r="J1070" i="1"/>
  <c r="G1070" i="1"/>
  <c r="AI199" i="1"/>
  <c r="P199" i="1"/>
  <c r="J199" i="1"/>
  <c r="G199" i="1"/>
  <c r="J285" i="1"/>
  <c r="G285" i="1"/>
  <c r="AI520" i="1"/>
  <c r="P520" i="1"/>
  <c r="J520" i="1"/>
  <c r="G520" i="1"/>
  <c r="AI886" i="1"/>
  <c r="P886" i="1"/>
  <c r="J886" i="1"/>
  <c r="G886" i="1"/>
  <c r="AI288" i="1"/>
  <c r="P288" i="1"/>
  <c r="J288" i="1"/>
  <c r="G288" i="1"/>
  <c r="P62" i="1"/>
  <c r="J62" i="1"/>
  <c r="G62" i="1"/>
  <c r="P679" i="1"/>
  <c r="J679" i="1"/>
  <c r="G679" i="1"/>
  <c r="P1030" i="1"/>
  <c r="J1030" i="1"/>
  <c r="G1030" i="1"/>
  <c r="AI896" i="1"/>
  <c r="P896" i="1"/>
  <c r="J896" i="1"/>
  <c r="G896" i="1"/>
  <c r="AI1186" i="1"/>
  <c r="P1186" i="1"/>
  <c r="J1186" i="1"/>
  <c r="G1186" i="1"/>
  <c r="P519" i="1"/>
  <c r="J519" i="1"/>
  <c r="G519" i="1"/>
  <c r="AI1017" i="1"/>
  <c r="P1017" i="1"/>
  <c r="J1017" i="1"/>
  <c r="G1017" i="1"/>
  <c r="P1228" i="1"/>
  <c r="J1228" i="1"/>
  <c r="G1228" i="1"/>
  <c r="P861" i="1"/>
  <c r="J861" i="1"/>
  <c r="G861" i="1"/>
  <c r="P529" i="1"/>
  <c r="J529" i="1"/>
  <c r="G529" i="1"/>
  <c r="P904" i="1"/>
  <c r="J904" i="1"/>
  <c r="G904" i="1"/>
  <c r="AI446" i="1"/>
  <c r="P446" i="1"/>
  <c r="J446" i="1"/>
  <c r="G446" i="1"/>
  <c r="AI1227" i="1"/>
  <c r="P1227" i="1"/>
  <c r="J1227" i="1"/>
  <c r="G1227" i="1"/>
  <c r="AI1199" i="1"/>
  <c r="P1199" i="1"/>
  <c r="J1199" i="1"/>
  <c r="G1199" i="1"/>
  <c r="AI161" i="1"/>
  <c r="P161" i="1"/>
  <c r="J161" i="1"/>
  <c r="G161" i="1"/>
  <c r="AI903" i="1"/>
  <c r="P903" i="1"/>
  <c r="J903" i="1"/>
  <c r="G903" i="1"/>
  <c r="P1185" i="1"/>
  <c r="J1185" i="1"/>
  <c r="G1185" i="1"/>
  <c r="P227" i="1"/>
  <c r="J227" i="1"/>
  <c r="G227" i="1"/>
  <c r="P222" i="1"/>
  <c r="J222" i="1"/>
  <c r="G222" i="1"/>
  <c r="AI437" i="1"/>
  <c r="P437" i="1"/>
  <c r="J437" i="1"/>
  <c r="G437" i="1"/>
  <c r="AI902" i="1"/>
  <c r="P902" i="1"/>
  <c r="J902" i="1"/>
  <c r="G902" i="1"/>
  <c r="P198" i="1"/>
  <c r="J198" i="1"/>
  <c r="G198" i="1"/>
  <c r="AI61" i="1"/>
  <c r="P61" i="1"/>
  <c r="J61" i="1"/>
  <c r="G61" i="1"/>
  <c r="AI78" i="1"/>
  <c r="P78" i="1"/>
  <c r="J78" i="1"/>
  <c r="G78" i="1"/>
  <c r="P144" i="1"/>
  <c r="J144" i="1"/>
  <c r="G144" i="1"/>
  <c r="AI160" i="1"/>
  <c r="P160" i="1"/>
  <c r="J160" i="1"/>
  <c r="G160" i="1"/>
  <c r="P1226" i="1"/>
  <c r="J1226" i="1"/>
  <c r="G1226" i="1"/>
  <c r="P117" i="1"/>
  <c r="J117" i="1"/>
  <c r="G117" i="1"/>
  <c r="P860" i="1"/>
  <c r="J860" i="1"/>
  <c r="G860" i="1"/>
  <c r="P1225" i="1"/>
  <c r="J1225" i="1"/>
  <c r="G1225" i="1"/>
  <c r="P1198" i="1"/>
  <c r="J1198" i="1"/>
  <c r="G1198" i="1"/>
  <c r="P1184" i="1"/>
  <c r="J1184" i="1"/>
  <c r="G1184" i="1"/>
  <c r="P1109" i="1"/>
  <c r="J1109" i="1"/>
  <c r="G1109" i="1"/>
  <c r="AI445" i="1"/>
  <c r="P445" i="1"/>
  <c r="J445" i="1"/>
  <c r="G445" i="1"/>
  <c r="AI1224" i="1"/>
  <c r="P1224" i="1"/>
  <c r="J1224" i="1"/>
  <c r="G1224" i="1"/>
  <c r="P1029" i="1"/>
  <c r="J1029" i="1"/>
  <c r="G1029" i="1"/>
  <c r="P1016" i="1"/>
  <c r="J1016" i="1"/>
  <c r="G1016" i="1"/>
  <c r="AI1108" i="1"/>
  <c r="P1108" i="1"/>
  <c r="J1108" i="1"/>
  <c r="G1108" i="1"/>
  <c r="AI895" i="1"/>
  <c r="P895" i="1"/>
  <c r="J895" i="1"/>
  <c r="G895" i="1"/>
  <c r="P318" i="1"/>
  <c r="J318" i="1"/>
  <c r="G318" i="1"/>
  <c r="P221" i="1"/>
  <c r="J221" i="1"/>
  <c r="G221" i="1"/>
  <c r="P854" i="1"/>
  <c r="J854" i="1"/>
  <c r="G854" i="1"/>
  <c r="P1297" i="1"/>
  <c r="J1297" i="1"/>
  <c r="G1297" i="1"/>
  <c r="P8" i="1"/>
  <c r="J8" i="1"/>
  <c r="G8" i="1"/>
  <c r="AI1139" i="1"/>
  <c r="P1139" i="1"/>
  <c r="J1139" i="1"/>
  <c r="G1139" i="1"/>
  <c r="P1015" i="1"/>
  <c r="J1015" i="1"/>
  <c r="G1015" i="1"/>
  <c r="J1223" i="1"/>
  <c r="G1223" i="1"/>
  <c r="P901" i="1"/>
  <c r="J901" i="1"/>
  <c r="G901" i="1"/>
  <c r="P331" i="1"/>
  <c r="J331" i="1"/>
  <c r="G331" i="1"/>
  <c r="P1069" i="1"/>
  <c r="J1069" i="1"/>
  <c r="G1069" i="1"/>
  <c r="P790" i="1"/>
  <c r="J790" i="1"/>
  <c r="G790" i="1"/>
  <c r="AI312" i="1"/>
  <c r="P312" i="1"/>
  <c r="J312" i="1"/>
  <c r="G312" i="1"/>
  <c r="AI269" i="1"/>
  <c r="P269" i="1"/>
  <c r="J269" i="1"/>
  <c r="G269" i="1"/>
  <c r="J950" i="1"/>
  <c r="G950" i="1"/>
  <c r="AI1197" i="1"/>
  <c r="P1197" i="1"/>
  <c r="J1197" i="1"/>
  <c r="G1197" i="1"/>
  <c r="G894" i="1"/>
  <c r="G376" i="1"/>
  <c r="P630" i="1"/>
  <c r="J630" i="1"/>
  <c r="G630" i="1"/>
  <c r="J136" i="1"/>
  <c r="G136" i="1"/>
  <c r="P436" i="1"/>
  <c r="J436" i="1"/>
  <c r="G436" i="1"/>
  <c r="AI1165" i="1"/>
  <c r="P1165" i="1"/>
  <c r="J1165" i="1"/>
  <c r="G1165" i="1"/>
  <c r="P1183" i="1"/>
  <c r="J1183" i="1"/>
  <c r="G1183" i="1"/>
  <c r="P402" i="1"/>
  <c r="J402" i="1"/>
  <c r="G402" i="1"/>
  <c r="AI585" i="1"/>
  <c r="P585" i="1"/>
  <c r="J585" i="1"/>
  <c r="G585" i="1"/>
  <c r="P375" i="1"/>
  <c r="J375" i="1"/>
  <c r="G375" i="1"/>
  <c r="P251" i="1"/>
  <c r="J251" i="1"/>
  <c r="G251" i="1"/>
  <c r="AI501" i="1"/>
  <c r="P501" i="1"/>
  <c r="J501" i="1"/>
  <c r="G501" i="1"/>
  <c r="AI875" i="1"/>
  <c r="P875" i="1"/>
  <c r="J875" i="1"/>
  <c r="G875" i="1"/>
  <c r="AI401" i="1"/>
  <c r="P401" i="1"/>
  <c r="J401" i="1"/>
  <c r="G401" i="1"/>
  <c r="AI19" i="1"/>
  <c r="P19" i="1"/>
  <c r="J19" i="1"/>
  <c r="G19" i="1"/>
  <c r="P584" i="1"/>
  <c r="J584" i="1"/>
  <c r="G584" i="1"/>
  <c r="AI885" i="1"/>
  <c r="P885" i="1"/>
  <c r="J885" i="1"/>
  <c r="G885" i="1"/>
  <c r="AI54" i="1"/>
  <c r="P54" i="1"/>
  <c r="J54" i="1"/>
  <c r="G54" i="1"/>
  <c r="AI1014" i="1"/>
  <c r="P1014" i="1"/>
  <c r="J1014" i="1"/>
  <c r="G1014" i="1"/>
  <c r="P102" i="1"/>
  <c r="J102" i="1"/>
  <c r="G102" i="1"/>
  <c r="AI407" i="1"/>
  <c r="J407" i="1"/>
  <c r="G407" i="1"/>
  <c r="AI1222" i="1"/>
  <c r="P1222" i="1"/>
  <c r="J1222" i="1"/>
  <c r="G1222" i="1"/>
  <c r="AI1182" i="1"/>
  <c r="P1182" i="1"/>
  <c r="J1182" i="1"/>
  <c r="G1182" i="1"/>
  <c r="AI573" i="1"/>
  <c r="P573" i="1"/>
  <c r="J573" i="1"/>
  <c r="G573" i="1"/>
  <c r="P143" i="1"/>
  <c r="J143" i="1"/>
  <c r="G143" i="1"/>
  <c r="AI1221" i="1"/>
  <c r="P1221" i="1"/>
  <c r="J1221" i="1"/>
  <c r="G1221" i="1"/>
  <c r="J159" i="1"/>
  <c r="G159" i="1"/>
  <c r="P207" i="1"/>
  <c r="J207" i="1"/>
  <c r="G207" i="1"/>
  <c r="P1220" i="1"/>
  <c r="J1220" i="1"/>
  <c r="G1220" i="1"/>
  <c r="P121" i="1"/>
  <c r="J121" i="1"/>
  <c r="G121" i="1"/>
  <c r="P618" i="1"/>
  <c r="J618" i="1"/>
  <c r="G618" i="1"/>
  <c r="J559" i="1"/>
  <c r="G559" i="1"/>
  <c r="AI686" i="1"/>
  <c r="P686" i="1"/>
  <c r="J686" i="1"/>
  <c r="G686" i="1"/>
  <c r="P151" i="1"/>
  <c r="J151" i="1"/>
  <c r="G151" i="1"/>
  <c r="AI727" i="1"/>
  <c r="P727" i="1"/>
  <c r="J727" i="1"/>
  <c r="G727" i="1"/>
  <c r="P893" i="1"/>
  <c r="J893" i="1"/>
  <c r="G893" i="1"/>
  <c r="P833" i="1"/>
  <c r="J833" i="1"/>
  <c r="G833" i="1"/>
  <c r="P832" i="1"/>
  <c r="J832" i="1"/>
  <c r="G832" i="1"/>
  <c r="J831" i="1"/>
  <c r="G831" i="1"/>
  <c r="AI435" i="1"/>
  <c r="P435" i="1"/>
  <c r="J435" i="1"/>
  <c r="G435" i="1"/>
  <c r="P892" i="1"/>
  <c r="J892" i="1"/>
  <c r="G892" i="1"/>
  <c r="AI357" i="1"/>
  <c r="P357" i="1"/>
  <c r="J357" i="1"/>
  <c r="G357" i="1"/>
  <c r="P1107" i="1"/>
  <c r="J1107" i="1"/>
  <c r="G1107" i="1"/>
  <c r="AI191" i="1"/>
  <c r="P191" i="1"/>
  <c r="J191" i="1"/>
  <c r="G191" i="1"/>
  <c r="AI1181" i="1"/>
  <c r="P1181" i="1"/>
  <c r="J1181" i="1"/>
  <c r="G1181" i="1"/>
  <c r="AI1287" i="1"/>
  <c r="P1287" i="1"/>
  <c r="J1287" i="1"/>
  <c r="G1287" i="1"/>
  <c r="AI479" i="1"/>
  <c r="J479" i="1"/>
  <c r="G479" i="1"/>
  <c r="AI572" i="1"/>
  <c r="P572" i="1"/>
  <c r="J572" i="1"/>
  <c r="G572" i="1"/>
  <c r="AI518" i="1"/>
  <c r="P518" i="1"/>
  <c r="J518" i="1"/>
  <c r="G518" i="1"/>
  <c r="AI374" i="1"/>
  <c r="P374" i="1"/>
  <c r="J374" i="1"/>
  <c r="G374" i="1"/>
  <c r="P756" i="1"/>
  <c r="J756" i="1"/>
  <c r="G756" i="1"/>
  <c r="AI629" i="1"/>
  <c r="P629" i="1"/>
  <c r="J629" i="1"/>
  <c r="G629" i="1"/>
  <c r="AI483" i="1"/>
  <c r="P483" i="1"/>
  <c r="J483" i="1"/>
  <c r="G483" i="1"/>
  <c r="AI49" i="1"/>
  <c r="P49" i="1"/>
  <c r="J49" i="1"/>
  <c r="G49" i="1"/>
  <c r="P1028" i="1"/>
  <c r="J1028" i="1"/>
  <c r="G1028" i="1"/>
  <c r="P1180" i="1"/>
  <c r="J1180" i="1"/>
  <c r="G1180" i="1"/>
  <c r="P116" i="1"/>
  <c r="J116" i="1"/>
  <c r="G116" i="1"/>
  <c r="J801" i="1"/>
  <c r="G801" i="1"/>
  <c r="P38" i="1"/>
  <c r="J38" i="1"/>
  <c r="G38" i="1"/>
  <c r="AI1093" i="1"/>
  <c r="G1093" i="1"/>
  <c r="P768" i="1"/>
  <c r="J768" i="1"/>
  <c r="G768" i="1"/>
  <c r="P830" i="1"/>
  <c r="J830" i="1"/>
  <c r="G830" i="1"/>
  <c r="AI866" i="1"/>
  <c r="P866" i="1"/>
  <c r="J866" i="1"/>
  <c r="G866" i="1"/>
  <c r="AI1179" i="1"/>
  <c r="P1179" i="1"/>
  <c r="J1179" i="1"/>
  <c r="G1179" i="1"/>
  <c r="AI258" i="1"/>
  <c r="P258" i="1"/>
  <c r="J258" i="1"/>
  <c r="G258" i="1"/>
  <c r="P842" i="1"/>
  <c r="J842" i="1"/>
  <c r="G842" i="1"/>
  <c r="J1128" i="1"/>
  <c r="G1128" i="1"/>
  <c r="AI250" i="1"/>
  <c r="P250" i="1"/>
  <c r="J250" i="1"/>
  <c r="G250" i="1"/>
  <c r="J1127" i="1"/>
  <c r="G1127" i="1"/>
  <c r="J348" i="1"/>
  <c r="G348" i="1"/>
  <c r="J338" i="1"/>
  <c r="G338" i="1"/>
  <c r="J311" i="1"/>
  <c r="G311" i="1"/>
  <c r="J284" i="1"/>
  <c r="G284" i="1"/>
  <c r="J696" i="1"/>
  <c r="G696" i="1"/>
  <c r="J678" i="1"/>
  <c r="G678" i="1"/>
  <c r="J32" i="1"/>
  <c r="G32" i="1"/>
  <c r="J434" i="1"/>
  <c r="G434" i="1"/>
  <c r="J142" i="1"/>
  <c r="G142" i="1"/>
  <c r="J829" i="1"/>
  <c r="G829" i="1"/>
  <c r="J710" i="1"/>
  <c r="G710" i="1"/>
  <c r="J1160" i="1"/>
  <c r="G1160" i="1"/>
  <c r="J209" i="1"/>
  <c r="G209" i="1"/>
  <c r="J58" i="1"/>
  <c r="G58" i="1"/>
  <c r="J685" i="1"/>
  <c r="G685" i="1"/>
  <c r="J36" i="1"/>
  <c r="G36" i="1"/>
  <c r="P820" i="1"/>
  <c r="J820" i="1"/>
  <c r="G820" i="1"/>
  <c r="J482" i="1"/>
  <c r="G482" i="1"/>
  <c r="AI551" i="1"/>
  <c r="P551" i="1"/>
  <c r="J551" i="1"/>
  <c r="G551" i="1"/>
  <c r="AI433" i="1"/>
  <c r="P433" i="1"/>
  <c r="J433" i="1"/>
  <c r="G433" i="1"/>
  <c r="P726" i="1"/>
  <c r="J726" i="1"/>
  <c r="G726" i="1"/>
  <c r="AI1106" i="1"/>
  <c r="P1106" i="1"/>
  <c r="J1106" i="1"/>
  <c r="G1106" i="1"/>
  <c r="AI628" i="1"/>
  <c r="P628" i="1"/>
  <c r="J628" i="1"/>
  <c r="G628" i="1"/>
  <c r="AI571" i="1"/>
  <c r="P571" i="1"/>
  <c r="J571" i="1"/>
  <c r="G571" i="1"/>
  <c r="P812" i="1"/>
  <c r="J812" i="1"/>
  <c r="G812" i="1"/>
  <c r="P226" i="1"/>
  <c r="J226" i="1"/>
  <c r="G226" i="1"/>
  <c r="P1055" i="1"/>
  <c r="J1055" i="1"/>
  <c r="G1055" i="1"/>
  <c r="J627" i="1"/>
  <c r="G627" i="1"/>
  <c r="AI578" i="1"/>
  <c r="P578" i="1"/>
  <c r="J578" i="1"/>
  <c r="G578" i="1"/>
  <c r="AI859" i="1"/>
  <c r="P859" i="1"/>
  <c r="J859" i="1"/>
  <c r="G859" i="1"/>
  <c r="P755" i="1"/>
  <c r="J755" i="1"/>
  <c r="G755" i="1"/>
  <c r="AI1126" i="1"/>
  <c r="P1126" i="1"/>
  <c r="J1126" i="1"/>
  <c r="G1126" i="1"/>
  <c r="P197" i="1"/>
  <c r="J197" i="1"/>
  <c r="G197" i="1"/>
  <c r="AI1060" i="1"/>
  <c r="P1060" i="1"/>
  <c r="J1060" i="1"/>
  <c r="G1060" i="1"/>
  <c r="J500" i="1"/>
  <c r="G500" i="1"/>
  <c r="AI606" i="1"/>
  <c r="P606" i="1"/>
  <c r="J606" i="1"/>
  <c r="G606" i="1"/>
  <c r="J725" i="1"/>
  <c r="G725" i="1"/>
  <c r="J1159" i="1"/>
  <c r="G1159" i="1"/>
  <c r="P780" i="1"/>
  <c r="J780" i="1"/>
  <c r="G780" i="1"/>
  <c r="J178" i="1"/>
  <c r="G178" i="1"/>
  <c r="J626" i="1"/>
  <c r="G626" i="1"/>
  <c r="J1045" i="1"/>
  <c r="G1045" i="1"/>
  <c r="AI1296" i="1"/>
  <c r="P1296" i="1"/>
  <c r="J1296" i="1"/>
  <c r="G1296" i="1"/>
  <c r="J317" i="1"/>
  <c r="G317" i="1"/>
  <c r="AI625" i="1"/>
  <c r="P625" i="1"/>
  <c r="J625" i="1"/>
  <c r="G625" i="1"/>
  <c r="J85" i="1"/>
  <c r="G85" i="1"/>
  <c r="P1092" i="1"/>
  <c r="J1092" i="1"/>
  <c r="G1092" i="1"/>
  <c r="AI891" i="1"/>
  <c r="P891" i="1"/>
  <c r="J891" i="1"/>
  <c r="G891" i="1"/>
  <c r="J292" i="1"/>
  <c r="G292" i="1"/>
  <c r="AI746" i="1"/>
  <c r="P746" i="1"/>
  <c r="J746" i="1"/>
  <c r="G746" i="1"/>
  <c r="J1059" i="1"/>
  <c r="G1059" i="1"/>
  <c r="P491" i="1"/>
  <c r="J491" i="1"/>
  <c r="G491" i="1"/>
  <c r="AI365" i="1"/>
  <c r="P365" i="1"/>
  <c r="J365" i="1"/>
  <c r="G365" i="1"/>
  <c r="AI249" i="1"/>
  <c r="J249" i="1"/>
  <c r="G249" i="1"/>
  <c r="J283" i="1"/>
  <c r="G283" i="1"/>
  <c r="J558" i="1"/>
  <c r="G558" i="1"/>
  <c r="J400" i="1"/>
  <c r="G400" i="1"/>
  <c r="J619" i="1"/>
  <c r="G619" i="1"/>
  <c r="J1013" i="1"/>
  <c r="G1013" i="1"/>
  <c r="J172" i="1"/>
  <c r="G172" i="1"/>
  <c r="AI670" i="1"/>
  <c r="P670" i="1"/>
  <c r="J670" i="1"/>
  <c r="G670" i="1"/>
  <c r="J1147" i="1"/>
  <c r="G1147" i="1"/>
  <c r="AI968" i="1"/>
  <c r="P968" i="1"/>
  <c r="J968" i="1"/>
  <c r="G968" i="1"/>
  <c r="AI1027" i="1"/>
  <c r="P1027" i="1"/>
  <c r="J1027" i="1"/>
  <c r="G1027" i="1"/>
  <c r="P243" i="1"/>
  <c r="J243" i="1"/>
  <c r="G243" i="1"/>
  <c r="J18" i="1"/>
  <c r="G18" i="1"/>
  <c r="P881" i="1"/>
  <c r="J881" i="1"/>
  <c r="G881" i="1"/>
  <c r="AI841" i="1"/>
  <c r="P841" i="1"/>
  <c r="J841" i="1"/>
  <c r="G841" i="1"/>
  <c r="P373" i="1"/>
  <c r="J373" i="1"/>
  <c r="G373" i="1"/>
  <c r="AI767" i="1"/>
  <c r="P767" i="1"/>
  <c r="J767" i="1"/>
  <c r="G767" i="1"/>
  <c r="AI1293" i="1"/>
  <c r="P1293" i="1"/>
  <c r="J1293" i="1"/>
  <c r="G1293" i="1"/>
  <c r="AI624" i="1"/>
  <c r="J624" i="1"/>
  <c r="G624" i="1"/>
  <c r="P840" i="1"/>
  <c r="J840" i="1"/>
  <c r="G840" i="1"/>
  <c r="P196" i="1"/>
  <c r="J196" i="1"/>
  <c r="G196" i="1"/>
  <c r="P291" i="1"/>
  <c r="J291" i="1"/>
  <c r="G291" i="1"/>
  <c r="AI14" i="1"/>
  <c r="P14" i="1"/>
  <c r="J14" i="1"/>
  <c r="G14" i="1"/>
  <c r="AI1178" i="1"/>
  <c r="P1178" i="1"/>
  <c r="J1178" i="1"/>
  <c r="G1178" i="1"/>
  <c r="AI1091" i="1"/>
  <c r="P1091" i="1"/>
  <c r="J1091" i="1"/>
  <c r="G1091" i="1"/>
  <c r="AI1157" i="1"/>
  <c r="P1157" i="1"/>
  <c r="J1157" i="1"/>
  <c r="G1157" i="1"/>
  <c r="AI141" i="1"/>
  <c r="P141" i="1"/>
  <c r="J141" i="1"/>
  <c r="G141" i="1"/>
  <c r="AI1062" i="1"/>
  <c r="P1062" i="1"/>
  <c r="J1062" i="1"/>
  <c r="G1062" i="1"/>
  <c r="AI182" i="1"/>
  <c r="P182" i="1"/>
  <c r="J182" i="1"/>
  <c r="G182" i="1"/>
  <c r="P140" i="1"/>
  <c r="J140" i="1"/>
  <c r="G140" i="1"/>
  <c r="P754" i="1"/>
  <c r="J754" i="1"/>
  <c r="G754" i="1"/>
  <c r="AI550" i="1"/>
  <c r="P550" i="1"/>
  <c r="J550" i="1"/>
  <c r="G550" i="1"/>
  <c r="AI432" i="1"/>
  <c r="P432" i="1"/>
  <c r="J432" i="1"/>
  <c r="G432" i="1"/>
  <c r="AI431" i="1"/>
  <c r="P431" i="1"/>
  <c r="J431" i="1"/>
  <c r="G431" i="1"/>
  <c r="AI1177" i="1"/>
  <c r="P1177" i="1"/>
  <c r="J1177" i="1"/>
  <c r="G1177" i="1"/>
  <c r="AI150" i="1"/>
  <c r="P150" i="1"/>
  <c r="J150" i="1"/>
  <c r="G150" i="1"/>
  <c r="AI92" i="1"/>
  <c r="P92" i="1"/>
  <c r="J92" i="1"/>
  <c r="G92" i="1"/>
  <c r="AI623" i="1"/>
  <c r="P623" i="1"/>
  <c r="J623" i="1"/>
  <c r="G623" i="1"/>
  <c r="AI430" i="1"/>
  <c r="P430" i="1"/>
  <c r="J430" i="1"/>
  <c r="G430" i="1"/>
  <c r="AI135" i="1"/>
  <c r="P135" i="1"/>
  <c r="J135" i="1"/>
  <c r="G135" i="1"/>
  <c r="AI347" i="1"/>
  <c r="P347" i="1"/>
  <c r="J347" i="1"/>
  <c r="G347" i="1"/>
  <c r="AI592" i="1"/>
  <c r="P592" i="1"/>
  <c r="J592" i="1"/>
  <c r="G592" i="1"/>
  <c r="AI1050" i="1"/>
  <c r="P1050" i="1"/>
  <c r="J1050" i="1"/>
  <c r="G1050" i="1"/>
  <c r="AI225" i="1"/>
  <c r="P225" i="1"/>
  <c r="J225" i="1"/>
  <c r="G225" i="1"/>
  <c r="AI800" i="1"/>
  <c r="P800" i="1"/>
  <c r="J800" i="1"/>
  <c r="G800" i="1"/>
  <c r="P591" i="1"/>
  <c r="J591" i="1"/>
  <c r="G591" i="1"/>
  <c r="P1176" i="1"/>
  <c r="J1176" i="1"/>
  <c r="G1176" i="1"/>
  <c r="J709" i="1"/>
  <c r="G709" i="1"/>
  <c r="P380" i="1"/>
  <c r="J380" i="1"/>
  <c r="G380" i="1"/>
  <c r="AI134" i="1"/>
  <c r="P134" i="1"/>
  <c r="J134" i="1"/>
  <c r="G134" i="1"/>
  <c r="AI478" i="1"/>
  <c r="P478" i="1"/>
  <c r="J478" i="1"/>
  <c r="G478" i="1"/>
  <c r="AI890" i="1"/>
  <c r="P890" i="1"/>
  <c r="J890" i="1"/>
  <c r="G890" i="1"/>
  <c r="AI300" i="1"/>
  <c r="P300" i="1"/>
  <c r="J300" i="1"/>
  <c r="G300" i="1"/>
  <c r="AI190" i="1"/>
  <c r="P190" i="1"/>
  <c r="J190" i="1"/>
  <c r="G190" i="1"/>
  <c r="P969" i="1"/>
  <c r="J969" i="1"/>
  <c r="G969" i="1"/>
  <c r="P590" i="1"/>
  <c r="J590" i="1"/>
  <c r="G590" i="1"/>
  <c r="P1026" i="1"/>
  <c r="J1026" i="1"/>
  <c r="G1026" i="1"/>
  <c r="AI517" i="1"/>
  <c r="P517" i="1"/>
  <c r="J517" i="1"/>
  <c r="G517" i="1"/>
  <c r="AI799" i="1"/>
  <c r="P799" i="1"/>
  <c r="J799" i="1"/>
  <c r="G799" i="1"/>
  <c r="P962" i="1"/>
  <c r="J962" i="1"/>
  <c r="G962" i="1"/>
  <c r="AI1099" i="1"/>
  <c r="P1099" i="1"/>
  <c r="J1099" i="1"/>
  <c r="G1099" i="1"/>
  <c r="AI1175" i="1"/>
  <c r="P1175" i="1"/>
  <c r="J1175" i="1"/>
  <c r="G1175" i="1"/>
  <c r="AI1098" i="1"/>
  <c r="P1098" i="1"/>
  <c r="J1098" i="1"/>
  <c r="G1098" i="1"/>
  <c r="AI724" i="1"/>
  <c r="P724" i="1"/>
  <c r="J724" i="1"/>
  <c r="G724" i="1"/>
  <c r="AI287" i="1"/>
  <c r="P287" i="1"/>
  <c r="J287" i="1"/>
  <c r="G287" i="1"/>
  <c r="AI429" i="1"/>
  <c r="P429" i="1"/>
  <c r="J429" i="1"/>
  <c r="G429" i="1"/>
  <c r="AI428" i="1"/>
  <c r="P428" i="1"/>
  <c r="J428" i="1"/>
  <c r="G428" i="1"/>
  <c r="AI789" i="1"/>
  <c r="P789" i="1"/>
  <c r="J789" i="1"/>
  <c r="G789" i="1"/>
  <c r="AI622" i="1"/>
  <c r="P622" i="1"/>
  <c r="J622" i="1"/>
  <c r="G622" i="1"/>
  <c r="AI94" i="1"/>
  <c r="P94" i="1"/>
  <c r="J94" i="1"/>
  <c r="G94" i="1"/>
  <c r="AI1125" i="1"/>
  <c r="P1125" i="1"/>
  <c r="J1125" i="1"/>
  <c r="G1125" i="1"/>
  <c r="P427" i="1"/>
  <c r="J427" i="1"/>
  <c r="G427" i="1"/>
  <c r="J528" i="1"/>
  <c r="G528" i="1"/>
  <c r="P462" i="1"/>
  <c r="J462" i="1"/>
  <c r="G462" i="1"/>
  <c r="G406" i="1"/>
  <c r="J980" i="1"/>
  <c r="G980" i="1"/>
  <c r="J34" i="1"/>
  <c r="G34" i="1"/>
  <c r="J819" i="1"/>
  <c r="G819" i="1"/>
  <c r="AI257" i="1"/>
  <c r="P257" i="1"/>
  <c r="J257" i="1"/>
  <c r="G257" i="1"/>
  <c r="AI17" i="1"/>
  <c r="P17" i="1"/>
  <c r="J17" i="1"/>
  <c r="G17" i="1"/>
  <c r="AI282" i="1"/>
  <c r="P282" i="1"/>
  <c r="J282" i="1"/>
  <c r="G282" i="1"/>
  <c r="AI206" i="1"/>
  <c r="P206" i="1"/>
  <c r="J206" i="1"/>
  <c r="G206" i="1"/>
  <c r="P858" i="1"/>
  <c r="J858" i="1"/>
  <c r="G858" i="1"/>
  <c r="AI527" i="1"/>
  <c r="P527" i="1"/>
  <c r="J527" i="1"/>
  <c r="G527" i="1"/>
  <c r="AI139" i="1"/>
  <c r="P139" i="1"/>
  <c r="J139" i="1"/>
  <c r="G139" i="1"/>
  <c r="AI605" i="1"/>
  <c r="P605" i="1"/>
  <c r="J605" i="1"/>
  <c r="G605" i="1"/>
  <c r="AI1090" i="1"/>
  <c r="P1090" i="1"/>
  <c r="J1090" i="1"/>
  <c r="G1090" i="1"/>
  <c r="AI1270" i="1"/>
  <c r="P1270" i="1"/>
  <c r="J1270" i="1"/>
  <c r="G1270" i="1"/>
  <c r="AI1164" i="1"/>
  <c r="P1164" i="1"/>
  <c r="J1164" i="1"/>
  <c r="G1164" i="1"/>
  <c r="AI1012" i="1"/>
  <c r="P1012" i="1"/>
  <c r="J1012" i="1"/>
  <c r="G1012" i="1"/>
  <c r="P1058" i="1"/>
  <c r="J1058" i="1"/>
  <c r="G1058" i="1"/>
  <c r="AI1156" i="1"/>
  <c r="P1156" i="1"/>
  <c r="J1156" i="1"/>
  <c r="G1156" i="1"/>
  <c r="P1089" i="1"/>
  <c r="J1089" i="1"/>
  <c r="G1089" i="1"/>
  <c r="P889" i="1"/>
  <c r="J889" i="1"/>
  <c r="G889" i="1"/>
  <c r="AI888" i="1"/>
  <c r="P888" i="1"/>
  <c r="J888" i="1"/>
  <c r="G888" i="1"/>
  <c r="J422" i="1"/>
  <c r="G422" i="1"/>
  <c r="AI542" i="1"/>
  <c r="P542" i="1"/>
  <c r="J542" i="1"/>
  <c r="G542" i="1"/>
  <c r="P788" i="1"/>
  <c r="J788" i="1"/>
  <c r="G788" i="1"/>
  <c r="AI1044" i="1"/>
  <c r="P1044" i="1"/>
  <c r="J1044" i="1"/>
  <c r="G1044" i="1"/>
  <c r="J577" i="1"/>
  <c r="G577" i="1"/>
  <c r="P839" i="1"/>
  <c r="J839" i="1"/>
  <c r="G839" i="1"/>
  <c r="P677" i="1"/>
  <c r="J677" i="1"/>
  <c r="G677" i="1"/>
  <c r="AI853" i="1"/>
  <c r="P853" i="1"/>
  <c r="J853" i="1"/>
  <c r="G853" i="1"/>
  <c r="P884" i="1"/>
  <c r="J884" i="1"/>
  <c r="G884" i="1"/>
  <c r="AI91" i="1"/>
  <c r="P91" i="1"/>
  <c r="J91" i="1"/>
  <c r="G91" i="1"/>
  <c r="AI541" i="1"/>
  <c r="P541" i="1"/>
  <c r="J541" i="1"/>
  <c r="G541" i="1"/>
  <c r="AI499" i="1"/>
  <c r="P499" i="1"/>
  <c r="J499" i="1"/>
  <c r="G499" i="1"/>
  <c r="AI1088" i="1"/>
  <c r="P1088" i="1"/>
  <c r="J1088" i="1"/>
  <c r="G1088" i="1"/>
  <c r="P723" i="1"/>
  <c r="J723" i="1"/>
  <c r="G723" i="1"/>
  <c r="AI1087" i="1"/>
  <c r="J1087" i="1"/>
  <c r="G1087" i="1"/>
  <c r="P498" i="1"/>
  <c r="J498" i="1"/>
  <c r="G498" i="1"/>
  <c r="J540" i="1"/>
  <c r="G540" i="1"/>
  <c r="P133" i="1"/>
  <c r="J133" i="1"/>
  <c r="G133" i="1"/>
  <c r="J576" i="1"/>
  <c r="G576" i="1"/>
  <c r="J205" i="1"/>
  <c r="G205" i="1"/>
  <c r="AI961" i="1"/>
  <c r="P961" i="1"/>
  <c r="J961" i="1"/>
  <c r="G961" i="1"/>
  <c r="AI1086" i="1"/>
  <c r="P1086" i="1"/>
  <c r="J1086" i="1"/>
  <c r="G1086" i="1"/>
  <c r="AI426" i="1"/>
  <c r="P426" i="1"/>
  <c r="J426" i="1"/>
  <c r="G426" i="1"/>
  <c r="AI181" i="1"/>
  <c r="P181" i="1"/>
  <c r="J181" i="1"/>
  <c r="G181" i="1"/>
  <c r="AI1155" i="1"/>
  <c r="P1155" i="1"/>
  <c r="J1155" i="1"/>
  <c r="G1155" i="1"/>
  <c r="P604" i="1"/>
  <c r="J604" i="1"/>
  <c r="G604" i="1"/>
  <c r="P818" i="1"/>
  <c r="J818" i="1"/>
  <c r="G818" i="1"/>
  <c r="G798" i="1"/>
  <c r="P360" i="1"/>
  <c r="J360" i="1"/>
  <c r="G360" i="1"/>
  <c r="P621" i="1"/>
  <c r="J621" i="1"/>
  <c r="G621" i="1"/>
  <c r="AI1154" i="1"/>
  <c r="P1154" i="1"/>
  <c r="J1154" i="1"/>
  <c r="G1154" i="1"/>
  <c r="P539" i="1"/>
  <c r="J539" i="1"/>
  <c r="G539" i="1"/>
  <c r="AI281" i="1"/>
  <c r="P281" i="1"/>
  <c r="J281" i="1"/>
  <c r="G281" i="1"/>
  <c r="J395" i="1"/>
  <c r="G395" i="1"/>
  <c r="AI753" i="1"/>
  <c r="P753" i="1"/>
  <c r="J753" i="1"/>
  <c r="G753" i="1"/>
  <c r="P1085" i="1"/>
  <c r="J1085" i="1"/>
  <c r="G1085" i="1"/>
  <c r="P1084" i="1"/>
  <c r="J1084" i="1"/>
  <c r="G1084" i="1"/>
  <c r="P1043" i="1"/>
  <c r="J1043" i="1"/>
  <c r="G1043" i="1"/>
  <c r="P256" i="1"/>
  <c r="J256" i="1"/>
  <c r="G256" i="1"/>
  <c r="P1286" i="1"/>
  <c r="J1286" i="1"/>
  <c r="G1286" i="1"/>
  <c r="AI887" i="1"/>
  <c r="P887" i="1"/>
  <c r="J887" i="1"/>
  <c r="G887" i="1"/>
  <c r="AI828" i="1"/>
  <c r="P828" i="1"/>
  <c r="J828" i="1"/>
  <c r="G828" i="1"/>
  <c r="J425" i="1"/>
  <c r="G425" i="1"/>
  <c r="P1285" i="1"/>
  <c r="J1285" i="1"/>
  <c r="G1285" i="1"/>
  <c r="AI132" i="1"/>
  <c r="P132" i="1"/>
  <c r="J132" i="1"/>
  <c r="G132" i="1"/>
  <c r="AI1174" i="1"/>
  <c r="P1174" i="1"/>
  <c r="J1174" i="1"/>
  <c r="G1174" i="1"/>
  <c r="AI1124" i="1"/>
  <c r="P1124" i="1"/>
  <c r="J1124" i="1"/>
  <c r="G1124" i="1"/>
  <c r="AI417" i="1"/>
  <c r="P417" i="1"/>
  <c r="J417" i="1"/>
  <c r="G417" i="1"/>
  <c r="AI1083" i="1"/>
  <c r="P1083" i="1"/>
  <c r="J1083" i="1"/>
  <c r="G1083" i="1"/>
  <c r="AI880" i="1"/>
  <c r="P880" i="1"/>
  <c r="J880" i="1"/>
  <c r="G880" i="1"/>
  <c r="P345" i="1"/>
  <c r="J345" i="1"/>
  <c r="G345" i="1"/>
  <c r="P1025" i="1"/>
  <c r="J1025" i="1"/>
  <c r="G1025" i="1"/>
  <c r="AI1061" i="1"/>
  <c r="P1061" i="1"/>
  <c r="J1061" i="1"/>
  <c r="G1061" i="1"/>
  <c r="AI358" i="1"/>
  <c r="P358" i="1"/>
  <c r="J358" i="1"/>
  <c r="G358" i="1"/>
  <c r="J1105" i="1"/>
  <c r="G1105" i="1"/>
  <c r="P575" i="1"/>
  <c r="J575" i="1"/>
  <c r="G575" i="1"/>
  <c r="AI879" i="1"/>
  <c r="P879" i="1"/>
  <c r="J879" i="1"/>
  <c r="G879" i="1"/>
  <c r="AI827" i="1"/>
  <c r="P827" i="1"/>
  <c r="J827" i="1"/>
  <c r="G827" i="1"/>
  <c r="P268" i="1"/>
  <c r="J268" i="1"/>
  <c r="G268" i="1"/>
  <c r="P60" i="1"/>
  <c r="J60" i="1"/>
  <c r="G60" i="1"/>
  <c r="P1153" i="1"/>
  <c r="J1153" i="1"/>
  <c r="G1153" i="1"/>
  <c r="P1042" i="1"/>
  <c r="J1042" i="1"/>
  <c r="G1042" i="1"/>
  <c r="AI86" i="1"/>
  <c r="J86" i="1"/>
  <c r="G86" i="1"/>
  <c r="AI1068" i="1"/>
  <c r="P1068" i="1"/>
  <c r="J1068" i="1"/>
  <c r="G1068" i="1"/>
  <c r="P1082" i="1"/>
  <c r="J1082" i="1"/>
  <c r="G1082" i="1"/>
  <c r="P708" i="1"/>
  <c r="J708" i="1"/>
  <c r="G708" i="1"/>
  <c r="P1002" i="1"/>
  <c r="J1002" i="1"/>
  <c r="G1002" i="1"/>
  <c r="AI224" i="1"/>
  <c r="P224" i="1"/>
  <c r="J224" i="1"/>
  <c r="G224" i="1"/>
  <c r="AI1081" i="1"/>
  <c r="P1081" i="1"/>
  <c r="J1081" i="1"/>
  <c r="G1081" i="1"/>
  <c r="AI752" i="1"/>
  <c r="P752" i="1"/>
  <c r="J752" i="1"/>
  <c r="G752" i="1"/>
  <c r="AI66" i="1"/>
  <c r="P66" i="1"/>
  <c r="J66" i="1"/>
  <c r="G66" i="1"/>
  <c r="AI1173" i="1"/>
  <c r="P1173" i="1"/>
  <c r="J1173" i="1"/>
  <c r="G1173" i="1"/>
  <c r="AI722" i="1"/>
  <c r="P722" i="1"/>
  <c r="J722" i="1"/>
  <c r="G722" i="1"/>
  <c r="AI7" i="1"/>
  <c r="P7" i="1"/>
  <c r="J7" i="1"/>
  <c r="G7" i="1"/>
  <c r="AI993" i="1"/>
  <c r="P993" i="1"/>
  <c r="J993" i="1"/>
  <c r="G993" i="1"/>
  <c r="P721" i="1"/>
  <c r="J721" i="1"/>
  <c r="G721" i="1"/>
  <c r="AI589" i="1"/>
  <c r="P589" i="1"/>
  <c r="J589" i="1"/>
  <c r="G589" i="1"/>
  <c r="AI245" i="1"/>
  <c r="P245" i="1"/>
  <c r="J245" i="1"/>
  <c r="G245" i="1"/>
  <c r="AI878" i="1"/>
  <c r="P878" i="1"/>
  <c r="J878" i="1"/>
  <c r="G878" i="1"/>
  <c r="AI310" i="1"/>
  <c r="P310" i="1"/>
  <c r="J310" i="1"/>
  <c r="G310" i="1"/>
  <c r="AI286" i="1"/>
  <c r="P286" i="1"/>
  <c r="J286" i="1"/>
  <c r="G286" i="1"/>
  <c r="P223" i="1"/>
  <c r="J223" i="1"/>
  <c r="G223" i="1"/>
  <c r="AI817" i="1"/>
  <c r="P817" i="1"/>
  <c r="J817" i="1"/>
  <c r="G817" i="1"/>
  <c r="AI1041" i="1"/>
  <c r="P1041" i="1"/>
  <c r="J1041" i="1"/>
  <c r="G1041" i="1"/>
  <c r="AI158" i="1"/>
  <c r="J158" i="1"/>
  <c r="G158" i="1"/>
  <c r="AI26" i="1"/>
  <c r="P26" i="1"/>
  <c r="J26" i="1"/>
  <c r="G26" i="1"/>
  <c r="AI766" i="1"/>
  <c r="P766" i="1"/>
  <c r="J766" i="1"/>
  <c r="G766" i="1"/>
  <c r="AI328" i="1"/>
  <c r="P328" i="1"/>
  <c r="J328" i="1"/>
  <c r="G328" i="1"/>
  <c r="AI588" i="1"/>
  <c r="P588" i="1"/>
  <c r="J588" i="1"/>
  <c r="G588" i="1"/>
  <c r="AI567" i="1"/>
  <c r="P567" i="1"/>
  <c r="J567" i="1"/>
  <c r="G567" i="1"/>
  <c r="AI967" i="1"/>
  <c r="P967" i="1"/>
  <c r="J967" i="1"/>
  <c r="G967" i="1"/>
  <c r="AI657" i="1"/>
  <c r="P657" i="1"/>
  <c r="J657" i="1"/>
  <c r="G657" i="1"/>
  <c r="AI267" i="1"/>
  <c r="P267" i="1"/>
  <c r="J267" i="1"/>
  <c r="G267" i="1"/>
  <c r="AI765" i="1"/>
  <c r="P765" i="1"/>
  <c r="J765" i="1"/>
  <c r="G765" i="1"/>
  <c r="AI1152" i="1"/>
  <c r="P1152" i="1"/>
  <c r="J1152" i="1"/>
  <c r="G1152" i="1"/>
  <c r="AI1080" i="1"/>
  <c r="P1080" i="1"/>
  <c r="J1080" i="1"/>
  <c r="G1080" i="1"/>
  <c r="AI508" i="1"/>
  <c r="P508" i="1"/>
  <c r="J508" i="1"/>
  <c r="G508" i="1"/>
  <c r="AI1067" i="1"/>
  <c r="P1067" i="1"/>
  <c r="J1067" i="1"/>
  <c r="G1067" i="1"/>
  <c r="AI720" i="1"/>
  <c r="P720" i="1"/>
  <c r="J720" i="1"/>
  <c r="G720" i="1"/>
  <c r="AI526" i="1"/>
  <c r="P526" i="1"/>
  <c r="J526" i="1"/>
  <c r="G526" i="1"/>
  <c r="AI507" i="1"/>
  <c r="P507" i="1"/>
  <c r="J507" i="1"/>
  <c r="G507" i="1"/>
  <c r="AI5" i="1"/>
  <c r="P5" i="1"/>
  <c r="J5" i="1"/>
  <c r="G5" i="1"/>
  <c r="AI29" i="1"/>
  <c r="P29" i="1"/>
  <c r="J29" i="1"/>
  <c r="G29" i="1"/>
  <c r="AI1074" i="1"/>
  <c r="P1074" i="1"/>
  <c r="J1074" i="1"/>
  <c r="G1074" i="1"/>
  <c r="AI90" i="1"/>
  <c r="P90" i="1"/>
  <c r="J90" i="1"/>
  <c r="G90" i="1"/>
  <c r="AI1292" i="1"/>
  <c r="P1292" i="1"/>
  <c r="J1292" i="1"/>
  <c r="G1292" i="1"/>
  <c r="AI764" i="1"/>
  <c r="P764" i="1"/>
  <c r="J764" i="1"/>
  <c r="G764" i="1"/>
  <c r="AI495" i="1"/>
  <c r="P495" i="1"/>
  <c r="J495" i="1"/>
  <c r="G495" i="1"/>
  <c r="AI204" i="1"/>
  <c r="P204" i="1"/>
  <c r="J204" i="1"/>
  <c r="G204" i="1"/>
  <c r="AI525" i="1"/>
  <c r="P525" i="1"/>
  <c r="J525" i="1"/>
  <c r="G525" i="1"/>
  <c r="AI381" i="1"/>
  <c r="P381" i="1"/>
  <c r="J381" i="1"/>
  <c r="G381" i="1"/>
  <c r="AI538" i="1"/>
  <c r="P538" i="1"/>
  <c r="J538" i="1"/>
  <c r="G538" i="1"/>
  <c r="AI1024" i="1"/>
  <c r="P1024" i="1"/>
  <c r="J1024" i="1"/>
  <c r="G1024" i="1"/>
  <c r="P304" i="1"/>
  <c r="J304" i="1"/>
  <c r="G304" i="1"/>
  <c r="AI506" i="1"/>
  <c r="P506" i="1"/>
  <c r="J506" i="1"/>
  <c r="G506" i="1"/>
  <c r="AI838" i="1"/>
  <c r="P838" i="1"/>
  <c r="J838" i="1"/>
  <c r="G838" i="1"/>
  <c r="AI690" i="1"/>
  <c r="P690" i="1"/>
  <c r="J690" i="1"/>
  <c r="G690" i="1"/>
  <c r="AI1269" i="1"/>
  <c r="P1269" i="1"/>
  <c r="J1269" i="1"/>
  <c r="G1269" i="1"/>
  <c r="AI703" i="1"/>
  <c r="P703" i="1"/>
  <c r="J703" i="1"/>
  <c r="G703" i="1"/>
  <c r="AI359" i="1"/>
  <c r="P359" i="1"/>
  <c r="J359" i="1"/>
  <c r="G359" i="1"/>
  <c r="AI48" i="1"/>
  <c r="P48" i="1"/>
  <c r="J48" i="1"/>
  <c r="G48" i="1"/>
  <c r="P307" i="1"/>
  <c r="J307" i="1"/>
  <c r="G307" i="1"/>
  <c r="AI537" i="1"/>
  <c r="P537" i="1"/>
  <c r="J537" i="1"/>
  <c r="G537" i="1"/>
  <c r="P1001" i="1"/>
  <c r="J1001" i="1"/>
  <c r="G1001" i="1"/>
  <c r="AI989" i="1"/>
  <c r="P989" i="1"/>
  <c r="J989" i="1"/>
  <c r="G989" i="1"/>
  <c r="AI512" i="1"/>
  <c r="P512" i="1"/>
  <c r="J512" i="1"/>
  <c r="G512" i="1"/>
  <c r="AI2" i="1"/>
  <c r="P2" i="1"/>
  <c r="J2" i="1"/>
  <c r="G2" i="1"/>
  <c r="AI1146" i="1"/>
  <c r="P1146" i="1"/>
  <c r="J1146" i="1"/>
  <c r="G1146" i="1"/>
  <c r="AI992" i="1"/>
  <c r="P992" i="1"/>
  <c r="J992" i="1"/>
  <c r="G992" i="1"/>
  <c r="G1268" i="1"/>
  <c r="AI309" i="1"/>
  <c r="P309" i="1"/>
  <c r="J309" i="1"/>
  <c r="G309" i="1"/>
  <c r="AI583" i="1"/>
  <c r="P583" i="1"/>
  <c r="J583" i="1"/>
  <c r="G583" i="1"/>
  <c r="AI171" i="1"/>
  <c r="P171" i="1"/>
  <c r="J171" i="1"/>
  <c r="G171" i="1"/>
  <c r="AI394" i="1"/>
  <c r="P394" i="1"/>
  <c r="J394" i="1"/>
  <c r="G394" i="1"/>
  <c r="AI515" i="1"/>
  <c r="P515" i="1"/>
  <c r="J515" i="1"/>
  <c r="G515" i="1"/>
  <c r="AI393" i="1"/>
  <c r="P393" i="1"/>
  <c r="J393" i="1"/>
  <c r="G393" i="1"/>
  <c r="AI356" i="1"/>
  <c r="P356" i="1"/>
  <c r="J356" i="1"/>
  <c r="G356" i="1"/>
  <c r="AI587" i="1"/>
  <c r="P587" i="1"/>
  <c r="J587" i="1"/>
  <c r="G587" i="1"/>
  <c r="AI1011" i="1"/>
  <c r="P1011" i="1"/>
  <c r="J1011" i="1"/>
  <c r="G1011" i="1"/>
  <c r="P707" i="1"/>
  <c r="J707" i="1"/>
  <c r="G707" i="1"/>
  <c r="AI203" i="1"/>
  <c r="P203" i="1"/>
  <c r="J203" i="1"/>
  <c r="G203" i="1"/>
  <c r="AI1143" i="1"/>
  <c r="P1143" i="1"/>
  <c r="J1143" i="1"/>
  <c r="G1143" i="1"/>
  <c r="AI444" i="1"/>
  <c r="P444" i="1"/>
  <c r="J444" i="1"/>
  <c r="G444" i="1"/>
  <c r="AI321" i="1"/>
  <c r="P321" i="1"/>
  <c r="J321" i="1"/>
  <c r="G321" i="1"/>
  <c r="AI536" i="1"/>
  <c r="P536" i="1"/>
  <c r="J536" i="1"/>
  <c r="G536" i="1"/>
  <c r="AI115" i="1"/>
  <c r="P115" i="1"/>
  <c r="J115" i="1"/>
  <c r="G115" i="1"/>
  <c r="P189" i="1"/>
  <c r="J189" i="1"/>
  <c r="G189" i="1"/>
  <c r="G521" i="1"/>
  <c r="P12" i="1"/>
  <c r="J12" i="1"/>
  <c r="G12" i="1"/>
  <c r="P949" i="1"/>
  <c r="J949" i="1"/>
  <c r="G949" i="1"/>
  <c r="P413" i="1"/>
  <c r="J413" i="1"/>
  <c r="G413" i="1"/>
  <c r="AI131" i="1"/>
  <c r="P131" i="1"/>
  <c r="J131" i="1"/>
  <c r="G131" i="1"/>
  <c r="P16" i="1"/>
  <c r="J16" i="1"/>
  <c r="G16" i="1"/>
  <c r="P369" i="1"/>
  <c r="J369" i="1"/>
  <c r="G369" i="1"/>
  <c r="P948" i="1"/>
  <c r="J948" i="1"/>
  <c r="G948" i="1"/>
  <c r="P947" i="1"/>
  <c r="J947" i="1"/>
  <c r="G947" i="1"/>
  <c r="P180" i="1"/>
  <c r="J180" i="1"/>
  <c r="G180" i="1"/>
  <c r="P751" i="1"/>
  <c r="J751" i="1"/>
  <c r="G751" i="1"/>
  <c r="P1267" i="1"/>
  <c r="J1267" i="1"/>
  <c r="G1267" i="1"/>
  <c r="P739" i="1"/>
  <c r="J739" i="1"/>
  <c r="G739" i="1"/>
  <c r="P946" i="1"/>
  <c r="J946" i="1"/>
  <c r="G946" i="1"/>
  <c r="P275" i="1"/>
  <c r="J275" i="1"/>
  <c r="G275" i="1"/>
  <c r="P535" i="1"/>
  <c r="J535" i="1"/>
  <c r="G535" i="1"/>
  <c r="P1266" i="1"/>
  <c r="J1266" i="1"/>
  <c r="G1266" i="1"/>
  <c r="P719" i="1"/>
  <c r="J719" i="1"/>
  <c r="G719" i="1"/>
  <c r="P266" i="1"/>
  <c r="J266" i="1"/>
  <c r="G266" i="1"/>
  <c r="P676" i="1"/>
  <c r="J676" i="1"/>
  <c r="G676" i="1"/>
  <c r="P110" i="1"/>
  <c r="J110" i="1"/>
  <c r="G110" i="1"/>
  <c r="P514" i="1"/>
  <c r="J514" i="1"/>
  <c r="G514" i="1"/>
  <c r="P566" i="1"/>
  <c r="J566" i="1"/>
  <c r="G566" i="1"/>
  <c r="P763" i="1"/>
  <c r="J763" i="1"/>
  <c r="G763" i="1"/>
  <c r="P945" i="1"/>
  <c r="J945" i="1"/>
  <c r="G945" i="1"/>
  <c r="P1078" i="1"/>
  <c r="J1078" i="1"/>
  <c r="G1078" i="1"/>
  <c r="P1142" i="1"/>
  <c r="J1142" i="1"/>
  <c r="G1142" i="1"/>
  <c r="P364" i="1"/>
  <c r="J364" i="1"/>
  <c r="G364" i="1"/>
  <c r="P750" i="1"/>
  <c r="J750" i="1"/>
  <c r="G750" i="1"/>
  <c r="P826" i="1"/>
  <c r="J826" i="1"/>
  <c r="G826" i="1"/>
  <c r="P1138" i="1"/>
  <c r="J1138" i="1"/>
  <c r="G1138" i="1"/>
  <c r="P549" i="1"/>
  <c r="J549" i="1"/>
  <c r="G549" i="1"/>
  <c r="P695" i="1"/>
  <c r="J695" i="1"/>
  <c r="G695" i="1"/>
  <c r="P1077" i="1"/>
  <c r="J1077" i="1"/>
  <c r="G1077" i="1"/>
  <c r="P65" i="1"/>
  <c r="J65" i="1"/>
  <c r="G65" i="1"/>
  <c r="P998" i="1"/>
  <c r="J998" i="1"/>
  <c r="G998" i="1"/>
  <c r="P1040" i="1"/>
  <c r="J1040" i="1"/>
  <c r="G1040" i="1"/>
  <c r="P505" i="1"/>
  <c r="J505" i="1"/>
  <c r="G505" i="1"/>
  <c r="P3" i="1"/>
  <c r="J3" i="1"/>
  <c r="G3" i="1"/>
  <c r="AI299" i="1"/>
  <c r="P299" i="1"/>
  <c r="J299" i="1"/>
  <c r="G299" i="1"/>
  <c r="P944" i="1"/>
  <c r="J944" i="1"/>
  <c r="G944" i="1"/>
  <c r="P77" i="1"/>
  <c r="J77" i="1"/>
  <c r="G77" i="1"/>
  <c r="AI255" i="1"/>
  <c r="P255" i="1"/>
  <c r="J255" i="1"/>
  <c r="G255" i="1"/>
  <c r="P1023" i="1"/>
  <c r="J1023" i="1"/>
  <c r="G1023" i="1"/>
  <c r="P188" i="1"/>
  <c r="J188" i="1"/>
  <c r="G188" i="1"/>
  <c r="AI421" i="1"/>
  <c r="P421" i="1"/>
  <c r="J421" i="1"/>
  <c r="G421" i="1"/>
  <c r="P170" i="1"/>
  <c r="J170" i="1"/>
  <c r="G170" i="1"/>
  <c r="P130" i="1"/>
  <c r="J130" i="1"/>
  <c r="G130" i="1"/>
  <c r="P557" i="1"/>
  <c r="J557" i="1"/>
  <c r="G557" i="1"/>
  <c r="P45" i="1"/>
  <c r="J45" i="1"/>
  <c r="G45" i="1"/>
  <c r="P870" i="1"/>
  <c r="J870" i="1"/>
  <c r="G870" i="1"/>
  <c r="AI1284" i="1"/>
  <c r="P1284" i="1"/>
  <c r="J1284" i="1"/>
  <c r="G1284" i="1"/>
  <c r="P10" i="1"/>
  <c r="J10" i="1"/>
  <c r="G10" i="1"/>
  <c r="P57" i="1"/>
  <c r="J57" i="1"/>
  <c r="G57" i="1"/>
  <c r="P1054" i="1"/>
  <c r="J1054" i="1"/>
  <c r="G1054" i="1"/>
  <c r="P64" i="1"/>
  <c r="J64" i="1"/>
  <c r="G64" i="1"/>
  <c r="P1265" i="1"/>
  <c r="J1265" i="1"/>
  <c r="G1265" i="1"/>
  <c r="P265" i="1"/>
  <c r="J265" i="1"/>
  <c r="G265" i="1"/>
  <c r="P340" i="1"/>
  <c r="J340" i="1"/>
  <c r="G340" i="1"/>
  <c r="P47" i="1"/>
  <c r="J47" i="1"/>
  <c r="G47" i="1"/>
  <c r="P470" i="1"/>
  <c r="J470" i="1"/>
  <c r="G470" i="1"/>
  <c r="AI242" i="1"/>
  <c r="P242" i="1"/>
  <c r="J242" i="1"/>
  <c r="G242" i="1"/>
  <c r="AI399" i="1"/>
  <c r="P399" i="1"/>
  <c r="J399" i="1"/>
  <c r="G399" i="1"/>
  <c r="P857" i="1"/>
  <c r="J857" i="1"/>
  <c r="G857" i="1"/>
  <c r="P762" i="1"/>
  <c r="J762" i="1"/>
  <c r="G762" i="1"/>
  <c r="P524" i="1"/>
  <c r="J524" i="1"/>
  <c r="G524" i="1"/>
  <c r="P56" i="1"/>
  <c r="J56" i="1"/>
  <c r="G56" i="1"/>
  <c r="P738" i="1"/>
  <c r="J738" i="1"/>
  <c r="G738" i="1"/>
  <c r="P556" i="1"/>
  <c r="J556" i="1"/>
  <c r="G556" i="1"/>
  <c r="P1010" i="1"/>
  <c r="J1010" i="1"/>
  <c r="G1010" i="1"/>
  <c r="P1264" i="1"/>
  <c r="J1264" i="1"/>
  <c r="G1264" i="1"/>
  <c r="P320" i="1"/>
  <c r="J320" i="1"/>
  <c r="G320" i="1"/>
  <c r="P675" i="1"/>
  <c r="J675" i="1"/>
  <c r="G675" i="1"/>
  <c r="P368" i="1"/>
  <c r="J368" i="1"/>
  <c r="G368" i="1"/>
  <c r="P943" i="1"/>
  <c r="J943" i="1"/>
  <c r="G943" i="1"/>
  <c r="P101" i="1"/>
  <c r="J101" i="1"/>
  <c r="G101" i="1"/>
  <c r="P248" i="1"/>
  <c r="J248" i="1"/>
  <c r="G248" i="1"/>
  <c r="P608" i="1"/>
  <c r="J608" i="1"/>
  <c r="G608" i="1"/>
  <c r="P241" i="1"/>
  <c r="J241" i="1"/>
  <c r="G241" i="1"/>
  <c r="P71" i="1"/>
  <c r="J71" i="1"/>
  <c r="G71" i="1"/>
  <c r="P70" i="1"/>
  <c r="J70" i="1"/>
  <c r="G70" i="1"/>
  <c r="P706" i="1"/>
  <c r="J706" i="1"/>
  <c r="G706" i="1"/>
  <c r="P55" i="1"/>
  <c r="J55" i="1"/>
  <c r="G55" i="1"/>
  <c r="P1039" i="1"/>
  <c r="J1039" i="1"/>
  <c r="G1039" i="1"/>
  <c r="P303" i="1"/>
  <c r="J303" i="1"/>
  <c r="G303" i="1"/>
  <c r="P988" i="1"/>
  <c r="J988" i="1"/>
  <c r="G988" i="1"/>
  <c r="P987" i="1"/>
  <c r="J987" i="1"/>
  <c r="G987" i="1"/>
  <c r="P330" i="1"/>
  <c r="J330" i="1"/>
  <c r="G330" i="1"/>
  <c r="P1158" i="1"/>
  <c r="J1158" i="1"/>
  <c r="G1158" i="1"/>
  <c r="P477" i="1"/>
  <c r="J477" i="1"/>
  <c r="G477" i="1"/>
  <c r="P865" i="1"/>
  <c r="J865" i="1"/>
  <c r="G865" i="1"/>
  <c r="P617" i="1"/>
  <c r="J617" i="1"/>
  <c r="G617" i="1"/>
  <c r="P264" i="1"/>
  <c r="J264" i="1"/>
  <c r="G264" i="1"/>
  <c r="P1009" i="1"/>
  <c r="J1009" i="1"/>
  <c r="G1009" i="1"/>
  <c r="P942" i="1"/>
  <c r="J942" i="1"/>
  <c r="G942" i="1"/>
  <c r="P412" i="1"/>
  <c r="J412" i="1"/>
  <c r="G412" i="1"/>
  <c r="P779" i="1"/>
  <c r="J779" i="1"/>
  <c r="G779" i="1"/>
  <c r="P15" i="1"/>
  <c r="J15" i="1"/>
  <c r="G15" i="1"/>
  <c r="P702" i="1"/>
  <c r="J702" i="1"/>
  <c r="G702" i="1"/>
  <c r="P1097" i="1"/>
  <c r="J1097" i="1"/>
  <c r="G1097" i="1"/>
  <c r="P355" i="1"/>
  <c r="J355" i="1"/>
  <c r="G355" i="1"/>
  <c r="AI497" i="1"/>
  <c r="P497" i="1"/>
  <c r="J497" i="1"/>
  <c r="G497" i="1"/>
  <c r="AI120" i="1"/>
  <c r="P120" i="1"/>
  <c r="J120" i="1"/>
  <c r="G120" i="1"/>
  <c r="AI108" i="1"/>
  <c r="P108" i="1"/>
  <c r="J108" i="1"/>
  <c r="G108" i="1"/>
  <c r="P534" i="1"/>
  <c r="J534" i="1"/>
  <c r="G534" i="1"/>
  <c r="P420" i="1"/>
  <c r="J420" i="1"/>
  <c r="G420" i="1"/>
  <c r="P941" i="1"/>
  <c r="J941" i="1"/>
  <c r="G941" i="1"/>
  <c r="P603" i="1"/>
  <c r="J603" i="1"/>
  <c r="G603" i="1"/>
  <c r="P157" i="1"/>
  <c r="J157" i="1"/>
  <c r="G157" i="1"/>
  <c r="P787" i="1"/>
  <c r="J787" i="1"/>
  <c r="G787" i="1"/>
  <c r="P997" i="1"/>
  <c r="J997" i="1"/>
  <c r="G997" i="1"/>
  <c r="P195" i="1"/>
  <c r="J195" i="1"/>
  <c r="G195" i="1"/>
  <c r="P1295" i="1"/>
  <c r="J1295" i="1"/>
  <c r="G1295" i="1"/>
  <c r="P786" i="1"/>
  <c r="J786" i="1"/>
  <c r="G786" i="1"/>
  <c r="P11" i="1"/>
  <c r="J11" i="1"/>
  <c r="G11" i="1"/>
  <c r="P129" i="1"/>
  <c r="J129" i="1"/>
  <c r="G129" i="1"/>
  <c r="J852" i="1"/>
  <c r="G852" i="1"/>
  <c r="J59" i="1"/>
  <c r="G59" i="1"/>
  <c r="P1263" i="1"/>
  <c r="J1263" i="1"/>
  <c r="G1263" i="1"/>
  <c r="P187" i="1"/>
  <c r="J187" i="1"/>
  <c r="G187" i="1"/>
  <c r="AI737" i="1"/>
  <c r="P737" i="1"/>
  <c r="J737" i="1"/>
  <c r="G737" i="1"/>
  <c r="AI1262" i="1"/>
  <c r="P1262" i="1"/>
  <c r="J1262" i="1"/>
  <c r="G1262" i="1"/>
  <c r="P1000" i="1"/>
  <c r="J1000" i="1"/>
  <c r="G1000" i="1"/>
  <c r="P112" i="1"/>
  <c r="J112" i="1"/>
  <c r="G112" i="1"/>
  <c r="P1053" i="1"/>
  <c r="J1053" i="1"/>
  <c r="G1053" i="1"/>
  <c r="P107" i="1"/>
  <c r="J107" i="1"/>
  <c r="G107" i="1"/>
  <c r="P186" i="1"/>
  <c r="J186" i="1"/>
  <c r="G186" i="1"/>
  <c r="P986" i="1"/>
  <c r="J986" i="1"/>
  <c r="G986" i="1"/>
  <c r="P194" i="1"/>
  <c r="J194" i="1"/>
  <c r="G194" i="1"/>
  <c r="P494" i="1"/>
  <c r="J494" i="1"/>
  <c r="G494" i="1"/>
  <c r="P582" i="1"/>
  <c r="J582" i="1"/>
  <c r="G582" i="1"/>
  <c r="P1049" i="1"/>
  <c r="J1049" i="1"/>
  <c r="G1049" i="1"/>
  <c r="P1048" i="1"/>
  <c r="J1048" i="1"/>
  <c r="G1048" i="1"/>
  <c r="P306" i="1"/>
  <c r="J306" i="1"/>
  <c r="G306" i="1"/>
  <c r="P1096" i="1"/>
  <c r="J1096" i="1"/>
  <c r="G1096" i="1"/>
  <c r="AI985" i="1"/>
  <c r="P985" i="1"/>
  <c r="J985" i="1"/>
  <c r="G985" i="1"/>
  <c r="P405" i="1"/>
  <c r="J405" i="1"/>
  <c r="G405" i="1"/>
  <c r="P1261" i="1"/>
  <c r="J1261" i="1"/>
  <c r="G1261" i="1"/>
  <c r="P785" i="1"/>
  <c r="J785" i="1"/>
  <c r="G785" i="1"/>
  <c r="P548" i="1"/>
  <c r="J548" i="1"/>
  <c r="G548" i="1"/>
  <c r="P1076" i="1"/>
  <c r="J1076" i="1"/>
  <c r="G1076" i="1"/>
  <c r="P1047" i="1"/>
  <c r="J1047" i="1"/>
  <c r="G1047" i="1"/>
  <c r="P940" i="1"/>
  <c r="J940" i="1"/>
  <c r="G940" i="1"/>
  <c r="P1150" i="1"/>
  <c r="J1150" i="1"/>
  <c r="G1150" i="1"/>
  <c r="P602" i="1"/>
  <c r="J602" i="1"/>
  <c r="G602" i="1"/>
  <c r="P354" i="1"/>
  <c r="J354" i="1"/>
  <c r="G354" i="1"/>
  <c r="P63" i="1"/>
  <c r="J63" i="1"/>
  <c r="G63" i="1"/>
  <c r="P398" i="1"/>
  <c r="J398" i="1"/>
  <c r="G398" i="1"/>
  <c r="P736" i="1"/>
  <c r="J736" i="1"/>
  <c r="G736" i="1"/>
  <c r="P1123" i="1"/>
  <c r="J1123" i="1"/>
  <c r="G1123" i="1"/>
  <c r="P1046" i="1"/>
  <c r="J1046" i="1"/>
  <c r="G1046" i="1"/>
  <c r="P939" i="1"/>
  <c r="J939" i="1"/>
  <c r="G939" i="1"/>
  <c r="P1122" i="1"/>
  <c r="J1122" i="1"/>
  <c r="G1122" i="1"/>
  <c r="P31" i="1"/>
  <c r="J31" i="1"/>
  <c r="G31" i="1"/>
  <c r="P797" i="1"/>
  <c r="J797" i="1"/>
  <c r="G797" i="1"/>
  <c r="P185" i="1"/>
  <c r="J185" i="1"/>
  <c r="G185" i="1"/>
  <c r="P52" i="1"/>
  <c r="J52" i="1"/>
  <c r="G52" i="1"/>
  <c r="P938" i="1"/>
  <c r="J938" i="1"/>
  <c r="G938" i="1"/>
  <c r="P93" i="1"/>
  <c r="J93" i="1"/>
  <c r="G93" i="1"/>
  <c r="P119" i="1"/>
  <c r="J119" i="1"/>
  <c r="G119" i="1"/>
  <c r="P361" i="1"/>
  <c r="J361" i="1"/>
  <c r="G361" i="1"/>
  <c r="P761" i="1"/>
  <c r="J761" i="1"/>
  <c r="G761" i="1"/>
  <c r="P900" i="1"/>
  <c r="J900" i="1"/>
  <c r="G900" i="1"/>
  <c r="AI705" i="1"/>
  <c r="P705" i="1"/>
  <c r="J705" i="1"/>
  <c r="G705" i="1"/>
  <c r="P240" i="1"/>
  <c r="J240" i="1"/>
  <c r="G240" i="1"/>
  <c r="P796" i="1"/>
  <c r="J796" i="1"/>
  <c r="G796" i="1"/>
  <c r="P1260" i="1"/>
  <c r="J1260" i="1"/>
  <c r="G1260" i="1"/>
  <c r="P308" i="1"/>
  <c r="J308" i="1"/>
  <c r="G308" i="1"/>
  <c r="P999" i="1"/>
  <c r="J999" i="1"/>
  <c r="G999" i="1"/>
  <c r="P179" i="1"/>
  <c r="J179" i="1"/>
  <c r="G179" i="1"/>
  <c r="P1121" i="1"/>
  <c r="J1121" i="1"/>
  <c r="G1121" i="1"/>
  <c r="P1120" i="1"/>
  <c r="J1120" i="1"/>
  <c r="G1120" i="1"/>
  <c r="AI184" i="1"/>
  <c r="P184" i="1"/>
  <c r="J184" i="1"/>
  <c r="G184" i="1"/>
  <c r="P937" i="1"/>
  <c r="J937" i="1"/>
  <c r="G937" i="1"/>
  <c r="P674" i="1"/>
  <c r="J674" i="1"/>
  <c r="G674" i="1"/>
  <c r="P883" i="1"/>
  <c r="J883" i="1"/>
  <c r="G883" i="1"/>
  <c r="P1137" i="1"/>
  <c r="J1137" i="1"/>
  <c r="G1137" i="1"/>
  <c r="P1136" i="1"/>
  <c r="J1136" i="1"/>
  <c r="G1136" i="1"/>
  <c r="P83" i="1"/>
  <c r="J83" i="1"/>
  <c r="G83" i="1"/>
  <c r="AI493" i="1"/>
  <c r="P493" i="1"/>
  <c r="J493" i="1"/>
  <c r="G493" i="1"/>
  <c r="AI1145" i="1"/>
  <c r="P1145" i="1"/>
  <c r="J1145" i="1"/>
  <c r="G1145" i="1"/>
  <c r="AI481" i="1"/>
  <c r="P481" i="1"/>
  <c r="J481" i="1"/>
  <c r="G481" i="1"/>
  <c r="P966" i="1"/>
  <c r="J966" i="1"/>
  <c r="G966" i="1"/>
  <c r="P74" i="1"/>
  <c r="J74" i="1"/>
  <c r="G74" i="1"/>
  <c r="P247" i="1"/>
  <c r="J247" i="1"/>
  <c r="G247" i="1"/>
  <c r="P1119" i="1"/>
  <c r="J1119" i="1"/>
  <c r="G1119" i="1"/>
  <c r="P984" i="1"/>
  <c r="J984" i="1"/>
  <c r="G984" i="1"/>
  <c r="P1118" i="1"/>
  <c r="J1118" i="1"/>
  <c r="G1118" i="1"/>
  <c r="P1259" i="1"/>
  <c r="J1259" i="1"/>
  <c r="G1259" i="1"/>
  <c r="P851" i="1"/>
  <c r="J851" i="1"/>
  <c r="G851" i="1"/>
  <c r="P1283" i="1"/>
  <c r="J1283" i="1"/>
  <c r="G1283" i="1"/>
  <c r="P114" i="1"/>
  <c r="J114" i="1"/>
  <c r="G114" i="1"/>
  <c r="P735" i="1"/>
  <c r="J735" i="1"/>
  <c r="G735" i="1"/>
  <c r="P174" i="1"/>
  <c r="J174" i="1"/>
  <c r="G174" i="1"/>
  <c r="P555" i="1"/>
  <c r="J555" i="1"/>
  <c r="G555" i="1"/>
  <c r="P73" i="1"/>
  <c r="J73" i="1"/>
  <c r="G73" i="1"/>
  <c r="P1258" i="1"/>
  <c r="J1258" i="1"/>
  <c r="G1258" i="1"/>
  <c r="P547" i="1"/>
  <c r="J547" i="1"/>
  <c r="G547" i="1"/>
  <c r="P698" i="1"/>
  <c r="J698" i="1"/>
  <c r="G698" i="1"/>
  <c r="P936" i="1"/>
  <c r="J936" i="1"/>
  <c r="G936" i="1"/>
  <c r="P778" i="1"/>
  <c r="J778" i="1"/>
  <c r="G778" i="1"/>
  <c r="P935" i="1"/>
  <c r="J935" i="1"/>
  <c r="G935" i="1"/>
  <c r="P934" i="1"/>
  <c r="J934" i="1"/>
  <c r="G934" i="1"/>
  <c r="P263" i="1"/>
  <c r="J263" i="1"/>
  <c r="G263" i="1"/>
  <c r="P1117" i="1"/>
  <c r="J1117" i="1"/>
  <c r="G1117" i="1"/>
  <c r="P877" i="1"/>
  <c r="J877" i="1"/>
  <c r="G877" i="1"/>
  <c r="P933" i="1"/>
  <c r="J933" i="1"/>
  <c r="G933" i="1"/>
  <c r="P673" i="1"/>
  <c r="J673" i="1"/>
  <c r="G673" i="1"/>
  <c r="P80" i="1"/>
  <c r="J80" i="1"/>
  <c r="G80" i="1"/>
  <c r="P35" i="1"/>
  <c r="J35" i="1"/>
  <c r="G35" i="1"/>
  <c r="P1163" i="1"/>
  <c r="J1163" i="1"/>
  <c r="G1163" i="1"/>
  <c r="P1116" i="1"/>
  <c r="J1116" i="1"/>
  <c r="G1116" i="1"/>
  <c r="P1282" i="1"/>
  <c r="J1282" i="1"/>
  <c r="G1282" i="1"/>
  <c r="P319" i="1"/>
  <c r="J319" i="1"/>
  <c r="G319" i="1"/>
  <c r="P480" i="1"/>
  <c r="J480" i="1"/>
  <c r="G480" i="1"/>
  <c r="P978" i="1"/>
  <c r="J978" i="1"/>
  <c r="G978" i="1"/>
  <c r="P1149" i="1"/>
  <c r="J1149" i="1"/>
  <c r="G1149" i="1"/>
  <c r="P443" i="1"/>
  <c r="J443" i="1"/>
  <c r="G443" i="1"/>
  <c r="P816" i="1"/>
  <c r="J816" i="1"/>
  <c r="G816" i="1"/>
  <c r="P353" i="1"/>
  <c r="J353" i="1"/>
  <c r="G353" i="1"/>
  <c r="P704" i="1"/>
  <c r="J704" i="1"/>
  <c r="G704" i="1"/>
  <c r="P932" i="1"/>
  <c r="J932" i="1"/>
  <c r="G932" i="1"/>
  <c r="P745" i="1"/>
  <c r="J745" i="1"/>
  <c r="G745" i="1"/>
  <c r="P977" i="1"/>
  <c r="J977" i="1"/>
  <c r="G977" i="1"/>
  <c r="P352" i="1"/>
  <c r="J352" i="1"/>
  <c r="G352" i="1"/>
  <c r="P72" i="1"/>
  <c r="J72" i="1"/>
  <c r="G72" i="1"/>
  <c r="P669" i="1"/>
  <c r="J669" i="1"/>
  <c r="G669" i="1"/>
  <c r="P392" i="1"/>
  <c r="J392" i="1"/>
  <c r="G392" i="1"/>
  <c r="P882" i="1"/>
  <c r="J882" i="1"/>
  <c r="G882" i="1"/>
  <c r="P1095" i="1"/>
  <c r="J1095" i="1"/>
  <c r="G1095" i="1"/>
  <c r="P492" i="1"/>
  <c r="J492" i="1"/>
  <c r="G492" i="1"/>
  <c r="P976" i="1"/>
  <c r="J976" i="1"/>
  <c r="G976" i="1"/>
  <c r="P469" i="1"/>
  <c r="J469" i="1"/>
  <c r="G469" i="1"/>
  <c r="P931" i="1"/>
  <c r="J931" i="1"/>
  <c r="G931" i="1"/>
  <c r="P442" i="1"/>
  <c r="J442" i="1"/>
  <c r="G442" i="1"/>
  <c r="P239" i="1"/>
  <c r="J239" i="1"/>
  <c r="G239" i="1"/>
  <c r="P100" i="1"/>
  <c r="J100" i="1"/>
  <c r="G100" i="1"/>
  <c r="P173" i="1"/>
  <c r="J173" i="1"/>
  <c r="G173" i="1"/>
  <c r="P581" i="1"/>
  <c r="J581" i="1"/>
  <c r="G581" i="1"/>
  <c r="P76" i="1"/>
  <c r="J76" i="1"/>
  <c r="G76" i="1"/>
  <c r="P167" i="1"/>
  <c r="J167" i="1"/>
  <c r="G167" i="1"/>
  <c r="P1196" i="1"/>
  <c r="J1196" i="1"/>
  <c r="G1196" i="1"/>
  <c r="P1022" i="1"/>
  <c r="J1022" i="1"/>
  <c r="G1022" i="1"/>
  <c r="P1219" i="1"/>
  <c r="J1219" i="1"/>
  <c r="G1219" i="1"/>
  <c r="P254" i="1"/>
  <c r="J254" i="1"/>
  <c r="G254" i="1"/>
  <c r="P960" i="1"/>
  <c r="J960" i="1"/>
  <c r="G960" i="1"/>
  <c r="P350" i="1"/>
  <c r="J350" i="1"/>
  <c r="G350" i="1"/>
  <c r="P601" i="1"/>
  <c r="J601" i="1"/>
  <c r="G601" i="1"/>
  <c r="P461" i="1"/>
  <c r="J461" i="1"/>
  <c r="G461" i="1"/>
  <c r="P208" i="1"/>
  <c r="J208" i="1"/>
  <c r="G208" i="1"/>
  <c r="P850" i="1"/>
  <c r="J850" i="1"/>
  <c r="G850" i="1"/>
  <c r="P1257" i="1"/>
  <c r="J1257" i="1"/>
  <c r="G1257" i="1"/>
  <c r="P975" i="1"/>
  <c r="J975" i="1"/>
  <c r="G975" i="1"/>
  <c r="P718" i="1"/>
  <c r="J718" i="1"/>
  <c r="G718" i="1"/>
  <c r="P1172" i="1"/>
  <c r="J1172" i="1"/>
  <c r="G1172" i="1"/>
  <c r="P154" i="1"/>
  <c r="J154" i="1"/>
  <c r="G154" i="1"/>
  <c r="P930" i="1"/>
  <c r="J930" i="1"/>
  <c r="G930" i="1"/>
  <c r="P639" i="1"/>
  <c r="J639" i="1"/>
  <c r="G639" i="1"/>
  <c r="P849" i="1"/>
  <c r="J849" i="1"/>
  <c r="G849" i="1"/>
  <c r="P717" i="1"/>
  <c r="J717" i="1"/>
  <c r="G717" i="1"/>
  <c r="P918" i="1"/>
  <c r="J918" i="1"/>
  <c r="G918" i="1"/>
  <c r="P1066" i="1"/>
  <c r="J1066" i="1"/>
  <c r="G1066" i="1"/>
  <c r="P9" i="1"/>
  <c r="J9" i="1"/>
  <c r="G9" i="1"/>
  <c r="P1115" i="1"/>
  <c r="J1115" i="1"/>
  <c r="G1115" i="1"/>
  <c r="P1171" i="1"/>
  <c r="J1171" i="1"/>
  <c r="G1171" i="1"/>
  <c r="P1114" i="1"/>
  <c r="J1114" i="1"/>
  <c r="G1114" i="1"/>
  <c r="P848" i="1"/>
  <c r="J848" i="1"/>
  <c r="G848" i="1"/>
  <c r="P899" i="1"/>
  <c r="J899" i="1"/>
  <c r="G899" i="1"/>
  <c r="P53" i="1"/>
  <c r="J53" i="1"/>
  <c r="G53" i="1"/>
  <c r="P1170" i="1"/>
  <c r="J1170" i="1"/>
  <c r="G1170" i="1"/>
  <c r="P554" i="1"/>
  <c r="J554" i="1"/>
  <c r="G554" i="1"/>
  <c r="P668" i="1"/>
  <c r="J668" i="1"/>
  <c r="G668" i="1"/>
  <c r="P1256" i="1"/>
  <c r="J1256" i="1"/>
  <c r="G1256" i="1"/>
  <c r="P391" i="1"/>
  <c r="J391" i="1"/>
  <c r="G391" i="1"/>
  <c r="P419" i="1"/>
  <c r="J419" i="1"/>
  <c r="G419" i="1"/>
  <c r="P460" i="1"/>
  <c r="J460" i="1"/>
  <c r="G460" i="1"/>
  <c r="P327" i="1"/>
  <c r="J327" i="1"/>
  <c r="G327" i="1"/>
  <c r="P929" i="1"/>
  <c r="J929" i="1"/>
  <c r="G929" i="1"/>
  <c r="P220" i="1"/>
  <c r="J220" i="1"/>
  <c r="G220" i="1"/>
  <c r="P216" i="1"/>
  <c r="J216" i="1"/>
  <c r="G216" i="1"/>
  <c r="P404" i="1"/>
  <c r="J404" i="1"/>
  <c r="G404" i="1"/>
  <c r="P667" i="1"/>
  <c r="J667" i="1"/>
  <c r="G667" i="1"/>
  <c r="P1218" i="1"/>
  <c r="J1218" i="1"/>
  <c r="G1218" i="1"/>
  <c r="P928" i="1"/>
  <c r="J928" i="1"/>
  <c r="G928" i="1"/>
  <c r="P459" i="1"/>
  <c r="J459" i="1"/>
  <c r="G459" i="1"/>
  <c r="P1217" i="1"/>
  <c r="J1217" i="1"/>
  <c r="G1217" i="1"/>
  <c r="P511" i="1"/>
  <c r="J511" i="1"/>
  <c r="G511" i="1"/>
  <c r="P1169" i="1"/>
  <c r="J1169" i="1"/>
  <c r="G1169" i="1"/>
  <c r="P638" i="1"/>
  <c r="J638" i="1"/>
  <c r="G638" i="1"/>
  <c r="P1291" i="1"/>
  <c r="J1291" i="1"/>
  <c r="G1291" i="1"/>
  <c r="P656" i="1"/>
  <c r="J656" i="1"/>
  <c r="G656" i="1"/>
  <c r="P1216" i="1"/>
  <c r="J1216" i="1"/>
  <c r="G1216" i="1"/>
  <c r="P339" i="1"/>
  <c r="J339" i="1"/>
  <c r="G339" i="1"/>
  <c r="AI99" i="1"/>
  <c r="P99" i="1"/>
  <c r="J99" i="1"/>
  <c r="G99" i="1"/>
  <c r="AI202" i="1"/>
  <c r="P202" i="1"/>
  <c r="J202" i="1"/>
  <c r="G202" i="1"/>
  <c r="P616" i="1"/>
  <c r="J616" i="1"/>
  <c r="G616" i="1"/>
  <c r="AI917" i="1"/>
  <c r="P917" i="1"/>
  <c r="J917" i="1"/>
  <c r="G917" i="1"/>
  <c r="P916" i="1"/>
  <c r="J916" i="1"/>
  <c r="G916" i="1"/>
  <c r="P302" i="1"/>
  <c r="J302" i="1"/>
  <c r="G302" i="1"/>
  <c r="AI965" i="1"/>
  <c r="P965" i="1"/>
  <c r="J965" i="1"/>
  <c r="G965" i="1"/>
  <c r="P513" i="1"/>
  <c r="J513" i="1"/>
  <c r="G513" i="1"/>
  <c r="P864" i="1"/>
  <c r="J864" i="1"/>
  <c r="G864" i="1"/>
  <c r="P390" i="1"/>
  <c r="J390" i="1"/>
  <c r="G390" i="1"/>
  <c r="P959" i="1"/>
  <c r="J959" i="1"/>
  <c r="G959" i="1"/>
  <c r="P915" i="1"/>
  <c r="J915" i="1"/>
  <c r="G915" i="1"/>
  <c r="P326" i="1"/>
  <c r="J326" i="1"/>
  <c r="G326" i="1"/>
  <c r="P553" i="1"/>
  <c r="J553" i="1"/>
  <c r="G553" i="1"/>
  <c r="P1255" i="1"/>
  <c r="J1255" i="1"/>
  <c r="G1255" i="1"/>
  <c r="P744" i="1"/>
  <c r="J744" i="1"/>
  <c r="G744" i="1"/>
  <c r="J79" i="1"/>
  <c r="G79" i="1"/>
  <c r="P1113" i="1"/>
  <c r="J1113" i="1"/>
  <c r="G1113" i="1"/>
  <c r="P1052" i="1"/>
  <c r="J1052" i="1"/>
  <c r="G1052" i="1"/>
  <c r="AI927" i="1"/>
  <c r="P927" i="1"/>
  <c r="J927" i="1"/>
  <c r="G927" i="1"/>
  <c r="AI837" i="1"/>
  <c r="P837" i="1"/>
  <c r="J837" i="1"/>
  <c r="G837" i="1"/>
  <c r="AI974" i="1"/>
  <c r="P974" i="1"/>
  <c r="J974" i="1"/>
  <c r="G974" i="1"/>
  <c r="AI716" i="1"/>
  <c r="P716" i="1"/>
  <c r="J716" i="1"/>
  <c r="G716" i="1"/>
  <c r="AI166" i="1"/>
  <c r="P166" i="1"/>
  <c r="J166" i="1"/>
  <c r="G166" i="1"/>
  <c r="AI1073" i="1"/>
  <c r="P1073" i="1"/>
  <c r="J1073" i="1"/>
  <c r="G1073" i="1"/>
  <c r="AI898" i="1"/>
  <c r="P898" i="1"/>
  <c r="J898" i="1"/>
  <c r="G898" i="1"/>
  <c r="P1281" i="1"/>
  <c r="J1281" i="1"/>
  <c r="G1281" i="1"/>
  <c r="AI958" i="1"/>
  <c r="P958" i="1"/>
  <c r="J958" i="1"/>
  <c r="G958" i="1"/>
  <c r="AI44" i="1"/>
  <c r="P44" i="1"/>
  <c r="J44" i="1"/>
  <c r="G44" i="1"/>
  <c r="P1148" i="1"/>
  <c r="J1148" i="1"/>
  <c r="G1148" i="1"/>
  <c r="AI743" i="1"/>
  <c r="P743" i="1"/>
  <c r="J743" i="1"/>
  <c r="G743" i="1"/>
  <c r="AI926" i="1"/>
  <c r="P926" i="1"/>
  <c r="J926" i="1"/>
  <c r="G926" i="1"/>
  <c r="AI580" i="1"/>
  <c r="P580" i="1"/>
  <c r="J580" i="1"/>
  <c r="G580" i="1"/>
  <c r="P1112" i="1"/>
  <c r="J1112" i="1"/>
  <c r="G1112" i="1"/>
  <c r="AI298" i="1"/>
  <c r="P298" i="1"/>
  <c r="J298" i="1"/>
  <c r="G298" i="1"/>
  <c r="P914" i="1"/>
  <c r="J914" i="1"/>
  <c r="G914" i="1"/>
  <c r="AI219" i="1"/>
  <c r="P219" i="1"/>
  <c r="J219" i="1"/>
  <c r="G219" i="1"/>
  <c r="AI925" i="1"/>
  <c r="P925" i="1"/>
  <c r="J925" i="1"/>
  <c r="G925" i="1"/>
  <c r="AI468" i="1"/>
  <c r="P468" i="1"/>
  <c r="J468" i="1"/>
  <c r="G468" i="1"/>
  <c r="AI1195" i="1"/>
  <c r="P1195" i="1"/>
  <c r="J1195" i="1"/>
  <c r="G1195" i="1"/>
  <c r="AI51" i="1"/>
  <c r="P51" i="1"/>
  <c r="J51" i="1"/>
  <c r="G51" i="1"/>
  <c r="AI349" i="1"/>
  <c r="P349" i="1"/>
  <c r="J349" i="1"/>
  <c r="G349" i="1"/>
  <c r="P1111" i="1"/>
  <c r="J1111" i="1"/>
  <c r="G1111" i="1"/>
  <c r="AI1215" i="1"/>
  <c r="P1215" i="1"/>
  <c r="J1215" i="1"/>
  <c r="G1215" i="1"/>
  <c r="J666" i="1"/>
  <c r="G666" i="1"/>
  <c r="P25" i="1"/>
  <c r="J25" i="1"/>
  <c r="G25" i="1"/>
  <c r="P1214" i="1"/>
  <c r="J1214" i="1"/>
  <c r="G1214" i="1"/>
  <c r="P138" i="1"/>
  <c r="J138" i="1"/>
  <c r="G138" i="1"/>
  <c r="P397" i="1"/>
  <c r="J397" i="1"/>
  <c r="G397" i="1"/>
  <c r="P1065" i="1"/>
  <c r="J1065" i="1"/>
  <c r="G1065" i="1"/>
  <c r="P137" i="1"/>
  <c r="J137" i="1"/>
  <c r="G137" i="1"/>
  <c r="P795" i="1"/>
  <c r="J795" i="1"/>
  <c r="G795" i="1"/>
  <c r="P794" i="1"/>
  <c r="J794" i="1"/>
  <c r="G794" i="1"/>
  <c r="P504" i="1"/>
  <c r="J504" i="1"/>
  <c r="G504" i="1"/>
  <c r="P793" i="1"/>
  <c r="J793" i="1"/>
  <c r="G793" i="1"/>
  <c r="P655" i="1"/>
  <c r="J655" i="1"/>
  <c r="G655" i="1"/>
  <c r="P262" i="1"/>
  <c r="J262" i="1"/>
  <c r="G262" i="1"/>
  <c r="P957" i="1"/>
  <c r="J957" i="1"/>
  <c r="G957" i="1"/>
  <c r="P654" i="1"/>
  <c r="J654" i="1"/>
  <c r="G654" i="1"/>
  <c r="P637" i="1"/>
  <c r="J637" i="1"/>
  <c r="G637" i="1"/>
  <c r="AI924" i="1"/>
  <c r="P924" i="1"/>
  <c r="J924" i="1"/>
  <c r="G924" i="1"/>
  <c r="P1104" i="1"/>
  <c r="J1104" i="1"/>
  <c r="G1104" i="1"/>
  <c r="P956" i="1"/>
  <c r="J956" i="1"/>
  <c r="G956" i="1"/>
  <c r="P825" i="1"/>
  <c r="J825" i="1"/>
  <c r="G825" i="1"/>
  <c r="AI552" i="1"/>
  <c r="P552" i="1"/>
  <c r="J552" i="1"/>
  <c r="G552" i="1"/>
  <c r="AI279" i="1"/>
  <c r="P279" i="1"/>
  <c r="J279" i="1"/>
  <c r="G279" i="1"/>
  <c r="P148" i="1"/>
  <c r="J148" i="1"/>
  <c r="G148" i="1"/>
  <c r="J913" i="1"/>
  <c r="G913" i="1"/>
  <c r="AI620" i="1"/>
  <c r="P620" i="1"/>
  <c r="J620" i="1"/>
  <c r="G620" i="1"/>
  <c r="AI856" i="1"/>
  <c r="P856" i="1"/>
  <c r="J856" i="1"/>
  <c r="G856" i="1"/>
  <c r="P367" i="1"/>
  <c r="J367" i="1"/>
  <c r="G367" i="1"/>
  <c r="P1135" i="1"/>
  <c r="J1135" i="1"/>
  <c r="G1135" i="1"/>
  <c r="P503" i="1"/>
  <c r="J503" i="1"/>
  <c r="G503" i="1"/>
  <c r="P546" i="1"/>
  <c r="J546" i="1"/>
  <c r="G546" i="1"/>
  <c r="AI46" i="1"/>
  <c r="P46" i="1"/>
  <c r="J46" i="1"/>
  <c r="G46" i="1"/>
</calcChain>
</file>

<file path=xl/sharedStrings.xml><?xml version="1.0" encoding="utf-8"?>
<sst xmlns="http://schemas.openxmlformats.org/spreadsheetml/2006/main" count="23335" uniqueCount="3252">
  <si>
    <t>URL</t>
  </si>
  <si>
    <t>Love</t>
  </si>
  <si>
    <t>Haha</t>
  </si>
  <si>
    <t>Wow</t>
  </si>
  <si>
    <t>Sad</t>
  </si>
  <si>
    <t>Angry</t>
  </si>
  <si>
    <t>Dislikes</t>
  </si>
  <si>
    <t>10.08.2020</t>
  </si>
  <si>
    <t>16:01</t>
  </si>
  <si>
    <t>10.08.2020 16:02</t>
  </si>
  <si>
    <t/>
  </si>
  <si>
    <t>Более 86% нижегородцев, заразившихся коронавирусом, выздоровели
21 615 жителей Нижегородской области, то есть 86,4% от общего числа пациентов, у которых был подтвержден диагноз «COVID-19», уже здоровы. За выходные из больниц выписаны еще 394 человека.
По данным на 10 августа 2020 года, в регионе за сутки выявлено 120 случаев заражения коронавирусной инфекцией. Общее число жителей Нижегородской области с подтвержденным диагнозом «COVID-19» — 25 009 человек.
При этом менее 2 тысяч человек находятся на амбулаторном лечении, то есть болезнь у этих пациентов протекает бессимптомно или в легкой форме. Менее 1 тысячи человек лечатся в больницах, 111 человек находятся в обсерваторах.
На 10 августа в Нижегородской области 631 238 человек сдали тесты на коронавирус. Средний показатель тестирования вырос на 0,5% и составил 19 708 человек на 100 тысяч населения.
За последние сутки тесты сдал 3 561 житель региона, а в среднем за неделю охват составил 170,3 теста на 100 тысяч населения.
На территории Нижегородской области наибольшее количество тестов проводят лаборатории Центра гигиены и эпидемиологии, Приволжского исследовательского медицинского университета и ГБУЗ Нижегородской области «НОЦ СПИД». Кроме того, исследования организованы в Нижегородском областном клиническом противотуберкулезном диспансере, Нижегородском научно-исследовательском институте эпидемиологии и микробиологии им. академика И.Н. Блохиной, Приволжском окружном медицинском центре, Нижегородской инфекционной клинической больнице №2 и в инфекционной больнице №23, а также в ООО «АВК Мед», медицинском центре «Эксперт», клинике современных технологий «Садко» в Нижнем Новгороде, в двух лабораториях в Сарове и ООО «Коммерс групп НН» в Выксе. Кроме того, исследование биоматериала жителей Нижегородской области проводят НПФ «Хеликс» (Москва) и ООО «Лаборатория Гемотест» (Люберцы, Московская область).
https://government-nnov.ru/?id=261281</t>
  </si>
  <si>
    <t>Репост</t>
  </si>
  <si>
    <t>Не определено</t>
  </si>
  <si>
    <t>Даниил Серов</t>
  </si>
  <si>
    <t>Мужчина</t>
  </si>
  <si>
    <t>vk.com</t>
  </si>
  <si>
    <t>Соц. сеть</t>
  </si>
  <si>
    <t>Россия</t>
  </si>
  <si>
    <t>Нижегородская область</t>
  </si>
  <si>
    <t>Нижний Новгород</t>
  </si>
  <si>
    <t>Нет</t>
  </si>
  <si>
    <t>15:57</t>
  </si>
  <si>
    <t>10.08.2020 15:57</t>
  </si>
  <si>
    <t>УрА-УРа! Стартует "Cosmo"❤ конкурс от Медицинский центр "Клиника Эксперт Курск" Дарим 20 красивых подарков на услуги</t>
  </si>
  <si>
    <t>Ольга, возвращайтесь и испытайте удачу снова  У вас есть ещё 2 попытки.</t>
  </si>
  <si>
    <t>Комментарий</t>
  </si>
  <si>
    <t>Медицинский центр "Клиника Эксперт Курск"</t>
  </si>
  <si>
    <t>Сообщество</t>
  </si>
  <si>
    <t>15:07</t>
  </si>
  <si>
    <t>10.08.2020 15:07</t>
  </si>
  <si>
    <t>15:06</t>
  </si>
  <si>
    <t>10.08.2020 15:06</t>
  </si>
  <si>
    <t>МРТ С ГАРАНТИЕЙ https://www.mrtexpert.ru/mur</t>
  </si>
  <si>
    <t>Утк, спасибо)!</t>
  </si>
  <si>
    <t>Олег Бородин</t>
  </si>
  <si>
    <t>"МРТ-ЭКСПЕРТ  МУРМАНСК"</t>
  </si>
  <si>
    <t>Мурманская область</t>
  </si>
  <si>
    <t>Мурманск</t>
  </si>
  <si>
    <t>15:03</t>
  </si>
  <si>
    <t>10.08.2020 15:03</t>
  </si>
  <si>
    <t>Евгений, возвращайтесь и испытайте удачу снова  У вас есть ещё 2 попытки.</t>
  </si>
  <si>
    <t>15:00</t>
  </si>
  <si>
    <t>10.08.2020 15:02</t>
  </si>
  <si>
    <t> Кистозно-глиозная трансформация теменно-затылочной области – что это?
Отвечает: Юрий Подлевских, исполнительный директор «Клиника Эксперт» Оренбург
 Это рубцово-атрофические изменения ткани мозга, возникающие как следствие различных повреждающих факторов (инсульта, травмы, операции, перенесённой инфекции и т. д.).
#мртэксперт #энциклопедияГКЭксперт #КлиникаЭкспертОренбург #врачЮрийПодлевских #ассоциацияврачейМРТдиагностики</t>
  </si>
  <si>
    <t>Пост</t>
  </si>
  <si>
    <t>«МРТ Эксперт» и «Клиника Эксперт»</t>
  </si>
  <si>
    <t>14:57</t>
  </si>
  <si>
    <t>10.08.2020 14:57</t>
  </si>
  <si>
    <t>Более 86% нижегородцев, заразившихся коронавирусом, выздоровели
21 615 жителей Нижегородской области, то есть 86,4% от общего числа пациентов, у которых был подтвержден диагноз «COVID-19», уже здоровы. За выходные из больниц выписаны еще 394 человека.
По данным на 10 августа 2020 года, в регионе за сутки выявлено 120 случаев заражения коронавирусной инфекцией. Общее число жителей Нижегородской области с подтвержденным диагнозом «COVID-19» — 25 009 человек.
При этом менее 2 тысяч человек находятся на амбулаторном лечении, то есть болезнь у этих пациентов протекает бессимптомно или в легкой форме. Менее 1 тысячи человек лечатся в больницах, 111 человек находятся в обсерваторах.
На 10 августа в Нижегородской области 631 238 человек сдали тесты на коронавирус. Средний показатель тестирования вырос на 0,5% и составил 19 708 человек на 100 тысяч населения.
За последние сутки тесты сдал 3 561 житель региона, а в среднем за неделю охват составил 170,3 теста на 100 тысяч населения.
На территории Нижегородской области наибольшее количество тестов проводят лаборатории Центра гигиены и эпидемиологии, Приволжского исследовательского медицинского университета и ГБУЗ Нижегородской области «НОЦ СПИД». Кроме того, исследования организованы в Нижегородском областном клиническом противотуберкулезном диспансере, Нижегородском научно-исследовательском институте эпидемиологии и микробиологии им. академика И.Н. Блохиной, Приволжском окружном медицинском центре, Нижегородской инфекционной клинической больнице №2 и в инфекционной больнице №23, а также в ООО «АВК Мед», медицинском центре «Эксперт», клинике современных технологий «Садко» в Нижнем Новгороде, в двух лабораториях в Сарове и ООО «Коммерс групп НН» в Выксе. Кроме того, исследование биоматериала жителей Нижегородской области проводят НПФ «Хеликс» (Москва) и ООО «Лаборатория Гемотест» (Люберцы, Московская область).</t>
  </si>
  <si>
    <t>ЧП и ДТП Нижний Новгород</t>
  </si>
  <si>
    <t>14:51</t>
  </si>
  <si>
    <t>Mayo Clinic expert answers questions about antibody testing for COVID-19 https://youtu.be/laG_UAIUZ6w via @YouTube</t>
  </si>
  <si>
    <t>DR. TANVEER INQALABI, G.C.R.</t>
  </si>
  <si>
    <t>twitter.com</t>
  </si>
  <si>
    <t>Южно-Африканская Республика</t>
  </si>
  <si>
    <t>Северная Капская провинция</t>
  </si>
  <si>
    <t>Jenn-Heaven</t>
  </si>
  <si>
    <t>14:38</t>
  </si>
  <si>
    <t>10.08.2020 14:38</t>
  </si>
  <si>
    <t>21 615 жителей Нижегородской области, то есть 86,4% от общего числа пациентов, у которых был подтвержден диагноз «COVID-19», уже здоровы. За выходные из больниц выписаны еще 394 человека.
По данным на 10 августа 2020 года, в регионе за сутки выявлено 120 случаев заражения коронавирусной инфекцией. Общее число жителей Нижегородской области с подтвержденным диагнозом «COVID-19» – 25 009 человек.
При этом менее 2 тысяч человек находятся на амбулаторном лечении, то есть болезнь у этих пациентов протекает бессимптомно или в легкой форме. Менее 1 тысячи человек лечатся в больницах, 111 человек находятся в обсерваторах.
На 10 августа в Нижегородской области 631 238 человек сдали тесты на коронавирус. Средний показатель тестирования вырос на 0,5% и составил 19 708 человек на 100 тысяч населения.
За последние сутки тесты сдал 3 561 житель региона, а в среднем за неделю охват составил 170,3 теста на 100 тысяч населения.
На территории Нижегородской области наибольшее количество тестов проводят лаборатории Центра гигиены и эпидемиологии, Приволжского исследовательского медицинского университета и ГБУЗ Нижегородской области «НОЦ СПИД». Кроме того, исследования организованы в Нижегородском областном клиническом противотуберкулезном диспансере, Нижегородском научно-исследовательском институте эпидемиологии и микробиологии им. академика И.Н. Блохиной, Приволжском окружном медицинском центре, Нижегородской инфекционной клинической больнице №2 и в инфекционной больнице №23, а также в ООО «АВК Мед», медицинском центре «Эксперт», клинике современных технологий «Садко» в Нижнем Новгороде, в двух лабораториях в Сарове и ООО «Коммерс групп НН» в Выксе. Кроме того, исследование биоматериала жителей Нижегородской области проводят НПФ «Хеликс» (Москва) и ООО «Лаборатория Гемотест» (Люберцы, Московская область).
Пресс-служба губернатора и правительства Нижегородской области</t>
  </si>
  <si>
    <t>Бутурлинская жизнь</t>
  </si>
  <si>
    <t>14:19</t>
  </si>
  <si>
    <t>10.08.2020 14:21</t>
  </si>
  <si>
    <t>В Клинике Эксперт Курск открыта запись на эпиляцию❤
Диодный лазерный аппарат Magic ONE обладает рядом преимуществ:
большая площадь воздействия;
эпиляция зоны обработки проходит по равномерному распределению воздействующих волн
встроенная система охлаждения, обеспечивающая эффективное обезболивание
скорость обработки
воздействие на фолликулу без разрушения окружающих ее тканей
 встроенные настройки позволяют быстро подбирать необходимые параметры в зависимости от кожного фототипа
не вызывает побочных эффектов, которые часто встречаются после эпиляции
отсутствие восстановительного периода
ЗАПИСЬ НА ЭПИЛЯЦИЮ
Медицинский центр "Клиника Эксперт Курск".
В нашем многопрофильном медицинском центре вы можете получить широкий спектр медицинских услуг в одном месте и максимально быстро.
https://vk.com/app5708398_-197114981</t>
  </si>
  <si>
    <t>14:09</t>
  </si>
  <si>
    <t>10.08.2020 14:23</t>
  </si>
  <si>
    <t>В Августе Центр МРТ Эксперт оставляет скидку 20%Для Всех❗ 
☝Предложение действует до 16.08.2020г. 
☝Наш адрес: г. Рязань, ул. Профессора Никулина 3а 
☎8(930)8803992. 
☎+7(4912)92-39-92 
➡Наш сайт: http://cmrtexpert.ru 
#МРТРязань  #МРТ  #МРТЦены  #МРТЭксперт  #МРТГоловногомозга  #МРТПозвоночника  #МРТСуставов  #Обследование  #Здоровье#Рязаньновости  #Москва.  #Луховицы#Озеры#Шатура#Коломна#Праздники
@mrt_expert_62</t>
  </si>
  <si>
    <t>Центр МРТ Эксперт Рязань</t>
  </si>
  <si>
    <t>instagram.com</t>
  </si>
  <si>
    <t>Рязанская область</t>
  </si>
  <si>
    <t>Рязань</t>
  </si>
  <si>
    <t>14:07</t>
  </si>
  <si>
    <t>10.08.2020 14:07</t>
  </si>
  <si>
    <t>Ольга, угадайте, где приз  Дарим ещё 2 попытки.</t>
  </si>
  <si>
    <t>13:31</t>
  </si>
  <si>
    <t>10.08.2020 13:31</t>
  </si>
  <si>
    <t>Варвара, не угадали. Но это не повод грустить.
Осталось 8 призов  
 Не удалось проверить наличие репоста, чтобы добавить ещё 2 попытки. Проверьте настройки приватности.</t>
  </si>
  <si>
    <t>359</t>
  </si>
  <si>
    <t>Варвара Бухольц</t>
  </si>
  <si>
    <t>Женщина</t>
  </si>
  <si>
    <t>13:30</t>
  </si>
  <si>
    <t>Уже 3 года на страже здоровья туляков! 
⠀
8 августа КЛИНИКЕ ЭКСПЕРТ ТУЛА исполняется три года!  Всего же медицинская организация работает на рынке Тулы уже 13 лет. Даже во время сложного периода пандемии клиника продолжала работать и помогать пациентам.
За последний год нам доверили свое здоровье более, чем 40 тысяч туляков и жителей области и соседних регионов, включая Московскую область.
⠀
Теперь мы сделали режим нашей работы еще более удобным для вас и теперь принимаем:
с 6:00 до 24:00 на диагностику, а наши врачи консультируют с 08:00 до 20:00. В клинике нет выходных и праздников, поэтому вы всегда можете обратиться за помощью!
⠀
КЛИНИКА ЭКСПЕРТ оснащена современным высокоточным оборудованием известных компаний Siemens, Phillips, с которыми заключены прямые договора. Диагностика – МРТ, рентген, УЗИ, функциональная и лабораторная диагностика -  только часть услуг, которые здесь оказывают пациентам.
⠀
Для нас Важно, чтобы пациент получил качественную медицинскую помощь. Поэтому у нас есть как взрослое, так и детское отделение. Список направлений и количество специалистов клиники постоянно расширяется: педиатрия, неврология, кардиология, пульмонология, травматология, отоларингология, хирургия, ортопедия, дерматовенерология, эндокринологи, эндоскопия – всего уже более 26 медицинских направлений.
Для женщин здесь работает гинекологическое отделение, где ведут прием акушер-гинеколог, гинеколог-онколог, гинеколог-маммолог и гинеколог-репродуктолог.
Клиника Эксперт работает для вас!
⠀
Записаться на исследование вы можете по номеру: 700 006
Адрес: Тула, ул.Болдина, 74
⠀
#КлиникаЭкспертТула #клиникаэксперт #эксперттула #тулаврач #врач #будьтездоровы #мртэксперт #мрт #мрттула</t>
  </si>
  <si>
    <t>13:27</t>
  </si>
  <si>
    <t>10.08.2020 13:27</t>
  </si>
  <si>
    <t>Варвара, возвращайтесь и испытайте удачу снова  У вас есть ещё 1 попытка.</t>
  </si>
  <si>
    <t>13:13</t>
  </si>
  <si>
    <t>10.08.2020 13:13</t>
  </si>
  <si>
    <t>Варвара, вы можете попробовать еще раз через 4 минуты 3 секунды ⏳</t>
  </si>
  <si>
    <t>248</t>
  </si>
  <si>
    <t>13:12</t>
  </si>
  <si>
    <t>❗❗❗#СТОПКОРОНАВИРУС❗❗❗
21615 жителей Нижегородской области, то есть 86,4% от общего числа пациентов, у которых был подтвержден диагноз «COVID-19», уже здоровы. За выходные из больниц выписаны еще 394 человека. По данным на 10 августа 2020 года, в регионе за сутки выявлено 120 случаев заражения коронавирусной инфекцией. Общее число жителей Нижегородской области с подтвержденным диагнозом «COVID-19» – 25009 человек.
При этом менее 2 тысяч человек находятся на амбулаторном лечении, то есть болезнь у этих пациентов протекает бессимптомно или в легкой форме. Менее 1 тысячи человек лечатся в больницах, 111 человек находятся в обсерваторах.
На 10 августа в Нижегородской области 631238 человек сдали тесты на коронавирус. Средний показатель тестирования вырос на 0,5% и составил 19 708 человек на 100 тысяч населения.
За последние сутки тесты сдал 3561 житель региона, а в среднем за неделю охват составил 170,3 теста на 100 тысяч населения.
На территории Нижегородской области наибольшее количество тестов проводят лаборатории Центра гигиены и эпидемиологии, Приволжского исследовательского медицинского университета и ГБУЗ Нижегородской области «НОЦ СПИД». Кроме того, исследования организованы в Нижегородском областном клиническом противотуберкулезном диспансере, Нижегородском научно-исследовательском институте эпидемиологии и микробиологии им. академика И.Н. Блохиной, Приволжском окружном медицинском центре, Нижегородской инфекционной клинической больнице №2 и в инфекционной больнице №23, а также в ООО «АВК Мед», медицинском центре «Эксперт», клинике современных технологий «Садко» в Нижнем Новгороде, в двух лабораториях в Сарове и ООО «Коммерс групп НН» в Выксе. Кроме того, исследование биоматериала жителей Нижегородской области проводят НПФ «Хеликс» (Москва) и ООО «Лаборатория Гемотест» (Люберцы, Московская область).
Пресс-служба губернатора
и правительства Нижегородской области</t>
  </si>
  <si>
    <t>Большемурашкинская районная газета "Знамя"</t>
  </si>
  <si>
    <t>Большое Мурашкино</t>
  </si>
  <si>
    <t>10.08.2020 13:12</t>
  </si>
  <si>
    <t>Варвара, приза нет. Но не стоит расстраиваться.
Вы можете раскрыть ещё 1 предмет.
Осталось 8 призов  
Получите ещё 1 попытку, подписавшись на сообщения сообщества</t>
  </si>
  <si>
    <t>237</t>
  </si>
  <si>
    <t>13:03</t>
  </si>
  <si>
    <t>10.08.2020 13:03</t>
  </si>
  <si>
    <t>13:01</t>
  </si>
  <si>
    <t>10.08.2020 13:01</t>
  </si>
  <si>
    <t>Варвара, возвращайтесь и испытайте удачу снова  У вас есть ещё 2 попытки.</t>
  </si>
  <si>
    <t>12:46</t>
  </si>
  <si>
    <t>10.08.2020 12:46</t>
  </si>
  <si>
    <t>Варвара, вы можете попробовать еще раз через 4 минуты 44 секунды ⏳</t>
  </si>
  <si>
    <t>341</t>
  </si>
  <si>
    <t>Варвара, не угадали. Но это не повод грустить.
Вы можете раскрыть ещё 2 предмета.
Осталось 8 призов  
Получите ещё 1 попытку, подписавшись на сообщения сообщества</t>
  </si>
  <si>
    <t>338</t>
  </si>
  <si>
    <t>12:45</t>
  </si>
  <si>
    <t>Варвара, чтобы раскрыть предмет, вступите в нашу группу</t>
  </si>
  <si>
    <t>10.08.2020 12:45</t>
  </si>
  <si>
    <t>Работа в Курске</t>
  </si>
  <si>
    <t>12:43</t>
  </si>
  <si>
    <t>10.08.2020 12:49</t>
  </si>
  <si>
    <t>@EthicalSkeptic This makes fools of us all, exp. Fauci.
COVID-19: Mayo Clinic expert answers questions about masks ...
https://newsnetwork.mayoclinic.org/discussion/covid-19-mayo-clinic-expert-answers-questions-about-masks-after-cdc-updates-its-recommendation/
1/2</t>
  </si>
  <si>
    <t>KCTaz</t>
  </si>
  <si>
    <t>12:19</t>
  </si>
  <si>
    <t>10.08.2020 12:19</t>
  </si>
  <si>
    <t>Более 86% нижегородцев, заразившихся коронавирусом, выздоровели
21 615 пациентов с ранее подтвержденным диагнозом «COVID-19» выписаны
21 615 жителей Нижегородской области, то есть 86,4% от общего числа пациентов, у которых был подтвержден диагноз «COVID-19», уже здоровы. За выходные из больниц выписаны еще 394 человека.
По данным на 10 августа 2020 года, в регионе за сутки выявлено 120 случаев заражения коронавирусной инфекцией. Общее число жителей Нижегородской области с подтвержденным диагнозом «COVID-19» – 25 009 человек.
При этом менее 2 тысяч человек находятся на амбулаторном лечении, то есть болезнь у этих пациентов протекает бессимптомно или в легкой форме. Менее 1 тысячи человек лечатся в больницах, 111 человек находятся в обсерваторах.
На 10 августа в Нижегородской области 631 238 человек сдали тесты на коронавирус. Средний показатель тестирования вырос на 0,5% и составил 19 708 человек на 100 тысяч населения.
За последние сутки тесты сдал 3 561 житель региона, а в среднем за неделю охват составил 170,3 теста на 100 тысяч населения.
На территории Нижегородской области наибольшее количество тестов проводят лаборатории Центра гигиены и эпидемиологии, Приволжского исследовательского медицинского университета и ГБУЗ Нижегородской области «НОЦ СПИД». Кроме того, исследования организованы в Нижегородском областном клиническом противотуберкулезном диспансере, Нижегородском научно-исследовательском институте эпидемиологии и микробиологии им. академика И.Н. Блохиной, Приволжском окружном медицинском центре, Нижегородской инфекционной клинической больнице №2 и в инфекционной больнице №23, а также в ООО «АВК Мед», медицинском центре «Эксперт», клинике современных технологий «Садко» в Нижнем Новгороде, в двух лабораториях в Сарове и ООО «Коммерс групп НН» в Выксе. Кроме того, исследование биоматериала жителей Нижегородской области проводят НПФ «Хеликс» (Москва) и ООО «Лаборатория Гемотест» (Люберцы, Московская область).</t>
  </si>
  <si>
    <t>Районная газета "Наша жизнь" Ардатов</t>
  </si>
  <si>
    <t>12:13</t>
  </si>
  <si>
    <t>10.08.2020 12:13</t>
  </si>
  <si>
    <t>12:04</t>
  </si>
  <si>
    <t>10.08.2020 12:04</t>
  </si>
  <si>
    <t>ВНИМАНИЕ ПАЦИЕНТОВ
– это лучшая награда для врачей «Клиники Эксперт Ростов»!
⠀
Листайте карусель!
⠀
«Клиника с самыми лучшими врачами! Делал обследование желудка, думал, что язва (так мне говорили в нашей бюджетной больнице), тут же мне врачи поставили диагноз гастрит, назначили курс лечения, за 2 5 месяца все зажило, боли больше нет, ем и сплю спокойно. Доволен клиникой полностью.»
⠀
«Обратилась в эту клинику по причине нарушения работы щитовидной железы, прошла полностью обследование, проблему выявили очень быстро, а главное на ранней стадии, так что лечение обошлось совсем недорого, врачи сказали, что, если бы еще пару месяцев - так просто бы я не отделалась. Вывод один - заботьтесь о своем здоровье вовремя, а клинике респект.»
⠀
☎ 8(863) 309-11-29
www.mrtexpert.ru
rostov_admin@mrtexpert.ru
⏰ПН-ВС: 7:00-22:00
Ростов-на-Дону, ул. Красноармейская, д.262/122, пом.1
Лицензия: ЛО-61-01-006908</t>
  </si>
  <si>
    <t>Клиника Эксперт Ростов</t>
  </si>
  <si>
    <t>Ростовская область</t>
  </si>
  <si>
    <t>Ростов-на-Дону</t>
  </si>
  <si>
    <t>12:00</t>
  </si>
  <si>
    <t>10.08.2020 12:01</t>
  </si>
  <si>
    <t>11:35</t>
  </si>
  <si>
    <t>10.08.2020 12:03</t>
  </si>
  <si>
    <t>Суббота 15 августа 1. АКУШЕР-ГИНЕКОЛОГ, УЗИ Кирпичева И.А., Воронеж, Дорожная больница №2. 2. ГИНЕКОЛОГ-ЭНДОКРИНОЛОГ,</t>
  </si>
  <si>
    <t>Суббота 15 августа
1. АКУШЕР-ГИНЕКОЛОГ, УЗИ Кирпичева И.А., Воронеж, Дорожная больница №2.
2. ГИНЕКОЛОГ-ЭНДОКРИНОЛОГ, УЗИ Жукова Т.С., Тамбов. Медицинский центр «Пульс».
3. АКУШЕР-ГИНЕКОЛОГ, УЗИ Галенко Я.А., к.м.н., высшая категория. Новохоперская РБ.
4. ЭНДОКРИНОЛОГ Стороженко А.Н., Воронеж, к.м.н., первая категория. Воронежская областная детская клиническая больница.
5. ГАСТРОЭНТЕРОЛОГ Стукалова Л.В., Воронеж, высшая категория. Воронежская областная детская клиническая больница.
6. ХИРУРГ-УРОЛОГ, ПЕДИАТР Шестаков А.А., Воронеж, к.м.н., высшая категория. Воронежская областная детская клиническая больница.
7. КАРДИОЛОГ Полынцова Н.А. Воронеж. Поликлиника №1.
8. ТРАВМАТОЛОГ-ОРТОПЕД Сысовская А.В., Воронеж, Клиника «Эксперт».
9. ОТОРИНОЛАРИНГОЛОГ Федотова М.В. Воронеж, высшая категория. Клиника «Эксперт».
10. ОФТАЛЬМОЛОГ Перова Т.Ю. Воронеж. Воронежская офтальмологическая клиника.
11. ОНКОЛОГ Новокрещенов О.В. Воронеж. Поликлиника №1.
12. КАРДИОЛОГ, УЗИ Шурлаева М.В. Поворинская РБ.
13. ЭНДОСКОПИСТ Шевченко М.Н. Воронеж высшая категория. БУЗ ВО «ВГП №10».
Воскресенье 16 августа
1. ТРАВМАТОЛОГ-ОРТОПЕД Рябцев Ф.М. Воронеж. Воронежская областная детская клиническая больница №2.
2. ОТОРИНОЛАРИНГОЛОГ Пономарева А.Н., высшая категория, Новониколаевская ЦРБ.
3. КАРДИОЛОГ, УЗИ Холодченко Т.В., Воронеж. Высшая категория, медицинский центр «Детский доктор».
4. ГИНЕКОЛОГ-ЭНДОКРИНОЛОГ, УЗИ Жукова Т.С., Тамбов. Медицинский центр «Пульс».
5. ЭНДОКРИНОЛОГ Попова Н.С., Воронеж, высшая категория. «Клиника Эксперт».
6. УРОЛОГ, УЗИ Мельников Д.В. Воронеж. Областной противотуберкулезный диспансер.
7. ХИРУРГ Жукалина К.С., Воронеж. МЦ «Централ клиник».
8. ЭНДОСКОПИСТ Шевченко М.Н. Воронеж высшая категория. БУЗ ВО «ВГП №10».
☎Запись на приём: 8(47354)555-03.
Адрес: г. Борисоглебск, ул. Матросовская, 57</t>
  </si>
  <si>
    <t>Клиника Эксперт БСК</t>
  </si>
  <si>
    <t>ok.ru</t>
  </si>
  <si>
    <t>Ярославская область</t>
  </si>
  <si>
    <t>Тутаев</t>
  </si>
  <si>
    <t>10.08.2020 11:35</t>
  </si>
  <si>
    <t>Суббота 15 августа
1. АКУШЕР-ГИНЕКОЛОГ, УЗИ Кирпичева И.А., Воронеж, Дорожная больница №2.
2. ГИНЕКОЛОГ-ЭНДОКРИНОЛОГ, УЗИ Жукова Т.С., Тамбов. Медицинский центр «Пульс».
3. АКУШЕР-ГИНЕКОЛОГ, УЗИ Галенко Я.А., к.м.н., высшая категория. Новохоперская РБ.
4. ЭНДОКРИНОЛОГ Стороженко А.Н., Воронеж, к.м.н., первая категория. Воронежская областная детская клиническая больница.
5. ГАСТРОЭНТЕРОЛОГ Стукалова Л.В., Воронеж, высшая категория. Воронежская областная детская клиническая больница.
6. ХИРУРГ-УРОЛОГ, ПЕДИАТР Шестаков А.А., Воронеж, к.м.н., высшая категория. Воронежская областная детская клиническая больница.
7. КАРДИОЛОГ Полынцова Н.А. Воронеж. Поликлиника №1.
8. ТРАВМАТОЛОГ-ОРТОПЕД Сысовская А.В., Воронеж, Клиника «Эксперт».
9. ОТОРИНОЛАРИНГОЛОГ Федотова М.В. Воронеж, высшая категория. Клиника «Эксперт».
10. ОФТАЛЬМОЛОГ Перова Т.Ю. Воронеж. Воронежская офтальмологическая клиника.
11. ОНКОЛОГ Новокрещенов О.В. Воронеж. Поликлиника №1.
12. КАРДИОЛОГ, УЗИ Шурлаева М.В. Поворинская РБ.
13. ЭНДОСКОПИСТ Шевченко М.Н. Воронеж высшая категория. БУЗ ВО «ВГП №10».
Воскресенье 16 августа
1. ТРАВМАТОЛОГ-ОРТОПЕД Рябцев Ф.М. Воронеж. Воронежская областная детская клиническая больница №2.
2. ОТОРИНОЛАРИНГОЛОГ Пономарева А.Н., высшая категория, Новониколаевская ЦРБ.
3. КАРДИОЛОГ, УЗИ Холодченко Т.В., Воронеж. Высшая категория, медицинский центр «Детский доктор».
4. ГИНЕКОЛОГ-ЭНДОКРИНОЛОГ, УЗИ Жукова Т.С., Тамбов. Медицинский центр «Пульс».
5. ЭНДОКРИНОЛОГ Попова Н.С., Воронеж, высшая категория. «Клиника Эксперт».
6. УРОЛОГ, УЗИ Мельников Д.В. Воронеж. Областной противотуберкулезный диспансер.
7. ХИРУРГ Жукалина К.С., Воронеж. МЦ «Централ клиник».
8. ЭНДОСКОПИСТ Шевченко М.Н. Воронеж высшая категория. БУЗ ВО «ВГП №10».
☎Запись на приём: 8(47354)555-03.
Адрес: г. Борисоглебск, ул. Матросовская, 57</t>
  </si>
  <si>
    <t>КЛИНИКА ЭКСПЕРТ БСК</t>
  </si>
  <si>
    <t>Воронежская область</t>
  </si>
  <si>
    <t>Борисоглебск</t>
  </si>
  <si>
    <t>11:26</t>
  </si>
  <si>
    <t>10.08.2020 12:22</t>
  </si>
  <si>
    <t>ЧТО ТАКОЕ КОМПЬЮТЕРНАЯ ТОМОГРАФИЯ И ГДЕ ЕЁ МОЖНО СДЕЛАТЬ?
⠀
Что такое КТ? Это быстрый и точный способ диагностики, основанный на использовании рентгеновского излучения с минимальной лучевой нагрузкой. Метод компьютерной томографии (КТ) позволяет получать послойное изображение любой области тканей человеческого тела толщиной среза от 0,5 мм до 10 мм, всего за несколько минут.
Внимание! Диагностика доступна в городах: Воронеж, Иркутск, Курск, Мурманск, Пермь, Ростов-на-Дону, Тверь, Тула, Хабаровск.; пациентам в других городах мы проводим МРТ и другие методы лучевой диагностики.
⠀
Обследование методом КТ выдает лучшую контрастность в изображении мягких тканей по сравнению с рентгеновским методом исследования.
⠀
Метод КТ широко применяется в медицине и позволяет проводить качественные исследования практически всего человеческого тела. Особая уникальность метода компьютерной томографии (КТ) состоит в возможности исследования полых органов - например, легких, желудка и кишечника. Также при проведении компьютерной диагностики прекрасно видны костные структуры. Это – одно из главных отличий КТ от МРТ и УЗИ.
⠀
Вы выбираете – в каком диагностическом центре лучше пройти КТ и ищите отзывы? Компьютерная томография в многофункциональных медицинских центрах «Клиника Эксперт» выполняется по предварительной записи, на шестнадцатисрезовом или шестидесятичетырёхсрезовом компьютерном томографе (в зависимости от города) компании Philips, Siemens и Toshiba с 30% сниженной лучевой нагрузкой на пациента. Будем рады вам помочь!
#ГКЭксперт #мртэксперт #КлиникаЭксперт #кт #мрт #узи #компьютернаятомонрафия</t>
  </si>
  <si>
    <t>МРТ Эксперт и Клиника Эксперт</t>
  </si>
  <si>
    <t>11:23</t>
  </si>
  <si>
    <t>10.08.2020 12:25</t>
  </si>
  <si>
    <t>8 августа КЛИНИКЕ ЭКСПЕРТ ТУЛА как полноценному многофункциональному клинико-диагностическому центру исполнилось три</t>
  </si>
  <si>
    <t>8 августа КЛИНИКЕ ЭКСПЕРТ ТУЛА как полноценному многофункциональному клинико-диагностическому центру исполнилось три года. 
Сегодня это частное медучреждение, оснащенное современным оборудованием по «золотому стандарту» диагностики, с детским и взрослым отделением и дневным стационаром. 
https://myslo.ru/news/company/2020-08-07-s-dnem-rozhdeniya-klinika-ekspert-tula
​С днем рождения, КЛИНИКА ЭКСПЕРТ ТУЛА!
Только за последний год на прием к врачам клиники пришли более 40 тысяч туляков и жителей области и соседних регионов, включая Московскую область.
https://myslo.ru/news/company/2020-08-07-s-dnem-rozhdeniya-klinika-ekspert-tula</t>
  </si>
  <si>
    <t>MySLO.ru l Слобода l Новости Тулы</t>
  </si>
  <si>
    <t>Тульская область</t>
  </si>
  <si>
    <t>Тула</t>
  </si>
  <si>
    <t>10.08.2020 11:24</t>
  </si>
  <si>
    <t>8 августа КЛИНИКЕ ЭКСПЕРТ ТУЛА как полноценному многофункциональному клинико-диагностическому центру исполнилось три года.
Сегодня это частное медучреждение, оснащенное современным оборудованием по «золотому стандарту» диагностики, с детским и взрослым отделением и дневным стационаром.
​С Днем Рождения КЛИНИКА ЭКСПЕРТ ТУЛА!
https://myslo.ru/news/company/2020-08-07-s-dnem-rozhdeniya-klinika-ekspert-tula</t>
  </si>
  <si>
    <t>MySLO | Слобода</t>
  </si>
  <si>
    <t>11:15</t>
  </si>
  <si>
    <t>10.08.2020 12:53</t>
  </si>
  <si>
    <t>Networking: БИЗНЕС &amp; ОБЩЕНИЕ 5.0</t>
  </si>
  <si>
    <t>Networking: БИЗНЕС &amp; ОБЩЕНИЕ 5.0
NETWORKING снова в оффлайн. 
28 июля в отеле Marriott Krasnodar в зале «Екатеринодар» прошел «NETWORKING: бизнес &amp; общение»
Бизнес-встреча была посвящена выходу в оффлайн и новым реалиям.
Хэдлайнеры мероприятия выступили с актуальными темами и поделились своим послекарантийным опытом.
Дударев Мурат Владимирович, заместитель председателя Краснодарского краевого отделения "Опора России ", Член Общественной палаты Краснодарского края выступил с темой: «Правильное привлечение инвестиций: позиционирование инвестиционных идей".
Пташник Иван Андреевич, руководитель отдела по работе с премиальными клиентами компании  «БКС премьер» , генерального партнёра мероприятия выступил с интересной темой, о финансах и инвестициях.
Секреты медленного и красивого взросления раскрыла Елена Андреевна Брюхнова - директор Эксперт-Клиники «Триера».
Напомнить о том, что здоровый сон является ключевым фактором успешного бизнеса, помогла Горбатовская Яна —торговый директор представительства LeomAx International Краснодар. 
Завершила мероприятие Реджина МИР — эксперт в области SMM и лидер по созданию и продвижению личного  бренда в социальных сетях.
50 гостей на кофе-брейке смогли пообщаться, познакомиться и извлечь новые связи для дальнейшей работы, а так же оставили свои положительные отзывы.
Шестой нетворкинг планируется в августе, присоединяйтесь
Полный фотоотчет на www.geopro.ru
Организаторы проекта www.eventbest.ru</t>
  </si>
  <si>
    <t>Natali Temurcheva</t>
  </si>
  <si>
    <t>youtube.com</t>
  </si>
  <si>
    <t>11:13</t>
  </si>
  <si>
    <t>10.08.2020 11:13</t>
  </si>
  <si>
    <t>Евгений, угадайте, где приз  Дарим ещё 2 попытки.</t>
  </si>
  <si>
    <t>11:00</t>
  </si>
  <si>
    <t>10.08.2020 11:00</t>
  </si>
  <si>
    <t>Более 86% нижегородцев, заразившихся коронавирусом, выздоровели
21 615 жителей Нижегородской области, то есть 86,4% от общего числа пациентов, у которых был подтвержден диагноз «COVID-19», уже здоровы. За выходные из больниц выписаны еще 394 человека.
По данным на 10 августа 2020 года, в регионе за сутки выявлено 120 случаев заражения коронавирусной инфекцией. Общее число жителей Нижегородской области с подтвержденным диагнозом «COVID-19» – 25 009 человек.
При этом менее 2 тысяч человек находятся на амбулаторном лечении, то есть болезнь у этих пациентов протекает бессимптомно или в легкой форме. Менее 1 тысячи человек лечатся в больницах, 111 человек находятся в обсерваторах.
На 10 августа в Нижегородской области 631 238 человек сдали тесты на коронавирус. Средний показатель тестирования вырос на 0,5% и составил 19 708 человек на 100 тысяч населения.
За последние сутки тесты сдал 3 561 житель региона, а в среднем за неделю охват составил 170,3 теста на 100 тысяч населения.
На территории Нижегородской области наибольшее количество тестов проводят лаборатории Центра гигиены и эпидемиологии, Приволжского исследовательского медицинского университета и ГБУЗ Нижегородской области «НОЦ СПИД». Кроме того, исследования организованы в Нижегородском областном клиническом противотуберкулезном диспансере, Нижегородском научно-исследовательском институте эпидемиологии и микробиологии им. академика И.Н. Блохиной, Приволжском окружном медицинском центре, Нижегородской инфекционной клинической больнице №2 и в инфекционной больнице №23, а также в ООО «АВК Мед», медицинском центре «Эксперт», клинике современных технологий «Садко» в Нижнем Новгороде, в двух лабораториях в Сарове и ООО «Коммерс групп НН» в Выксе. Кроме того, исследование биоматериала жителей Нижегородской области проводят НПФ «Хеликс» (Москва) и ООО «Лаборатория Гемотест» (Люберцы, Московская область).</t>
  </si>
  <si>
    <t>Администрация города Дзержинска</t>
  </si>
  <si>
    <t>Дзержинск</t>
  </si>
  <si>
    <t>10:57</t>
  </si>
  <si>
    <t>10.08.2020 10:57</t>
  </si>
  <si>
    <t>Более 86% нижегородцев, заразившихся коронавирусом, выздоровели.
21 615 пациентов с ранее подтвержденным диагнозом «COVID-19» выписаны.
21 615 жителей Нижегородской области, то есть 86,4% от общего числа пациентов, у которых был подтвержден диагноз «COVID-19», уже здоровы. За выходные из больниц выписаны еще 394 человека.
По данным на 10 августа 2020 года, в регионе за сутки выявлено 120 случаев заражения коронавирусной инфекцией. Общее число жителей Нижегородской области с подтвержденным диагнозом «COVID-19» – 25 009 человек.
При этом менее 2 тысяч человек находятся на амбулаторном лечении, то есть болезнь у этих пациентов протекает бессимптомно или в легкой форме. Менее 1 тысячи человек лечатся в больницах, 111 человек находятся в обсерваторах.
На 10 августа в Нижегородской области 631 238 человек сдали тесты на коронавирус. Средний показатель тестирования вырос на 0,5% и составил 19 708 человек на 100 тысяч населения.
За последние сутки тесты сдал 3 561 житель региона, а в среднем за неделю охват составил 170,3 теста на 100 тысяч населения.
На территории Нижегородской области наибольшее количество тестов проводят лаборатории Центра гигиены и эпидемиологии, Приволжского исследовательского медицинского университета и ГБУЗ Нижегородской области «НОЦ СПИД». Кроме того, исследования организованы в Нижегородском областном клиническом противотуберкулезном диспансере, Нижегородском научно-исследовательском институте эпидемиологии и микробиологии им. академика И.Н. Блохиной, Приволжском окружном медицинском центре, Нижегородской инфекционной клинической больнице №2 и в инфекционной больнице №23, а также в ООО «АВК Мед», медицинском центре «Эксперт», клинике современных технологий «Садко» в Нижнем Новгороде, в двух лабораториях в Сарове и ООО «Коммерс групп НН» в Выксе. Кроме того, исследование биоматериала жителей Нижегородской области проводят НПФ «Хеликс» (Москва) и ООО «Лаборатория Гемотест» (Люберцы, Московская область).
Пресс-служба губернатора и
правительства Нижегородской области</t>
  </si>
  <si>
    <t>Городской Округ город Кулебаки</t>
  </si>
  <si>
    <t>10:55</t>
  </si>
  <si>
    <t>10.08.2020 12:27</t>
  </si>
  <si>
    <t>Занятие "Внутренний конфликт - или причина НЕ здоровья в нашей голове" в рамках проекта Velyka Krasa Krainy проводит рефлексотерапевт, ведущий эксперт медицинского центра  Espina  Александр Решетняк
Руководитель медицинского центра ЭСПИНА Мария Голуб отметила, что все участницы проекта смогут получить консультацию специалистов центра. 
#velykakrasakrainy #vkk_kharkiv #великакрасакраїни #kharkiv #kharkov #plussizefashion #plussize #plussizemodels #motivation #project #girl #women #image_kh</t>
  </si>
  <si>
    <t>Александр Решетняк</t>
  </si>
  <si>
    <t>facebook.com</t>
  </si>
  <si>
    <t>Украина</t>
  </si>
  <si>
    <t>Харьковская область</t>
  </si>
  <si>
    <t>Харьков</t>
  </si>
  <si>
    <t>10:46</t>
  </si>
  <si>
    <t>10.08.2020 10:46</t>
  </si>
  <si>
    <t>‍⚕‍⚕Одна из базовых ценностей наших специалистов в клинике Эксперт - помочь найти решение каждому пациенту. А еще мы</t>
  </si>
  <si>
    <t>"Хочу МРТ"</t>
  </si>
  <si>
    <t>Евгения Ибрагимова</t>
  </si>
  <si>
    <t>Клиника Эксперт Пермь</t>
  </si>
  <si>
    <t>Пермский край</t>
  </si>
  <si>
    <t>Пермь</t>
  </si>
  <si>
    <t>10:44</t>
  </si>
  <si>
    <t>21 615 жителей Нижегородской области, то есть 86,4% от общего числа пациентов, у которых был подтвержден диагноз</t>
  </si>
  <si>
    <t>21 615 жителей Нижегородской области, то есть 86,4% от общего числа пациентов, у которых был подтвержден диагноз «COVID-19», уже здоровы. За выходные из больниц выписаны еще 394 человека. 
По данным на 10 августа 2020 года, в регионе за сутки выявлено 120 случаев заражения коронавирусной инфекцией. Общее число жителей Нижегородской области с подтвержденным диагнозом «COVID-19» – 25 009 человек. 
При этом менее 2 тысяч человек находятся на амбулаторном лечении, то есть болезнь у этих пациентов протекает бессимптомно или в легкой форме. Менее 1 тысячи человек лечатся в больницах, 111 человек находятся в обсерваторах. 
На 10 августа в Нижегородской области 631 238 человек сдали тесты на коронавирус. Средний показатель тестирования вырос на 0,5% и составил 19 708 человек на 100 тысяч населения. 
За последние сутки тесты сдал 3 561 житель региона, а в среднем за неделю охват составил 170,3 теста на 100 тысяч населения. 
На территории Нижегородской области наибольшее количество тестов проводят лаборатории Центра гигиены и эпидемиологии, Приволжского исследовательского медицинского университета и ГБУЗ Нижегородской области «НОЦ СПИД». Кроме того, исследования организованы в Нижегородском областном клиническом противотуберкулезном диспансере, Нижегородском научно-исследовательском институте эпидемиологии и микробиологии им. академика И.Н. Блохиной, Приволжском окружном медицинском центре, Нижегородской инфекционной клинической больнице №2 и в инфекционной больнице №23, а также в ООО «АВК Мед», медицинском центре «Эксперт», клинике современных технологий «Садко» в Нижнем Новгороде, в двух лабораториях в Сарове и ООО «Коммерс групп НН» в Выксе. Кроме того, исследование биоматериала жителей Нижегородской области проводят НПФ «Хеликс» (Москва) и ООО «Лаборатория Гемотест» (Люберцы, Московская область).
Пресс-служба губернатора и правительства Нижегородской области</t>
  </si>
  <si>
    <t>Районная газета Сельская новь</t>
  </si>
  <si>
    <t>10:43</t>
  </si>
  <si>
    <t>10.08.2020 10:43</t>
  </si>
  <si>
    <t>Редакция газеты Сельская новь</t>
  </si>
  <si>
    <t>Карантин, который ввели многие страны мира, в том числе и Украина, в связи с распространением коронавируса, не остановил инфекцию. Вакцины пока нет и, видимо, в скором времени не будет. Большинство людей переболеет COVID-19.   Об этом в Facebook пишет врач львовского медицинского центра, медицинский эксперт Тарас Жиравецкий.   «Больницы, которые принимают пациентов с коронавирусом, полные. Врачи уставшие, часть болеет. К сожалению, никто не придумал профилактики, а карантин не остановил вирус. Похоже, что большинство из нас переболеет этим вирусом», — отмечает медик.   По его словам, врачи учатся на ходу и сейчас специалисты уже понимают, как лечить от коронавируса детей и подростков, у которых осложнений меньше, и как оказывать помощь людям за 30, находящимся в зоне риска попасть в стационар.   Медик отметил, что до сих пор самым быстрым и достоверным лабораторным методом диагностики COVID-19 является ПЦР-тест, а ИФА-тесты срабатывают только с седьмого дня заболевания. Кроме этого, антитела к коронавирусу у многих переболевших им не исчезают в течение нескольких месяцев.   «Продолжительность пандемии до сих пор неизвестна, прогноз минимум полгода, хотя, возможно, и год. Позитив в том,..</t>
  </si>
  <si>
    <t>«Факты и комментарии»</t>
  </si>
  <si>
    <t>10:42</t>
  </si>
  <si>
    <t>10.08.2020 10:42</t>
  </si>
  <si>
    <t>Знамя-Труда Знамя-Труда</t>
  </si>
  <si>
    <t>Шахунья</t>
  </si>
  <si>
    <t>09:58</t>
  </si>
  <si>
    <t>10.08.2020 09:59</t>
  </si>
  <si>
    <t>Читать далее
С Днем Рождения КЛИНИКА ЭКСПЕРТ ТУЛА!
Статья
https://m.vk.com/@zarechenskij_rajon_tula-rss-570615008-870722416</t>
  </si>
  <si>
    <t>Зареченский район | Тула</t>
  </si>
  <si>
    <t>09:55</t>
  </si>
  <si>
    <t>10.08.2020 09:55</t>
  </si>
  <si>
    <t>Читать далее
С Днем Рождения КЛИНИКА ЭКСПЕРТ ТУЛА!
Статья
https://m.vk.com/@centralnyj_rajon_tula-rss-570615008-870722416</t>
  </si>
  <si>
    <t>Центральный район | Тула</t>
  </si>
  <si>
    <t>09:53</t>
  </si>
  <si>
    <t>10.08.2020 09:53</t>
  </si>
  <si>
    <t>Читать далее
С Днем Рождения КЛИНИКА ЭКСПЕРТ ТУЛА!
Статья
https://m.vk.com/@privokzalnyj_rajon_tula-rss-570615008-870722416</t>
  </si>
  <si>
    <t>Привокзальный район | Тула</t>
  </si>
  <si>
    <t>09:52</t>
  </si>
  <si>
    <t>10.08.2020 09:52</t>
  </si>
  <si>
    <t>Читать далее
С Днем Рождения КЛИНИКА ЭКСПЕРТ ТУЛА!
Статья
https://m.vk.com/@sovetskij_rajon_tula-rss-570615008-870722416</t>
  </si>
  <si>
    <t>Советский район | Тула</t>
  </si>
  <si>
    <t>09:51</t>
  </si>
  <si>
    <t>Читать далее
С Днем Рождения КЛИНИКА ЭКСПЕРТ ТУЛА!
Статья
https://m.vk.com/@tula_rajony-rss-570615008-870722416</t>
  </si>
  <si>
    <t>Тула | Районы Тулы</t>
  </si>
  <si>
    <t>10.08.2020 09:51</t>
  </si>
  <si>
    <t>Читать далее
С Днем Рождения КЛИНИКА ЭКСПЕРТ ТУЛА!
Статья
https://m.vk.com/@proletarskij_rajon_tula-rss-570615008-870722416</t>
  </si>
  <si>
    <t>Пролетарский район | Тула</t>
  </si>
  <si>
    <t>09:32</t>
  </si>
  <si>
    <t>10.08.2020 09:33</t>
  </si>
  <si>
    <t>Valeriya, вы уже выиграли в этом конкурсе  Свяжитесь с нами, чтобы получить приз</t>
  </si>
  <si>
    <t>355</t>
  </si>
  <si>
    <t>Valeriya Voronina</t>
  </si>
  <si>
    <t>Курская область</t>
  </si>
  <si>
    <t>Курск</t>
  </si>
  <si>
    <t>09:30</t>
  </si>
  <si>
    <t>10.08.2020 14:04</t>
  </si>
  <si>
    <t>Больницы переполнены, медики устали: врач дал прогноз по развитию COVID-19 в Украине</t>
  </si>
  <si>
    <t>Массовая заболеваемость коронавирусом, а также отсутствие лекарств и вакцины от него пугает жителей Украины и вообще всего мира. В то же время позитивом является то, что человечество, сплотившись, сможет победить пандемию.     Читайте только лучшее: подпишитесь на Telegram-канал «Барометр».   В этом убежден врач львовского медицинского центра, медицинский эксперт Тарас Жиравецький. На своей странице в Facebook он написал 20 тезисов о ситуации с COVID-19.   — «Больницы, которые принимают пациентов с коронавирусом, полные. Врачи уставшие, часть болеет. К сожалению, никто не придумал профилактики, а карантин не остановил вирус. Похоже, что большинство из нас переболеет этим вирусом», – отметил он.   Медик подчеркнул, что вакцина от COVID-19 пока не разработана и, вероятно, не будет так быстро внедрена.   Однако сейчас специалисты уже понимают, что, например, лечение от коронавируса для детей и подростков является простым, осложнений у них значительно меньше. Тогда как инфицированные, которые старше 30 лет, находятся в в зоне риска попасть в стационар.   — «Симптомов много, но высокая температура, боль в мышцах, боль в горле, исчезновение обоняния, кашель являются наиболее частыми. Компьютерная томография очень помична для диагностики в отличие от рентгена. У большинства пациентов поражение легких по типу» матового стекла. Для лечения мы используем антибиотики, противовирусные, жаропонижающие, стероидные гормоны, а в крайнем случае биолоджикы «, – добавил Жиравецький   В мире до сих пор не изобрели вакцину от COVID-19   Он отметил, что до сих пор самым быстрым и достоверным лабораторным методом диагностики COVID-19 является ПЦР-тест, а ИФА-тесты срабатывают только с 7 дня заболевания. Кроме этого, антитела к коронавируса у многих, кто переболел им, не исчезают в течение нескольких месяцев.   — «Продолжительность пандемии до сих пор неизвестна, прогноз минимум полгода, хотя возможно и год. Позитив в том, что повторно заболевших пока нет», – подчеркнул медик.   Жиравецький обратил внимание и на тот факт, что ПЦР-тест будет положительным до 15-16 дня от начала заболевания у многих пациентов, даже при отсутствии симптомов болезни. В то же время многим, кто поборол COVID-19, потребуется реабилитация.   — «Положительным является то, что человечество победит коронавирус, единственное что борьба продолжается, а нам нужна взаимная поддержка. Вместе мы победим. И пожалейте медиков, старайтесь уменьшить риск своего же инфицирования, подумайте о себе, вы этого достойны и все в ваших руках, точнее, в голове! » – подытожил Жиравецький.     Читайте только лучшее: подпишитесь на Telegram-канал "Барометр".</t>
  </si>
  <si>
    <t>Барометр Южноукраинска</t>
  </si>
  <si>
    <t>barometr.info</t>
  </si>
  <si>
    <t>СМИ</t>
  </si>
  <si>
    <t>09:19</t>
  </si>
  <si>
    <t>10.08.2020 09:19</t>
  </si>
  <si>
    <t>Марианна, возвращайтесь и испытайте удачу снова  У вас есть ещё 2 попытки.</t>
  </si>
  <si>
    <t>09:07</t>
  </si>
  <si>
    <t>10.08.2020 09:07</t>
  </si>
  <si>
    <t>Ольга, в этот раз промах. Приза тут нет.
Осталось 8 призов  
 Не удалось проверить наличие репоста, чтобы добавить ещё 2 попытки. Проверьте настройки приватности.</t>
  </si>
  <si>
    <t>255</t>
  </si>
  <si>
    <t>Ольга Куличенко</t>
  </si>
  <si>
    <t>Архангельская область</t>
  </si>
  <si>
    <t>Северодвинск</t>
  </si>
  <si>
    <t>08:56</t>
  </si>
  <si>
    <t>10.08.2020 08:56</t>
  </si>
  <si>
    <t>Ольга, вы можете попробовать еще раз через 2 минуты ⏳</t>
  </si>
  <si>
    <t>08:53</t>
  </si>
  <si>
    <t>10.08.2020 08:53</t>
  </si>
  <si>
    <t>Ольга, приза нет. Но не стоит расстраиваться.
Вы можете раскрыть ещё 1 предмет.
Осталось 8 призов  
Получите ещё 1 попытку, подписавшись на сообщения сообщества</t>
  </si>
  <si>
    <t>281</t>
  </si>
  <si>
    <t>08:27</t>
  </si>
  <si>
    <t>10.08.2020 08:27</t>
  </si>
  <si>
    <t>Юлия, возвращайтесь и испытайте удачу снова  У вас есть ещё 2 попытки.</t>
  </si>
  <si>
    <t>08:12</t>
  </si>
  <si>
    <t>10.08.2020 08:12</t>
  </si>
  <si>
    <t>Мханна Хусам Магомедович - врач уролог-андролог клиники ЭКСПЕРТ ⠀ Опыт работы - более 8 лет ✔️ Соискатель на ученую</t>
  </si>
  <si>
    <t>Этот муролог - настоящий профессиАнал! Он был любимым учеником профессора в ординатуре по урологии. Профессор обучал его массажу простаты на нем самом! Ставил раком и учил в задний проход. Иногда тем пальцем, который между ног висит. Хусаму Магомедовичу было очень больно, из ануса сильно текло, но он очень хотел стать настоящим профессиАналом, и потому только храбрее раздвигал свои ягодицы! К себе на прием он ждет столь же передовых мущщин, как он сам!</t>
  </si>
  <si>
    <t>Андрей Емельянов-Хальген</t>
  </si>
  <si>
    <t>Клиника ЭКСПЕРТ | Петроградский район</t>
  </si>
  <si>
    <t>Санкт-Петербург</t>
  </si>
  <si>
    <t>07:20</t>
  </si>
  <si>
    <t>10.08.2020 07:56</t>
  </si>
  <si>
    <t>Есть вопрос по грудному вскармливанию или связанными с ним «женскими» проблемами со здоровьем? ‍⚕Задайте их эксперту</t>
  </si>
  <si>
    <t>Есть вопрос по грудному вскармливанию или связанными с ним «женскими» проблемами со здоровьем?
‍⚕Задайте их эксперту клиники «Источник», акушеру-гинекологу, врачу ультразвуковой диагностики, консультанту по грудному вскармливанию Марии Михайловне Дружковой прямо сейчас!
Доктор ответит на них в прямом эфире в нашем инстаграм-аккаунте 10 августа в 15:00. Присоединяйтесь по ссылке https://www.instagram.com/istochnik_chelyabinsk/
Также к эфиру подключатся наши партнеры: компания «Фабрика облаков» https://www.instagram.com/fabrikaoblakov.ru/ и официальный производитель кокона "Зевушка» https://www.instagram.com/zevushka.official/.
☝Свои вопросы участникам эфира пишите в комментариях к этому посту или же в сторис нашего инстаграм-аккаунта.
#клиникаисточник #грудноевскармливание #консультантпоГВ #консультантпоГВЧелябинск</t>
  </si>
  <si>
    <t>"ИСТОЧНИК" -  клиника, которую рекомендуют!</t>
  </si>
  <si>
    <t>Челябинская область</t>
  </si>
  <si>
    <t>Челябинск</t>
  </si>
  <si>
    <t>07:19</t>
  </si>
  <si>
    <t>10.08.2020 07:19</t>
  </si>
  <si>
    <t>Кристина, возвращайтесь и испытайте удачу снова  У вас есть ещё 2 попытки.</t>
  </si>
  <si>
    <t>07:00</t>
  </si>
  <si>
    <t>10.08.2020 15:09</t>
  </si>
  <si>
    <t>‍♀️เมื่ออายุมากขึ้น ไขมันบนใบหน้าจะฝ่อตัวลง 
อีกทั้งคอลลาเจน อิลาสติน 
ก็จะลดขนาดและจำนวนลงด้วย 
ซึ่งมีผลทำให้ทุกส่วนของใบหน้าแฟ้บลง 
รวมไปถึงริมฝีปากด้วยค่ะ
.
.
#ปัญหาริมฝีปากเล็กแฟบสามารถแก้ไขได้ด้วยฟิลเลอร์
.
.
ที่นารดาคลินิกเรามีบริการฉีดฟิลเลอร์
เติมเต็มริมฝีปากเพื่อช่วยให้ปากดูอวบอิ่ม สุขภาพดี
ที่สำคัญยังทำให้หน้าของเราดูเด็กลงด้วยนะคะ
#นารดาคลินิกยินดีให้คำแนะนำสำหรับลูกค้าในทุกโปรแกรม
#พร้อมติดตามผลอย่างใกล้ชิดทุกเคส
❤ ❤ ❤ ❤ ❤ ❤ ❤ ❤ ❤ ❤ ❤ ❤ ❤ ❤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
‍♀️เมื่ออายุมากขึ้น ไขมันบนใบหน้าจะฝ่อตัวลง 
อีกทั้งคอลลาเจน อิลาสติน 
ก็จะลดขนาดและจำนวนลงด้วย 
ซึ่งมีผลทำให้ทุกส่วนของใบหน้าแฟ้บลง 
รวมไปถึงริมฝีปากด้วยค่ะ
.
.
#ปัญหาริมฝีปากเล็กแฟบสามารถแก้ไขได้ด้วยฟิลเลอร์
.
.
ที่นารดาคลินิกเรามีบริการฉีดฟิลเลอร์
เติมเต็มริมฝีปากเพื่อช่วยให้ปากดูอวบอิ่ม สุขภาพดี
ที่สำคัญยังทำให้หน้าของเราดูเด็กลงด้วยนะคะ
#นารดาคลินิกยินดีให้คำแนะนำสำหรับลูกค้าในทุกโปรแกรม
#พร้อมติดตามผลอย่างใกล้ชิดทุกเคส
❤ ❤ ❤ ❤ ❤ ❤ ❤ ❤ ❤ ❤ ❤ ❤ ❤ ❤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
https://www.facebook.com/NaradaTeam/photos/a.568393426606903/3055839387862282/?type=3</t>
  </si>
  <si>
    <t>Narada Clinic คลินิกความงามเชียงใหม่</t>
  </si>
  <si>
    <t>Таиланд</t>
  </si>
  <si>
    <t>Чиангмай</t>
  </si>
  <si>
    <t>06:56</t>
  </si>
  <si>
    <t>10.08.2020 06:56</t>
  </si>
  <si>
    <t>Алиса, возвращайтесь и испытайте удачу снова  У вас есть ещё 1 попытка.</t>
  </si>
  <si>
    <t>06:44</t>
  </si>
  <si>
    <t>10.08.2020 07:04</t>
  </si>
  <si>
    <t>❗18 августа в Женской консультации "ЛеО" в г.Прокопьевске состоятся выездные приемы пациентов с проблемами бесплодия</t>
  </si>
  <si>
    <t>❗18 августа в Женской консультации "ЛеО" в г.Прокопьевске состоятся выездные приемы пациентов с проблемами бесплодия врачом гинекологом-репродуктологом клиники семейного здоровья «Эксперт».
‍⚕Комплексный консультативный прием и УЗИ обследование ведет кандидат медицинских наук, врач гинеколог-репродуктолог, Маркдорф Аркадий Геннадьевич.
✅Диагностика и лечение бесплодия
✅Подготовка к ЭКО на базе новокузнецкой клиники "Эксперт"
Прием проводится по предварительной записи
Женская консультация "ЛеО" :г. Прокопьевск, пр.Строителей, 57а, тел.: 8 (3846) 65-02-02, 65-01-10, 8-960-902-05-55
https://leonet.ru/about/news/141058/
#Новости_Лео</t>
  </si>
  <si>
    <t>ЛеО — Журнал</t>
  </si>
  <si>
    <t>Томская область</t>
  </si>
  <si>
    <t>Прокоп</t>
  </si>
  <si>
    <t>06:43</t>
  </si>
  <si>
    <t>10.08.2020 06:44</t>
  </si>
  <si>
    <t>❗18 августа в Женской консультации "ЛеО" в г.Прокопьевске состоятся выездные приемы пациентов с проблемами бесплодия врачом гинекологом-репродуктологом клиники семейного здоровья «Эксперт».
‍⚕Комплексный консультативный прием и УЗИ обследование ведет кандидат медицинских наук, врач гинеколог-репродуктолог, Маркдорф Аркадий Геннадьевич.
✅Диагностика и лечение бесплодия
✅Подготовка к ЭКО на базе новокузнецкой клиники "Эксперт"
Прием проводится по предварительной записи
Женская консультация "ЛеО" :г. Прокопьевск, пр.Строителей, 57а, тел.: 8 (3846) 65-02-02, 65-01-10, 8-960-902-05-55
https://leonet.ru/about/news/141058/
#Новости_Лео
18 августа - приём врача-репродуктолога в Прокопьевске
Новости
https://leonet.ru/about/news/141058/</t>
  </si>
  <si>
    <t>Кемеровская область</t>
  </si>
  <si>
    <t>Прокопьевск</t>
  </si>
  <si>
    <t>06:29</t>
  </si>
  <si>
    <t>10.08.2020 06:29</t>
  </si>
  <si>
    <t>06:27</t>
  </si>
  <si>
    <t>10.08.2020 06:27</t>
  </si>
  <si>
    <t>06:13</t>
  </si>
  <si>
    <t>10.08.2020 06:13</t>
  </si>
  <si>
    <t>Евгений, приза нет. Но не стоит расстраиваться.
Осталось 8 призов  
Получите ещё 1 попытку, подписавшись на сообщения сообщества</t>
  </si>
  <si>
    <t>82</t>
  </si>
  <si>
    <t>Евгений Шатный</t>
  </si>
  <si>
    <t>Евгений, тут уже проверил другой участник 
Выберите другой номер ➡ activebot.ru/c/zL1Na6BKR
Осталось 8 призов.
 Не удалось проверить наличие репоста, чтобы добавить ещё 2 попытки. Проверьте настройки приватности.</t>
  </si>
  <si>
    <t>243</t>
  </si>
  <si>
    <t>06:10</t>
  </si>
  <si>
    <t>10.08.2020 06:10</t>
  </si>
  <si>
    <t>Евгений, возвращайтесь и испытайте удачу снова  У вас есть ещё 1 попытка.</t>
  </si>
  <si>
    <t>05:55</t>
  </si>
  <si>
    <t>10.08.2020 05:55</t>
  </si>
  <si>
    <t>Евгений, не угадали. Но это не повод грустить.
Вы можете раскрыть ещё 1 предмет.
Осталось 8 призов  
Получите ещё 1 попытку, подписавшись на сообщения сообщества</t>
  </si>
  <si>
    <t>05:54</t>
  </si>
  <si>
    <t>224</t>
  </si>
  <si>
    <t>05:49</t>
  </si>
  <si>
    <t>10.08.2020 05:49</t>
  </si>
  <si>
    <t>Евгений, вы можете попробовать еще раз через 3 минуты 53 секунды ⏳</t>
  </si>
  <si>
    <t>293</t>
  </si>
  <si>
    <t>05:48</t>
  </si>
  <si>
    <t>10.08.2020 05:48</t>
  </si>
  <si>
    <t>Евгений, вы можете попробовать еще раз через 4 минуты 36 секунд ⏳</t>
  </si>
  <si>
    <t>05:47</t>
  </si>
  <si>
    <t>Евгений, не угадали. Но это не повод грустить.
Вы можете раскрыть ещё 2 предмета.
Осталось 8 призов  
 Не удалось проверить наличие репоста, чтобы добавить ещё 2 попытки. Проверьте настройки приватности.</t>
  </si>
  <si>
    <t>210</t>
  </si>
  <si>
    <t>05:46</t>
  </si>
  <si>
    <t>10.08.2020 05:46</t>
  </si>
  <si>
    <t>Евгений, чтобы раскрыть предмет, вступите в нашу группу</t>
  </si>
  <si>
    <t>198</t>
  </si>
  <si>
    <t>05:37</t>
  </si>
  <si>
    <t>10.08.2020 05:37</t>
  </si>
  <si>
    <t>05:29</t>
  </si>
  <si>
    <t>10.08.2020 05:29</t>
  </si>
  <si>
    <t>Марианна, угадайте, где приз  Дарим ещё 2 попытки.</t>
  </si>
  <si>
    <t>05:19</t>
  </si>
  <si>
    <t>10.08.2020 05:19</t>
  </si>
  <si>
    <t>04:56</t>
  </si>
  <si>
    <t>10.08.2020 04:56</t>
  </si>
  <si>
    <t>04:37</t>
  </si>
  <si>
    <t>10.08.2020 04:37</t>
  </si>
  <si>
    <t>Юлия, угадайте, где приз  Дарим ещё 2 попытки.</t>
  </si>
  <si>
    <t>04:29</t>
  </si>
  <si>
    <t>10.08.2020 04:29</t>
  </si>
  <si>
    <t>04:12</t>
  </si>
  <si>
    <t>10.08.2020 04:12</t>
  </si>
  <si>
    <t>04:06</t>
  </si>
  <si>
    <t>10.08.2020 04:06</t>
  </si>
  <si>
    <t>03:51</t>
  </si>
  <si>
    <t>10.08.2020 03:52</t>
  </si>
  <si>
    <t>Алиса, не угадали. Но это не повод грустить.
Вы можете раскрыть ещё 1 предмет.
Осталось 8 призов  
 Не удалось проверить наличие репоста, чтобы добавить ещё 2 попытки. Проверьте настройки приватности.</t>
  </si>
  <si>
    <t>176</t>
  </si>
  <si>
    <t>Алиса Малыхина</t>
  </si>
  <si>
    <t>Москва</t>
  </si>
  <si>
    <t>03:29</t>
  </si>
  <si>
    <t>10.08.2020 03:29</t>
  </si>
  <si>
    <t>Кристина, угадайте, где приз  Дарим ещё 2 попытки.</t>
  </si>
  <si>
    <t>03:00</t>
  </si>
  <si>
    <t>10.08.2020 03:00</t>
  </si>
  <si>
    <t>Алиса, возвращайтесь и испытайте удачу снова  У вас есть ещё 2 попытки.</t>
  </si>
  <si>
    <t>02:26</t>
  </si>
  <si>
    <t>10.08.2020 02:26</t>
  </si>
  <si>
    <t>02:20</t>
  </si>
  <si>
    <t>10.08.2020 02:20</t>
  </si>
  <si>
    <t>Уже</t>
  </si>
  <si>
    <t>Анжелла Астахова</t>
  </si>
  <si>
    <t>02:15</t>
  </si>
  <si>
    <t>10.08.2020 02:15</t>
  </si>
  <si>
    <t>Анжелла, чтобы раскрыть предмет, вступите в нашу группу</t>
  </si>
  <si>
    <t>196</t>
  </si>
  <si>
    <t>Подслушано Курск</t>
  </si>
  <si>
    <t>02:12</t>
  </si>
  <si>
    <t>10.08.2020 02:12</t>
  </si>
  <si>
    <t>01:43</t>
  </si>
  <si>
    <t>10.08.2020 01:43</t>
  </si>
  <si>
    <t>Ольга, возвращайтесь и испытайте удачу снова  У вас есть ещё 1 попытка.</t>
  </si>
  <si>
    <t>01:22</t>
  </si>
  <si>
    <t>10.08.2020 01:22</t>
  </si>
  <si>
    <t>01:00</t>
  </si>
  <si>
    <t>10.08.2020 01:00</t>
  </si>
  <si>
    <t>00:37</t>
  </si>
  <si>
    <t>10.08.2020 00:38</t>
  </si>
  <si>
    <t>Соискание степени кандидата наук он производит при помощи своего заднего прохода. Что поделать, нейрофизиологическая наука делается головой, хирургическая - руками, а урологическая, что поделать - жопой. Но всякая наука, конечно, должна быть уважаема!</t>
  </si>
  <si>
    <t>00:29</t>
  </si>
  <si>
    <t>10.08.2020 00:29</t>
  </si>
  <si>
    <t>Марианна, не угадали. Но это не повод грустить.
Осталось 8 призов  
Получите ещё 1 попытку, подписавшись на сообщения сообщества</t>
  </si>
  <si>
    <t>221</t>
  </si>
  <si>
    <t>Марианна Иванова</t>
  </si>
  <si>
    <t>Марианна, предмета с таким номером не существует ✖
Выберите другой вариант тут  ➡ activebot.ru/c/zL1Na6BKR.</t>
  </si>
  <si>
    <t>666</t>
  </si>
  <si>
    <t>777</t>
  </si>
  <si>
    <t>Марианна, тут уже проверил другой участник 
Выберите другой номер ➡ activebot.ru/c/zL1Na6BKR
Осталось 8 призов.
Получите ещё 1 попытку, подписавшись на сообщения сообщества</t>
  </si>
  <si>
    <t>111</t>
  </si>
  <si>
    <t>00:28</t>
  </si>
  <si>
    <t>222</t>
  </si>
  <si>
    <t>10.08.2020 00:28</t>
  </si>
  <si>
    <t>444</t>
  </si>
  <si>
    <t>333</t>
  </si>
  <si>
    <t>555</t>
  </si>
  <si>
    <t>00:26</t>
  </si>
  <si>
    <t>10.08.2020 00:26</t>
  </si>
  <si>
    <t>00:22</t>
  </si>
  <si>
    <t>10.08.2020 00:22</t>
  </si>
  <si>
    <t>Марианна, вы можете попробовать еще раз через 3 минуты 55 секунд ⏳</t>
  </si>
  <si>
    <t>216</t>
  </si>
  <si>
    <t>00:21</t>
  </si>
  <si>
    <t>2216</t>
  </si>
  <si>
    <t>00:20</t>
  </si>
  <si>
    <t>10.08.2020 00:21</t>
  </si>
  <si>
    <t>Марианна, приза нет. Но не стоит расстраиваться.
Вы можете раскрыть ещё 1 предмет.
Осталось 8 призов  
Получите ещё 1 попытку, подписавшись на сообщения сообщества</t>
  </si>
  <si>
    <t>191</t>
  </si>
  <si>
    <t>00:10</t>
  </si>
  <si>
    <t>10.08.2020 00:10</t>
  </si>
  <si>
    <t>09.08.2020</t>
  </si>
  <si>
    <t>23:56</t>
  </si>
  <si>
    <t>09.08.2020 23:57</t>
  </si>
  <si>
    <t>Алиса, вы можете попробовать еще раз через 3 минуты 24 секунды ⏳</t>
  </si>
  <si>
    <t>09.08.2020 23:56</t>
  </si>
  <si>
    <t>23:55</t>
  </si>
  <si>
    <t>10.08.2020 03:11</t>
  </si>
  <si>
    <t>COVID-19: Mayo Clinic expert answers questions about masks after CDC updates its recommendation</t>
  </si>
  <si>
    <t>Why am I sitting here reading research that masks don’t work</t>
  </si>
  <si>
    <t>A 1</t>
  </si>
  <si>
    <t>Mayo Clinic</t>
  </si>
  <si>
    <t>США</t>
  </si>
  <si>
    <t>09.08.2020 23:55</t>
  </si>
  <si>
    <t>Алиса, в этот раз не повезло, но если не сдаваться, то всё получится.
Вы можете раскрыть ещё 2 предмета.
Осталось 8 призов  
Получите ещё 1 попытку, подписавшись на сообщения сообщества</t>
  </si>
  <si>
    <t>171</t>
  </si>
  <si>
    <t>23:54</t>
  </si>
  <si>
    <t>09.08.2020 23:54</t>
  </si>
  <si>
    <t>Алиса, чтобы раскрыть предмет, вступите в нашу группу</t>
  </si>
  <si>
    <t>23:43</t>
  </si>
  <si>
    <t>09.08.2020 23:43</t>
  </si>
  <si>
    <t>23:37</t>
  </si>
  <si>
    <t>09.08.2020 23:37</t>
  </si>
  <si>
    <t>Юлия, в этот раз промах. Приза тут нет.
Осталось 8 призов  
Получите ещё 1 попытку, подписавшись на сообщения сообщества</t>
  </si>
  <si>
    <t>356</t>
  </si>
  <si>
    <t>Юлия Сизова</t>
  </si>
  <si>
    <t>23:36</t>
  </si>
  <si>
    <t>09.08.2020 23:36</t>
  </si>
  <si>
    <t>23:09</t>
  </si>
  <si>
    <t>09.08.2020 23:09</t>
  </si>
  <si>
    <t>Юлия, возвращайтесь и испытайте удачу снова  У вас есть ещё 1 попытка.</t>
  </si>
  <si>
    <t>22:54</t>
  </si>
  <si>
    <t>09.08.2020 22:54</t>
  </si>
  <si>
    <t>Юлия, в этот раз промах. Приза тут нет.
Вы можете раскрыть ещё 1 предмет.
Осталось 8 призов  
Получите ещё 2 попытки, сделав репост этой записи</t>
  </si>
  <si>
    <t>78</t>
  </si>
  <si>
    <t>22:53</t>
  </si>
  <si>
    <t>09.08.2020 22:53</t>
  </si>
  <si>
    <t>22:38</t>
  </si>
  <si>
    <t>09.08.2020 22:38</t>
  </si>
  <si>
    <t>Ольга, в этот раз не повезло, но если не сдаваться, то всё получится.
Вы можете раскрыть ещё 1 предмет.
Осталось 8 призов  
Получите ещё 1 попытку, подписавшись на сообщения сообщества</t>
  </si>
  <si>
    <t>168</t>
  </si>
  <si>
    <t>Ольга Петрова</t>
  </si>
  <si>
    <t>22:36</t>
  </si>
  <si>
    <t>09.08.2020 22:36</t>
  </si>
  <si>
    <t>22:30</t>
  </si>
  <si>
    <t>09.08.2020 22:30</t>
  </si>
  <si>
    <t>Кристина, у вас закончились попытки 
Осталось 8 призов 
Получите ещё 1 попытку, подписавшись на сообщения сообщества</t>
  </si>
  <si>
    <t>362</t>
  </si>
  <si>
    <t>Кристина Шатная</t>
  </si>
  <si>
    <t>22:29</t>
  </si>
  <si>
    <t>09.08.2020 22:29</t>
  </si>
  <si>
    <t>Кристина, в этот раз не повезло, но если не сдаваться, то всё получится.
Осталось 8 призов  
Получите ещё 1 попытку, подписавшись на сообщения сообщества</t>
  </si>
  <si>
    <t>150</t>
  </si>
  <si>
    <t>22:21</t>
  </si>
  <si>
    <t>09.08.2020 22:21</t>
  </si>
  <si>
    <t>Кристина, вы можете попробовать еще раз через 3 минуты 15 секунд ⏳</t>
  </si>
  <si>
    <t>339</t>
  </si>
  <si>
    <t>22:20</t>
  </si>
  <si>
    <t>09.08.2020 22:20</t>
  </si>
  <si>
    <t>Кристина, вы можете попробовать еще раз через 4 минуты 20 секунд ⏳</t>
  </si>
  <si>
    <t>148</t>
  </si>
  <si>
    <t>Кристина, не угадали. Но это не повод грустить.
Вы можете раскрыть ещё 1 предмет.
Осталось 8 призов  
Получите ещё 1 попытку, подписавшись на сообщения сообщества</t>
  </si>
  <si>
    <t>22:19</t>
  </si>
  <si>
    <t>106</t>
  </si>
  <si>
    <t>22:16</t>
  </si>
  <si>
    <t>09.08.2020 22:16</t>
  </si>
  <si>
    <t>Кристина, вы можете попробовать еще раз через 2 минуты 55 секунд ⏳</t>
  </si>
  <si>
    <t>240</t>
  </si>
  <si>
    <t>22:14</t>
  </si>
  <si>
    <t>09.08.2020 22:14</t>
  </si>
  <si>
    <t>Кристина, жаль, но тут приза нет. Приз спрятан в другом месте.
Вы можете раскрыть ещё 2 предмета.
Осталось 8 призов  
Получите ещё 1 попытку, подписавшись на сообщения сообщества</t>
  </si>
  <si>
    <t>335</t>
  </si>
  <si>
    <t>21:55</t>
  </si>
  <si>
    <t>09.08.2020 21:55</t>
  </si>
  <si>
    <t>Елена, вот это удача    Вы нашли приз: Лазерная Эпиляция скидка 50% на сеанс ( кроме ног) 
Свяжитесь с нами для получения.</t>
  </si>
  <si>
    <t>Медицинский центр "Клиника Эксперт Курск", 201</t>
  </si>
  <si>
    <t>Елена Жмакина</t>
  </si>
  <si>
    <t>21:16</t>
  </si>
  <si>
    <t>09.08.2020 21:16</t>
  </si>
  <si>
    <t>20:20</t>
  </si>
  <si>
    <t>09.08.2020 20:20</t>
  </si>
  <si>
    <t>Таисия, возвращайтесь и испытайте удачу снова  У вас есть ещё 1 попытка.</t>
  </si>
  <si>
    <t>20:19</t>
  </si>
  <si>
    <t>10.08.2020 09:06</t>
  </si>
  <si>
    <t>Биотин, также называемый витамином B7, витамином H и коэнзимом R, – питательное вещество (микронутриент), которое требуется организму в очень небольших количествах. Этот витамин необходим для метаболизма жиров, белков и углеводов, помогая превращать пищу в энергию. Также он играет роль в производстве гормонов.
Биотин содержится в самых разнообразных продуктах (мясо, рыба, яичный желток, орехи, творог, шпинат, брокколи и многие другие), а суточная потребность в нем для взрослых составляет всего лишь 30-50 микрограммов. Поэтому дефицит этого вещества в организме наблюдается крайне редко.
Тем не менее биотин часто входит в состав различных пищевых добавок и мультивитаминных комплексов. В последнее время производители БАДов все чаще используют высокие дозы биотина в составе различных средств для здоровья волос, кожи и ногтей, а также в витаминных комплексах для беременных.
Если терапевтическая польза от использования высоких доз биотина все еще обсуждается, нет никаких доказательств того, что даже в очень большом количестве он вреден для организма. Однако давайте разберемся: может ли в действительности биотин повлиять на здоровье?
На самом деле высокая концентрация биотина в крови может повлиять на результаты некоторых лабораторных тестов, вызывая ложное повышение или снижение показателей. А ошибка в диагностике способна привести к очень серьезным последствиям для пациента.
Эксперты Клиники Мэйо поделились историей (https://labtestsonline.org/articles/biotin-affects-some-blood-test-results), наглядно демонстрирующей, как важно уведомлять врача об употреблении витаминных добавок и учитывать этот факт при интерпретации результатов медицинских анализов.
Пациентка обратилась к эндокринологу с подозрением на гипертиреоз (заболевание, при котором щитовидная железа вырабатывает слишком много гормонов). Симптомы включали непереносимость жары, усиленную потливость, постоянный тремор рук и потерю веса. Было проведено несколько лабораторных тестов, результаты которых показали четкую картину аутоиммунного гипертиреоза. Врач назначил препарат, обычно используемый для лечения подобных состояний.
Однако повторное лабораторное тестирование показало: стандартная терапия не приносит желаемого результата. Было принято решение о лечении радиоактивным йодом – данный метод основан на разрушении щитовидной железы, что в конечном итоге устраняет все проявления гипертиреоза. Это достаточно безопасная процедура, но после нее пациент должен пожизненно принимать определенные гормональные препараты.
В то же время аномальные данные натолкнули врачей на идею дополнительного лабораторного исследования альтернативным методом: возникло подозрение, что предыдущие результаты могли быть искажены биотином (о приеме которого пациентка не предупредила). Каково же было изумление специалистов лаборатории, когда результаты альтернативных тестов показали абсолютно нормальную функцию щитовидной железы!
Сотрудники лаборатории немедленно связались с эндокринологом и сообщили о предыдущих ошибочных выводах, избавив пациентку от дорогостоящей и ненужной процедуры, требующей пожизненной медикаментозной поддержки.
«Вы можете продолжать принимать биодобавки, содержащие биотин. Это вещество необходимо для организма, и нет никакой опасности даже при приеме высоких доз. Однако следует всегда предупреждать вашего лечащего врача о факте приема пищевых добавок с биотином. Внимательно изучайте на этикетках состав любых мультивитаминных и минеральных комплексов – ведь вы можете даже и не подозревать о том, что регулярно принимаете биотин. Лучшим решением будет ограничение приема любых пищевых добавок за несколько дней перед запланированной сдачей крови для лабораторных исследований (за исключением препаратов, которые назначил вам лечащий врач по жизненным показаниям)», - комментирует врач клинической лабораторной диагностики LabQuest Владимир Мухин.</t>
  </si>
  <si>
    <t>Ксения Самсонова</t>
  </si>
  <si>
    <t>Гипотиреоз. Группа для пациентов и врачей</t>
  </si>
  <si>
    <t>20:09</t>
  </si>
  <si>
    <t>09.08.2020 20:09</t>
  </si>
  <si>
    <t>Елена, возвращайтесь и испытайте удачу снова  У вас есть ещё 2 попытки.</t>
  </si>
  <si>
    <t>19:22</t>
  </si>
  <si>
    <t>09.08.2020 19:22</t>
  </si>
  <si>
    <t>Ольга, в этот раз промах. Приза тут нет.
Осталось 9 призов  
 Не удалось проверить наличие репоста, чтобы добавить ещё 2 попытки. Проверьте настройки приватности.</t>
  </si>
  <si>
    <t>159</t>
  </si>
  <si>
    <t>19:19</t>
  </si>
  <si>
    <t>09.08.2020 19:19</t>
  </si>
  <si>
    <t>19:04</t>
  </si>
  <si>
    <t>09.08.2020 19:05</t>
  </si>
  <si>
    <t>Ольга, не угадали. Но это не повод грустить.
Вы можете раскрыть ещё 1 предмет.
Осталось 9 призов  
Получите ещё 1 попытку, подписавшись на сообщения сообщества</t>
  </si>
  <si>
    <t>310</t>
  </si>
  <si>
    <t>18:41</t>
  </si>
  <si>
    <t>09.08.2020 18:41</t>
  </si>
  <si>
    <t>Клиника-эксперт во Владимирской областиТребования:Требования к профессии врач акушер-гинеколог• Стаж работы не менее 3 лет• Работа по принципам доказательной медицины• Опыт ведения беременных пациенток на всех этапах (амбулаторный, стационарный) с любой группой риска• Владение УЗИ в области акушерства и гинекологии (в том числе скрининги I, II, III триместра)• Наличие сертификата врач-УЗД• Наличие
Врач акушер-гинеколог
https://vladimir.jobfilter.ru/job/51590590-%D0%92%D1%80%D0%B0%D1%87%20%D0%B0%D0%BA%D1%83%D1%88%D0%B5%D1%80-%D0%B3%D0%B8%D0%BD%D0%B5%D0%BA%D0%BE%D0%BB%D0%BE%D0%B3</t>
  </si>
  <si>
    <t>Работа в Владимире</t>
  </si>
  <si>
    <t>18:20</t>
  </si>
  <si>
    <t>09.08.2020 18:20</t>
  </si>
  <si>
    <t>18:09</t>
  </si>
  <si>
    <t>09.08.2020 18:09</t>
  </si>
  <si>
    <t>17:46</t>
  </si>
  <si>
    <t>10.08.2020 11:21</t>
  </si>
  <si>
    <t>Внимание, акция на МРТ. Запись по телефону: 8(8142)-59-50-50. Подписывайся, чтобы не пропустить скидки на МРТ, ставь лайки и делай репосты. Подпишись и будь в курсе скидок на МРТ. #птз #петрозаводск #карелия #скидкиптз #ялюблюэтотвашпетрозаводск #кондопога #олонец #сортавала #костомукша #сегежа #медвежьегорск #кемь #питкяранта #беломорск #суоярвии #пудож #олонец #лахденпохья #лоухи #калевала</t>
  </si>
  <si>
    <t>МРТ в Петрозаводске</t>
  </si>
  <si>
    <t>Республика Карелия</t>
  </si>
  <si>
    <t>Петрозаводск</t>
  </si>
  <si>
    <t>10.08.2020 11:18</t>
  </si>
  <si>
    <t>17:37</t>
  </si>
  <si>
    <t>09.08.2020 17:37</t>
  </si>
  <si>
    <t>‍⚕‍⚕Одна из базовых ценностей наших специалистов в клинике Эксперт - помочь найти решение каждому пациенту.
А еще мы хотим, чтобы частная медицина стала доступнее, чтобы вы оценили сервис, с которым проходит каждая диагностика или врачебный прием.
Поэтому мы проводим традиционный конкурс месяца!
Совсем недавно вы проголосовали за главный приз.
В августе - это будет МРТ отдела позвоночника на выбор (шейный, грудной или поясничный)
Условия простые:
1. Лайк этому посту
2. Быть подписанным на паблик
3. Репост к себе на страницу (она должна быть открыта на момент подведения итогов)
4. В комментариях напишите "Хочу МРТ"
Удачи!
Победителя узнаем 24 августа.
Конкурс для жителей Перми и Пермского края. К участию не допускаются аккаунты, где последние посты - участие в других конкурсах
Имеются противопоказания, необходима консультация специалиста
#мртпермь #клиникаэксперт #клиникаэкспертпермь #медицинскийцентрпермь</t>
  </si>
  <si>
    <t>Валентин Волков</t>
  </si>
  <si>
    <t>Краснокамск</t>
  </si>
  <si>
    <t>17:36</t>
  </si>
  <si>
    <t>Хочу МРТ</t>
  </si>
  <si>
    <t>09.08.2020 17:36</t>
  </si>
  <si>
    <t>Ольга, жаль, но тут приза нет. Приз спрятан в другом месте.
Осталось 9 призов  
Получите ещё 1 попытку, подписавшись на сообщения сообщества</t>
  </si>
  <si>
    <t>288</t>
  </si>
  <si>
    <t>Ольга Сотникова</t>
  </si>
  <si>
    <t>17:31</t>
  </si>
  <si>
    <t>09.08.2020 17:31</t>
  </si>
  <si>
    <t>Девушки, дайте совет пожалуйста  случился поздний выкидыш в середине беременности. Нужен хороший специалист,</t>
  </si>
  <si>
    <t>Лихачева Виктория Васильевна, принимает в г.Новокузнецк клиника Эксперт, в Междуреченск тоже приезжает 1 раз в месяц, 21 августа по-моему будет. В Междуреченске принимает в бывшей Авицене, на Брянской.</t>
  </si>
  <si>
    <t>Татьяна Близнец</t>
  </si>
  <si>
    <t>Мамочки в Междуреченске</t>
  </si>
  <si>
    <t>Междуреченск</t>
  </si>
  <si>
    <t>17:30</t>
  </si>
  <si>
    <t>09.08.2020 17:30</t>
  </si>
  <si>
    <t>17:19</t>
  </si>
  <si>
    <t>09.08.2020 17:19</t>
  </si>
  <si>
    <t>17:16</t>
  </si>
  <si>
    <t>09.08.2020 17:16</t>
  </si>
  <si>
    <t>После кальцивироза у кошки в плохом состоянии десна. Лечу почти год мирамистином, лишь снимаю симптомы. Как уже побороть эту болячку?
Ссылка на вопрос с обсуждениями: (ссылка) 
❗ Отвечает ветеринар, ведущий эксперт клиники «Крылья Ноги Хвост» Николай Леонов 
———————
#мимерпомоги❗Если у вас есть вопрос про вашего питомца, оставляйте его в предложенные новости
mimer.ru | Ответ ветеринара: После кальцивироза десна у кошки в плохом состоянии. Как вылечить?</t>
  </si>
  <si>
    <t>Mimer.ru |  МИМЕР | Территория котов и кошек</t>
  </si>
  <si>
    <t>17:15</t>
  </si>
  <si>
    <t>09.08.2020 17:15</t>
  </si>
  <si>
    <t>Таисия, в этот раз промах. Приза тут нет.
Вы можете раскрыть ещё 1 предмет.
Осталось 9 призов  
Получите ещё 2 попытки, сделав репост этой записи</t>
  </si>
  <si>
    <t>147</t>
  </si>
  <si>
    <t>Таисия Рыжевич</t>
  </si>
  <si>
    <t>16:19</t>
  </si>
  <si>
    <t>09.08.2020 16:19</t>
  </si>
  <si>
    <t>Елена, угадайте, где приз  Дарим ещё 2 попытки.</t>
  </si>
  <si>
    <t>16:17</t>
  </si>
  <si>
    <t>09.08.2020 16:17</t>
  </si>
  <si>
    <t>Эвелина, возвращайтесь и испытайте удачу снова  У вас есть ещё 2 попытки.</t>
  </si>
  <si>
    <t>16:16</t>
  </si>
  <si>
    <t>09.08.2020 16:16</t>
  </si>
  <si>
    <t>Юлия, жаль, но тут приза нет. Приз спрятан в другом месте.
Осталось 9 призов  
Получите ещё 2 попытки, сделав репост этой записи</t>
  </si>
  <si>
    <t>163</t>
  </si>
  <si>
    <t>15:49</t>
  </si>
  <si>
    <t>09.08.2020 15:49</t>
  </si>
  <si>
    <t>09.08.2020 23:41</t>
  </si>
  <si>
    <t>#ใส่แมสก์แล้วสิวขึ้นทำยังไงดี?
เชื่อว่าหลายๆท่านกำลังมีปัญหาเช่นนี้
เพราะการใส่แมสก์นานๆอาจทำให้เกิดความอับชื้น
ระคายเคืองต่อผิว ทำให้เกิดการสะสมของแบคทีเรีย
การอุดตันของรูขุมขน และกลายเป็นสิวในที่สุด
.
.
 คุณนันท์ ลูกค้าของนารดาคลินิกก็เผชิญปัญหานี้เช่นกันค่ะ
"ช่วงที่ผ่านมาเราก็ใส่หน้ากากตลอดเวลา
ทำให้เกิดมีอาการแพ้ โดยเฉพาะใต้คางเนี่ย
ค่อนข้างเยอะมากแล้วก็ค่อนข้างหนา
ซึ่งแบบครั้งแรกตกใจค่ะ
ก็นึกถึงนารดาคลินิกขึ้นมาเลย
 ตอนแรกก็กะเป็นลูกค้ากันยาวๆ
เปิดคอร์สไปเลยค่ะ 10 ครั้ง
แต่จริงๆคือสามครั้งเท่านั้นเองเรียบร้อยหมดแล้ว
อย่างวันนี้มาก็คือหน้าใสสวยงาม
ไม่มีริ้วรอยตกค้างคือแบบประทับใจมากค่ะ"
(คุณนันท์ - ชฎาธช จันทนพันธ์)
  หยุด!ทุกปัญหาสิวกวนใจ #สิวผด #สิวอุดตัน #สิวแพ้สาร
ด้วยโปรแกรมรักษาสิวแบบบูรณาการ
Acne Clear Program
พร้อมให้คำแนะนำและติดตามผลทุกเคส
#คุณเองก็สามารถร่วมเป็นหนึ่งในความประทับใจเช่นนี้ได้
#ที่นารดาคลิกนิคนะคะ
ติดตามชมรีวิวอื่นๆของนารดาคลินิก ได้ที่
https://bit.ly/3krKXgQ
https://bit.ly/2C8QJmm
รับโปรโมชั่น  คลิก!
https://bit.ly/30FfJuZ
======================================
Narada Clinic : Expert Beauty Center
นารดาคลินิก ศูนย์ความเป็นเลิศด้านความงามภาคเหนือ
Call center 053-215447
Line: @naradaclinic(อย่าลืมใส่@ด้วยนะคะ)
Website: www.naradaclinic . com
IG:naradaclinic
Youtube:NaradaclinicChannel
สิวหยุด |คุณนันท์
https://www.facebook.com/NaradaTeam/videos/381215342864271/</t>
  </si>
  <si>
    <t>https://scontent-lht6-1.xx.fbcdn.net/v/t15.5256-10/116919784_381223469530125_5685905595270830591_n.jpg?_nc_cat=105&amp;_nc_sid=ad6a45&amp;_nc_eui2=AeFYS0ddJI9NpsDlszlH3vnivvT748hgZo--9PvjyGBmj1D2shKj3VK4xCweeX18qSwb7nJRnwr-v7R4TCQ2znfO&amp;_nc_ohc=QMsSPus2rWwAX9SRZKU&amp;_nc_ht=scontent-lht6-1.xx&amp;oh=0cfa9cf0a590b749b4d09cb30360a373&amp;oe=5F54E0F3</t>
  </si>
  <si>
    <t>14:29</t>
  </si>
  <si>
    <t>09.08.2020 15:44</t>
  </si>
  <si>
    <t>#клиникаэксперт
@clinic_expert_smolensk</t>
  </si>
  <si>
    <t>Ivan Kapoor</t>
  </si>
  <si>
    <t>Смоленская область</t>
  </si>
  <si>
    <t>Смоленск</t>
  </si>
  <si>
    <t>14:17</t>
  </si>
  <si>
    <t>09.08.2020 14:17</t>
  </si>
  <si>
    <t>13:49</t>
  </si>
  <si>
    <t>09.08.2020 13:49</t>
  </si>
  <si>
    <t>13:29</t>
  </si>
  <si>
    <t>09.08.2020 13:29</t>
  </si>
  <si>
    <t>Valeriya, вот это удача    Вы нашли приз: Скидка 10% на косметические услуги до 1 сентября 
Свяжитесь с нами для получения.</t>
  </si>
  <si>
    <t>13:28</t>
  </si>
  <si>
    <t>371</t>
  </si>
  <si>
    <t>09.08.2020 13:27</t>
  </si>
  <si>
    <t>13:23</t>
  </si>
  <si>
    <t>09.08.2020 13:23</t>
  </si>
  <si>
    <t>Valeriya, возвращайтесь и испытайте удачу снова  У вас есть ещё 2 попытки.</t>
  </si>
  <si>
    <t>09.08.2020 13:12</t>
  </si>
  <si>
    <t>Эвелина, вы можете попробовать еще раз через 4 минуты 26 секунд ⏳</t>
  </si>
  <si>
    <t>367</t>
  </si>
  <si>
    <t>Эвелина Заикина</t>
  </si>
  <si>
    <t>Эвелина, в этот раз не повезло, но если не сдаваться, то всё получится.
Вы можете раскрыть ещё 2 предмета.
Осталось 10 призов  
Получите ещё 1 попытку, подписавшись на сообщения сообщества</t>
  </si>
  <si>
    <t>383</t>
  </si>
  <si>
    <t>13:08</t>
  </si>
  <si>
    <t>09.08.2020 13:09</t>
  </si>
  <si>
    <t>Valeriya, приза нет. Но не стоит расстраиваться.
Вы можете раскрыть ещё 2 предмета.
Осталось 10 призов  
Получите ещё 2 попытки, сделав репост этой записи</t>
  </si>
  <si>
    <t>128</t>
  </si>
  <si>
    <t>09.08.2020 13:08</t>
  </si>
  <si>
    <t>Valeriya, чтобы раскрыть предмет, вступите в нашу группу</t>
  </si>
  <si>
    <t>13:07</t>
  </si>
  <si>
    <t>09.08.2020 13:07</t>
  </si>
  <si>
    <t>Эвелина, вы можете попробовать еще раз через 4 минуты 7 секунд ⏳</t>
  </si>
  <si>
    <t>13:06</t>
  </si>
  <si>
    <t>Эвелина, в этот раз промах. Приза тут нет.
Вы можете раскрыть ещё 1 предмет.
Осталось 10 призов  
 Не удалось проверить наличие репоста, чтобы добавить ещё 2 попытки. Проверьте настройки приватности.</t>
  </si>
  <si>
    <t>340</t>
  </si>
  <si>
    <t>10.08.2020 04:15</t>
  </si>
  <si>
    <t>Триера, Эксперт-Клиника Эстетической Медицины, ООО</t>
  </si>
  <si>
    <t>Сегодня посетил клинику,мне все очень понравилось,очень приятный администратор и профессиональные врачи,всем рекомендую посетить эту клинику</t>
  </si>
  <si>
    <t>Vlad Davidov</t>
  </si>
  <si>
    <t>maps.google.com</t>
  </si>
  <si>
    <t>Отзывы</t>
  </si>
  <si>
    <t>Краснодарский край</t>
  </si>
  <si>
    <t>Краснодар</t>
  </si>
  <si>
    <t>12:59</t>
  </si>
  <si>
    <t>09.08.2020 12:59</t>
  </si>
  <si>
    <t>12:57</t>
  </si>
  <si>
    <t>Нашёл данную клинику в интернете,позвонил по номеру,меня проконсультировал администратор Ольга,и я записался на процедуру чистки лица к Виктории Анатольевне,мне очень понравилось</t>
  </si>
  <si>
    <t>Artem</t>
  </si>
  <si>
    <t>12:44</t>
  </si>
  <si>
    <t>09.08.2020 12:45</t>
  </si>
  <si>
    <t>Юлия, в этот раз не повезло, но если не сдаваться, то всё получится.
Вы можете раскрыть ещё 1 предмет.
Осталось 10 призов  
Получите ещё 2 попытки, сделав репост этой записи</t>
  </si>
  <si>
    <t>351</t>
  </si>
  <si>
    <t>12:18</t>
  </si>
  <si>
    <t>09.08.2020 12:18</t>
  </si>
  <si>
    <t>09.08.2020 12:13</t>
  </si>
  <si>
    <t>Анна, вот это удача    Вы нашли приз: Шугаринг 1 зона выбор 
Свяжитесь с нами для получения.</t>
  </si>
  <si>
    <t>153</t>
  </si>
  <si>
    <t>Анна Юрьевна</t>
  </si>
  <si>
    <t>12:11</t>
  </si>
  <si>
    <t>09.08.2020 12:11</t>
  </si>
  <si>
    <t>Анна, возвращайтесь и испытайте удачу снова  У вас есть ещё 2 попытки.</t>
  </si>
  <si>
    <t>12:01</t>
  </si>
  <si>
    <t>09.08.2020 22:00</t>
  </si>
  <si>
    <t>ПОЧЕМУ НЕ ПОЛУЧАЕТСЯ ЗАБЕРЕМЕНЕТЬ?
⠀
Такой вопрос часто задают пары, у которых было огромное количество попыток зачать малыша, но даже после нескольких месяцев и лет ничего не получается.
⠀
❓В чем причины?
⠀
✔️Отсутствие контроля за собственным здоровьем. Часто супруги, планируя беременность, не проходят предварительное обследование, чтобы выявить или исключить патологии в организме.
✔️Стресс. Когда не получается забеременеть в течение нескольких месяцев, женщина впадает в отчаяние, испытывает депрессию – изменяется гормональный фон и забеременеть становится еще сложнее.
✔️Слишком частый и ли редкий секс. Оптимальная периодичность составляет 2-3 раза в неделю. В остальных случаях сперматозоиды не являются полноценными и не готовы к оплодотворению яйцеклетки.
✔️Ошибки в расчетах. Незнание дня собственной овуляции приводит к тому, что вероятность забеременеть становиться минимальной. Нужно точно знать, в какой период зачатие может быть максимально вероятным.
✔️Вредные привычки. Задолго до планирования беременности необходимо отказаться от всех вредных привычек, включая курение, злоупотребление спиртным.
✔️Правильное питание. Полезная пища с высоким содержанием витаминов и микроэлементов позволяет создать благоприятную почву для последующей беременности и гармоничного развития плода.
⠀
Не тратьте годы на попытки! Начните путь к счастливому материнству в «Клинике Эксперт Ставрополь»! Записывайтесь на приём к нашему акушеру-гинекологу – Жезловой Татьяне Вячеславовне!
Запишитесь на консультацию к гинекологу:�⠀ 
☎ +7 (865) 297-95-68
www.mrtexpert.ru
Ставрополь, ул Доваторцев, 39А
Лицензия: ЛО-26-01-005183</t>
  </si>
  <si>
    <t>Клиника Эксперт Ставрополь</t>
  </si>
  <si>
    <t>Ставропольский край</t>
  </si>
  <si>
    <t>Ставрополь</t>
  </si>
  <si>
    <t>11:52</t>
  </si>
  <si>
    <t>09.08.2020 11:52</t>
  </si>
  <si>
    <t>11:28</t>
  </si>
  <si>
    <t>09.08.2020 11:28</t>
  </si>
  <si>
    <t>11:20</t>
  </si>
  <si>
    <t>Кресла в клинике, конечно, не очень удобные, зато специалисты знают свое дело, все понравилось, всем советую)</t>
  </si>
  <si>
    <t>Оскар Мирошников</t>
  </si>
  <si>
    <t>11:19</t>
  </si>
  <si>
    <t>09.08.2020 11:19</t>
  </si>
  <si>
    <t>Елена, приза нет. Но не стоит расстраиваться.
Осталось 11 призов  
Получите ещё 2 попытки, сделав репост этой записи</t>
  </si>
  <si>
    <t>Медицинский центр "Клиника Эксперт Курск", 390</t>
  </si>
  <si>
    <t>11:18</t>
  </si>
  <si>
    <t>09.08.2020 11:18</t>
  </si>
  <si>
    <t>Елена, возвращайтесь и испытайте удачу снова  У вас есть ещё 1 попытка.</t>
  </si>
  <si>
    <t>09.08.2020 11:13</t>
  </si>
  <si>
    <t>Юлия, в этот раз промах. Приза тут нет.
Вы можете раскрыть ещё 2 предмета.
Осталось 11 призов  
Получите ещё 1 попытку, подписавшись на сообщения сообщества</t>
  </si>
  <si>
    <t>275</t>
  </si>
  <si>
    <t>11:03</t>
  </si>
  <si>
    <t>09.08.2020 11:03</t>
  </si>
  <si>
    <t>Елена, жаль, но тут приза нет. Приз спрятан в другом месте.
Вы можете раскрыть ещё 1 предмет.
Осталось 11 призов  
Получите ещё 1 попытку, подписавшись на сообщения сообщества</t>
  </si>
  <si>
    <t>Медицинский центр "Клиника Эксперт Курск", 269</t>
  </si>
  <si>
    <t>11:01</t>
  </si>
  <si>
    <t>На днях выпала возможность посетить, данную клинику, сервис очень понравился, все кабинеты и само помещение впринципе очень чистое, всем рекомендую посетить данную клинику</t>
  </si>
  <si>
    <t>Ярослав Пелых</t>
  </si>
  <si>
    <t>10.08.2020 10:41</t>
  </si>
  <si>
    <t>Cedarmount Veterinary Clinic</t>
  </si>
  <si>
    <t>Expert. Friendly.</t>
  </si>
  <si>
    <t>John Magowan</t>
  </si>
  <si>
    <t>Великобритания</t>
  </si>
  <si>
    <t>Северная Ирландия</t>
  </si>
  <si>
    <t>Newtownards</t>
  </si>
  <si>
    <t>10:11</t>
  </si>
  <si>
    <t>09.08.2020 10:11</t>
  </si>
  <si>
    <t>10:01</t>
  </si>
  <si>
    <t>09.08.2020 15:23</t>
  </si>
  <si>
    <t>И на отдыхе умудрилась приз выйграть)</t>
  </si>
  <si>
    <t>Инна Артамонова-Ильина</t>
  </si>
  <si>
    <t>09:59</t>
  </si>
  <si>
    <t>09.08.2020 13:22</t>
  </si>
  <si>
    <t>#Доктор #онколог #эксперт  
#вопрос: увеличение #лимфатических узлов #лимфаденопатия 
#КЛИНИКА ОБРАЗЦОВА
Рослякова онколог увеличение #лимфоузлов диагностика #рака злокачественные #опухоли
#Доктор #эксперт КЛИНИКА #ОБРАЗЦОВА рассказывает о причинах увеличенных #лимфатических узлов #диагностике #лимфаденитов #лимфаденопатий #злокачественных ...
https://youtu.be/AfO0E_aTGCE</t>
  </si>
  <si>
    <t>Клиника Образцова</t>
  </si>
  <si>
    <t>Киев</t>
  </si>
  <si>
    <t>09.08.2020 09:52</t>
  </si>
  <si>
    <t>09.08.2020 09:51</t>
  </si>
  <si>
    <t>Анонимно. Добрый день, подскажите, в какой платной клинике можно пройти узи после родов, и к какому специалисту лучше</t>
  </si>
  <si>
    <t>Клиника "Эксперт" Ленина, 10. Врач Солуянова.</t>
  </si>
  <si>
    <t>Ольга Кислицина</t>
  </si>
  <si>
    <t>❀МАМЫ ПЕРМИ❀</t>
  </si>
  <si>
    <t>09:24</t>
  </si>
  <si>
    <t>09.08.2020 09:29</t>
  </si>
  <si>
    <t>@magnoliajill This article is very useful https://newsnetwork.mayoclinic.org/discussion/covid-19-mayo-clinic-expert-answers-questions-about-masks-after-cdc-updates-its-recommendation/</t>
  </si>
  <si>
    <t>Chandler Scott</t>
  </si>
  <si>
    <t>Техас</t>
  </si>
  <si>
    <t>Bellaire</t>
  </si>
  <si>
    <t>09:21</t>
  </si>
  <si>
    <t>09.08.2020 09:21</t>
  </si>
  <si>
    <t>09.08.2020 09:07</t>
  </si>
  <si>
    <t>Анна, вы можете попробовать еще раз через 4 минуты 6 секунд ⏳</t>
  </si>
  <si>
    <t>09.08.2020 09:08</t>
  </si>
  <si>
    <t>282</t>
  </si>
  <si>
    <t>Анна, в этот раз не повезло, но если не сдаваться, то всё получится.
Вы можете раскрыть ещё 2 предмета.
Осталось 11 призов  
Получите ещё 2 попытки, сделав репост этой записи</t>
  </si>
  <si>
    <t>09:06</t>
  </si>
  <si>
    <t>274</t>
  </si>
  <si>
    <t>09:02</t>
  </si>
  <si>
    <t>09.08.2020 09:02</t>
  </si>
  <si>
    <t>08:49</t>
  </si>
  <si>
    <t>09.08.2020 08:49</t>
  </si>
  <si>
    <t>Эвелина, вы можете попробовать еще раз через 2 минуты 32 секунды ⏳</t>
  </si>
  <si>
    <t>193</t>
  </si>
  <si>
    <t>08:47</t>
  </si>
  <si>
    <t>09.08.2020 08:47</t>
  </si>
  <si>
    <t>Эвелина, в этот раз промах. Приза тут нет.
Вы можете раскрыть ещё 2 предмета.
Осталось 11 призов  
Получите ещё 1 попытку, подписавшись на сообщения сообщества</t>
  </si>
  <si>
    <t>380</t>
  </si>
  <si>
    <t>09.08.2020 08:51</t>
  </si>
  <si>
    <t>รักษาและฟื้นฟูหลุมสิวระดับลึกแบบบูรณาการ 
ที่นารดาคลินิก
เป็นการรักษาโดยผสมผสานเทคนิค
และวิธีการต่างๆร่วมกัน
.
.
เพื่อผลลัพธ์ที่มีประสิทธิภาพสูง
ไม่ว่าจะเป็นการทำเลเซอร์รักษาหลุมสิว 
(Scar Free,Renew Skin)
ที่สามารถทำควบคู่กับการฉีดเมโสสูตรเฉพาะของคลินิก
.
.
เพื่อช่วยกระตุ้นการสร้างคอลลาเจน
และเนื้อเยื่อใหม่
ทำให้หลุมสิวตื้นขึ้นได้เร็วยิ่งขึ้น
แต่แน่นอนค่ะว่า หลังจากการทำเลเซอร์
จะมีการตกสะเก็ดหรือผิวลอกแห้งบ้าง
แต่เราสามารถแก้ปัญหานี้ได้
ด้วยการทำทรีทเม้นท์เพิ่มความชุ่มชื้นให้กับผิว
.
.
‍⚕️แต่ทั้งนี้ทั้งนั้น คุณหมอจำเป็นต้องประเมินผิวหน้า
เพื่อการรักษาที่มีประสิทธิภาพ
และให้ผลลัพธ์ที่ดีสำหรับลูกค้าแต่ละเคสค่ะ
#นารดาคลินิกยินดีให้คำแนะนำก่อนการรักษา
#พร้อมการติดตามผลอย่างใกล้ชิดค่ะ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
รักษาและฟื้นฟูหลุมสิวระดับลึกแบบบูรณาการ 
ที่นารดาคลินิก
เป็นการรักษาโดยผสมผสานเทคนิค
และวิธีการต่างๆร่วมกัน
.
.
เพื่อผลลัพธ์ที่มีประสิทธิภาพสูง
ไม่ว่าจะเป็นการทำเลเซอร์รักษาหลุมสิว 
(Scar Free,Renew Skin)
ที่สามารถทำควบคู่กับการฉีดเมโสสูตรเฉพาะของคลินิก
.
.
เพื่อช่วยกระตุ้นการสร้างคอลลาเจน
และเนื้อเยื่อใหม่
ทำให้หลุมสิวตื้นขึ้นได้เร็วยิ่งขึ้น
แต่แน่นอนค่ะว่า หลังจากการทำเลเซอร์
จะมีการตกสะเก็ดหรือผิวลอกแห้งบ้าง
แต่เราสามารถแก้ปัญหานี้ได้
ด้วยการทำทรีทเม้นท์เพิ่มความชุ่มชื้นให้กับผิว
.
.
‍⚕️แต่ทั้งนี้ทั้งนั้น คุณหมอจำเป็นต้องประเมินผิวหน้า
เพื่อการรักษาที่มีประสิทธิภาพ
และให้ผลลัพธ์ที่ดีสำหรับลูกค้าแต่ละเคสค่ะ
#นารดาคลินิกยินดีให้คำแนะนำก่อนการรักษา
#พร้อมการติดตามผลอย่างใกล้ชิดค่ะ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
https://www.facebook.com/NaradaTeam/photos/a.568393426606903/3055553117890909/?type=3</t>
  </si>
  <si>
    <t>https://scontent-lhr8-1.xx.fbcdn.net/v/t1.0-9/p720x720/117340668_3055553121224242_7329665820735626638_o.jpg?_nc_cat=104&amp;_nc_sid=8024bb&amp;_nc_eui2=AeHwFpn3pz45w9s30fwzfu0iRvcpVzfAAOxG9ylXN8AA7KqqeLjKvIB5ur6LWPXPOE1AY5_QuyhjZ00FHrN8Hkf9&amp;_nc_ohc=JT29gXRSKSUAX_laSNn&amp;_nc_ht=scontent-lhr8-1.xx&amp;_nc_tp=6&amp;oh=935fd061ad9ef22113d69284527c4870&amp;oe=5F53E5D6</t>
  </si>
  <si>
    <t>06:49</t>
  </si>
  <si>
    <t>09.08.2020 06:49</t>
  </si>
  <si>
    <t>06:39</t>
  </si>
  <si>
    <t>10.08.2020 04:44</t>
  </si>
  <si>
    <t>Диагностика и план лечения☑️
⠀
Для того чтобы составить эффективный план лечения, доктору необходимо провести обследование. Эксперты Лавиани проводят компьютерную томографию для максимально полной диагностики.
⠀
Пошаговая инструкция:
Составление анамнеза
Визуальный осмотр и фото протокол 
Прохождение компьютерной томографии
Составления плана лечения
Обсуждение с пациентом предстоящего лечения
⠀
План лечения — это четкая последовательность манипуляций стоматолога, которая состоит из нескольких этапов, каждый из которых подробно описывается. Указывается стоимость лечения, сколько оно займет времени.
⠀
☑️ Отказываясь от рекомендованного плана, нужно осознавать все возможные последствия. Несоблюдение рекомендаций врача может привести к неэффективности лечения.
⠀
Благодаря качественной диагностике и составленному плану, пациент будет понимать, что нужно лечить и в каком объеме. Эксперт выстраивает четкую тактику лечения по каждому зубу, а пациент понимает к чему ему нужно быть готовым.
С заботой о вас и вашем здоровье, эксперт клиники Лавиани.
 Запись на консультацию: 77-99-33 или в Директ 
#доверяюлавиани
#клиникаэксперт
#стоматологиялавиани</t>
  </si>
  <si>
    <t>Dr.Zaripov-"Laviani"</t>
  </si>
  <si>
    <t>Владимирская область</t>
  </si>
  <si>
    <t>Владимир</t>
  </si>
  <si>
    <t>Zaripov DA-official</t>
  </si>
  <si>
    <t>06:38</t>
  </si>
  <si>
    <t>10.08.2020 11:14</t>
  </si>
  <si>
    <t>ГК «Эксперт» открыла медцентр в Белгороде
Группа компаний «Эксперт», владеющая сетью центров лучевой диагностики «МРТ-Эксперт» и многопрофильными клиниками в регионах, объявила о приобретении 100% в ...
https://vademec.ru/news/2020/08/07/gk-ekspert-otkryla-medtsentr-v-belgorode/</t>
  </si>
  <si>
    <t>Дарья Зенищева</t>
  </si>
  <si>
    <t>06:17</t>
  </si>
  <si>
    <t>09.08.2020 06:17</t>
  </si>
  <si>
    <t>Таисия, возвращайтесь и испытайте удачу снова  У вас есть ещё 2 попытки.</t>
  </si>
  <si>
    <t>04:49</t>
  </si>
  <si>
    <t>09.08.2020 04:49</t>
  </si>
  <si>
    <t>04:17</t>
  </si>
  <si>
    <t>09.08.2020 04:17</t>
  </si>
  <si>
    <t>04:02</t>
  </si>
  <si>
    <t>09.08.2020 13:38</t>
  </si>
  <si>
    <t>В ХАБАРОВСКЕ ОПЯТЬ НИЧЕГО НЕ ПРОИСХОДИТ / очередной провал пропаганды / Я МЫ Сергей Фургал</t>
  </si>
  <si>
    <t>Опасности нет. Прошу вас посетить МРТ-ЭКСПЕРТ на ул.Промышленная 20.где обследуют людей   с DS: Пневмония. Когда была пандемия, там находилось до 70 человек. Сейчас за сутки совсем другая обстановка. Прошу вас посетить данное медучреждение и убедиться в моей правоте. Нас обманывают известные личности. А также посетите 10 гб. Реальность не совпадает с ложью ...</t>
  </si>
  <si>
    <t>KraftwerK</t>
  </si>
  <si>
    <t>Злой Дальневосточник</t>
  </si>
  <si>
    <t>03:59</t>
  </si>
  <si>
    <t>09.08.2020 03:59</t>
  </si>
  <si>
    <t>09.08.2020 03:51</t>
  </si>
  <si>
    <t>03:27</t>
  </si>
  <si>
    <t>09.08.2020 03:27</t>
  </si>
  <si>
    <t>02:59</t>
  </si>
  <si>
    <t>09.08.2020 02:59</t>
  </si>
  <si>
    <t>02:27</t>
  </si>
  <si>
    <t>09.08.2020 02:27</t>
  </si>
  <si>
    <t>Таисия, угадайте, где приз  Дарим ещё 2 попытки.</t>
  </si>
  <si>
    <t>01:51</t>
  </si>
  <si>
    <t>09.08.2020 01:51</t>
  </si>
  <si>
    <t>01:01</t>
  </si>
  <si>
    <t>09.08.2020 01:01</t>
  </si>
  <si>
    <t>00:59</t>
  </si>
  <si>
    <t>09.08.2020 00:59</t>
  </si>
  <si>
    <t>00:15</t>
  </si>
  <si>
    <t>09.08.2020 21:15</t>
  </si>
  <si>
    <t>Мальчик мой, надеюсь тебе будет там лучше!!! Загубили кота в клинике эксперт! Это будет на совести медсестры!</t>
  </si>
  <si>
    <t>Мария,  спасибо.... Но если бы не медсестра в вет клинике , мы бы не потеряли 20 часов и возможно был бы шанс...</t>
  </si>
  <si>
    <t>Алена Еремеева</t>
  </si>
  <si>
    <t>Московская область</t>
  </si>
  <si>
    <t>Сергиев Посад</t>
  </si>
  <si>
    <t>00:09</t>
  </si>
  <si>
    <t>09.08.2020 00:09</t>
  </si>
  <si>
    <t>00:01</t>
  </si>
  <si>
    <t>09.08.2020 00:01</t>
  </si>
  <si>
    <t>08.08.2020</t>
  </si>
  <si>
    <t>23:47</t>
  </si>
  <si>
    <t>08.08.2020 23:47</t>
  </si>
  <si>
    <t>Медицинский центр "Клиника Эксперт Курск", спасибо!</t>
  </si>
  <si>
    <t>23:46</t>
  </si>
  <si>
    <t>Инна, вот это удача    Вы нашли приз: Лазерная Эпиляция скидка 50% на сеанс ( кроме ног) 
Свяжитесь с нами для получения.</t>
  </si>
  <si>
    <t>74</t>
  </si>
  <si>
    <t>23:35</t>
  </si>
  <si>
    <t>08.08.2020 23:35</t>
  </si>
  <si>
    <t>Инна, не угадали. Но это не повод грустить.
Вы можете раскрыть ещё 1 предмет.
Осталось 12 призов  
Получите ещё 1 попытку, подписавшись на сообщения сообщества</t>
  </si>
  <si>
    <t>129</t>
  </si>
  <si>
    <t>23:34</t>
  </si>
  <si>
    <t>08.08.2020 23:34</t>
  </si>
  <si>
    <t>Инна, вы можете попробовать еще раз через 7 секунд ⏳</t>
  </si>
  <si>
    <t>126</t>
  </si>
  <si>
    <t>23:29</t>
  </si>
  <si>
    <t>08.08.2020 23:29</t>
  </si>
  <si>
    <t>Инна, приза нет. Но не стоит расстраиваться.
Осталось 12 призов  
Получите ещё 2 попытки, сделав репост этой записи</t>
  </si>
  <si>
    <t>246</t>
  </si>
  <si>
    <t>23:20</t>
  </si>
  <si>
    <t>08.08.2020 23:20</t>
  </si>
  <si>
    <t>Инна, приза нет. Но не стоит расстраиваться.
Вы можете раскрыть ещё 1 предмет.
Осталось 12 призов  
Получите ещё 1 попытку, подписавшись на сообщения сообщества</t>
  </si>
  <si>
    <t>391</t>
  </si>
  <si>
    <t>23:13</t>
  </si>
  <si>
    <t>08.08.2020 23:13</t>
  </si>
  <si>
    <t>Инна, вы можете попробовать еще раз через 3 минуты 14 секунд ⏳</t>
  </si>
  <si>
    <t>23:11</t>
  </si>
  <si>
    <t>08.08.2020 23:11</t>
  </si>
  <si>
    <t>Инна, не угадали. Но это не повод грустить.
Вы можете раскрыть ещё 2 предмета.
Осталось 12 призов  
Получите ещё 2 попытки, сделав репост этой записи</t>
  </si>
  <si>
    <t>56</t>
  </si>
  <si>
    <t>08.08.2020 23:09</t>
  </si>
  <si>
    <t>22:58</t>
  </si>
  <si>
    <t>Алена, а-хре-неть!!! Это ж какая боль. Плачу... Как жаль. У меня в прошлом году кошку собаки разорвали, как-то через забор перескочили. Сочувствую вам очень!!</t>
  </si>
  <si>
    <t>Мария Алёшина</t>
  </si>
  <si>
    <t>22:31</t>
  </si>
  <si>
    <t>08.08.2020 22:31</t>
  </si>
  <si>
    <t>это уж настоящий эксперт! и настоящий мущщина с задом крепко промужчиненным!</t>
  </si>
  <si>
    <t>08.08.2020 22:30</t>
  </si>
  <si>
    <t>Да представляю я, как он свою категорию получил! Пришел на кафедру урологии, нашел профессора. Подошел к нему, браво снял штаны, повернулся задом, храбро встал раком, отважно раздвинул ягодицы. Чпок! Светило урологической мысли взошло!)</t>
  </si>
  <si>
    <t>08.08.2020 22:29</t>
  </si>
  <si>
    <t>кандидатскую он пишет про витаминно-протеиновый массаж простаты тем пальцем, который между ног. опыты он с профессором ставит на самом себе. его заду очень больно, оттуда сильно течет, но он мужественно терпит. чтоб внести свой вклад в упологическую мысль!</t>
  </si>
  <si>
    <t>22:17</t>
  </si>
  <si>
    <t>08.08.2020 22:17</t>
  </si>
  <si>
    <t>Кристина, в этот раз не повезло, но если не сдаваться, то всё получится.
Осталось 12 призов  
 Не удалось проверить наличие репоста, чтобы добавить ещё 2 попытки. Проверьте настройки приватности.</t>
  </si>
  <si>
    <t>155</t>
  </si>
  <si>
    <t>Кристина Носова</t>
  </si>
  <si>
    <t>10.08.2020 09:29</t>
  </si>
  <si>
    <t>Дорогие друзья!
⠀
И ещё одна отличная новость уже для жителей Владикавказа
⠀
Сразу после Республики Ингушетия, наши доктора летят во Владикавказ!
⠀
И уже ‼️20 августа‼️ наш главный врач, акушер-гинеколог, репродуктолог, к.м.н. Шибанова Екатерина Игоревна @dr.shibanova_kat и заместитель главного врача по лечебной работе, врач репродуктолог, онкогинеколог, к.м.н. Балахонцева Ольга Сергеевна @dr.olga_balakhontseva проведут приёмы по бесплодию, ✔️включая УЗИ в клинике  в клинике «ЭКСПЕРТ» по адресу:
⠀
Владикавказ, ул Барбашова, 64А
⠀
Запись на приёмы осуществляется по телефону: +7(8672)333933
⠀
Стоимость: 4000р.
⠀
⚠️Для полноценной оценки состояния репродуктивного здоровья рекомендовано иметь при себе:
⠀
✅Гормональный профиль: СДАЙТЕ кровь на 2-3 день цикла на ЛГ, ФСГ, АМГ, Пролактин, ДГАЭ-С, ТТГ ( анализы ЖЕЛАТЕЛЬНО должны быть не более 5-6 месяцев давности);
✅Спермограмму;
✅ Заключения всех операций, стационарного лечения;
✅ Календарь менструального цикла ( особенно день начала данного менструального цикла).
⠀
Сайт клиники:
https://www.mrtexpert.ru
@clinicexpert_vkz
⠀
До скорой встречи!
⠀
С заботой о Вас и Вашем будущем, #neoteam</t>
  </si>
  <si>
    <t>Венера Минина</t>
  </si>
  <si>
    <t>22:04</t>
  </si>
  <si>
    <t>08.08.2020 22:50</t>
  </si>
  <si>
    <t>⠀⠀Дорогие друзья!
⠀
⠀⠀И ещё одна отличная новость уже для жителей Владикавказа
⠀
⠀⠀Сразу после Республики Ингушетия мы с @dr.shibanova_kat мы отправляемся во Владикавказ!
⠀
⠀⠀И уже 20 августа мы проведём приёмы по бесплодию, ✔️включая УЗИ в клинике  в клинике «ЭКСПЕРТ» по адресу:
⠀
Владикавказ, ул Барбашова, 64А
⠀
⠀⠀Запись на приёмы осуществляется по телефону: +7(867) 228-95-40
⠀
⠀⠀Стоимость: 4000р.
⠀
⠀⠀⚠️не забывайте, что для полноценной оценки состояния репродуктивного здоровья мы рекомендуем иметь при себе:
⠀
✅Гормональный профиль: СДАЙТЕ кровь на 2-3 день цикла на ЛГ, ФСГ, АМГ, Пролактин, ДГАЭ-С, ТТГ ( анализы ЖЕЛАТЕЛЬНО должны быть не более 5-6 месяцев давности);
✅Спермограмму;
✅ Заключения всех операций, стационарного лечения;
✅ Календарь менструального цикла ( особенно день начала данного менструального цикла).
⠀
⠀⠀Сайт клиники:
https://www.mrtexpert.ru
@clinicexpert_vkz 
⠀
⠀⠀Всех, кто так хочет #детямбыть ждём!!!
⠀
⠀⠀С заботой о вас и вашем здоровье, ваша @dr.olga_balakhontseva</t>
  </si>
  <si>
    <t>Ольга Сергеевна Балахонцева</t>
  </si>
  <si>
    <t>Северная Осетия - Алания</t>
  </si>
  <si>
    <t>Владикавказ</t>
  </si>
  <si>
    <t>21:59</t>
  </si>
  <si>
    <t>08.08.2020 21:59</t>
  </si>
  <si>
    <t>Елена, в этот раз не повезло, но если не сдаваться, то всё получится.
Осталось 12 призов  
Получите ещё 2 попытки, сделав репост этой записи</t>
  </si>
  <si>
    <t>08.08.2020 22:00</t>
  </si>
  <si>
    <t>Медицинский центр "Клиника Эксперт Курск", 149</t>
  </si>
  <si>
    <t>21:54</t>
  </si>
  <si>
    <t>08.08.2020 21:54</t>
  </si>
  <si>
    <t>Кристина, возвращайтесь и испытайте удачу снова  У вас есть ещё 1 попытка.</t>
  </si>
  <si>
    <t>21:39</t>
  </si>
  <si>
    <t>08.08.2020 21:40</t>
  </si>
  <si>
    <t>Кристина, в этот раз промах. Приза тут нет.
Вы можете раскрыть ещё 1 предмет.
Осталось 12 призов  
 Не удалось проверить наличие репоста, чтобы добавить ещё 2 попытки. Проверьте настройки приватности.</t>
  </si>
  <si>
    <t>253</t>
  </si>
  <si>
    <t>21:38</t>
  </si>
  <si>
    <t>08.08.2020 21:38</t>
  </si>
  <si>
    <t>21:27</t>
  </si>
  <si>
    <t>08.08.2020 21:27</t>
  </si>
  <si>
    <t>Таисия, в этот раз промах. Приза тут нет.
Осталось 12 призов  
Получите ещё 2 попытки, сделав репост этой записи</t>
  </si>
  <si>
    <t>215</t>
  </si>
  <si>
    <t>20:40</t>
  </si>
  <si>
    <t>09.08.2020 15:11</t>
  </si>
  <si>
    <t>Если проанализировать источники трафика в клинику, то, в большинстве случаев, самым эффективным источником станут рекомендации, или другими словами «сарафанное радио». В современных экономических условиях стоит обратить самое пристальное внимание на этот канал привлечения. 
Чаще всего «сарафанное радио» никак не управляется. "Есть и хорошо". 
Но с ним можно и нужно работать.
Прежде всего пересмотрите своё отношение к администраторам клиник и их функциям. 
Администратор клиники - это ключевой сотрудник! Администраторы могут заполнить клинику пациентами, если преобразовать стойку администраторов в отдел продаж, внедрить в клинику систему заботы о пациентах и начать работать с базой пациентов через программу лояльности.
Нас слишком долго приучали к привлечению новых пациентов через рекламу. И многие, в погоне за новыми лидами, забыли о своих пациентах в картотеках, которых однажды уже привлекли в клинику, оказали помощь и выстроили первые отношения. 
База пациентов - это нескончаемый источник для клиники. При выстроенной системе работы с базой, администраторы смогут заботиться о пациентах клиники. Тем самым создавая стабильный поток пациентов.
А программа лояльности - это главный помощник администраторов клиники в построении и поддержании долгосрочных отношений с пациентами. Она помогает делать касания со всеми пациентами в периоды между обращениями в клинику.
Эксперт проекта BossClinic Владислав Кутузов.</t>
  </si>
  <si>
    <t>Medical Business School</t>
  </si>
  <si>
    <t>20:37</t>
  </si>
  <si>
    <t>08.08.2020 20:37</t>
  </si>
  <si>
    <t>20:22</t>
  </si>
  <si>
    <t>08.08.2020 20:23</t>
  </si>
  <si>
    <t>Таисия, не угадали. Но это не повод грустить.
Вы можете раскрыть ещё 1 предмет.
Осталось 12 призов  
Получите ещё 2 попытки, сделав репост этой записи</t>
  </si>
  <si>
    <t>94</t>
  </si>
  <si>
    <t>20:05</t>
  </si>
  <si>
    <t>08.08.2020 20:05</t>
  </si>
  <si>
    <t>Наташа, возвращайтесь и испытайте удачу снова  У вас есть ещё 2 попытки.</t>
  </si>
  <si>
    <t>19:20</t>
  </si>
  <si>
    <t>08.08.2020 19:20</t>
  </si>
  <si>
    <t>19:03</t>
  </si>
  <si>
    <t>09.08.2020 19:21</t>
  </si>
  <si>
    <t>Новости о наших командировках ещё не закончились!
⠀
Дорогие, #моисамыепреданныепациенты, сразу после приема в городе Назрань, мы летим во Владикавказ! Я же обещала!)
⠀
Уже 20 августа мы с Ольгой Сергеевной Балахонцевой @dr.olga_balakhontseva проведём первичные приёмы по бесплодию, конечно же, включая УЗИ в клинике «ЭКСПЕРТ» по адресу:
Владикавказ, ул Барбашова, 64А
⠀
Запись на приёмы осуществляется по телефону: +7(8672)333933
⠀
Стоимость: 4000р.
⠀
⚠️Напоминаю, что для полноценной оценки состояния репродуктивного здоровья рекомендовано иметь при себе:
⠀
✅Гормональный профиль: СДАЙТЕ кровь на 2-3 день цикла на ЛГ, ФСГ, АМГ, Пролактин, ДГАЭ-С, ТТГ ( анализы ЖЕЛАТЕЛЬНО должны быть не более 5-6 месяцев давности);
✅Спермограмму;
✅ Заключения всех операций, стационарного лечения;
✅ Календарь менструального цикла ( особенно день начала данного менструального цикла).
⠀
Сайт клиники:
https://www.mrtexpert.ru
@clinicexpert_vkz
⠀
Жду Вас на приёме!
⠀
Ваша #докторшибанова</t>
  </si>
  <si>
    <t>Екатерина Игоревна Шибанова</t>
  </si>
  <si>
    <t>19:01</t>
  </si>
  <si>
    <t>08.08.2020 19:01</t>
  </si>
  <si>
    <t>Ольга, в этот раз не повезло, но если не сдаваться, то всё получится.
Осталось 12 призов  
Получите ещё 1 попытку, подписавшись на сообщения сообщества</t>
  </si>
  <si>
    <t>140</t>
  </si>
  <si>
    <t>18:59</t>
  </si>
  <si>
    <t>10.08.2020 12:43</t>
  </si>
  <si>
    <t>NEO Центр Репродукции Человека</t>
  </si>
  <si>
    <t>18:51</t>
  </si>
  <si>
    <t>08.08.2020 18:51</t>
  </si>
  <si>
    <t>18:40</t>
  </si>
  <si>
    <t>08.08.2020 21:56</t>
  </si>
  <si>
    <t>Группа компаний «Эксперт», владеющая сетью центров лучевой диагностики «МРТ-Эксперт» и многопрофильными клиниками в регионах, объявила о приобретении 100% в уставном капитале компании со сводимо названием ООО «Медэксперт» в Белгороде. 
ООО «Медэксперт» зарегистрировано в Белгороде в декабре 2014 года и с 17 июня 2020 года на 100% принадлежит ООО «Барель», головной компанией которого является ГК «Эксперт». Выручка клиник «Медэксперт» в 2019 году составила 55,1 млн рублей, чистая прибыль – 770 тысяч рублей.
Размер сделки не раскрывается. 
ГК «Эксперт» основана в 2007 году и присутствует в 40 регионах России, объединяя одну из крупнейших в стране сетей лучевой диагностики «МРТ-Эксперт» (40 точек), а также 11 многопрофильных медцентров «Клиника Эксперт». В 2019 году выручка группы составила более 4 млрд рублей.
В начале июня 2020 года «Газпромбанк» приобрел миноритарную долю в ГК «Эксперт». Согласно условиям сделки, банк предоставит группе инвестиционное и заемное финансирование
 https://vademec.ru/news/2020/08/07/gk-ekspert-otkryla-medtsentr-v-belgorode/
ГК «Эксперт» открыла медцентр в Белгороде
Группа компаний «Эксперт», владеющая сетью центров лучевой диагностики «МРТ-Эксперт» и многопрофильными клиниками в регионах, объявила о приобретении 100% в уставном капитале ООО «Медэксперт» в Белгороде. Ребрендинг запланирован на январь 2021 года.
https://vademec.ru/news/2020/08/07/gk-ekspert-otkryla-medtsentr-v-belgorode/</t>
  </si>
  <si>
    <t>M&amp;A Новости</t>
  </si>
  <si>
    <t>telegram.me</t>
  </si>
  <si>
    <t>Мессенджеры</t>
  </si>
  <si>
    <t>18:39</t>
  </si>
  <si>
    <t>08.08.2020 19:40</t>
  </si>
  <si>
    <t>Ivan Peshkov</t>
  </si>
  <si>
    <t>M&amp;A News / Новости M&amp;A</t>
  </si>
  <si>
    <t>08.08.2020 18:09</t>
  </si>
  <si>
    <t>Ольга, жаль, но тут приза нет. Приз спрятан в другом месте.
Осталось 12 призов  
 Не удалось проверить наличие репоста, чтобы добавить ещё 2 попытки. Проверьте настройки приватности.</t>
  </si>
  <si>
    <t>Нейтральная</t>
  </si>
  <si>
    <t>113</t>
  </si>
  <si>
    <t>18:05</t>
  </si>
  <si>
    <t>08.08.2020 18:05</t>
  </si>
  <si>
    <t>Позитивная</t>
  </si>
  <si>
    <t>18:01</t>
  </si>
  <si>
    <t>08.08.2020 18:02</t>
  </si>
  <si>
    <t>17:52</t>
  </si>
  <si>
    <t>08.08.2020 17:52</t>
  </si>
  <si>
    <t>Ольга, вы можете попробовать еще раз через 3 минуты 51 секунду ⏳</t>
  </si>
  <si>
    <t>17:50</t>
  </si>
  <si>
    <t>08.08.2020 17:51</t>
  </si>
  <si>
    <t>Ольга, жаль, но тут приза нет. Приз спрятан в другом месте.
Вы можете раскрыть ещё 1 предмет.
Осталось 12 призов  
 Не удалось проверить наличие репоста, чтобы добавить ещё 2 попытки. Проверьте настройки приватности.</t>
  </si>
  <si>
    <t>233</t>
  </si>
  <si>
    <t>17:34</t>
  </si>
  <si>
    <t>08.08.2020 17:34</t>
  </si>
  <si>
    <t>Андрей, вы уже выиграли в этом конкурсе  Свяжитесь с нами, чтобы получить приз</t>
  </si>
  <si>
    <t>Медицинский центр "Клиника Эксперт Курск", 330</t>
  </si>
  <si>
    <t>Андрей Музалев</t>
  </si>
  <si>
    <t>17:29</t>
  </si>
  <si>
    <t>08.08.2020 17:29</t>
  </si>
  <si>
    <t>Андрей, вот это удача    Вы нашли приз: Скидка на пилинг 500 рублей 
Свяжитесь с нами для получения.</t>
  </si>
  <si>
    <t>Медицинский центр "Клиника Эксперт Курск", 327</t>
  </si>
  <si>
    <t>17:23</t>
  </si>
  <si>
    <t>08.08.2020 17:23</t>
  </si>
  <si>
    <t>Андрей, угадайте, где приз  Дарим ещё 2 попытки.</t>
  </si>
  <si>
    <t>17:20</t>
  </si>
  <si>
    <t>08.08.2020 17:20</t>
  </si>
  <si>
    <t>08.08.2020 17:15</t>
  </si>
  <si>
    <t>17:10</t>
  </si>
  <si>
    <t>08.08.2020 17:10</t>
  </si>
  <si>
    <t>Ленка, тут уже проверил другой участник 
Выберите другой номер ➡ activebot.ru/c/zL1Na6BKR
Осталось 13 призов.
 Не удалось проверить наличие репоста, чтобы добавить ещё 2 попытки. Проверьте настройки приватности.</t>
  </si>
  <si>
    <t>Ленка Сашина</t>
  </si>
  <si>
    <t>17:09</t>
  </si>
  <si>
    <t>08.08.2020 17:09</t>
  </si>
  <si>
    <t>Ленка, тут уже проверил другой участник 
Выберите другой номер ➡ activebot.ru/c/zL1Na6BKR
Осталось 13 призов.
Получите ещё 1 попытку, подписавшись на сообщения сообщества</t>
  </si>
  <si>
    <t>146</t>
  </si>
  <si>
    <t>17:08</t>
  </si>
  <si>
    <t>08.08.2020 17:08</t>
  </si>
  <si>
    <t>142</t>
  </si>
  <si>
    <t>Курский Бомондъ</t>
  </si>
  <si>
    <t>17:01</t>
  </si>
  <si>
    <t>08.08.2020 17:01</t>
  </si>
  <si>
    <t>16:38</t>
  </si>
  <si>
    <t>08.08.2020 16:38</t>
  </si>
  <si>
    <t>Кристина, жаль, но тут приза нет. Приз спрятан в другом месте.
Осталось 13 призов  
 Не удалось проверить наличие репоста, чтобы добавить ещё 2 попытки. Проверьте настройки приватности.</t>
  </si>
  <si>
    <t>93</t>
  </si>
  <si>
    <t>16:34</t>
  </si>
  <si>
    <t>08.08.2020 16:34</t>
  </si>
  <si>
    <t>16:30</t>
  </si>
  <si>
    <t>08.08.2020 16:30</t>
  </si>
  <si>
    <t>08.08.2020 16:19</t>
  </si>
  <si>
    <t>Кристина, жаль, но тут приза нет. Приз спрятан в другом месте.
Вы можете раскрыть ещё 1 предмет.
Осталось 13 призов  
 Не удалось проверить наличие репоста, чтобы добавить ещё 2 попытки. Проверьте настройки приватности.</t>
  </si>
  <si>
    <t>79</t>
  </si>
  <si>
    <t>16:18</t>
  </si>
  <si>
    <t>08.08.2020 16:18</t>
  </si>
  <si>
    <t>08.08.2020 16:17</t>
  </si>
  <si>
    <t>Елена, вы можете попробовать еще раз через 3 минуты 53 секунды ⏳</t>
  </si>
  <si>
    <t>151</t>
  </si>
  <si>
    <t>16:15</t>
  </si>
  <si>
    <t>08.08.2020 16:16</t>
  </si>
  <si>
    <t>Елена, приза нет. Но не стоит расстраиваться.
Вы можете раскрыть ещё 1 предмет.
Осталось 13 призов  
Получите ещё 1 попытку, подписавшись на сообщения сообщества</t>
  </si>
  <si>
    <t>330</t>
  </si>
  <si>
    <t>08.08.2020 16:15</t>
  </si>
  <si>
    <t>Наташа, угадайте, где приз  Дарим ещё 2 попытки.</t>
  </si>
  <si>
    <t>16:12</t>
  </si>
  <si>
    <t>08.08.2020 16:12</t>
  </si>
  <si>
    <t>Cosmo Конкурс
УрА-УРа!
Стартует "Cosmo"❤ конкурс от Медицинский центр "Клиника Эксперт Курск"
Дарим 20 красивых подарков на услуги косметолога:
Скидки, сертификаты, бесплатные посещения.
Осталось угадать где спрятан приз 
Выберите подарок, который понравится  activebot.ru/c/zL1Na6BKR
Напишите его номер в комментариях под постом и узнайте, что за ним скрыто. У каждого участника 3 попытки с минимальным интервалом в 5 минут. Вступите в группу, чтобы участвовать.
Получите еще 2 попытки за репост этой записи.</t>
  </si>
  <si>
    <t>Твоя Жемчужинка</t>
  </si>
  <si>
    <t>16:11</t>
  </si>
  <si>
    <t>08.08.2020 16:11</t>
  </si>
  <si>
    <t>Твоя, вот это удача    Вы нашли приз: Комплексная чистка лица 
Свяжитесь с нами для получения.</t>
  </si>
  <si>
    <t>37</t>
  </si>
  <si>
    <t>16:10</t>
  </si>
  <si>
    <t>08.08.2020 16:10</t>
  </si>
  <si>
    <t>Твоя, угадайте, где приз  Дарим ещё 2 попытки.</t>
  </si>
  <si>
    <t>15:54</t>
  </si>
  <si>
    <t>08.08.2020 22:19</t>
  </si>
  <si>
    <t>5 Easy Facts About residential assisted living Described</t>
  </si>
  <si>
    <t>5 Easy Facts About residential assisted living Described 5 Easy Facts About residential assisted living Described Category: Blog Here are a few assisted living situations, but many selections offered to Those people in need to have are broken right down to:Just about every of such positions must be stuffed when the ability is introduced. If you don't want to manage marketing and advertising and accounting responsibilities, these roles have to be stuffed by specialists.Following a major renovation, a new CO frequently needs to be issued. If your house of organization might be renovated ahead of opening, it is usually recommended to incorporate language in the lease agreement stating that lease payments will likely not begin right until a sound CO is issued.Gilbert inhabitants take pleasure in a hot, dry weather, with July highs achieving a hundred and five degrees Fahrenheit and January lows in the lower-40s. Town receives just nine inches of rain and it has 296 sunny days yearly.IHSP provides both equally reasonably priced housing, in addition to supportive products and services, which enhance opportunities for independence and independence of preference.Nursing facility products and services are less intensive than inpatient clinic expert services and are purchased beneath the course of the medical doctor.You’ll find out just how to find them, fund them and fill them. You will also learn the way to work the house while not having to become on-internet site. You'll get the established advertising tricks to fill your property and how to find the right workers to function it.Assisted living is for those who have to have assist with daily treatment, although not as much support for a nursing dwelling presents. Assisted living services array in dimensions from as couple as 25 residents to one hundred twenty or even more. Normally, a number of "amounts of treatment" are made available, with people shelling out a lot more for increased levels of treatment.The Vi relatives of communities contains ten continuing treatment retirement communities (CCRCs) throughout The usa. We've got more than thirty many years of experience since the proprietor/operator of residential communities for more mature Older people, and possess ongoing to operate towards giving high-quality environments, companies and systems to counterpoint the lives of Those people we provide. Find out more About Vi Company "Wonderful facility exceeds our anticipations. My spouse in the last years was in other facilities and none Assess to Springdale.It's also advisable to think about using a registered agent provider to assist defend your privateness and continue to be compliant.back Dementia is actually a common time period to get a decrease in memory and also other pondering techniques that interferes with anyone’s power to execute day to day activities. Has your cherished a person been diagnosed using a kind of dementia?"The meals are fantastic! The facility is in a fantastic downtown region and it is straightforward to go to nearby restaurants, coffee shops, and antique shops. The turtle and koi ponds are comforting and I also have a..." Much moreA solid How to get started in World-wide-web presence can even assist. Although several seniors usually do not use the net at a superior frequency, their close relatives probable do. Bolster your site's search engine optimization (Search engine optimization) and it'll be that less of a challenge for potential customers as well as their members of the family to uncover your small business on the first site or two of search engine success.</t>
  </si>
  <si>
    <t>johnnyvyzaa.digiblogbox.com</t>
  </si>
  <si>
    <t>Блог</t>
  </si>
  <si>
    <t>15:16</t>
  </si>
  <si>
    <t>08.08.2020 15:16</t>
  </si>
  <si>
    <t>Поздравляю!</t>
  </si>
  <si>
    <t>Утк Жёлтый</t>
  </si>
  <si>
    <t>Мончегорск</t>
  </si>
  <si>
    <t>14:04</t>
  </si>
  <si>
    <t>09.08.2020 03:12</t>
  </si>
  <si>
    <t>Диагностика и план лечения☑️
⠀
Для того чтобы составить эффективный план лечения, доктору необходимо провести обследование. Эксперты Лавиани проводят компьютерную томографию для максимально полной диагностики.
⠀
Пошаговая инструкция:
Составление анамнеза
Визуальный осмотр
Прохождение компьютерной томографии
Составления плана лечения
Обсуждение с пациентом предстоящего лечения
⠀
План лечения — это четкая последовательность манипуляций стоматолога, которая состоит из нескольких этапов, каждый из которых подробно описывается. Указывается стоимость лечения, сколько оно займет времени.
⠀
☑️ Отказываясь от рекомендованного плана, нужно осознавать все возможные последствия. Несоблюдение рекомендаций врача может привести к неэффективности лечения.
⠀
Благодаря качественной диагностике и составленному плану, пациент будет понимать, что нужно лечить и в каком объеме. Эксперт выстраивает четкую тактику лечения по каждому зубу, а пациент понимает к чему ему нужно быть готовым.
С заботой о вас и вашем здоровье, эксперты клиники Лавиани.
 Запись на консультацию: 77-99-33
#доверяюлавиани
#клиникаэксперт
#стоматологиялавиани</t>
  </si>
  <si>
    <t>КОСМЕТОЛОГИЯ И СТОМАТОЛОГИЯ</t>
  </si>
  <si>
    <t>13:32</t>
  </si>
  <si>
    <t>10.08.2020 15:14</t>
  </si>
  <si>
    <t>Напряженное состязание окончено: неделю назад мы подвели итоги интернет-конкурса «Самый красивый доктор Иркутска — 2020»</t>
  </si>
  <si>
    <t>Напряженное состязание окончено: неделю назад мы подвели итоги интернет-конкурса «Самый красивый доктор Иркутска — 2020». Победителем стал травматолог-ортопед, хирург клиники «Эксперт» Дмитрий Шобогоров. Он лидировал в голосовании с самого начала и набрал 9254 голоса. Второе место у медицинской сестры Светланы Жучевой (8739 голосов). Замыкает тройку призеров врач терапевт-гастроэнтеролог Любовь Рудакова (6399 голосов). К сожалению, из-за продления режима самоизоляции церемония награждения переносится, но пока мы расскажем вам о победителе Дмитрии Шобогорове.</t>
  </si>
  <si>
    <t>Татьяна Имегенова</t>
  </si>
  <si>
    <t>Иркутская область</t>
  </si>
  <si>
    <t>Ворот-Онгой</t>
  </si>
  <si>
    <t>12:10</t>
  </si>
  <si>
    <t>08.08.2020 15:15</t>
  </si>
  <si>
    <t>ПОЧЕМУ ВЕС «НЕ УХОДИТ»,
если:
⠀
❓было перепробовано множество диет?
❓стараетесь заниматься спортом?
❓считаете калории при каждом приёме пищи?
⠀
Обычно, на это всего 2 причины:
⠀
❌Делаете что-то не так.
❌Есть нарушения в организме.
⠀
⚠️В этих ситуациях необходимо записаться к диетологу!
⠀
В «Клинике Эксперт Ростов»:
⠀
✔️Проводим диагностику состава тела.
✔️Проводим диагностику причин набора массы тела.
✔️Корректируем все типы нарушения пищевого поведения.
✔️Проводим индивидуальное обучение в школе «правильного питания и снижения веса».
✔️Проводим индивидуальное обучение в школе «сахарного диабета».
✔️Составляем программу питания.
✔️Составляем индивидуальную программу обследования при ожирении в зависимости от заболеваний.
✔️Подбираем немедикаментозные и медикаментозные методы лечения.
⠀
Приём ведёт Гюльмагомедова Аида Низамовна!
⠀
В «Клинике Эксперт» научно-обоснованный подход к снижению веса!
⠀
☎ 8(863) 309-11-29
www.mrtexpert.ru
rostov_admin@mrtexpert.ru
⏰ПН-ВС: 7:00-22:00
Ростов-на-Дону, ул. Красноармейская, д.262/122, пом.1
Лицензия: ЛО-61-01-006908</t>
  </si>
  <si>
    <t>10:51</t>
  </si>
  <si>
    <t>08.08.2020 20:34</t>
  </si>
  <si>
    <t>Ирина Боровова</t>
  </si>
  <si>
    <t>10:45</t>
  </si>
  <si>
    <t>Наталья Чагина</t>
  </si>
  <si>
    <t>10:22</t>
  </si>
  <si>
    <t>МРТ Эксперт</t>
  </si>
  <si>
    <t>Добрый день, Юлия! Благодарю за высокую оценку наших специалистов.
При наличии свободного места обязательно пропускаем пациента на нашу парковку. Но поток людей большой, поэтому, к сожалению, не всегда удаётся поставить автомобиль.
Вы делали сложное исследование, которое длится 45 минут и, соответственно, требует подробного описания результатов, что занимает время. Сожалею, если изначально Вас неправильно информировали по времени ожидания результата. С сотрудниками разберу Ваш отзыв, чтобы были более внимательными при общении с пациентами. Желаем Вам крепкого здоровья.
С уважением, исполнительный директор ООО «МРТ Эксперт Зеленоград», Романов Игорь Анатольевич.</t>
  </si>
  <si>
    <t>Благовещенка</t>
  </si>
  <si>
    <t>10:17</t>
  </si>
  <si>
    <t>10.08.2020 05:26</t>
  </si>
  <si>
    <t>We posten bewust weinig voor-en nafoto’s omwille van privacy-redenen. Maar deze wilden we jullie toch niet onthouden. Prachtig resultaat by our very own @chriscambre 
Meer info @lightfallsclinic 
#liquidnosejob #fillers #aestheticmedicine #subtle #betteryou #lightfalls #cosmedic #clinic #expert</t>
  </si>
  <si>
    <t>Lightfalls Cosmedic Clinic</t>
  </si>
  <si>
    <t>Бельгия</t>
  </si>
  <si>
    <t>Фландрия</t>
  </si>
  <si>
    <t>Schelderode</t>
  </si>
  <si>
    <t>We posten bewust weinig voor-en nafoto’s omwille van privacy-redenen. Maar deze wilden we jullie toch niet onthouden. Prachtig resultaat by our very own @chriscambre 
Meer info @lightfallsclinic 
#liquidnosejob #fillers #aestheticmedicine #subtle #betteryou #lightfalls #cosmedic #clinic #expert
@chriscambre</t>
  </si>
  <si>
    <t>Мелле</t>
  </si>
  <si>
    <t>09:15</t>
  </si>
  <si>
    <t>8 августа - Всемирный день офтальмолога, поздравляем наших врачей и коллег из других клиник с профессиональным праздником!
.
Офтальмологи клиники "Эксперт" приготовили специальный подарок для пациентов с 8 по 15 августа:
в дополнение к консультации, каждый пациент получит осмотр глазного дна с расширенным зрачком
.
Это дополнительное исследование необходимо для лечения спазма аккомодации, амблиопии, воспалительных глазных заболеваний.
❗️Обратите внимание! После проведения осмотра глазного дна под мидриазом в течение 2-3 часов может сохраняться побочный эффект: затуманивание, размытость зрения. По окончании процедуры не следует садиться за руль.
 Рекомендуется также воспользоваться солнечными очками при выходе из клиники на яркий дневной свет, так как из-за расширенного зрачка в глазах будет ощущаться дискомфорт.
Запись на консультацию к офтальмологу
+7(342) 215 30 03
ул. Монастырская 42А (отдельное здание около моста, бесплатная парковка для пациентов)
@svbogdanova_oftalmolog_perm 
#офтальмологпермь #окулистпермь #офтальмологияпермь #клиникаэкспертпермь #клиникаэксперт</t>
  </si>
  <si>
    <t>06:51</t>
  </si>
  <si>
    <t>08.08.2020 19:16</t>
  </si>
  <si>
    <t>Дякую всім❤❤❤ відкликнулись дуже багато людей. Ви всі великі молодці!! Ви неперевершені♥️♥️❤ ваша активність та добрі серця дають шанс на життя Алінці.
Кожна хвилина Вашого часу, кожна гривня на вагу золота
Зараз Алінка знаходиться в Києві Верум эксперт клиник (VERUM expert clinic)-Це спеціалізований центр експертного рівня.Обстеження дуже дороговартісне  .Посильна допомога залишається актуальною .Адже Київ дуже дорогий .РЕПОСТ РЕПОСТ
Реквізити для допомоги
Карта приватбанка
 5168 7427 3154 5491 Клопота Аліна Іванівна.</t>
  </si>
  <si>
    <t>Алина Зинченко</t>
  </si>
  <si>
    <t>Кировоградская область</t>
  </si>
  <si>
    <t>Карлівка</t>
  </si>
  <si>
    <t>05:43</t>
  </si>
  <si>
    <t>08.08.2020 15:35</t>
  </si>
  <si>
    <t>Латышева Елена</t>
  </si>
  <si>
    <t>Липецкая область</t>
  </si>
  <si>
    <t>Липецк</t>
  </si>
  <si>
    <t>07.08.2020</t>
  </si>
  <si>
    <t>23:58</t>
  </si>
  <si>
    <t>8 ЛЕТМРТ С ГАРАНТИЕЙ 
МРТ С ГАРАНТИЕЙ
https://www.mrtexpert.ru/mur</t>
  </si>
  <si>
    <t>Дополненный репост</t>
  </si>
  <si>
    <t>23:01</t>
  </si>
  <si>
    <t>21:37</t>
  </si>
  <si>
    <t>Интервью на тему: МРТ с гарантией
Философия бренда МРТ Эксперт - это гарантия качества нашей работы! Подробнее про философию «МРТ с Гарантией» рассказала медицинский директор стратегического бизнес-направления «Лучевая диагностика» Оксана Волкова
#ГКЭксперт #мртэксперт #КлиникаЭксперт #ПерсонаБренда</t>
  </si>
  <si>
    <t>Елена Митина</t>
  </si>
  <si>
    <t>21:05</t>
  </si>
  <si>
    <t>ГК «Эксперт» открыла медцентр в Белгороде
Группа компаний «Эксперт», владеющая сетью центров лучевой диагностики «МРТ-Эксперт» и многопрофильными клиниками в регионах, объявила о ...
https://vademec.ru/news/2020/08/07/gk-ekspert-otkryla-medtsentr-v-belgorode/</t>
  </si>
  <si>
    <t>Vademecum</t>
  </si>
  <si>
    <t>ГК «Эксперт» открыла медцентр в Белгороде</t>
  </si>
  <si>
    <t>Группа компаний «Эксперт», владеющая сетью центров лучевой диагностики «МРТ-Эксперт» и многопрофильными клиниками в регионах, объявила о приобретении 100% в уставном капитале ООО «Медэксперт» в Белгороде. Ребрендинг запланирован на январь 2021 года.
Клиника «Медэксперт» с диагностическим центром площадью 260 кв. м расположена в центре Белгорода. Сумма сделки, закрытой 4 июня 2020 года, не раскрывается.
В ГК отметили, что в настоящее время медцентр «оказывает помощь по магнитно-резонансной томографии, работает с коммерческим потоком, оказывает услуги по ОМС и ДМС».
По данным СПАРК-Интерфакс, ООО «Медэксперт» зарегистрировано в Белгороде в декабре 2014 года и с 17 июня 2020 года на 100% принадлежит ООО «Барель», головной компанией которого является ГК «Эксперт». Выручка клиник «Медэксперт» в 2019 году составила 55,1 млн рублей, чистая прибыль – 770 тысяч рублей.
ГК «Эксперт» основана в 2007 году и присутствует в 40 регионах России, объединяя одну из крупнейших в стране сетей лучевой диагностики «МРТ-Эксперт» (40 точек), а также 11 многопрофильных медцентров «Клиника Эксперт». Эта сеть с оборотом в 1,53 млрд рублей в 2018 году заняла 17-е место в рейтинге https://vademec.ru/article/dikiy_kopytolizm-_kakim_allyurom_dvizhutsya_segodnya_uchastniki_reytinga_vademecum_-top100_chastnykh/
Vademecum «ТОП150 частных многопрофильных клиник». В 2019 году, по данным ГК, выручка группы составила более 4 млрд рублей.
В феврале 2020 года открылась многопрофильная клиника в Перми, стационар и оперблок планируется запустить https://vademec.ru/news/2020/01/28/gk-ekspert-vlozhit-bolee-400-mln-rubley-v-kliniku-v-permi/  в 2021 году. Совокупные инвестиции в объект составят 411,3 млн рублей. Также в июне 2020 года ГК за 50 млн рублей расширила https://vademec.ru/news/2020/06/22/gk-ekspert-za-50-mln-rubley-rasshirila-kliniku-v-rostove-na-donu/  «Клинику Эксперт» в Ростове-на-Дону.
В начале июня 2020 года «Газпромбанк» приобрел https://vademec.ru/news/2020/06/08/gazprombank-voshel-v-aktsionernyy-kapital-gk-ekspert/  миноритарную долю в ГК «Эксперт». Согласно условиям сделки, банк предоставит группе инвестиционное и заемное финансирование.
Источник
Vademecum https://vademec.ru/
Подписывайтесь на наш канал в Telegram
https://t.me/vademecum_ru
Подписывайтесь на наш канал в Яндекс Дзен
https://zen.yandex.ru/vademec.ru
Поделиться в соц.сетях
+1
+1
+1
+1</t>
  </si>
  <si>
    <t>vademec.ru</t>
  </si>
  <si>
    <t>21:02</t>
  </si>
  <si>
    <t>Без названия
Акция «МРТ всего организма»
⏰за 2 часа
 «Посмотреть с головы до пят»
⠀
❓Как бы вы представили себе такое обследование?
⠀
‍⚕️Как оказалось, это не фантастика, а вполне посильная задача для такого метода, как магнитно-резонансная томография.
⠀
Теперь сделать такой чек-ап – просканировать свой организм «от головы до пят» возможно!
⠀
Мы разработали уникальный протокол, который включает в себя уже все имеющиеся наши комплексные исследования!
⠀
В стоимость обследования входит:
 ✅ МРТ головного мозга
 ✅МРТ артерий головного мозга
 ✅МТР всего позвоночника
 ✅ МРТ малого таза (женский):
 ✔Мочевой пузырь
 ✔Матка
✔Яичники
✔Мочеиспускательный канал
✔Прямая кишка
✔Лимфоузлы
⠀
✅МРТ малого таза (мужской):
 ✔Мочевой пузырь
✔Предстательная железа
✔Семенные пузырьки
 ✔Лимфоузлы
✔Прямая кишка
⠀
✅МРТ брюшной полости:
✔Печень
✔Селезенка
✔Поджелудочная железа
 ✔Желчевыводящие пути
 ✔Лимфоузлы
⠀
✅ МРТ забрюшинного пространства:
✔ Почки
✔Надпочечники
 ✔Мочеточники
✔Лимфоузлы
⠀
‼️Дополнительные акционные предложения смотрите в карусели
⠀
Требуется подготовка к исследованию!
⠀
️Имеются противопоказания, требуется консультация специалиста
⠀
Запись по телефону:
 ☎8(862)444 04 03
⏰ Пн-сб: с 07:00 до 23:00,
 вс: с 09:00 до 17:00
 Адрес центра: Сочи, Адлерский район, ул. Кирова, д.50
Лицензия: ЛО-23-01-0011827
Сайт: http://www.mrtexpert.ru</t>
  </si>
  <si>
    <t>Дарья Володина</t>
  </si>
  <si>
    <t>Сочи</t>
  </si>
  <si>
    <t>20:32</t>
  </si>
  <si>
    <t>10.08.2020 00:42</t>
  </si>
  <si>
    <t>Акция «МРТ всего организма»
⏰за 2 часа
 «Посмотреть с головы до пят».
⠀
❓Как бы вы представили себе такое обследование?
⠀
‍⚕️Как оказалось, это не фантастика, а вполне посильная задача для такого метода, как магнитно-резонансная томография.
⠀
Теперь сделать такой чек-ап – просканировать свой организм «от головы до пят» возможно!
⠀
Мы разработали уникальный протокол, который включает в себя уже все имеющиеся наши комплексные исследования!
⠀
В стоимость обследования входит:
 ✅ МРТ головного мозга
 ✅МРТ артерий головного мозга
 ✅МТР всего позвоночника
 ✅ МРТ малого таза (женский):
 ✔Мочевой пузырь
 ✔Матка
✔Яичники
✔Мочеиспускательный канал
✔Прямая кишка
✔Лимфоузлы
⠀
✅МРТ малого таза (мужской):
 ✔Мочевой пузырь
✔Предстательная железа
✔Семенные пузырьки
 ✔Лимфоузлы
✔Прямая кишка
⠀
✅МРТ брюшной полости:
✔Печень
✔Селезенка
✔Поджелудочная железа
 ✔Желчевыводящие пути
 ✔Лимфоузлы
⠀
✅ МРТ забрюшинного пространства:
✔ Почки
✔Надпочечники
 ✔Мочеточники
✔Лимфоузлы
⠀
‼️Дополнительные акционные предложения смотрите в карусели
⠀
Требуется подготовка к исследованию!
⠀
️Имеются противопоказания, требуется консультация специалиста
⠀
Запись по телефону:
  ☎8(862)444 04 03
⏰ Пн-сб: с 07:00 до 23:00,
 вс: с 09:00 до 17:00
 Адрес центра: Сочи, Адлерский район, ул. Кирова, д.50
Лицензия: ЛО-23-01-0011827 Сайт: http://www.mrtexpert.ru</t>
  </si>
  <si>
    <t>Svetlana Negadova</t>
  </si>
  <si>
    <t>20:23</t>
  </si>
  <si>
    <t>Акция «МРТ всего организма» ⏰за 2 часа «Посмотреть с головы до пят». ⠀ ❓Как бы вы представили себе такое обследование</t>
  </si>
  <si>
    <t>СОЧИ 24</t>
  </si>
  <si>
    <t>Акция «МРТ всего организма» ⏰за 2 часа «Посмотреть с головы до пят» @mrt_ekspert_sochi ⠀ ❓Как бы вы представили себе</t>
  </si>
  <si>
    <t>Акция «МРТ всего организма»
⏰за 2 часа
 «Посмотреть с головы до пят» @mrt_ekspert_sochi 
⠀
❓Как бы вы представили себе такое обследование?
⠀
‍⚕️Как оказалось, это не фантастика, а вполне посильная задача для такого метода, как магнитно-резонансная томография.
⠀
Теперь сделать такой чек-ап – просканировать свой организм «от головы до пят» возможно!
⠀
Мы разработали уникальный протокол, который включает в себя уже все имеющиеся наши комплексные исследования!
⠀
В стоимость обследования входит:
 ✅ МРТ головного мозга
 ✅МРТ артерий головного мозга
 ✅МТР всего позвоночника
 ✅ МРТ малого таза (женский):
 ✔Мочевой пузырь
 ✔Матка
✔Яичники
✔Мочеиспускательный канал
✔Прямая кишка
✔Лимфоузлы
⠀
✅МРТ малого таза (мужской):
 ✔Мочевой пузырь
✔Предстательная железа
✔Семенные пузырьки
 ✔Лимфоузлы
✔Прямая кишка
⠀
✅МРТ брюшной полости:
✔Печень
✔Селезенка
✔Поджелудочная железа
 ✔Желчевыводящие пути
 ✔Лимфоузлы
⠀
✅ МРТ забрюшинного пространства:
✔ Почки
✔Надпочечники
 ✔Мочеточники
✔Лимфоузлы
⠀
‼️Дополнительные акционные предложения смотрите в карусели
⠀
Требуется подготовка к исследованию!
⠀
️Имеются противопоказания, требуется консультация специалиста
@mrt_ekspert_sochi 
⠀
Запись по телефону:
 ☎8(862)444 04 03
⏰ Пн-сб: с 07:00 до 23:00,
 вс: с 09:00 до 17:00
 Адрес центра: Сочи, Адлерский район, ул. Кирова, д.50
Лицензия: ЛО-23-01-0011827 
Сайт: http://www.mrtexpert.ru
@mrt_ekspert_sochi</t>
  </si>
  <si>
    <t>СОЧИ - МОЙ ЛЮБИМЫЙ ГОРОД!</t>
  </si>
  <si>
    <t>Акция «МРТ всего организма»
⏰за 2 часа
 «Посмотреть с головы до пят» @mrt_ekspert_sochi
⠀
❓Как бы вы представили себе такое обследование?
⠀
‍⚕️Как оказалось, это не фантастика, а вполне посильная задача для такого метода, как магнитно-резонансная томография.
⠀
Теперь сделать такой чек-ап – просканировать свой организм «от головы до пят» возможно!
⠀
Мы разработали уникальный протокол, который включает в себя уже все имеющиеся наши комплексные исследования!
⠀
В стоимость обследования входит:
 ✅ МРТ головного мозга
 ✅МРТ артерий головного мозга
 ✅МТР всего позвоночника
 ✅ МРТ малого таза (женский):
 ✔Мочевой пузырь
 ✔Матка
✔Яичники
✔Мочеиспускательный канал
✔Прямая кишка
✔Лимфоузлы
⠀
✅МРТ малого таза (мужской):
 ✔Мочевой пузырь
✔Предстательная железа
✔Семенные пузырьки
 ✔Лимфоузлы
✔Прямая кишка
⠀
✅МРТ брюшной полости:
✔Печень
✔Селезенка
✔Поджелудочная железа
 ✔Желчевыводящие пути
 ✔Лимфоузлы
⠀
✅ МРТ забрюшинного пространства:
✔ Почки
✔Надпочечники
 ✔Мочеточники
✔Лимфоузлы
⠀
‼️Дополнительные акционные предложения смотрите в карусели
⠀
Требуется подготовка к исследованию!
⠀
️Имеются противопоказания, требуется консультация специалиста
@mrt_ekspert_sochi
⠀
Запись по телефону:
 ☎8(862)444 04 03
⏰ Пн-сб: с 07:00 до 23:00,
 вс: с 09:00 до 17:00
 Адрес центра: Сочи, Адлерский район, ул. Кирова, д.50
Лицензия: ЛО-23-01-0011827
Сайт: http://www.mrtexpert.ru
@mrt_ekspert_sochi</t>
  </si>
  <si>
    <t>Все новости Сочи на sochi24.tv</t>
  </si>
  <si>
    <t>20:16</t>
  </si>
  <si>
    <t>Во имя Победы! Подвиг медиков в годы Великой Отечественной войны
Во имя Победы! Подвиг медиков в годы Великой Отечественной войны
«...Сегодня, 22 июня, в 4 часа утра, без объявления войны германские ...
https://www.mrtexpert.ru/articles/589</t>
  </si>
  <si>
    <t>Сергий Голованов</t>
  </si>
  <si>
    <t>Ивановская область</t>
  </si>
  <si>
    <t>Иваново</t>
  </si>
  <si>
    <t>20:13</t>
  </si>
  <si>
    <t>Сочи 24</t>
  </si>
  <si>
    <t>19:26</t>
  </si>
  <si>
    <t>МРТ: вопросы прикладной безопасности. Часть 4</t>
  </si>
  <si>
    <t>В продолждение темы безопасности МРТ-исследований, теперь уже информационной.
Как я уже писал насчёт программного софта – в организациях навроде подобных сетевых центров ситуация одинаково дураковатая и непонятная: якобы их постоянно контролируют серьёзные дяденьки (вроде как из подразделения «К») причём и лично, и по сети, регулярно залезая на все их сервера и базы данных – так по крайней мере говорил мне Руслан, сисадмин и инженер из «Эксперта». А потому должны бы всё о них знать!
Но в реальности это не мешает им пользоваться во всех центрах бесплатными версиями скайпа (заместо Premium-версий для бизнеса), забывая о том, что бесплатные версии предназначены для физических лиц и некоммерческого использования. А потому, когда идут обрывы связи из-за перегрузки на линиях, коммерческий директор вызывает и дрючит Руслана, как-будто именно он виноват в том, что вся сеть «Эксперта» сидит на халявных серверах скайпа – но само начальство до очередной разборки какбэ забывает об этом. Но забавно совсем другое: на всех компьютерах «Эксперта» стоит антивирусная защита ESET Endpoint Antivirus, вроде бы для корпоративных сетей достаточно современная, но это обычный антивирус, без сетевого экрана – видимо, кто-то из высокого начальства решил «сэкономить» и прикупить защиту чуть-чуть подешевле. То есть компьютеры со всеми рабочими программами и базами данных практически не защищены от сетевых атак или утечки информации! И хотя, как говорил Руслан, на их входном сервере какая-то фильтрация потоков осуществляется, но как видно все порты открыты, если дяденьки-чекисты так легко входят и выходят туда каждый день. А значит, для профессионального хакера тут вообще работы на 5—10 минут, чтобы грохнуть или утащить все базы данных.
К чему это приводит – или может привести – в нашей приземлённой реальности?
Да всё очень просто: пациенты «Эксперта», их личные данные, диагнозы и банковские карты, которыми они платят, практически не защищены ни от какой утечки информации. Ни от внутренней, в лице сотрудников (например, тех же смазливых администраторш на ресепшене, набранных «по знакомству»); ни от любого внешнего вмешательства. Вопрос только в том, кому и когда эта информация может потребоваться, и когда этот слив произойдёт. Как говорится, со всеми вытекающими отсюда. Но об этом – чуть позже, в выводах статьи.
Те же ресепсионистки, которые на полных правах подключены к глобальной Сети всей экспертовской системы, часто откровенно на «вы» с компьютерами, а потому просто не понимают, что они делают. Ведь не зря же говорят специалисты-айтишники, что лучшая защита для компьютера это прокладка между креслом и монитором!
Например, пару лет назад, будучи сотрудником «Эксперта» и работая под ограниченной учётной записью – естественно, как и все остальные, – мне ничего не стоило установить на свою машину официальную программу от «Яндекса» Punto Switcher, то есть автоматический переключатель клавиатуры. Правда, у программки есть интересная особенность: опция кейлоггера, или клавиатурного перехватчика, когда она сохраняет в памяти любой набранный текст. После этого мне не составляло труда читать всю переписку своих милых кураторш из владимирского центра, которые по очереди работали в Костроме. И они ежедневно, с абсолютно инфернальной лексикой, обсуждали не только свои излюбленные грыжи-протрузии, но и сотрудников центра, и свои насущные женские проблемы... Естественно, не только в прямом эфире, то есть собственно в разговорах по скайпу, но и открытым текстом на клавиатуре. Поскольку я на полных правах считал, что это всё входит в процесс обучения и обмена опытом – а тем более, на докторской рабочей машине! – то сохранил у себя все эти скрины. А почему бы и нет? Ведь если даже у военных радистов над каждым рабочим местом висит лозунг «Внимание, противник подслушивает!», то в «Эксперте», по-моему, такой девиз надо вывешивать во всех доступных местах – от кабинета начальника до ресепшена и туалетных комнат:-))
Или второй момент: уже уйдя из этой замечательной организации, я ещё несколько месяцев, до конца 2014 года, спокойно сидел в скайпе с их учётной записи, наблюдая за всеми их рассылками, картинками и текстовыми файлами. И иногда что-то вставляя от себя, ради озорства, что до их ресепсионисток даже не доходило! (естественно, поскольку сменить пароль/логин тогда никто не удосужился, а любая версия скайпа позволяет одновременный вход в аккаунт с нескольких терминалов). Потом, когда мне надоели эти мелкие шалости, я решил отправить на их ресепшен тестовый вирус Eicar, не определяемый антивирусной защитой, и всё опять прокатило – до них даже не дошло, чем exe.-файл отличается от стандартного doc.-файла, в котором идут все их протоколы. Ведь у них одна задача: отправить документ на печать и отнести на подпись, а думать здесь совершенно необязательно. Естественно, администраторши не задумались над происхождением этого файла и его необычным внешним видом, поскольку шёл он с докторского аккаунта (на котором я и сидел). И если бы вместо теста это была настоящая атака, вроде вируса-шифровальщика или программы класса back-door для скрытого считывания данных, то работа центра была бы парализована на несколько месяцев. Или все данные пациентов благополучно и незаметно утекали бы на любой сторонний ресурс – например, к конкурентам. А обвинили бы в этом естественно того, кто сидел в том момент на врачебном компьютере, то есть через стенку от самого ресепшена. А я здесь совершенно не при делах, правда?
Затем мне стало просто интересно, где же кончается профессиональная тупость сотрудников «Эксперта»: я залез в аккаунт скайпа и заменил им пароль – раз они сами не догадались это сделать за столько времени, ради собственной безопасности, то можно же тонко намекнуть, правда? Как я помню, второго рабочего аккаунта у них не было изначально, так пускай хотя бы учатся на своих глупостях и ошибках. Надеюсь, что неработающий скайп и отсутствие помощи от своих кураторов, как манны небесной, они всё-таки заметили быстро!
После этих экспериментов, меня уже совершено не удивляло – даже задним числом, ретроспективно, как говорится, – когда я обнаружил у них на компьютерах и ломаную версию программы E-Film (которую начальство разрешило даже поставить домой, чтобы работать по удалёнке), и просроченную версию программы Team Viewer для удалённого доступа; и даже пиратским способом активированную Windows. Как-то непонятно у нас в стране идёт борьба с компьютерными пиратами, если она вообще шла, конечно – или и здесь всё проплачено? И я уже вовсе не удивился, узнав, что начальство «МРТ-Эксперта» решило сэкономить и на компьютерах, а потому наши локальные сети по скорости и пропускной способности не отвечали никаким стандартам: вместо нужных 1 Гбит/сек поставили только 100 Мбит/сек – а чё такого? цифры вроде же не намного различаются, всего в 10 раз... Ну как тут не перепутать «пендели с пикселями», по тому же дяде Мише Задорнову! Зато естественно, при любой неисправности выход сразу находился: вызвать, вздрючить и назначить виноватым всё того же Руслана, инженера и системного администратора костромского центра, как и в случаях с обрывом связи на скайпе. Интересно, начальство ему хотя бы доплачивает за работу «мальчиком для битья», или как?
Основной вывод: такой гремучей взвеси непрофессионализма, глупости и беспечности на грани бытового идиотизма я не видел ещё нигде и никогда!
Вопрос даже не в том, что «эксперты» должны бы мне выдать премию за столь показательные, хотя и безобидные по сути эксперименты – как говорится, могло бы быть и хуже, а я всё-таки, как и Остап Бендер, чту уголовный кодекс. Ну, или хотя бы стараюсь это делать – тем более что в статье я ещё не обо всём написал, чтобы не травмировать морально своих бывших работодателей.
Но основная проблема намного шире и серьёзнее: нет сомнения, что все наши данные в Сети и реальной жизни периодически утекают, причём в разных и неизвестных направлениях, и главное – в совершенно чужие руки. Именно поэтому давно не секрет не только все наши паспортные данные и адреса, но и данные биографии, и всевозможные диагнозы/заключения (представляющие несомненный интерес и для возможных работодателей, и для их конкурентов, и для прочих заинтересованных лиц). Например, тех, кто будет навяливать вам пищевые добавки в вашей же поликлинике, или ближайшем к «Эксперту» медцентре. Ведь никого уже всерьёз не удивляет, когда вам звонят на мобильный или городской номер, называют по имени-отчеству и предлагают очередные курсы для похудения, или бытовые товары; или предлагают голосовать за имярека на очередных выборах. Я уже не говорю про периодические взломы банковских карт и прочие откровенно хакерские заморочки. Просто я уверен, что те же сетевые центры имеют к этому самое непосредственное отношение – тут даже не надо быть хакером-профессионалом, чтобы узнать об их работе и клиентуре практически всё. А особенно, учитывая ту многоуровневую утечку информации, о которой я писал ещё пару лет назад, в отношении администраторов «Эксперта»: работают они, судя по всему, не только на свою фирму, но и столь же успешно на конкурентов, в лице тех же МИБСов из Петербурга. Это, учитывая тот факт, что МИБС столь успешно начали свою пиар-кампанию во всех больницах и поликлиниках Костромы, как-будто изначально были в курсе всех экспертовских событий, проблем с аппаратурой, и даже кадровых перестановок (включая и моё появление там после учёбы, в апреле 2014 года).
Вывод №2 (дополнительный): прежде чем обращаться в подобные фирмы за медицинской помощью, хорошо подумайте, хотите ли вы, чтобы все ваши данные-диагнозы-заключения стали не просто достоянием гласности, а инструментом в конкурентной междоусобной борьбе. Конечно, заполняя стандартные бланки добровольного (!!) согласия на обработку персональных данных, вы искренне надеетесь, что они никогда не будут использованы против вас. Только не убеждайте меня, что вы и правда свято во всё это верите! Особенно в нашем просвещённом 21-м веке, где информация всегда была самым дорогим, а потому самым ходким товаром в мире.
Продолжение следует....
А. Копёнкин, врач-маммолог-рентгенолог, заведующий рентгенслужбой Окружного военно-клинического госпиталя (г. Кострома) – филиал №3 ФГКУ «422 ВГ» Минобороны России</t>
  </si>
  <si>
    <t>Негативная</t>
  </si>
  <si>
    <t>Антон Копёнкин</t>
  </si>
  <si>
    <t>vrachirf.ru</t>
  </si>
  <si>
    <t>Костромская область</t>
  </si>
  <si>
    <t>Кострома</t>
  </si>
  <si>
    <t>19:16</t>
  </si>
  <si>
    <t>Елена Дометеева</t>
  </si>
  <si>
    <t>18:46</t>
  </si>
  <si>
    <t>Иван Степанченко</t>
  </si>
  <si>
    <t>МРТ Эксперт Челябинск</t>
  </si>
  <si>
    <t>18:04</t>
  </si>
  <si>
    <t>МРТ С ГАРАНТИЕЙ
https://www.mrtexpert.ru/mur</t>
  </si>
  <si>
    <t>18:02</t>
  </si>
  <si>
    <t>МРТ С ГАРАНТИЕЙ
Работаем без перерыва и выходных
ул.Челюскинцев4
ул.Коминтерна5
тел.655-193
#мртэксперт #мурманск #мртмурманск #city51 #murmansk_inst  #mmsknow  #murmansk  #мрт51</t>
  </si>
  <si>
    <t>МРТ-ЭКСПЕРТ МУРМАНСК</t>
  </si>
  <si>
    <t>17:51</t>
  </si>
  <si>
    <t>Философия бренда МРТ Эксперт - это гарантия качества нашей работы! Подробнее про философию «МРТ с Гарантией» рассказала медицинский директор стратегического бизнес-направления «Лучевая диагностика» Оксана Волкова (Oxana Volkova)
#ГКЭксперт #мртэксперт #КлиникаЭксперт #ПерсонаБренда</t>
  </si>
  <si>
    <t>Oxana  Volkova</t>
  </si>
  <si>
    <t>17:47</t>
  </si>
  <si>
    <t>Оксана Волкова</t>
  </si>
  <si>
    <t>17:44</t>
  </si>
  <si>
    <t>https://www.mrtexpert.ru/articles/216
Применение МРТ в диагностике редких форм рассеянного склероза</t>
  </si>
  <si>
    <t>Ольга Куценко</t>
  </si>
  <si>
    <t>17:38</t>
  </si>
  <si>
    <t>09.08.2020 11:06</t>
  </si>
  <si>
    <t>Философия бренда МРТ Эксперт - это гарантия качества нашей работы! Подробнее про философию «МРТ с Гарантией» рассказала медицинский директор стратегического бизнес-направления «Лучевая диагностика» Оксана Волкова
#ГКЭксперт #мртэксперт #КлиникаЭксперт #ПерсонаБренда
Интервью на тему: МРТ с гарантией</t>
  </si>
  <si>
    <t>16:00</t>
  </si>
  <si>
    <t>Добрый день!
Клиника Эксперт предлагает Вам воспользоваться уникальной возможностью пройти ‼️МРТ‼️ диагностику со скидкой от ‼️15 до 20%‼️в выходные дни!
 Более подробно познакомиться с нами Вы можете на https://www.mrtexpert.ru/orb
Наш адрес : пр. Гагарина 17/1
Все интересующие вопросы Вы можете уточнить по телефону :
‼️ 8919 842-18-20 ‼️
https://www.mrtexpert.ru/orb</t>
  </si>
  <si>
    <t>Юлия Коршунова</t>
  </si>
  <si>
    <t>Акбулак-ОБЪЯВЛЕНИЯ-новости</t>
  </si>
  <si>
    <t>ЗАПИСАТЬСЯ НА ЧИСТКУ ЛИЦА
Медицинский центр "Клиника Эксперт Курск".
В нашем многопрофильном медицинском центре вы можете получить широкий спектр медицинских услуг в одном месте и максимально быстро.
https://vk.com/clinic_expert_kursk?w=app5708398_-197114981</t>
  </si>
  <si>
    <t>13:37</t>
  </si>
  <si>
    <t>09.08.2020 00:26</t>
  </si>
  <si>
    <t>Валерий Перепелица</t>
  </si>
  <si>
    <t>09.08.2020 09:24</t>
  </si>
  <si>
    <t>Oxana  Kovalenko</t>
  </si>
  <si>
    <t>12:02</t>
  </si>
  <si>
    <t>08.08.2020 16:02</t>
  </si>
  <si>
    <t>Добрый день!
Клиника МРТ ДИАГНОСТИКИ "ЭКСПЕРТ" предлагает Вам воспользоваться уникальной возможностью пройти ‼️МРТ‼️ диагностику со скидкой от ‼️15 до 20%‼️в выходные дни!
 Более подробно познакомиться с нами Вы можете на https://www.mrtexpert.ru/orb
Наш адрес : г. Оренбург, пр. Гагарина 17/1
Записаться на диагностику и задать Все интересующие вопросы Вы можете уточнить по телефону :
‼️ 8919 842-18-20 ‼️</t>
  </si>
  <si>
    <t>Чёрный Отрог</t>
  </si>
  <si>
    <t>⚠️ВАЖНАЯ ИНФОРМАЦИЯ!
⠀
Друзья, бывают ситуации, когда нашу клинику путают с другими клиниками Ростова-на-Дону.
⠀
✔️Все дело в схожести названий.
⠀
«Клиника Эксперт Ростов», «Эксперт Клиника» и «Эксперт» - это 3 разных клиники, не связанных между собой!
⠀
«Клиника Эксперт Ростов» и «МРТ Эксперт» - это клиники НАШЕЙ федеральной сети.
⠀
Проводим результативную диагностику полного цикла:
⠀
МРТ
КТ
УЗИ
Лаборатория
 Функциональная диагностика
⠀
❓К каким специалистам вы можете обратиться?
⠀
✔Терапевт
✔Гастроэнтеролог
✔Гинеколог
✔Дерматовенеролог
✔Кардиолог
✔Косметолог
✔Маммолог
✔Массажист
✔Мануальный терапевт
✔Невролог
✔Нейрохирург
✔Онколог
✔Ревматолог
✔Хирург
✔Травматолог-ортопед
✔Уролог
✔Физиотерапевт
✔Эндокринолог
⠀
☎ 8(863) 309-11-29
www.mrtexpert.ru
rostov_admin@mrtexpert.ru
⏰ПН-ВС: 7:00-22:00
Ростов-на-Дону, ул. Красноармейская, д.262/122, пом.1
Лицензия: ЛО-61-01-006908</t>
  </si>
  <si>
    <t>11:59</t>
  </si>
  <si>
    <t>САКМАРА.LIFE</t>
  </si>
  <si>
    <t>11:49</t>
  </si>
  <si>
    <t>Объявления Орен Экодолье Самородо Караванный</t>
  </si>
  <si>
    <t>11:48</t>
  </si>
  <si>
    <t>Интервью на тему: МРТ с Гарантией.</t>
  </si>
  <si>
    <t>Интервью на тему: МРТ с Гарантией.
Интервью с медицинским директором стратегичесокого бизнес-направления "Лучевая диагностика" Волковой Оксаной Егоровной.
ПРОЙДИТЕ В НАШЕМ ЦЕНТРЕ МРТ С ГАРАНТИЕЙ!
- Гарантия качества диагностики
- Возможность получить "второе мнение" врача-рентгенолога
- Консилиумный разбор от экспертов лучевой диагностики
- Соответствие исследований стандартам МРТ-диагностики
- Консультация врача-рентгенолога с пациентом и лечащим врачом (перед исследованием и по его результатам)</t>
  </si>
  <si>
    <t>ГК Эксперт</t>
  </si>
  <si>
    <t>11:46</t>
  </si>
  <si>
    <t>Пригородный/Крона Нежинка/Ростоши Оренбург</t>
  </si>
  <si>
    <t>11:36</t>
  </si>
  <si>
    <t>Саракташ Объявления</t>
  </si>
  <si>
    <t>Добрый день!
Клиника Эксперт предлагает Вам воспользоваться уникальной возможностью пройти ‼️МРТ‼️ диагностику со скидкой от ‼️15 до 20%‼️в выходные дни!
 Более подробно познакомиться с нами Вы можете на https://www.mrtexpert.ru/orb
Наш адрес : г. Оренбург, пр. Гагарина 17/1
Все интересующие вопросы Вы можете уточнить по телефону :
‼️ 8919 842-18-20 ‼️
Платная клиника Оренбург | Клиника Эксперт
Платные консультации врачей, диагностика, анализы в Оренбург в федеральной сети медицинских центров "Клиника Эксперт"
https://www.mrtexpert.ru/orb</t>
  </si>
  <si>
    <t>Соль-Илецк Барахолка</t>
  </si>
  <si>
    <t>Добрый день!
Клиника Эксперт предлагает Вам воспользоваться уникальной возможностью пройти ‼️МРТ‼️ диагностику со скидкой от ‼️15 до 20%‼️в выходные дни!
 Более подробно познакомиться с нами Вы можете на https://www.mrtexpert.ru/orb
Наш адрес : пр. Гагарина 17/1
Все интересующие вопросы Вы можете уточнить по телефону :
‼️ 8919 842-18-20 ‼️</t>
  </si>
  <si>
    <t>Акбулак Объявления</t>
  </si>
  <si>
    <t>10:26</t>
  </si>
  <si>
    <t>10.08.2020 11:47</t>
  </si>
  <si>
    <t>Iryna Iryna</t>
  </si>
  <si>
    <t>08:06</t>
  </si>
  <si>
    <t>8 августа - Всемирный день офтальмолога, поздравляем наших врачей и коллег из других клиник с профессиональным праздником!
Офтальмологи клиники "Эксперт" приготовили специальный подарок для пациентов с 8 по 15 августа:
в дополнение к консультации, каждый пациент получит осмотр глазного дна с расширенным зрачком.
Это дополнительное исследование необходимо для лечения спазма аккомодации, амблиопии, воспалительных глазных заболеваний.
Обратите внимание! После проведения осмотра глазного дна под мидриазом в течение 2-3 часов может сохраняться побочный эффект: затуманивание, размытость зрения. По окончании процедуры не следует садиться за руль.
 Рекомендуется также воспользоваться солнечными очками при выходе из клиники на яркий дневной свет, так как из-за расширенного зрачка в глазах будет ощущаться дискомфорт.
Запись на консультацию к офтальмологу
+7(342) 215 30 03
ул. Монастырская 42А (отдельное здание около моста, бесплатная парковка для пациентов)
https://www.mrtexpert.ru/prm/categories/34
#офтальмологпермь #окулистпермь #офтальмологияпермь #клиникаэкспертпермь #клиникаэксперт
https://www.mrtexpert.ru/prm/categories/34</t>
  </si>
  <si>
    <t>08.08.2020 19:29</t>
  </si>
  <si>
    <t>Лаборатории Хабаровского края будут делать за сутки до 1,5 тысяч исследований на COVID-19
Объем лабораторных исследований для диагностики COVID-19 в Хабаровском крае увеличится с сентября более чем на 1,5 тысяч исследований в сутки. На днях в регион поступило новое высокотехнологичное оборудование. В настоящее время проводятся установка и настройка.
В Хабаровском крае лабораторную диагностику новой коронавирусной инфекции COVID-19 методом ПЦР (полимеразной цепной реакции) осуществляют 11 лабораторий. Их мощность возрастет на 750 исследований ежедневно за счет приобретения нового лабораторного оборудования и автоматизации процессов. Это позволит выполнять большее количество анализов методом ПЦР в кратчайшие сроки.
Высокотехнологичное оборудование получили лаборатории краевых учреждений здравоохранения – консультативно-диагностического центра "Вивея", Центра по профилактике и борьбе со СПИД и инфекционными заболеваниями. Аппаратура уже доставлена. В настоящее время идет установка и настройка. В полном объеме оборудование заработает со второй половины августа.
Оборудование для выполнения ПЦР-диагностики COVID-19 приобретает и одно из негосударственных учреждений здравоохранения Хабаровского края – ООО "Клиника Эксперт Хабаровск". Его мощность составит до 1000 исследований в сутки. В настоящее время проводится процедура лицензирования лаборатории учреждения. Приступить к исследованиям врачи-лаборанты смогут 1 сентября.
Кроме того, в ближайшее время начнет свою деятельность лаборатория Федерального центра сердечно-сосудистой хирургии Минздрава РФ в Хабаровске, где также будут проводить исследования методом ПЦР на новую коронавирусную инфекцию.
Отметим, за минувшие сутки в Хабаровском крае выявлено 120 случаев заболевания COVID-19, 126 человек выздоровели и 2 скончались. За весь период в регионе зарегистрировано 8 178 инфицированных из них выздоровели 5609 человек, умерли 69.
Пресс-служба губернатора и правительства Хабаровского края При использовании материалов ссылка на сайт www.khabkrai.ru обязательна
#Хабаровск
Лаборатории Хабаровского края будут делать за сутки до 1,5 тысяч исследований на COVID-19
Объем лабораторных исследований для диагностики COVID-19 в Хабаровском крае увеличится с сентября более чем на 1,5 тысяч исследований в сутки. На днях в регион ...
http://khabarovsk-news.net/other/2020/08/07/125739.html</t>
  </si>
  <si>
    <t>Новости Хабаровска</t>
  </si>
  <si>
    <t>06.08.2020</t>
  </si>
  <si>
    <t>20:31</t>
  </si>
  <si>
    <t>Открыт кабинет невролога в ООО "МРТ-ЭКСПЕРТ"
Приём ведут врачи:
Котляр Лев Борисович (взрослый невролог)
Ведяшева Полина Геннадьевна (детский невролог)
ООО "МРТ-Эксперт" ул.Завенягина д. 1 корп. 2.
☎8 (3519) 51-03-88</t>
  </si>
  <si>
    <t>Надя Николаева</t>
  </si>
  <si>
    <t>15:25</t>
  </si>
  <si>
    <t>В наших рядах пополнение! 
Друзья позвольте представить Вам
‍⚕️
Черемин Артём Анатольевич
 Главный врач медицинского диагностического центра "МРТ-Эксперт Сочи" 
Врач рентгенолог высшей категории. 
Член медицинской профессиональной некоммерческой организации «Ассоциация врачей МР-диагностики»
Напоминаем Вам, консультация доктора рентгенолога при прохождении МРТ в нашем центре, бесплатна. 
#мрт#мртсочи#мртадлер#мртэкспертсочи#мртабхазия
Запись  по телефону: 
☎8(862)444 04 03
⏰ Пн-сб: с 07:00 до 23:00, 
вс: с 07:00 до 15:00
Адрес : Сочи, Адлерский район, ул. Кирова, д.50 
Лицензия: ЛО-23-01-0011827
Сайт : http://www.mrtexpert.ru</t>
  </si>
  <si>
    <t>Диагностика МРТ Сочи</t>
  </si>
  <si>
    <t>15:10</t>
  </si>
  <si>
    <t>Непослушные, тонкие, редкие, посеченные и тусклые???
Статья
https://m.vk.com/@clinic_expert_kursk-neposlushnye-tonkie-redkie-posechennye-i-tusklye</t>
  </si>
  <si>
    <t>14:43</t>
  </si>
  <si>
    <t>Рассказ об альгинатных масках от профессионального косметолога Екатерина Кривдина
Без названия
https://vk.com/clinic_expert_kursk
Мои любимые альгинатные маски, которые дополняют почти все косметологические процедуры ‍♀️ эти маски просто волшебные✨ они делают лицо чистым, свежим и сияющим после использования Главным ингредиентом выступает соль альгиновой кислоты, содержащаяся в бурых и красных водорослях Натуральный состав наших масокоживит вашу кожу, а при регулярном использовании сделает ее совершенной
Жду всех в уютном кабинете https://vk.com/clinic_expert_kursk
Запись40-01-71
#косметологкурск #косметологиякурск #курск #акциикурск #маскакурск #клиникаэксперткурск #курск46 #курсксити #курсксегодня https://vk.com/clinic_expert_kursk</t>
  </si>
  <si>
    <t>14:42</t>
  </si>
  <si>
    <t>Акция "Узнай причину боли в шее и плече"
⠀
В данное комплексное обследование входит:
⠀
✅МРТ шейного отдела позвоночника
 ✅МРТ плечевого сустава 
⠀
Специальная стоимость до 31.08 всего 6000руб
⠀
МРТ поможет выявить:
⠀
✔ Травмы и механические повреждения соединительной и мышечной ткани – хрящей, мышц, связок.
✔ Различные новообразования, онкологические опухоли, метастатические поражения тканей.
 ✔Инфекционные или реактивные артриты.
✔Болевой синдром неустановленного генеза. Воспалительные патологии – бурсит, артрит.
✔Дегенеративные заболевания хрящевой ткани и связок (пучков коллагеновых волокон).
✔Остеопороз – нехватка костной ткани, болезнь Хасса.
 ✔Травмы и кровоизлияния в полость сустава.
✔ Дегенеративные изменения сустава – артроз или плечелопаточный периартрит.
✔Нарушение целостности суставных элементов.
 ✔Патологии вращательной манжеты.
 ✔Импиджмент-синдром.
✔Остеохондропатии.
✔Врожденные отклонения.
 ✔Инфекционные поражения
 ✔Спортивные или профессиональные травмы.
✔Внутреннее кровотечение.
✔Патологии соединительной ткани.
✔Сокращение амплитуды движений.
✔Защемление нервных окончаний шейно-плечевого отдела.
✔Привычный вывих.
✔Патологические изменения и заболевания, которые трудно диагностировать с помощью других методов
#мрт#мртадлер#мртсочи#мртабхазия#диагностика#мртэкспертсочи
⠀
Запись  по телефону: ☎8(862)444 04 03 ⏰ Пн-сб: с 07:00 до 23:00, вс: с 07:00 до 15:00 Адрес: Сочи, Адлерский район, ул. Кирова, д.50  Лицензия: ЛО-23-01-0011827 Сайт: http://www.mrtexpert.ru</t>
  </si>
  <si>
    <t>12:58</t>
  </si>
  <si>
    <t>Мои любимые альгинатные маски, которые дополняют почти все косметологические процедуры ‍♀️ эти маски просто волшебные✨ они делают лицо чистым, свежим и сияющим после использования Главным ингредиентом выступает соль альгиновой кислоты, содержащаяся в бурых и красных водорослях Натуральный состав наших масокоживит вашу кожу, а при регулярном использовании сделает ее совершенной
Жду всех в уютном кабинете https://vk.com/clinic_expert_kursk
Запись40-01-71
#косметологкурск #косметологиякурск #курск #акциикурск #маскакурск #клиникаэксперткурск #курск46 #курсксити #курсксегодня https://vk.com/clinic_expert_kursk
Без названия
https://vk.com/clinic_expert_kursk</t>
  </si>
  <si>
    <t>Екатерина Кривдина</t>
  </si>
  <si>
    <t>12:56</t>
  </si>
  <si>
    <t>09.08.2020 18:37</t>
  </si>
  <si>
    <t>Омск: Час новостей от 6 августа 2020 года (14:00). Новости</t>
  </si>
  <si>
    <t>[музыка] добрый день на двенадцатом канале час новостей в студии дени жарков к в этом выпуске летел навстречу смерти на бульваре архитекторов такси протаранила во внедорожнике есть погибшие маску носить даже на остановках ситуация на сегодняшний день на территории нам с нашего мск области не совсем благоприятно в регионе ужесточили масочный режим малышей мамочки на радиоволне некоторые врачи говорят нужно кормить раз в три часа вот все-таки как правильно молодой мама шеф-редактора 12 канала в прямом эфире развенчании мифа о грудном вскармливании сегодня праздник у макак большереченский зоопарк вновь открыт какие звери сильнее всего соскучились по посетителям сильнейший соперник и стадион с богатой истории стало известно где и с кем иртыш сыграет матч кубка россии королевским птицам царские хоромы птицы вальяжно и неторопливо и не пугается на контактов лук найдет в к центре построить просторные вольеры для раненых журавлей [музыка] следователи разбираются причинах жуткой аварии на бульваре архитекторов которые унесла жизни сразу трех человек дтп произошло около 2 часов ночи на перекрестке с ватутина столкнулись внедорожник и машина такси последняя неслась на красные судя по всему с огромной скоростью момент столкновения папа логика тип видеорегистратора от удара внедорожник развернула три раза водителя выкинула в окно но он серьезно не пострадал а вот 22-летний шофер такси и одна пассажирка 19 лет погибли на месте еще одна примерно такого же возраста от полученных травм скончалась в больнице личности девушек сейчас устанавливаются пока неясно в каком состоянии был таксист раз допустил такое страшное столкновение ночью практически на пустой дороге в городе усиливают контроль за соблюдением масочный режим и в транспорте напомню но последнему пир штабе в понедельник решено внести изменения в мартовское постановление губернатора теперь омича обязаны использовать средства индивидуальной защиты не только в автобусах но и при нахождении на остановках кроме того респиратора или повязки придется надевать их такси за соблюдением режима следят полицейские специалисты проверяют как водители так и пассажиров автобусов маршруток и такси как показали сегодняшние рейды многие надевать маски лишь при виде сотрудников форме на нарушителей составляют протоколы штраф до тридцати тысяч рублей на сегодняшний день министерством региональной безопасности омской области в суд направлено 18 протоколов об административном правонарушении в отношении водители осуществляющих перевозки без сейчас находится порядка 20 материалов проводится административное расследование просим всех граждан соблюдать масочный режим поскольку ситуация на сегодняшний день на территории нам с нашего омской области не совсем благоприятно добавлю что он масочный режим регионе продлен до 1 сентября между тем молодежной команде омские ястребы сразу нескольких членов выявили коронавирус омская хоккей на молодежка пять дней назад вернулась из уфы где уверенно выиграла предсезонный турнир день прибытия игроки и тренеры прошли тестирование ток положительные результаты у 14 человек все они изолированы на следующей неделе молодежка должна была отправиться на турниры в новосибирск сейчас эта поездка под угрозой ранее 20 случаев к вид 19 среди спортсменов и персонала была выявлена в главном sky команде авангарде хоккеисты ушли на карантин балашихе приступили к тренировкам авангарда fci только вчера не обычный прямой эфир провели сегодня на радио монте-карло омск его участниками стали 5-месячной андрей колесник и двухмесячная анастасия серова малышей в студии провели мамой шеф-редактора 12 канала в декретном отпуске ольга колесник июля ковыршин а с главным врачом городского клинического перинатального центра любовью семена ней обсуждали нюансы грудного вскармливания как часто нужно кормить малышей чем прикорм отличается от докорма и как понять хватает ли молока вашему ребенку что советуют специалист молодым мамам омска расскажет наталья бельская [музыка] все капризы анастасия серова исчезают как по волшебству когда на руки и и берет мама юлия к выше на с профессионализмом настоящей модели малышка выдерживает фотосессию а после занимает место в студии внимательно слушает рекомендации по своему питанию некоторые врачи говорят нужно кормить раз в три часа раньше просит ребенок не давайте грудь плачет терпите вот все-таки как правильно нет конечно правильно кормить я ребеночка по требованию да обязательно то есть придерживаться к строгому времени но это невозможно это неправильно конечно единственное что перерывы должны быть не менее полутора часов для того чтобы все таки а ребенку формировать как от ферментативная система вместе с анастасией в студии и друг андрей колесник у него сегодня день рождения малышу 5 месяцев мама ольга с радостью делится приятной новостью у сына уже появился первый зуб сейчас девушка размышляет удивит ли андрея на именины угощением например яблочное пюре у нас сейчас вот с андреем как раз актуальный вопрос по поводу прикорма вот ему сегодня 5 месяцев но я всё никак не могу решиться дать ему что-то попробовать принципе допустимо начала прикорма 6 месяца а то есть еще через месяц стука мы можем уже наш да да если молока достаточно если и мама и малыш себя при этом чувствует абсолютно хорошо то можно еще в месяц скажем так показано с 1 по 7 августа во всем мире проходит неделя грудного вскармливания специалисты на разных языках говорят об одном пользе материнского молока для здоровья ребенка для малышей нет ничего вкуснее и полезнее с этим абсолютно согласна и любовь все имена мама двух дочек главный врач городского клинического перинатального центра максимум стараемся независимо от веса независимо от срока независимо от тяжести вести детей на грудном молоке потому что это уникальный продукт который сто процентов всасывается на которой нормализует микрофлору кишечника разговор шеф-редактор of 2 от этого канала в декрете со специалистом получился насыщенным завершая передачу молодые мамы пошутили жаль что при рождении к ребенка не прилагается инструкция а любовь сёмина отметила что несмотря на общие рекомендации подход грудному вскармливанию все же должен ли я говорю это жизнь спешно 12 канал повтор программа можно увидеть сегодня в 20-30 найти выпуск можно так же и на нашем сайте и в соц сетях а в 18:30 в эфире 12 канала повтор нашумевшего wella интервью с губернатором александром барковым напомню ведущий антон парахин и глава региона прокатились на велосипедах у dollar дыша и обсудили предстоящие грандиозное благоустройства набережной которая станет не хуже чем в дубае большой праздник не устроит но каждому посетителю будут рады спустя четыре месяца после вынужденного простоя и за понтами и коронавируса для гостей сегодня открылся большереченский зоопарк к этому событию здесь готовились у каждого из вольеров нанесли специальную разметку посетители должны соблюдать социальную дистанцию использовать антисептики для рук на территории действуют строгие масочный режим экскурсий организует для небольших группы до 5 человек впрочем даже в таких условиях здесь очень ждут гостей при этом больше всего сами звери это конечно больше всего обезьяны потому что они общительны и они привыкли к общению они привыкли что их похитили развлекают угощают поэтому больше всего конечно ждали обезьяны ну и такие контактные как олени гуанако медведи кстати тоже очень любят принципе общение и кстати некоторых животных посетители смогут угостить лакомством специальными фрукта проводами оборудованы новые барьеры для обезьян гостинцы привозится бы не нужно стаканчики с фруктами и овощами продают на кассе за 50 рублей цены на входные билеты зоопарк не изменились взрослые обойдется в 300 рублей детский 150 малыши до 4 лет смогут пройти бесплатно бесплатно мы должны быть образование и здравоохранение об этом заявил лидер лдпр владимир жириновский на пресс-конференции в тасс по мнению либерал-демократов сферах образования и здравоохранения жкх дорожного и жилищного строительства частный сектор себя не проявил какие изменения на законодательном уровне предлагают в дпр в нашем материале коммунальными дрязгами сейчас стране никого не удивишь тарифы повышаются а вот качество зачастую нет не случайно одна из самых рейтинговых телепередачи в омске управдом где помогает и мечам призвать к ответу управляющей компании в лдпр считает что вода из под крана и платежке за услуги жкх должны быть одинаково прозрачной поэтому обслуживание домов следует возложить на минстрой да и других сферах порядок может навести только государство охрану лесов убрали еще хороший землю на продажу ничего хорошего управляющей компании жкх ничего нигде частный сектор себя не показал не проявил себя частные капиталы в сфере образования считают либерал-демократы по их мнению не студенты должны платить за учебу наоборот им должны доплачивать сейчас министерство образования и науки согласилась рассмотреть предложение об увеличении стипендии до размера мрот однако ранее это инициатива понимание не встретила наше предложение лдпр хотя бы приравнять стипендию всех студентов брат минимальные размеры по оттуда 11 отказ также нельзя и наоборот вы мгу я знаю 11000 берут за общежитие в месяц 40 тысяч за учебу и туков у кого такие деньги поэтому обещаем всем что образование будет бесплатно бесплатном заявил владимир жириновский должно стать ее здравоохранения частные клиники по словам лидера лдпр больше переживает за кошелек они за здоровье своих пациентов она какой ради не жарков 12 канал омск иртыш будет играть против самарских крыльев советов причем на том самом стадионе где играли бразильцы и англичане москве прошла жеребьевка кубка россии речником достался серьезный соперник подрезать крылья которому будет крайне непросто самарцы я когда-то весьма успешно играли премьер-лиги и хотя в прошлом сезоне вылетели из нее сейчас считается одной из ведущих команд фнл запланирована встреча на 26 августа пройдет она на стадионе самара aryana ранен этом поле прошел ряд матчи чемпионата мира по футболу бразильцы обыграли мексиканцев англичане шведов а сборная россии с треском счет 03 проиграл уругвая а сейчас время хороших новостей спонсора рубрики осип snap коммерц торговая марка киоко киоко натуральное лакомство для собак [музыка] [аплодисменты] в омском и к центре прибавления сразу два журавля пернаты уже об игре сие подросли а вот какого они пола никто до сих пор не знает визуально определить это невозможно требуется сложный генетический анализ теперь здесь 5 редких птиц места не хватает для них строит сейчас новый вольер такие масштабные изменения часть проекта на реализацию которого общества охраны природы сибири выиграла грант президента журавль стал птицы этого года по инициативе всемирного фонда дикой природы никита гайдаш узнал в каких условиях теперь будут обитать краснокнижные красавцы этих журавлей еще птенцами слабыми и ранеными нашли люди в лесу птиц преследовала лисица в к центре пернатых выходили к сожалению сейчас природу и fucked не представляется возможным потому что но маловероятно что они смогут перейти к самостоятельному образ жизни и благополучно улететь тут такая птица вальяжная неторопливая не пугается на контакт охотно идет ну сейчас у нас еще и группа будет так что зрителям будет достаточно интересно все это поселят королевских птиц настоящих особняках им отстроят вольеры с личными бассейнами зимой птицы будут жить в теплых домиках а летом наслаждаться природой они очень красиво карлыч от у них интересны очень взаимоотношения в паре и наблюдать сидя на лавочках нас как раз рядом а имеются и лавочки это очень замечательный процесс общения именно в кругу природе видите здесь очень зелено хороший очень воздух а эти журавлевой к центре больше десяти лет кроссовки редкие краснокнижные птицы попали под прицел браконьеров крылья и клювы специалистам пришлось буквально собирать по частям впрочем крылатые быстро освоились и даже пытались обзавестись потомством и отложили яйца естественно и ничего у них не получилось на второй год они добросовестно сиживали два камешка ужина грустная и трогательно вы собственно говоря - на изложение заводили поэтому мы future щель этого серого журавля сотрудники центра больше десяти лет принимались за статного красавца жору и только в прошлом году выяснилось особь женского пола это показало генетическая экспертиза иначе к примеру на глаз определить пол птицы просто невозможно имя сотрудники решили не менять жора кажется не против никиты гайдаш dmitry олди девчонка 12 канал я точно дожди на что лакомство для вашего питомца должно быть не только вкусным и удобным и самое главное полезным и безопасным лакомство от компании киоко отвечает всем вышеуказанным требованиям лакомства для собак киоко спрашивайте в магазинах города [музыка] далее прогноз погоды ну а все наши новости доступны в социальных сетях вконтакте инстаграме одноклассниках и на ютюбе найти их можно и на сайте 12 канал точка ру там же мы выкладываем ее полные выпуски программы час новостей оставайтесь с нами майонез merci смотрите галливикса простоя превращается name is золотистый и густой майонез классические версии скорее к столу нищий клиника эксперт дарит скидки до сорока процентов на комплексное исследование мрт запись по телефонам 70 90 414 спонсор прогноза погоды и пассивка вы марина была канава на выставка продажа теплиц в омске завтра 7 августа в регионе солнечно без осадков в омске ночью 18-20 градусов днем до плюс 30 в районах ночью 1719 в дневные часы 27 и 29 градусов выше ноля ветер северо-восточный 5 метров в секунду атмосферное давление 753 миллиметра ртутного столба построил дом посадил дерево вырастил сына купил теплицу поставь летний душ летний душ из поликарбоната на выставке-продаже теплиц в омске блоки с подогревом и без при покупке душевой кабины доставка их ссоры в подарок плащ и тюки пин карьера или континент подробности по телефону 5050 23 сайте летний душ . и рф следующий выпуск смотрите в 17:00 хорошего дня [музыка]</t>
  </si>
  <si>
    <t>12 Канал</t>
  </si>
  <si>
    <t>12:48</t>
  </si>
  <si>
    <t>Мои любимые альгинатные маски, которые дополняют почти все косметологические процедуры ‍♀️ эти маски просто волшебные✨ они делают лицо чистым, свежим и сияющим после использования Главным ингредиентом выступает соль альгиновой кислоты, содержащаяся в бурых и красных водорослях Натуральный состав наших масокоживит вашу кожу, а при регулярном использовании сделает ее совершенной 
Жду всех в уютном кабинете @clinic_expert_kursk 
Запись40-01-71
#косметологкурск #косметологиякурск #курск #акциикурск #маскакурск #клиникаэксперткурск #курск46 #курсксити #курсксегодня</t>
  </si>
  <si>
    <t>Врач- Косметолог Курск</t>
  </si>
  <si>
    <t>11:14</t>
  </si>
  <si>
    <t>4 августа в Орехово-Зуево посетили наш новый  центр МРТ /КТ, который в сентябре готов будет принять первых пациентов. 
Спасибо Денису Серегину, который выступил инициатором партнёрства Клиники Новой медицины и МРТ эксперт, что бы создать и открыть данный центр</t>
  </si>
  <si>
    <t>Алевтина Комнатная</t>
  </si>
  <si>
    <t>11:06</t>
  </si>
  <si>
    <t>МРТ ЛЁГКИХ: ВЫПОЛНИМА ЛИ МИССИЯ?</t>
  </si>
  <si>
    <t>Одним из наиболее информативных методов диагностики заболеваний лёгких является компьютерная томография (КТ). А что мы знаем об МРТ лёгких? Почему она не так распространена? Каковы реальные возможности этого метода диагностики? Например, покажет ли МРТ лёгких пневмонию (воспаление лёгких)? Как и кем принимается решение, что лучше сделать – МРТ, КТ, рентген или флюорографию лёгких? И от чего зависит такое решение?
О возможностях и роли МРТ в диагностическом репертуаре методов исследования лёгких рассказывает исполнительный директор «Клиника Эксперт» Оренбург, врач-рентгенолог Юрий Андреевич Подлевских.
— Юрий Андреевич, в настоящее время существует мнение, что МРТ, несмотря на широкие диагностические возможности, не так хороша для обследования лёгких. Расскажите, пожалуйста, с чем связано такое мнение и делают ли вообще МРТ лёгких?
— Такое мнение, на мой взгляд, вполне объяснимо и связано с принципом работы аппарата МРТ. С появлением метода магнитно-резонансной томографии специалисты использовали его возможности для оценки различных органов и систем. Оказалось, что органы, содержащие воздух, такие как лёгкие, кишечник, желудок, просматривались на снимках хуже, чем анатомические структуры с высоким содержанием воды (точнее, протонов водорода, на которые воздействует магнитное поле). Это такие органы, как печень, почки, головной мозг и некоторые другие. В связи с этим магнитно-резонансная томография лёгких недостаточно информативна в клиническом отношении, поэтому и делают её довольно редко.
Впервые я начал знакомиться с этой темой в 2013 году. В попадавшихся мне публикациях зарубежных коллег приводились примеры возможностей МРТ в диагностике патологий лёгких, проводилась сравнительная оценка эффективности магнитно-резонансной и компьютерной томографии в отношении заболеваний этих органов. То есть, можно сказать, что вопрос о целесообразности использования МРТ для выявления болезней лёгких находится сегодня на стадии изучения.
Подробнее о КТ лёгких читайте в нашей статье: КТ лёгких: каковы возможности этого метода диагностики?
— Что показывает МРТ лёгких? Можно ли, например, на МРТ увидеть воспаление лёгких?
— При проведении магнитно-резонансной томографии мы получаем определённый объём информации о лёгких. Но этой информации будет недостаточно, и качество её будет заметно хуже, чем у альтернативных методов диагностики, в частности компьютерной томографии.
С помощью МРТ мы сравнительно хорошо выявляем наличие изменений в лёгких, но понять, что же это за патологический процесс, будет достаточно сложно. В компьютерной томографии есть ряд рентгенологических признаков, благодаря которым можно различить, что это – туберкулёз, воспаление лёгких или опухолевое образование. При МРТ дифференцировать выявленные изменения сложнее. Если на МРТ-снимках видны изменения, для дальнейшего уточнения диагноза пациент направляется на компьютерную томографию.
— Чем ещё МРТ лёгких отличается от КТ лёгких? И, если можно, расскажите, пожалуйста, об отличиях МРТ лёгких от других хорошо известных методов исследования, в частности от рентгена и флюорографии
— В основе компьютерной томографии, рентгенографии (рентгена) и флюорографии, в отличие от МРТ, лежит использование рентгеновских лучей. Флюорография – это скрининговый метод выявления определённых патологий, чаще всего туберкулёза лёгких или опухолей. Разрешающая способность этого метода, качество изображения не позволяют в полной мере оценить состояние лёгких.
Рентгенография, которую часто в обиходе называют рентгеном, отличается операторозависимостью. То есть результаты такой диагностики зависят от квалификации рентген-лаборанта, а также врача, который описывает снимок. При использовании этого метода существует риск не заметить патологические изменения малых размеров и некоторые заболевания на начальных стадиях. Поэтому для раннего эффективного выявления патологий лёгких широко используют компьютерную томографию.
Хочу заметить, что при этом лучевая нагрузка также различается: если при флюорографии она минимальна, то при компьютерной диагностике доза облучения уже заметно выше.
Отличие магнитно-резонансной томографии от вышеперечисленных методов – прежде всего в физическом принципе работы аппарата, который создаёт магнитное поле, и, соответственно, никакого облучения во время этого исследования пациент не получает.
Читайте материал по теме:
Часто задаваемые вопросы о рентгене
— Как понять, какой метод диагностики подойдёт человеку в каждом конкретном случае? Сможет ли пациент сам принять правильное решение, что лучше сделать – МРТ, КТ, рентген или флюорографию лёгких? Или нужно всегда консультироваться с доктором?
— Я категорически против того, чтобы пациент самостоятельного принимал решение о необходимом ему методе диагностики. Я считаю, что он может решить пройти диагностику, опираясь на свои ощущения, симптомы. А вот какой именно метод исследования ему показан, чтобы ответить на все интересующие вопросы и дать максимально полную информацию о состоянии его здоровья, должен решать врач.
Выбор метода диагностики в каждом отдельном случае зависит от того, что конкретно мы хотим обнаружить. На сегодняшний день на МРТ лёгких врачи не направляют, так как вокруг его информативности, чувствительности и специфичности в отношении лёгочной патологии ещё ведутся дискуссии. Но в частных клиниках пациенты порой обращаются за такой услугой. Я рекомендую пациентам при выборе этого метода исследования лёгких детально обсуждать с рентгенологом возможности такой диагностики, её целесообразность, а также уточнять, на какие клинические вопросы могут быть получены ответы.
— Юрий Андреевич, сегодняшнее состояние МРТ-диагностики заболеваний лёгких стало понятнее. А каковы, на ваш взгляд, перспективы этого исследования?
— Мне кажется, что МРТ как метод выявления лёгочной патологии будет использоваться в будущем всё чаще. Со временем количество наработок, публикаций, связанных с особенностями патологии лёгких на МРТ-снимках, будет увеличиваться. Это позволит нам расширять возможности диагностики. Некоторые из наших коллег, которые работают с пациентами с коронавирусной инфекцией, уже представляют отчёты о том, какие изменения в лёгких обнаруживаются при этом заболевании на КТ- и МРТ-снимках. Что интересно, на этих изображениях много сходных признаков. Наработанной базы по этим случаям на данный момент, конечно, мало, но это вопрос времени.
https://www.mrtexpert.ru/articles/1021
https://www.mrtexpert.ru/articles/619
#здоровье, #болезни, #лекарства, #здравоохранение, #медицина</t>
  </si>
  <si>
    <t>Эксперты в медицине</t>
  </si>
  <si>
    <t>zen.yandex.ru</t>
  </si>
  <si>
    <t>Мамы Магнитогорска</t>
  </si>
  <si>
    <t>06:52</t>
  </si>
  <si>
    <t>Наталья Крутова</t>
  </si>
  <si>
    <t>Орехово-Зуево</t>
  </si>
  <si>
    <t>05.08.2020</t>
  </si>
  <si>
    <t>18:17</t>
  </si>
  <si>
    <t>Рассеянный склероз (РС) – это аутоиммунное заболевание, при котором сама иммунная система, должная в норме защищать организм от любых повреждающих факторов, начинает проявлять необъяснимую агрессию к своим же собственным тканям. В данном случае она разрушает миелиновую оболочку нервных волокон в головном и спинном мозге, вызывая серьёзнейшие повреждения центральной нервной системы. В результате нарушается проведение импульсов от одной клетки головного мозга к другой. Со временем из-за этого больные теряют способность ходить, а иногда даже видеть и говорить.
«Предпочтение» молодым
Дебют этой опасной болезни у большинства людей не вызывает настороженности. Ведь её начальные симптомы обычно не внушают тревоги. Повышенную усталость, слабость в руках и ногах, проблемы со зрением сами больные часто списывают на проблемы с позвоночником (дорсопатии), стрессы, недосып. Но ведь именно так может начинаться и рассеянный склероз, который чаще всего выбирает именно молодых (обычно возникает в возрасте 25–40 лет). Это заболевание – вторая по частоте причина инвалидности (после травм) у людей молодого возраста. К сожалению, очень часто об истинном положении вещей пациенты узнают с большим опозданием, так как врачи обычно ставят более распространённые диагнозы.
Проведение дорогостоящих аппаратных исследований – тоже ещё не гарантия выявления болезни. Ведь даже МРТ головного мозга ту же самую картину, что и при рассеянном склерозе, может давать при 30 разных заболеваниях. Поэтому, по признанию врача-невролога, доктора медицинских наук Алексея Бойко, когда к нему обращаются пациенты с такими симптомами, в половине случаев он ставит диагноз «рассеянный склероз», а в половине снимает его. Но запоздалая и неверная диагностика этой болезни – отнюдь не только российская проблема. Известно, что, например, в Америке более 20% людей, получавших лечение от рассеянного склероза, на деле не имели этой болезни.
Вот какой рассеянный. Когда склероз грозит инвалидностью?
Подробнее
Всё хуже и хуже
В мире рассеянный склероз диагностирован у 2,3 млн людей. В России, по оценкам специалистов, таких больных не менее 150 тысяч человек. Большая часть из них страдает рецидивирующим рассеянным склерозом (РРС), течение которого проходит с периодами рецидивирующей формы болезни, характеризующейся обострениями, сменяющимися ремиссиями, – то есть спокойными периодами, когда состояние больных улучшается. Но со временем нарушения всё равно накапливаются, и заболевание неуклонно прогрессирует, появляются новые или усугубляются уже имеющиеся симптомы. Тем не менее благодаря своевременной диагностике и правильно назначенному лечению врачам удаётся сдерживать развитие патологии.
СТАТЬЯ ПО ТЕМЕ
Болезнь молодых женщин. Как лечат рассеянный склероз в Эстонии
Другое дело – вторая форма болезни, которая носит название первично-прогрессирующий рассеянный склероз (ППРС). Она встречается гораздо реже – примерно у 10–15% больных, но протекает тяжелее. При этой форме явных обострений не бывает, но и периодов ремиссии тоже. Болезнь прогрессирует с самого начала, причём существенно быстрее, чем при рецидивирующей форме. При РРС от появления первых симптомов до того момента, когда пациент теряет способность самостоятельно передвигаться, в среднем проходит 22 года, а при ППРС – около 10 лет.
Шаг вперёд
В 2008 году рассеянный склероз вошёл в государственную программу «Семь нозологий», по которой пациенты с наиболее распространённой, рецидивирующей, формой болезни смогли бесплатно получать лекарства из группы ПИТРС – препаратов, изменяющих течение рассеянного склероза. Но у людей с первично-прогрессирующим заболеванием эти лекарства просто не работают. Поэтому их назначение, в данном случае, пустая трата бюджетных денег (притом немалых – как минимум 150 тысяч рублей на курс).
Помочь таким пациентам врачи долгое время были не в состоянии – ведь поддерживающее симптоматическое лечение и физическая реабилитация могли лишь немного снизить мышечный тонус, но не замедлить развитие болезни. До сих пор нигде в мире не существовало лекарств с доказанной эффективностью при такой форме болезни. Сегодня благодаря регистрации в России инновационного препарата Окрелизумаб у российских пациентов с таким диагнозом появилась возможность отсрочить развитие инвалидности. По клиническим исследованиям, при приёме этого лекарства скорость прогрессирования болезни снижается на 24%. А по наблюдению врачей, на фоне терапии у трети пациентов вообще отсутствуют какие-либо признаки прогрессирования заболевания, то есть возникает состояние, сравнимое с ремиссией. Кроме того, Окрелизумаб показал более высокую эффективность (на 50% выше, чем у ПИТРС) и в отношении рецидивирующего рассеянного склероза. У 9 из 10 пациентов, проходивших лечение, отсутствовало прогрессирование болезни, что подтверждалось не только клинически, но и на МРТ.
Эксперт: «Рассеянный склероз может развиться практически в любом возрасте»
Препарат Окрелизумаб представляет собой моноклональное антитело к особому белку, который связывается с B‑лимфоцитами (клетками иммунной системы) и запускает процесс их уничтожения. Несмотря на то, что лекарство очень дорогое (ожидается, что годовой курс будет стоить более миллиона рублей), есть надежда, что оно войдёт в перечень жизненно необходимых лекарственных средств и каждый больной сможет получить его бесплатно, что даст возможность этим людям воплотить в жизнь задуманное: строить карьеру, создавать семью да и просто нормально жить.
Симптомы рассеянного склероза:
​Повышенная утомляемость. Есть у 90% людей с этим диагнозом.
Слабость в ногах.
Онемение конечностей и других участков тела.
Головная боль.
Проблемы со зрением (более чем у 25% пациентов).
Депрессия (в 2 раза чаще, чем у остальных).
Нарушения работы мочевого пузыря (как минимум у 80% пациентов).</t>
  </si>
  <si>
    <t>Юлия Виноградова</t>
  </si>
  <si>
    <t>15:56</t>
  </si>
  <si>
    <t>We help Naturopathic Doctors position themselves as an expert in their niche. 
It s highly likely that your future patients will take multiple different paths and do their research before they find you. In overcoming their health-related concerns your furture patients are looking for a partner, who is experienced, smart, empathetic and knowledgable. On one hand their attention span is reducing and on the other they are inundated by infomation overload. 
We will help you to strike that balance necessary to initiate and grow your relationahip with your future patients. 
We will support your goal of building and growing your a niche practice. We will work behind-the-scenes to create your presence on the internet that positions you as a trusted expert, who helps people with the health-concerns that keep them awake in the night.
#nichepractice
#expertdoctor
#healthcare
#healthcareheroes
#healthcareprofessional
#naturopath
#naturopathy
#clinic
#expert
#skincare
#womenshealth
#menshealth
#hormonalhealth
#coach
#immunehealth
#immunesupport
#stressmanagement
#mentalhealth
#niche
#GTA
#toronto
#business
#patients
#newpatients</t>
  </si>
  <si>
    <t>ScaleUp42</t>
  </si>
  <si>
    <t>Канада</t>
  </si>
  <si>
    <t>Онтарио</t>
  </si>
  <si>
    <t>Торонто</t>
  </si>
  <si>
    <t>15:44</t>
  </si>
  <si>
    <t>Заявки
МРТ «ЭКСПЕРТ» – Центр Магнитно-резонансной томографии в Рязани.
Сеть диагностических центров МРТ, КТ, ПЭТ «Черноземье» предлагает пациентам профессиональные диагностические услуги без очереди в день обращения. 
МРТ Центр Эксперт оснащен новейшим оборудованием и ведут свою деятельность согласно существующему законодательству по лицензии.
• 14 медцентров МРТ по России
• Опыт врачей более 20 лет
• Мощный томограф SIEMENS
• МРТ более 50 видов обследований
• Прием пациентов на ул. Профессора Никулина, 3а
• Без очереди в день обращения
• Бесплатно по ОМС и ДМС
ул. Профессора Никулина 3а:
+7 (930) 880-39-92 
+7 (4912) 923-992
+7 (4912) 923-993
Предлагаем пройти исследование для жителей Рязани, Рязанской, Московской и других областей.
https://vk.com/app5708398_-122327832</t>
  </si>
  <si>
    <t>МРТ Рязань Центр Эксперт на Профессора Никулина</t>
  </si>
  <si>
    <t>15:42</t>
  </si>
  <si>
    <t>МЦ "Эксперт" - магнитно-резонансная томография в городе Рязани |
мрт рязань, томография рязань, магнитно-резонансная томография в рязани, мрт эксперт, мрт на никулина, сделать мрт, мрт, 923992, 923993, сделать мрт в рязани
http://cmrtexpert.ru/
В Августе Центр МРТ Эксперт оставляет скидку 20%Для Всех❗
☝Предложение действует до 09.08.2020г.
☝Наш адрес: г. Рязань, ул. Профессора Никулина 3а
☎8(930)8803992.
☎+7(4912)92-39-92
➡Наш сайт: http://cmrtexpert.ru
#МРТРязань #МРТ#МРТЦены#МРТРязань#МРТ#Эксперт#Обследование#Здоровье#Москва#Луховицы#Озеры#Шатура#Коломна#Праздники</t>
  </si>
  <si>
    <t>Андрей Копылов</t>
  </si>
  <si>
    <t>В Августе Центр МРТ Эксперт оставляет скидку 20%Для Всех❗
☝Предложение действует до 09.08.2020г.
☝Наш адрес: г. Рязань, ул. Профессора Никулина 3а
☎8(930)8803992.
☎+7(4912)92-39-92
➡Наш сайт: http://cmrtexpert.ru
#МРТРязань #МРТ#МРТЦены#МРТРязань#МРТ#Эксперт#Обследование#Здоровье#Москва#Луховицы#Озеры#Шатура#Коломна#Праздники
МЦ "Эксперт" - магнитно-резонансная томография в городе Рязани |
мрт рязань, томография рязань, магнитно-резонансная томография в рязани, мрт эксперт, мрт на никулина, сделать мрт, мрт, 923992, 923993, сделать мрт в рязани
http://cmrtexpert.ru/</t>
  </si>
  <si>
    <t>‍♀️มายกระดับความสวยหน้าใสฉ่ำวาว
แบบหนุ่มสาวเกาหลี
ด้วยนวัตกรรมใหม่ล่าสุด 
Bio Collagen Stem Cell 
ที่นารดาคลินิก 
.
.
‍♀️ซึ่งช่วยฟื้นฟูเซลล์ผิวหน้าอย่างล้ำลึกจนถึงเมโลกุลผิว  
บำบัดตรงจุดถึงระดับเซลล์ด้วยสารสกัดสเต็มเซลล์
โดยการเพิ่มวิตามิน แร่ธาตุที่จำเป็นสำหรับผิว 
ช่วยให้ผิวแข็งแรง ขาวใส อิ่มเอิบ ฉ่ำวาว 
ผิวอิ่มน้ำดูสุขภาพดี
.
.
 โปรโมชั่นสุดคุ้มสำหรับลูกค้าคนพิเศษเช่นคุณ 
ซื้อ 2 แถมฟรีอีก 1 ครั้ง  จาก 8,900 บาท
 ลดเหลือเพียง 5,900 บาทเท่านั้นค่ะ
#ยินดีให้คำแนะนำสำหรับลูกค้าทุกท่านนะคะ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
แนะนำโปรแกรม BIO STEM CELL
https://www.facebook.com/NaradaTeam/videos/2470529086571745/</t>
  </si>
  <si>
    <t>13:34</t>
  </si>
  <si>
    <t>Здравствуйте девочки. Посоветуйте хорошего невропатолога в моём докторе советский район. Аноним</t>
  </si>
  <si>
    <t>Леся, она еще работает в "эксперт мрт" на Станке-Димитрова 28)Недавно был пост,девушка спрашивала она работает еще,потому как на комарова 3 недели не могла записаться.</t>
  </si>
  <si>
    <t>Елизавета Азаркина</t>
  </si>
  <si>
    <t>Женский Брянск</t>
  </si>
  <si>
    <t>Брянская область</t>
  </si>
  <si>
    <t>Брянск</t>
  </si>
  <si>
    <t>13:20</t>
  </si>
  <si>
    <t>+ Высокоточное оборудование
+ Не нужно ехать в Москву
+ Хорошие врачи
- Нет парковки !!!! Точнее она есть, но администраторы сказали, что нельзя поставить машину на ней. В итоге все время нахождения в центре, боялась, что увезет машину эвакуатор. 
- Не доброжелательные и не клиентооренттрованные администраторы
- Очень долго. 
Запись на 12:00 
Приехала в 11:40, 15 минут искала парковку, зашла в 11:55, на обследование пригласили в 12:25 !!! 
Ждала диск и вышла только в 13:18.
- Обещали расшифровку минут за 30, мне к 14 на прием к врачу, администраторы сказали, что часа через 1,5 - 2 !!!</t>
  </si>
  <si>
    <t>Юленька Павлова</t>
  </si>
  <si>
    <t>12:09</t>
  </si>
  <si>
    <t>Диетолог, терапевт Черных Анастасия Владимировна
Черных Анастасия Владимировна, Пермь: функциональный диагност, 1 отзыв пациентов, стаж 17 лет, запись на приём ☎ (342) 248-23-80.
https://prodoctorov.ru/perm/vrach/248735-chernyh/
☀Витамин D - гормоноподобное вещество, участвующее в усвоении кальция в организме, повышении иммунитета, становлении сердечно-сосудистой и эндокринной систем.
При дефиците витамина Д возможно появление не только всем хорошо известного рахита у детей, но и:
остеопороза и остеомаляции у взрослых;
увеличивается риск развития раковых заболеваний;
снижается активность иммунной системы;
увеличивается риск развития сахарного диабета, ревматоидного артрита, бронхиальной астмы;
СПКЯ, артериальной гипертензии, рассеянного склероза и т.д.
☀Но также мы знаем, что наше тело способно само вырабатывать этот важный компонент при воздействии на кожу солнечных лучей.
⁉️Так нужно ли его дополнительно принимать летом?
Если да, то какой именно и в какой дозировке?
Как проверить, нет ли у вас дефицита витамина D?
Об этом говорим завтра в ЧТ 6 августа с врачом-диетологом, терапевтом клиники Эксперт Анастасией Черных
https://prodoctorov.ru/perm/vrach/248735-chernyh/
▶️в прямом эфире в 14.00 в нашем аккаунте инстаграм
https://www.instagram.com/clinic_expert_perm/
✅Подписывайтесь и присоединяйтесь!
Оставляйте ваши вопросы в комментариях или присылайте в сообщения группы, доктор на все ответит
#диетологпермь #диетологияпермь #клиникаэксперт #клиникаэкспертпермь</t>
  </si>
  <si>
    <t>Анастасия Черных</t>
  </si>
  <si>
    <t>12:07</t>
  </si>
  <si>
    <t>5 ТИПИЧНЫХ ОШИБОК САМОЛЕЧЕНИЯ ТРАВМ:
⠀
⚠Самостоятельно вправлять сустав.
Своими действиями вы вызовите серьезнейший болевой шок, так ещё есть все шансы повредить сосуды, мышцы или нервы, что только усложнит ситуацию.
⠀
⚠Думать, что можно обойтись без диагностики.
Часто вывихи и ушибы сопровождаются отеком и внутренним кровотечением. Чем больше времени проходит с момента травмы, тем больше жидкости накапливается.
⠀
⚠Самостоятельное обезболивание травмы.
Это затруднит диагностику и может привести к повторному травматизму и неадекватной оценке полученной травмы.
⠀
⚠Ждать, пока само пройдёт.
Даже, если кости не повреждены, то могли пострадать кровеносные сосуды и нервы. Это не заживает, боль может уменьшиться, но о травме будет напоминать боль, возможны также ограничения в движении.
⠀
⚠Неправильная фиксация шины.
Фиксировать шину нужно тщательно, чтобы конечность не двигалась, но не туго, дабы не пережать артерии и вены.
⠀
Нельзя заниматься самолечением, так как это приведёт лишь к печальным последствиям.
⠀
Вызовите травматолога «Клиники Эксперт Ростов» на дом!
⠀
Для записи в нашу клинику:
⠀
☎ 8(863) 309-11-29
www.mrtexpert.ru
rostov_admin@mrtexpert.ru
⠀
⏰ПН-ВС: 7:00-22:00
Ростов-на-Дону, ул. Красноармейская, д.262/122, пом.1
Лицензия: ЛО-61-01-006908</t>
  </si>
  <si>
    <t>5 СОВЕТОВ ПЕРЕД МРТ:
⠀
✅Снимите все металлосодержащие предметы - ювелирные изделия, шпильки, часы, цепочки, крестики и т.д.;
⠀
✅Наденьте удобную одежду или возьмите с собой футболку с коротким рукавом;
⠀
✅Перед процедурой сходите в туалет. Особенно, если у вас бывают проблемы с животом от волнения;
⠀
✅Вы можете воспользоваться успокоительными средствами перед процедурой;
⠀
✅Приходите заранее, минут за 20 до назначенного времени. Так вы успеете спокойно подготовиться к процедуре.
⠀
В «Клинике Эксперт Ставрополь» проводим диагностику по всем направлениям.
⠀
Запишитесь на консультацию:⠀
☎ +7 (865) 297-95-68
www.mrtexpert.ru
Ставрополь, ул Доваторцев, 39А
Лицензия: ЛО-26-01-005183</t>
  </si>
  <si>
    <t>10:56</t>
  </si>
  <si>
    <t>Что такое альгинатная маска?
Статья
https://m.vk.com/@clinic_expert_kursk-chto-takoe-alginatnaya-maska</t>
  </si>
  <si>
    <t>10:53</t>
  </si>
  <si>
    <t>Комплексная чистка лица‍♀:
механическая ➕ ультразвуковая= 1200 ₽
Альгинатная маска в подарок
ЗАПИСАТЬСЯ
Медицинский центр "Клиника Эксперт Курск".
В нашем многопрофильном медицинском центре вы можете получить широкий спектр медицинских услуг в одном месте и максимально быстро.
https://vk.com/clinic_expert_kursk?w=app5708398_-197114981</t>
  </si>
  <si>
    <t>ПАЦИЕНТ НЕ ДОЛЖЕН ОСТАВАТЬСЯ С ПРОБЛЕМАМИ ОДИН НА ОДИН: ЧТО ТАКОЕ «МРТ С ГАРАНТИЕЙ»?
-Это наша философия работы: полное сопровождение пациента на всех этапах. При выборе исследования объяснить, какой диагностический метод наиболее информативен в той или иной ситуации, обследование какой области лучше провести при определённых жалобах. Если требуется специальная подготовка, не только объяснить, в чём она заключается, но и ответить на любые вопросы, которые могут возникнуть у пациента уже в процессе подготовки. Сам момент исследования: выполнить всё необходимое, составить заключение. Ответить на все вопросы, связанные с заключением: задать вопросы пациент может как в центре, так и онлайн (на нашей платформе «Телемедэкс»). При необходимости после исследования мы поможем сориентироваться и понять, что делать дальше: нужна ли дополнительная диагностика, к какому врачу лучше обратиться.
Ели возникнут разночтения с данными диагностики в других учреждениях, если пациент в чём-либо усомнится (например, после разговора с лечащим врачом), ему достаточно связаться с нами. Мы создадим врачебную комиссию, соберём консилиум и вновь проанализируем результаты исследования, составим новое заключение. Если ошибка с нашей стороны, то мы при необходимости готовы даже бесплатно провести повторное исследование. Если же из-за нашей ошибки пациент потерял к нам доверие, вернём деньги. Ошибки у нас крайне редки, но мы готовы нести за них полную ответственность. Всё это входит в понятие «МРТ с Гарантией».</t>
  </si>
  <si>
    <t>Здравствуйте,подскажите,где в Ростове можно сделать мрт?</t>
  </si>
  <si>
    <t>Эксперт. Красноармейская</t>
  </si>
  <si>
    <t>Юлия Босова</t>
  </si>
  <si>
    <t>ЖК Суворовский Ростов-на-Дону, Кубанская марка</t>
  </si>
  <si>
    <t>09:00</t>
  </si>
  <si>
    <t>09.08.2020 08:54</t>
  </si>
  <si>
    <t>Pain Relief Center Acupuncture Hijama Clinic</t>
  </si>
  <si>
    <t>Expert</t>
  </si>
  <si>
    <t>Manjeet Sekho</t>
  </si>
  <si>
    <t>Индия</t>
  </si>
  <si>
    <t>Дели</t>
  </si>
  <si>
    <t>Нью-Дели</t>
  </si>
  <si>
    <t>08:41</t>
  </si>
  <si>
    <t>Анонимно.Подскажите пожалуйста где можно сделать УЗИ по беременности чтоб пускали с мужем?Очки ру не пускают из за</t>
  </si>
  <si>
    <t>Елена,https://www.mrtexpert.ru/zlg</t>
  </si>
  <si>
    <t>Жанна Филина</t>
  </si>
  <si>
    <t>Плохая покупка. Железногорск, Курская область</t>
  </si>
  <si>
    <t>Красноярский край</t>
  </si>
  <si>
    <t>Железногорск</t>
  </si>
  <si>
    <t>08:25</t>
  </si>
  <si>
    <t>☀Витамин D - гормоноподобное вещество, участвующее в усвоении кальция в организме, повышении иммунитета, становлении сердечно-сосудистой и эндокринной систем.
При дефиците витамина Д возможно появление не только всем хорошо известного рахита у детей, но и:
остеопороза и остеомаляции у взрослых;
увеличивается риск развития раковых заболеваний;
снижается активность иммунной системы;
увеличивается риск развития сахарного диабета, ревматоидного артрита, бронхиальной астмы;
СПКЯ, артериальной гипертензии, рассеянного склероза и т.д.
☀Но также мы знаем, что наше тело способно само вырабатывать этот важный компонент при воздействии на кожу солнечных лучей.
⁉Так нужно ли его дополнительно принимать летом?
Если да, тои какой именно и в какой дозировке?
Как проверить, нет ли у вас дефицита витамина D?
Об этом говорим завтра в ЧТ 6 августа с врачом-диетологом, терапевтом клиники Эксперт Анастасией Черных
https://prodoctorov.ru/perm/vrach/248735-chernyh/
в прямом эфире в 14.00 в нашем аккаунте инстаграм
https://www.instagram.com/clinic_expert_perm/
Подписывайтесь и присоединяйтесь!
Оставляйте ваши вопросы в комментариях или присылайте в сообщения группы, доктор на все ответит
#диетологпермь #диетологияпермь #клиникаэксперт #клиникаэкспертпермь
Диетолог, терапевт Черных Анастасия Владимировна
Черных Анастасия Владимировна, Пермь: функциональный диагност, 1 отзыв пациентов, стаж 17 лет, запись на приём ☎ (342) 248-23-80.
https://prodoctorov.ru/perm/vrach/248735-chernyh/</t>
  </si>
  <si>
    <t>05:40</t>
  </si>
  <si>
    <t>What a joke. "a behavioral reminder that there's a pandemic and life is not the same right now ― and a reminder not to put our hands in our eyes nose or mouth until we've washed our hands." https://newsnetwork.mayoclinic.org/discussion/covid-19-mayo-clinic-expert-answers-questions-about-masks-after-cdc-updates-its-recommendation
Join your neighbors, family and friends by taking the pledge to join the fight against COVID by wearing a face cover whenever leaving the home and to avoid social gatherings.  Help slow the spread of COVID. #RivCoNow
Visit http://www.PledgeToFightCOVID.com to sign the pledge.</t>
  </si>
  <si>
    <t>energy frequency vibration</t>
  </si>
  <si>
    <t>Калифорния</t>
  </si>
  <si>
    <t>04:39</t>
  </si>
  <si>
    <t>Mask don't do crap for the virus. We should do what Sweden has done and do mass exposure. Now they are fairing much better than us.</t>
  </si>
  <si>
    <t>Joey Mathew</t>
  </si>
  <si>
    <t>04.08.2020</t>
  </si>
  <si>
    <t>23:26</t>
  </si>
  <si>
    <t>В Ростовской области от коронавируса скончались ещё четыре человека, в тяжёлом состоянии на аппаратах ИВЛ находятся 45</t>
  </si>
  <si>
    <t>Если многие пишут в Ростове, что на людей наплевать, которые вызывают врачей из поликлиник для помощи, а никто не приходит. Почему пишут в соцсетях, чтобы советом помогли как госпитализировать больного с подозрением, сообщения от 02.08, и все советуют делать КТ в платных клиниках, это уже сто процентов, с анализом примут, должны. 
Что в клинике МРТ Эксперт КТ не прекращается поток людей, кто делает анализ, потому что люди советуют куда идти и что делать. 
Вы вообще в курсе, что происходит в плане обстановки?</t>
  </si>
  <si>
    <t>Марго Линькова</t>
  </si>
  <si>
    <t>donnews.ru - новости Ростова и Ростовской области</t>
  </si>
  <si>
    <t>21:13</t>
  </si>
  <si>
    <t>Ваши вопросы</t>
  </si>
  <si>
    <t>«МРТ Эксперт» и «Клиника Эксперт»,Сочи, Адлер</t>
  </si>
  <si>
    <t>Оксана Окс</t>
  </si>
  <si>
    <t>20:45</t>
  </si>
  <si>
    <t>Mayo Clinic expert answers questions about antibody testing for COVID-19</t>
  </si>
  <si>
    <t>I have both positive for igG and igM idk what that means though if i have both positive</t>
  </si>
  <si>
    <t>Pink X Moon</t>
  </si>
  <si>
    <t>19:25</t>
  </si>
  <si>
    <t>تختلف الدوافع من شخص الى آخر، لكن المحرك والاساس ثابت، أي مايجعلك تقوم من سبات النوم والقدرة على مواجهة الحياة بحلوها ومرها. اكتشف ما يدفعك، احمه وغذيه، ليكون هدفك على مرمى خطاك. اتمنى لكم يوم سعيد مليء بالدوافع الكونية والروحية الجميلة 
❤️
.
.
.
.
#استشارة #استشارة_نفسية #دكتور_نفسي #احتراف #تخصص #متخصص #دكتور #مستشفى #دكتور #علاج #صحة #صحة_نفسية #الكويت #كويت#عقل#عيادة
#psychology#Psychologist#heal #mental_health #mind #mental #brain 
#clinic #expert #professional #mental #disorders #wellness #help</t>
  </si>
  <si>
    <t>Dr. Juliet Dinkha   د. جوليت</t>
  </si>
  <si>
    <t>Кувейт</t>
  </si>
  <si>
    <t>19:14</t>
  </si>
  <si>
    <t>تختلف الدوافع من شخص الى آخر، لكن المحرك والاساس ثابت، أي مايجعلك تقوم من سبات النوم والقدرة على مواجهة الحياة بحلوها ومرها. اكتشف ما يدفعك، احمه وغذيه، ليكون هدفك على مرمى خطاك. اتمنى لكم يوم سعيد مليء بالدوافع الكونية والروحية الجميلة 
❤️
.
.
.
.
#استشارة #استشارة_نفسية #دكتور_نفسي #احتراف #تخصص #متخصص #دكتور #مستشفى #دكتور #علاج #صحة #صحة_نفسية #الكويت #كويت#عقل#عيادة
#psychology#Psychologist#heal #mental_health #mind #mental #brain 
#clinic #expert #professional #mental #disorders #wellness #help</t>
  </si>
  <si>
    <t>19:06</t>
  </si>
  <si>
    <t>09.08.2020 05:26</t>
  </si>
  <si>
    <t>Senzio Global Healthcare</t>
  </si>
  <si>
    <t>Neat and clean clinic, expert consulting...!!</t>
  </si>
  <si>
    <t>suhas sutar</t>
  </si>
  <si>
    <t>Махараштра</t>
  </si>
  <si>
    <t>Ambivali</t>
  </si>
  <si>
    <t>18:19</t>
  </si>
  <si>
    <t>The manufacturer’s own site states an N95 mask which has much better filtration than the fabric and nonsurgical masks most people are trusting can only filter to a minimum .3 microns 95% of the time.
From the Mayo Clinic:
https://newsnetwork.mayoclinic.org/discussion/covid-19-mayo-clinic-expert-answers-questions-about-masks-after-cdc-updates-its-recommendation/</t>
  </si>
  <si>
    <t>David D. Diamond Everybody Was Kung Flu Fighting!</t>
  </si>
  <si>
    <t>#กล้ามเนื้อตาอ่อนแรง
#ไขมันพอกเปลือกตา
#ชั้นตาหลบใน
ปัญหาเหล่านี้สามารถแก้ไขได้ที่นารดาคลินิก
อย่างเช่นเคสของน้องชาช่า
ที่มีความตั้งใจอยากจะทำตา 2 ชั้น
ถ้ามองโดยรวมทั่วไป ก็ดูเหมือนว่า..
น้องมีตา 2ชั้นอยู่แล้ว
และดูไม่น่ามีปัญหาอะไรมากนัก
.
.
แต่เมื่อได้ปรึกษาคุณหมอ
และได้ประเมินจากลักษณะของดวงตาพบว่า..
น้องชาช่ามีชั้นตาหลบใน ทำให้ชั้นตาไม่ชัดเจน
แถมยังมีอาการกล้ามเนื้อตาอ่อนแรง
ทำให้ลืมตาได้ไม่สุด
นอกจากนั้นยังมีไขมันพอกเปลือกตาบน
และมีหัวตาที่แคบ
.
.
วันนี้คุณหมอได้ทำการเปิดหัวตาให้น้อง
ซึ่งจะทำให้ดวงตากลมโตสดใสมากขึ้น
มีการใช้เทคนิคกรีดยาวเป็นพิเศษ
เพื่อลดความหย่อนคล้อยที่เป็นส่วนเกิน
และเป็นการแก้ไขไขมันที่บริเวณหางตา
รวมถึงการปรับขนตาให้งอนสวยมากขึ้นด้วย
.
.
นอกจากเทคนิคเฉพาะตัวของคุณหมอ
เพื่อให้ผลลัพธ์ที่น่าพึงพอใจกับลูกค้าแต่ละเคสแล้ว
จุดเด่นสำคัญอีกอย่างหนึ่ง คือ..
มีการเย็บชั้นตาที่ละเอียด
ซึ่งทำให้เกิดแผลหลังผ่าตัดได้น้อยมาก
 ติดตามรีวิวของนารดาคลินิก ได้ที่..
 https://bit.ly/39PsLZZ
รับโปรโมชั่น  คลิก!
https://bit.ly/3k7zwLe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
ทำตา2ชั้น |น้องชาช่า
https://www.facebook.com/NaradaTeam/videos/609692973313614/</t>
  </si>
  <si>
    <t>#กรอบหน้ามา
#สวยทุกองศา
#บอกลาเหนียง
ด้วย LIPOLOCK Liposuction ดูดไขมันเหนียง 
นวัตกรรมใหม่ล่าสุด โดยเทคนิคเฉพาะ
ของทีมแพทย์ นารดาคลินิก
✅  เหนียงใต้คาง ราคา 14,900.-
✅  แก้ม 2 ข้าง ราคา 19,900.-
✅  เหนียงใต้คาง + แก้ม ราคา 29,900.-
✅  เหนียงใต้คาง + แก้ม + กรอบหน้า  ราคา 39,900.-
หน้าสวยเต่งตึง ยกกระชับ
ไร้เหนียงหย่อนคล้อย
#ที่นารดาคลินิก
#ยินดีให้คำปรึกษาทั้งก่อนและหลังทำนะคะ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
รูปภาพจากโพสต์ของ Narada Clinic คลินิกความงามเชียงใหม่
https://www.facebook.com/568390943273818/posts/3036431683136386/</t>
  </si>
  <si>
    <t>Отзывы о специалистах диагностических и медицинских центров «МРТ Эксперт» и «Клиника Эксперт».</t>
  </si>
  <si>
    <t>Отзыв о вашей клинике в г.Воронеж, ул. Пушкинская, 11.
Сдавал кровь на анализы. Простая процедура оформления и сдачи заняла 1,5 часа. Очередь огромная, при этом оформляет одна женщина. В это же время напротив три девочки на ресепшн хлопают красивыми глазками на это безобразие и ничем не помогают. Какая-то врачиха вне очереди хотела провести свою пациентку. Странная у вас клиника: люди платят не малые деньги не за то, чтобы выстаивать очереди. Ещё: в эту же очередь стоят люди, чтобы сдать кровь и в эту же очередь стоят люди сдать тест на коронавирус. Хотите, чтобы все заразились? Что на это скажет Роспотребнадзор?</t>
  </si>
  <si>
    <t>Олег Гребенщиков</t>
  </si>
  <si>
    <t>Пензенская область</t>
  </si>
  <si>
    <t>Городище</t>
  </si>
  <si>
    <t>12:36</t>
  </si>
  <si>
    <t>«МРТ Эксперт» и «Клиника Эксперт», а можно её использовать в электронном виде с телефона и давать пользоваться родным?</t>
  </si>
  <si>
    <t>11:27</t>
  </si>
  <si>
    <t>Ультразвуковая кавитация 
Посыпались вопросы: что это , насколько эффективно, это больно? И тд...
Отвечаю на них Кавитация- это ПРИЯТНАЯ альтернатива липосакции, устранение жировых отложений происходит путём воздействия на них ультразвуком, в результате которого происходит разрушение жировых клеток и их содержимое выводится из организма естественным путём, через лимфатическую систему( поэтому после процедуры советуют пить много чистой воды и сочетать с лимфодренажными массажем☝️) Воздействие ультразвука идёт строго на жировую ткань, другие клетки и ткани при процедуре не повреждаются.‍♀️
Главный плюс этой процедуры- это безболезненная быстрая коррекция фигуры. Рекомендуется курс от 4 до 6 сеансов с перерывом в неделю. Один сеанс  продолжается не более 60 мин, в среднем 1 зона 20-30 мин, за которые удаляются от 1 до 4 см жировой прослойки
Особенно хорош этот метод при локальных жировых отложениях после родов( живот, бока, внутренняя часть бёдер), при индивидуальных особенностях фигуры( «ушки» на бёдрах, над коленями, на боках...), когда при похудении жировые отложения не уходят в определенных зонах тела
Для наилучшего эффекта ультразвуковую  кавитацию можно дополнять процедурами инъекционного введения липолитиков, РФ-лифтинга, ручного массажа, миостимуляции
Можно и нужно сочетать с физическими нагрузками и диетами‍♀️
 Запись на процедуру по тел. 40-01-71 @clinic_expert_kursk 
#косметологкурск #кавитациякурск #похудениекурск #рфлифтингкурск #rfлифтингкурск #фитнескурск #курск #акциикурск #косметологиякурск #врачкурск #врачкосметологкурск</t>
  </si>
  <si>
    <t>Зубков</t>
  </si>
  <si>
    <t>10:50</t>
  </si>
  <si>
    <t>#รักษาสิวอย่างถูกวิธี
#ด้วยโปรแกรมAcne Sure
#ด้วยการรักษาแบบบูรณาการ
#ผสมผสานกับเทคโนโลยีที่ทันสมัย
✅ทำความสะอาดผิวอย่างถูกวิธี
✅กดสิวด้วยพนักงานที่มีประสบการณ์
✅ผลักวิตามิน (Cryo Skin)
✅Acne Green Mask
✅Meso Acne
✅รับยารักษาสิว
.
.
#สิวอักเสบ  #สิวผด #สิวอุดตัน
#สิวติดสาร 
รักษาแบบไม่เลี้ยงไข้ รักษาตรงจุด
ที่นารดาคลินิก
#ยินดีให้คำแนะนำสำหรับลูกค้าทุกท่านค่ะ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t>
  </si>
  <si>
    <t>Narada Clinic</t>
  </si>
  <si>
    <t>Сложные диагностические исследования часто вызывают у человека тревогу. 
Есть ли какие-то гарантии? Есть! О программе «МРТ с гарантией» читайте в нашей статье по ссылке в нашем профиле ➡️➡️➡️
Записаться на исследование вы можете по номеру: 700 006 
Адрес: Тула,ул.Болдина,74
#КлиникаЭкспертТула #клиникаэксперт #эксперттула #тулаврач #врач #будьтездоровы #мртэксперт #мрт #мрттула</t>
  </si>
  <si>
    <t>КЛИНИКА ЭКСПЕРТ ТУЛА</t>
  </si>
  <si>
    <t>10:27</t>
  </si>
  <si>
    <t>НЕ ТОЛЬКО ЗДОРОВЬЕ, НО И КРАСОТА. НА ПРИЁМЕ У КУРСКИХ КОСМЕТОЛОГОВ
Статья
https://m.vk.com/@clinic_expert_kursk-ne-tolko-zdorove-no-i-krasota-na-prieme-u-kurskih-kosmetolog</t>
  </si>
  <si>
    <t>#แก้จมูกให้รับกับใบหน้าหวานๆ
ด้วยเทคนิค  Open
รองปลายด้วยกระดูกอ่อนหลังหู
#ติดตามผลหลังทำ14วัน
ช่วยให้หน้าของคุณมีมิติ
เสริมบุคลิกภาพของคุณให้ดูดี
และโดดเด่นมากยิ่งขึ้น
#ยินดีให้คำแนะนำทั้งก่อนและหลังทำโดยแพทย์ทุกเคส
ชมรีวิวทั้งหมด ได้ที่..
https://bit.ly/2OWwRpq
โปรโมชั่น คลิก!
https://bit.ly/3jDi7cZ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
#แก้จมูกให้รับกับใบหน้าหวานๆ
ด้วยเทคนิค  Open
รองปลายด้วยกระดูกอ่อนหลังหู
#ติดตามผลหลังทำ14วัน
ช่วยให้หน้าของคุณมีมิติ
เสริมบุคลิกภาพของคุณให้ดูดี
และโดดเด่นมากยิ่งขึ้น
#ยินดีให้คำแนะนำทั้งก่อนและหลังทำโดยแพทย์ทุกเคส
ชมรีวิวทั้งหมด ได้ที่..
https://bit.ly/2OWwRpq
โปรโมชั่น คลิก!
https://bit.ly/3jDi7cZ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
https://www.facebook.com/NaradaTeam/photos/a.568393426606903/3044238122355742/?type=3</t>
  </si>
  <si>
    <t>06:34</t>
  </si>
  <si>
    <t>#Promotion Sale 50 % 
#หมดปัญหาขนกวนใจคุณ
เลเซอร์ Long Pulse ND YAG
กำจัดขนถาวร เครื่องมาตรฐานจากอเมริกา
ด้วยพลังแสงเลเซอร์ที่มีความเข้มข้นสูง 
ที่สามารถกำจัดขนได้ถึงเซลล์รากขนในผิวหนังระดับลึก
พร้อมทั้งหยุดการเกิดใหม่ของขนได้อย่างชะงัก
✔️กำจัดหนวด
✔️เคราคาง
✔️เคราแก้ม
✔️รักแร้
✔️ทั่วหน้ายกเว้นหนวดเครา
 พิเศษสุด ลด 50 % วันนี้ - 31 สิงหาคม 2563 นี้เท่านั้น
ติดตามข้อมูลที่เป็นประโยชน์
เกี่ยวกับเลเซอร์กำจัดขน ได้ที่..
https://bit.ly/2C6lfg8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t>
  </si>
  <si>
    <t>03.08.2020</t>
  </si>
  <si>
    <t>МРТ – вопросы прикладной безопасности. Часть 2
(По опыту работы в «МРТ-Эксперт» г. Костромы)
МРТ - вопросы прикладной безопасности. Часть 2.doc
https://vk.com/doc71191578_562149263?hash=e4ea7fc2b0e6b874ea&amp;dl=GI4TCMJUGU2DE:1596487529:eebe1449bee650e1ec&amp;api=1&amp;no_preview=1</t>
  </si>
  <si>
    <t>Рентгенология. Радиология. Лучевая диагностика.</t>
  </si>
  <si>
    <t>21:01</t>
  </si>
  <si>
    <t>@Amer1canH0ney
PS 1/
Diameters:
O2 = 152 pm
CO2 = 232 pm
(note: 1 μm = 1*10^6 pm)
N95 "holes" = 0.1 μm
COVID-19* = 0.12 μm
Source: https://newsnetwork.mayoclinic.org/discussion/covid-19-mayo-clinic-expert-answers-questions-about-masks-after-cdc-updates-its-recommendation/
*Note, though: COVID travels in aerosols &amp; droplets:
Droplets &gt;5 μm
Aerosols ≤ 5 μm 
(Size distinction from Nature article above)</t>
  </si>
  <si>
    <t>sameSorbetDifferentDay #BLM #Biden2020</t>
  </si>
  <si>
    <t>20:42</t>
  </si>
  <si>
    <t>قليل من الإدراك السليم، و قليل من التسامح، وقليل من المرح وسوف تندهش عندما ترى كيف استطعت أن تريح نفسك على سطح هذا الكوكب، المعادلة سهلة لكن التطبيق بيدك
#استشارة #استشارة_نفسية #دكتور_نفسي #احتراف #تخصص #متخصص #دكتور #مستشفى #مريض #مرض #دكتور #علاج #صحة #صحة_نفسية #الكويت #كويت#عقل#عيادة
#psychology#Psychologist#heal #mental_health #mind #mental #brain 
#clinic #expert #professional 
#mental #disorders #wellness #help</t>
  </si>
  <si>
    <t>The Project: Kuwait</t>
  </si>
  <si>
    <t>قليل من الإدراك السليم، و قليل من التسامح، وقليل من المرح وسوف تندهش عندما ترى كيف استطعت أن تريح نفسك على سطح هذا الكوكب، المعادلة سهلة لكن التطبيق بيدك
#استشارة #استشارة_نفسية #دكتور_نفسي #احتراف #تخصص #متخصص #دكتور #مستشفى #مريض #مرض #دكتور #علاج #صحة #صحة_نفسية #الكويت #كويت#عقل#عيادة
#psychology#Psychologist#heal #mental_health #mind #mental #brain 
#clinic #expert #professional 
#mental #disorders #wellness #help
@dr.jdinkha</t>
  </si>
  <si>
    <t>العاصمة</t>
  </si>
  <si>
    <t>Pandemic! 2020 and the COVID-19 virus</t>
  </si>
  <si>
    <t>Originally Posted by CSP
					 showthread.php?p=2483183#post2483183 
				You actually think wearing a mask is going to stop the virus from spreading?
ROFLMAO
					 Originally Posted by creepycrawler
					 showthread.php?p=2483187#post2483187 
				Straight from the Mayo Clinic since libtards like to throw out that others don't believe in science.
COVID-19: Mayo Clinic expert answers questions about masks after CDC updates its recommendation – Mayo Clinic News Network
https://newsnetwork.mayoclinic.org/d...ecommendation/ https://newsnetwork.mayoclinic.org/discussion/covid-19-mayo-clinic-expert-answers-questions-about-masks-after-cdc-updates-its-recommendation/ 
The covid 19 critters are 0.12 microns in size. A N95 mask will filter down to 0.1 micron which gives it a 95% efficiency rating which is where it gets its name. That is ONLY if it is worn correctly AND put on and taken off correctly which nobody does with any of their face coverings no matter what the type that i have noticed, not to mention that they aren't N95 to begin with.
The Mayo Clinic goes on to say that the main reason mask wearing has been recommended is for, and i quote "a behavioral reminder that there's a pandemic and life is not the same right now ― and a reminder not to put our hands in our eyes nose or mouth until we've washed our hands".
I am not a mouth breathing idiot that needs to wear a feed bag to remind me not to walk around sucking my thumbs like they apparently assume all who aren't as special as them do.
There you have it...in science. Face masks do not work, period. Its just a bunch of feel good BS.
					 Originally Posted by vb
					 showthread.php?p=2483189#post2483189 
				Not only do they not work, in most cases they cause people to touch their face more often.
Its simple to just watch the mask wearers. Its an observable function. Anyone that says different is just not observant or they are not honest.
Of course they don't, that's why they're moving on to recommending goggles now.
Next up, they'll recommend (mandate?) burqas and the islamic appeasement will be complete.</t>
  </si>
  <si>
    <t>ASCTLC</t>
  </si>
  <si>
    <t>colorado4x4.org</t>
  </si>
  <si>
    <t>General Chit Chat</t>
  </si>
  <si>
    <t>Форум</t>
  </si>
  <si>
    <t>Колорадо</t>
  </si>
  <si>
    <t>Black Forest</t>
  </si>
  <si>
    <t>16:52</t>
  </si>
  <si>
    <t>Всем доброго времени суток! Девочки, подскажите хорошего, платного невролога для взрослого (цена не имеет значения). И</t>
  </si>
  <si>
    <t>В МРТ эксперт Котляр и принимает.</t>
  </si>
  <si>
    <t>Татьяна Безроднова</t>
  </si>
  <si>
    <t>Магнитогорск</t>
  </si>
  <si>
    <t>Всем доброго времени суток! Девочки, подскажите хорошего, платного невролога для взрослого (цена не имеет значения). И что можете сказать о «МРТ Эксперт»? Спасибо.</t>
  </si>
  <si>
    <t>Юлиана Малухина</t>
  </si>
  <si>
    <t>Свердловская область</t>
  </si>
  <si>
    <t>Екатеринбург</t>
  </si>
  <si>
    <t>Straight from the Mayo Clinic since libtards like to throw out that others don't believe in science.
COVID-19: Mayo Clinic expert answers questions about masks after CDC updates its recommendation – Mayo Clinic News Network
https://newsnetwork.mayoclinic.org/d...ecommendation/ https://newsnetwork.mayoclinic.org/discussion/covid-19-mayo-clinic-expert-answers-questions-about-masks-after-cdc-updates-its-recommendation/ 
The covid 19 critters are 0.12 microns in size. A N95 mask will filter down to 0.1 micron which gives it a 95% efficiency rating which is where it gets its name. That is ONLY if it is worn correctly AND put on and taken off correctly which nobody does with any of their face coverings no matter what the type that i have noticed, not to mention that they aren't N95 to begin with.
The Mayo Clinic goes on to say that the main reason mask wearing has been recommended is for, and i quote "a behavioral reminder that there's a pandemic and life is not the same right now ― and a reminder not to put our hands in our eyes nose or mouth until we've washed our hands".
I am not a mouth breathing idiot that needs to wear a feed bag to remind me not to walk around sucking my thumbs like they apparently assume all who aren't as special as them do.
There you have it...in science. Face masks do not work, period. Its just a bunch of feel good BS.</t>
  </si>
  <si>
    <t>creepycrawler</t>
  </si>
  <si>
    <t>Германия</t>
  </si>
  <si>
    <t>Саксония</t>
  </si>
  <si>
    <t>Storcha - Baćoń</t>
  </si>
  <si>
    <t>15:04</t>
  </si>
  <si>
    <t>Добрый день! Поделитесь пожалуйста опытом  нужно сделать ИМРТ позвоночника, в Искитиме не хочу ( не доверяю нашим</t>
  </si>
  <si>
    <t>Василий, по моей проблеме наблюдалась в динамике, в первый год делала в других местах, есть с чем сравнивать. Теперь делаю только в МРТ-эксперт. Неврологи (платный, из областной и невролог из 1поликлиники М.А.Степанов) рекомендовали именно его, наверное это уже говорит о многом!)) Ситуации ведь разные, это замечательно когда раз прошел и сказали что все ок, а есть такие случаи, к сожалению, где приходится делать и по несколько раз в год, чтобы следить за течением болезни...</t>
  </si>
  <si>
    <t>Анастасия Шевцова</t>
  </si>
  <si>
    <t>ПОДСЛУШАНО в Искитиме</t>
  </si>
  <si>
    <t>Новосибирская область</t>
  </si>
  <si>
    <t>Искитим</t>
  </si>
  <si>
    <t>#รักษาสิวอย่างถูกวิธี
#ด้วยโปรแกรมAcne Sure
#ด้วยการรักษาแบบบูรณาการ
#ผสมผสานกับเทคโนโลยีที่ทันสมัย
✅ทำความสะอาดผิวอย่างถูกวิธี
✅กดสิวด้วยพนักงานที่มีประสบการณ์
✅ผลักวิตามิน (Cryo Skin)
✅Acne Green Mask
✅Meso Acne
✅รับยารักษาสิว
.
.
#สิวอักเสบ  #สิวผด #สิวอุดตัน
#สิวติดสาร 
รักษาแบบไม่เลี้ยงไข้ รักษาตรงจุด
ที่นารดาคลินิก
#ยินดีให้คำแนะนำสำหรับลูกค้าทุกท่านค่ะ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
#รักษาสิวอย่างถูกวิธี
#ด้วยโปรแกรมAcne Sure
#ด้วยการรักษาแบบบูรณาการ
#ผสมผสานกับเทคโนโลยีที่ทันสมัย
✅ทำความสะอาดผิวอย่างถูกวิธี
✅กดสิวด้วยพนักงานที่มีประสบการณ์
✅ผลักวิตามิน (Cryo Skin)
✅Acne Green Mask
✅Meso Acne
✅รับยารักษาสิว
.
.
#สิวอักเสบ  #สิวผด #สิวอุดตัน
#สิวติดสาร 
รักษาแบบไม่เลี้ยงไข้ รักษาตรงจุด
ที่นารดาคลินิก
#ยินดีให้คำแนะนำสำหรับลูกค้าทุกท่านค่ะ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
https://www.facebook.com/NaradaTeam/photos/a.568393426606903/3036383273141227/?type=3</t>
  </si>
  <si>
    <t>@saltyjohnbos @TONYxTWO @realDonaldTrump Enjoy your behavioral reminder https://newsnetwork.mayoclinic.org/discussion/covid-19-mayo-clinic-expert-answers-questions-about-masks-after-cdc-updates-its-recommendation/</t>
  </si>
  <si>
    <t>⭐️⭐️⭐️</t>
  </si>
  <si>
    <t>Гайана</t>
  </si>
  <si>
    <t>Demerara-Mahaica</t>
  </si>
  <si>
    <t>Good Success</t>
  </si>
  <si>
    <t>13:14</t>
  </si>
  <si>
    <t>12:25</t>
  </si>
  <si>
    <t>В условиях пандемии не стоит обращаться в крупные клиники. "МРТ- эксперт" на Речном вокзале - небольшой, но с хорошим оборудованием.</t>
  </si>
  <si>
    <t>Ольга Монич</t>
  </si>
  <si>
    <t>12:24</t>
  </si>
  <si>
    <t>‍♂️ 2 августа по всей России состоялся Марафон «ЗаБег.РФ» @zabegrf Команда @mrt.expert.petrozavodsk  присоединились к любителям бега и профессиональным спортсменам разных возрастов. В зависимости от уровня подготовки участники могли выбрать подходящую дистанцию - 5000 м, 10000 м и 21000 м.
  «ЗаБег.РФ» будет бороться за право попасть в Книгу Рекордов Гиннеса, как массовое мероприятие, собравшее наибольшее количество городов-участников! #забег #karelia #петрозаводск #ялюблюэтотвашпетрозаводск</t>
  </si>
  <si>
    <t>МРТ-Эксперт Петрозаводск</t>
  </si>
  <si>
    <t>МРТ ВСЕГО ТЕЛА: КОГДА В ЭТОМ ЕСТЬ НЕОБХОДИМОСТЬ? «Посмотреть с головы до пят». Как бы вы представили себе такое</t>
  </si>
  <si>
    <t>«МРТ Эксперт» и «Клиника Эксперт», аааа, так у Вас видимо просто комплекс мрт... то есть много отделов. Так наверное можно выбрать те отделы, что нужно... я не так поняла, я подумала как онкопоиск, а тут комплекс.</t>
  </si>
  <si>
    <t>Татьяна Александрова</t>
  </si>
  <si>
    <t>09:38</t>
  </si>
  <si>
    <t>«МРТ Эксперт» и «Клиника Эксперт», Челябинск</t>
  </si>
  <si>
    <t>Ольга Шевалдина</t>
  </si>
  <si>
    <t>09:28</t>
  </si>
  <si>
    <t>clinical pilates singapore Options</t>
  </si>
  <si>
    <t>Category: Blog Movement and adaptability: Specialist and top-quality athletes normally in excess of-educate which leads to muscle mass rigidity. Sports massage will help loosen up extremely tense muscles and provide extra flexibility. Utilized prior to a contest, it will eventually relax the muscles for versatility, bettering efficiency.Source of Oxygen and Nutrients: Blood movement into muscles is important to building new tissue and elevated energy and endurance. Massage raises blood stream for additional oxygen and nutrients.We now have rounded up 5 places exactly where you will get your back again crackin’ along with your joints feeling as good as new – all just minutes away out of your Business office close to the CBD or Orchard Highway.Feel like It'll be too high-priced to maintain attending massage sessions? Reconsider! Using these destinations supplying massages for under $70, massages will quickly turn into your newfound typical take care of!We offer our individuals a clear and concise diagnosis, teach them on their own condition, conduct fingers on guide treatment method, and outline distinct and straightforward to follow observe up ideas. We delight ourselves in marketing your wellbeing by holding your rehabilitation easy, by not over-dealing with our people and no time expended time losing. Physiotherapist Session from $one hundred thirty five Back again Pain Treatment method Sports Injury Rehabilitation - Strapping and Taping Thai-inspired ambiance and decor: To accentuate the expertise, Pure Bliss Spa decorates their branches with oriental Thai environment. The spa's at ease atmosphere provide you with a blissful working experience website from the moment you phase to the spa.Repeated promotional delivers for an affordable handle: Legend Spa operates occasional discounts on their own companies, which can be discovered about the Exclusive promotions part on their Internet site. They now offer you their signature Oriental System Massage at just $55 for an hour or so.Residence visits are organized for sufferers who will be as well sick to journey for the clinic. Expert services supplied by the team include manual physiotherapy read more for sufferers of any age, equilibrium and power teaching, training therapy and electrotherapy like TENS, infra-purple methods and ultrasound solutions. Physiotherapy Session Electrotherapy Repetitive Strain Injury RemedyI use a mixture of more info strategies that concentrate on solving those complications so like that you can click here experience superior and continue to be this way. I was leading of my class and keep on to go and train at The college even following graduating. Open day-to-day until eventually 3am, perfect for a massage session following a late night time drink or cinema time in Orchard, Bugis, and Holland Village.Improved number of movement and muscle adaptability. This brings about enhanced ability and efficiency, which allows you're employed competently and with appropriate depth to aid the human body’s muscle-developing response.Several spa venues: This spa has seven distinctive destinations across Singapore, making it straightforward to get indulged despite the place one is.Delayed onset muscle soreness (DOMS) is a well-known experience to the elite or beginner athlete. Signs or symptoms can range between muscle tenderness to extreme debilitating pain. The mechanisms, treatment techniques, and influence on athletic efficiency stay uncertain, despite the substantial incidence of DOMS. DOMS is most common firstly of your sporting time when athletes are returning to teaching next a period of minimized exercise. DOMS is likewise widespread when athletes are very first introduced to selected varieties of actions regardless of the time of year. Eccentric functions induce micro-injury at a higher frequency and severity than other types of muscle actions.Individuals may or may not recall any particular incident that brought website over the pain. The pain develops insidiously and intensifies slowly around weeks or months.</t>
  </si>
  <si>
    <t>dominickexphz.digiblogbox.com</t>
  </si>
  <si>
    <t>08:55</t>
  </si>
  <si>
    <t>Mayo Clinic expert explains gastrointestinal symptoms related to COVID-19</t>
  </si>
  <si>
    <t>To those who have health issues already, this makes things more scary</t>
  </si>
  <si>
    <t>Xplosive</t>
  </si>
  <si>
    <t>07:38</t>
  </si>
  <si>
    <t>Уже три года подряд делаю в МРТ-эксперт в НСК на Якушевой, все устраивает, оборудование мощное ( если МРТ с контрастом, то у них хороший, легко переносится)</t>
  </si>
  <si>
    <t>#5เคล็ดลับล้างหน้าอย่างไรให้ไกลสิว!!!!
#เผยผิวใสด้วยเคล็ดลับง่ายๆที่ทำเองได้ที่บ้าน
.
.
ล้างมือให้สะอาดก่อนล้างหน้า
ใช้นาเดล ไมเซล่า คลีนซิ่ง วอเตอร์เช็ดเครื่องสำอาง
ออกก่อนล้างหน้าทุกครั้ง
เลือกผลิตภัณฑ์ล้างหน้า นาเดล ไวท์เทนนิ่ง โฟม
ซึ่งเหมาะกับทุกสภาพผิว
ล้างหน้าด้วยวิธีการที่ถูกต้อง
โดยถูเบาๆวนเป็นวงกลมทั่วหน้า
ล้างออกด้วยน้ำสะอาดแล้วบำรุงผิวต่อไป
#หากท่านมีปัญหาเรื่องสิวหรือปัญหาเกี่ยวกับผิวหน้า
#นารดาคลินิกยินดีให้คำแนะนำนะคะ
ติดตามสาระที่เป็นประโยชน์
เกี่ยวกับการรักษาสิว ได้ที่..
https://bit.ly/30cCZ3g
ติดตามเคสรักษาสิว ได้ที่..
https://bit.ly/3jZyctF
รับโปรโมชั่นรักษาสิว  คลิก!
https://bit.ly/2XgHDvj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#5เคล็ดลับล้างหน้าอย่างไรให้ไกลสิว!!!!
#เผยผิวใสด้วยเคล็ดลับง่ายๆที่ทำเองได้ที่บ้าน
.
.
ล้างมือให้สะอาดก่อนล้างหน้า
ใช้นาเดล ไมเซล่า คลีนซิ่ง วอเตอร์เช็ดเครื่องสำอาง
ออกก่อนล้างหน้าทุกครั้ง
เลือกผลิตภัณฑ์ล้างหน้า นาเดล ไวท์เทนนิ่ง โฟม
ซึ่งเหมาะกับทุกสภาพผิว
ล้างหน้าด้วยวิธีการที่ถูกต้อง
โดยถูเบาๆวนเป็นวงกลมทั่วหน้า
ล้างออกด้วยน้ำสะอาดแล้วบำรุงผิวต่อไป
#หากท่านมีปัญหาเรื่องสิวหรือปัญหาเกี่ยวกับผิวหน้า
#นารดาคลินิกยินดีให้คำแนะนำนะคะ
ติดตามสาระที่เป็นประโยชน์
เกี่ยวกับการรักษาสิว ได้ที่..
https://bit.ly/30cCZ3g
ติดตามเคสรักษาสิว ได้ที่..
https://bit.ly/3jZyctF
รับโปรโมชั่นรักษาสิว  คลิก!
https://bit.ly/2XgHDvj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https://www.facebook.com/NaradaTeam/photos/a.568393426606903/3036373126475575/?type=3</t>
  </si>
  <si>
    <t>5 minute Self-Care : Start the week off looking after yourself with SHA Wellness Clinic Expert,  Rachel Rose who explains how to perform a manual lymphatic self drainage massage.
Manual lymphatic self draining massage
A draining massage, a therapy that is on the rise and has become a standard of excellence in the field of reducing massages and that is extremely related to ...
https://www.youtube.com/watch?v=LOFv2MP257U</t>
  </si>
  <si>
    <t>Health and Fitness Travel Australia</t>
  </si>
  <si>
    <t>Австралия</t>
  </si>
  <si>
    <t>Виктория</t>
  </si>
  <si>
    <t>Мельбурн</t>
  </si>
  <si>
    <t>02.08.2020</t>
  </si>
  <si>
    <t>В ГосДуме состоялось заседание круглого стола «Частная медицина в охране здоровья граждан России». Одним из докладчиков мероприятия выступила Председатель Правления Группы медицинских компаний «Эксперт» Елена Латышева.
Ключевые темы встречи:
— формирование целостной национальной системы здравоохранения, вне зависимости от форм собственности – частной, государственной, муниципальной;
— обсуждение законопроекта, который позволит частным клиникам использовать денежные средства ОМС, не придерживаясь структуры тарифа;
— экономическая целесообразность использования Государством ресурсов частных медицинских организаций.
Подробнее о мероприятии читайте здесь: https://www.mrtexpert.ru/articles/1079</t>
  </si>
  <si>
    <t>Alexandra Emelyanova</t>
  </si>
  <si>
    <t>20:34</t>
  </si>
  <si>
    <t>МРТ ВСЕГО ТЕЛА: КОГДА В ЭТОМ ЕСТЬ НЕОБХОДИМОСТЬ?
«Посмотреть с головы до пят». Как бы вы представили себе такое обследование?
Как оказалось, это не фантастика, а вполне посильная задача для такого метода, как магнитно-резонансная томография. Теперь сделать такой чек-ап – просканировать свой организм «от головы до пят» можно и во многих диагностических центрах «МРТ Эксперт».
Что может показать МРТ всего тела? На этот и другие вопросы мы попросили ответить главного врача ООО «МРТ Эксперт Елец» Тулинова Владимира Владимировича.
 Владимир Владимирович, давайте вначале напомним нашим читателям, что представляет собой метод МРТ и на каком принципе он основан?
 Магнитно-резонансная томография - это высокотехнологичный способ диагностики, в основе которого находится метод магнитного резонанса. Что он представляет собой по сути? В любой клетке организма имеются атомы водорода. При помещении тела в магнитное поле, ядра этих атомов колеблются, генерируя сигналы с определенными характеристиками. Эти сигналы преобразуются аппаратом и программным комплексом МРТ в изображения, которые и видит врач. Поскольку количество атомов водорода в тканях различно, то, соответственно, и изображения тканей и органов будут визуально отличаться.
 Верно ли, что гораздо чаще пациенты приходят за тем, чтобы провести МРТ-исследование одной области организма? Если это так, в каких случаях может быть целесообразным проведение МРТ всего организма?
 Статистически да, люди чаще обращаются для обследования одной области. Это можно объяснить тем, что нередко человек приходит к нам по направлению лечащего врача, у которого уже могут быть какие-то диагностические предположения и они могут быть связаны с конкретными органами и системами.
Если же жалобы человека достаточно «размытые», он не может точно сказать, что и где конкретно его беспокоит или болит, то в таких случаях МРТ всего тела может помочь внести ясность.
Кроме того, такое расширенное исследование может быть целесообразно при системных заболеваниях (например, при болезни Бехтерева), когда поражается несколько анатомических областей, или при поиске метастазов опухоли, когда точно неизвестно, в каких именно органах они есть.
Помимо собственно медицинских показаний, полное МРТ может использоваться в качестве профилактического обследования для обнаружения заболеваний на ранних, часто бессимптомно протекающих стадиях. Преимущество метода в том, что он позволяет за одно диагностическое исследование посмотреть все внутренние органы и системы.
 А какие конкретно области исследуются при МРТ всего тела?
 Это головной мозг с его артериями, все отделы позвоночника (шейный, грудной, поясничный и крестцово-копчиковый), мягкие ткани шеи, органы брюшной полости, забрюшинного пространства и малого таза.
 Магнитно-резонансная томография не оказывает лучевой нагрузки и безопасна для организма. МРТ всего тела - не исключение? Или существуют какие-то отличия в этом плане от исследования одной области?
 Нет, в плане безопасности отличий нет. На организм пациента, проходящего такой чек-ап, нет никакой лучевой нагрузки.
 Владимир Владимирович, расскажите, пожалуйста, как правильно подготовиться к этому исследованию?
 Никаких принципиальных особенностей не существует. Однако с учетом того, что при МРТ всего тела врач обследует, среди прочего, брюшную полость и малый таз, то соблюдаются рекомендации по подготовке к исследованию, в частности, этих областей.
Они следующие:
✴ последний прием пищи - за 4 часа до исследования;
✴ за 2 часа до исследования назначается но-шпа или дротаверин (дозировку подбирает врач);
✴ за 30 минут до исследования или непосредственно перед ним необходимо выпить стакан чистой негазированной воды. Это можно, кроме того, сделать по договоренности с врачом во время «переменки», если процедура делается с перерывом.
 Как и насколько долго проводится МРТ всего тела?
 Она ничем не отличается от МРТ одной области, т.е. пациента укладывают на стол аппарата и проводят исследование.
Сама процедура длится 1 час 45 минут. При этом нужно понимать, что совсем необязательно лежать все это время без перерыва, поскольку физически это достаточно трудно. В связи с этим процедуру можно провести с перерывом, технически это вполне осуществимо.
 Существуют ли какие-то особые противопоказания к МРТ всего тела? Или это только общеизвестные противопоказания к МРТ вообще?
Противопоказаний немного, назову некоторые из них:
Среди абсолютных:
✴ искусственный водитель ритма, кардиостимулятор, нейростимулятор;
✴ аппарат Илизарова;
✴ протезы клапанов сердца, за исключением протезов, разрешенных при МРТ-диагностике;
✴ инсулиновые помпы.
Относительные:
✴ боязнь замкнутого пространства (истинная клаустрофобия, гораздо чаще встречается надуманная – человек полагает, что у него есть такие трудности);
✴ первый триместр беременности;
✴ психомоторное возбуждение;
✴ необходимость в непрерывном мониторинге жизненно важных физиологических показателей (например, артериального давления, частоты дыхания, электрокардиограммы) и/или в непрерывном проведении реанимационных мероприятий.
Особо хотел бы сказать об актуальности боязни замкнутого пространства (клаустрофобии), поскольку обследование достаточно длительное. Если у человека есть такая проблема, то рекомендуется консультация с его лечащим врачом для решения вопроса о возможности обследования. Но во многих случаях возникновения страха перед МРТ-обследованием, мы всегда готовы помочь.
#ГКЭксперт #мртэксперт #мртвсеготела #МРТЭкспертЕлец #ЭнциклопедияГКЭксперт</t>
  </si>
  <si>
    <t>Катерина Питкина</t>
  </si>
  <si>
    <t>20:07</t>
  </si>
  <si>
    <t>Вау! И Ура! Мы это сделали!!
Приняли вызовы!!! ✊✊✊ Сегодня сразу в нескольких городах Команды и семьи сотрудников нашей Компании #гкэксперт приняли участие во Всероссийском марафоне!
Бежали коллективами, с семьями с детьми!
Кайф и драйв))) Уверена, что наши сердца ❤️❤️❤️ бились в такт:
Липецк-Тула-Москва-Курск-Уфа-Самара!!
Моя любимая команда #КлиникаЭкспертТула #клиникаэксперт - 20(!!!) человек! 
Мы пробежали все дистанции!
Командно- Семейный праздник удался !
Группа поддержки подбадривала на всех дистанциях и промежуточных точках!
Особый драйв был на 5 км, когда влил дождь! 
Так что на некоторых фото мокрые и безумно счастливые!!! Спасибо мои любимые @leontina_sto @doctordobrenko @puzhanovpavel @vladislavsheinkman @korolev7608 @leiman201 @litvickaya_chris @varezhka_c 
#заБег #заБег2020 #Тульскиймарафон #тульскиймарафон2020 #командамечты
@clinic_expert_tula</t>
  </si>
  <si>
    <t>Илиана Марина</t>
  </si>
  <si>
    <t>19:52</t>
  </si>
  <si>
    <t>PS 1/
Diameters:
O2 = 152 pm
CO2 = 232 pm
(note: 1 μm = 1*10^6 pm)
N95 "holes" = 0.1 μm
COVID-19* = 0.12 μm
Source: https://newsnetwork.mayoclinic.org/discussion/covid-19-mayo-clinic-expert-answers-questions-about-masks-after-cdc-updates-its-recommendation/
*Note, though: COVID travels in aerosols &amp; droplets:
Droplets &gt;5 μm
Aerosols ≤ 5 μm 
(Size distinction from Nature article above)</t>
  </si>
  <si>
    <t>19:27</t>
  </si>
  <si>
    <t>@rbenn76 @wh2824 @Tactical_review Below is another interesting resource for information about mask effectiveness (with facts about different materials related to this virus' size). I dunno if @Tactical_review's mask has a non-woven second layer, but it'll do some good in any case.
https://newsnetwork.mayoclinic.org/discussion/covid-19-mayo-clinic-expert-answers-questions-about-masks-after-cdc-updates-its-recommendation/</t>
  </si>
  <si>
    <t>Aslag Van Magnusson</t>
  </si>
  <si>
    <t>19:13</t>
  </si>
  <si>
    <t>No one is using their mask correctly?
Solution.....make them mandatory. LOL ok</t>
  </si>
  <si>
    <t>YouMockMe</t>
  </si>
  <si>
    <t>19:02</t>
  </si>
  <si>
    <t>Ban Ayurvedic treatments in India immediately
https://www.rasyog.com/
Free online Ayurveda counselling, phone counselling and treatment at Rasyog clinic. Expert from Ayurveda specialist doctor at Rasyog Ayurveda in Mumbai, India</t>
  </si>
  <si>
    <t>Dr.sasi</t>
  </si>
  <si>
    <t>Иордания</t>
  </si>
  <si>
    <t>Амман</t>
  </si>
  <si>
    <t>18:45</t>
  </si>
  <si>
    <t>09.08.2020 08:53</t>
  </si>
  <si>
    <t>Chandra Devi</t>
  </si>
  <si>
    <t>16:53</t>
  </si>
  <si>
    <t>УРОЛОГИЯ В ФЕДЕРАЛЬНОЙ СЕТИ КЛИНИК "ЭКСПЕРТ"</t>
  </si>
  <si>
    <t>Врач-уролог занимается диагностикой, профилактикой и лечением мужских, женских и детских заболеваний мочеполовой системы.
В урологии выделяют несколько разделов:
- андрология – изучает заболевания мужской половой системы;
- урогинекология – изучает заболевания мочевыводящих и половых путей у женщин;
- детская урология;
- онкоурология – занимается лечением онкологических заболеваний мочеполовой системы.⠀
Мужская урология концентрируется на лечении: импотенции, преждевременного семяизвержения, мужского бесплодия, уретрита, цистита, простатита, аденомы простаты, баланопостита, орхита, эпидидимита, заболеваний, передающихся половым путем.
Что такое женская урология?
Женская урология связана с диагностикой, лечением и профилактикой: цистита, уретрита, недержания мочи и пиелонефрита.
Своевременная диагностика диагностика и лечение у уролога предупредит развитие заболеваний и осложнений урологических заболеваний.
Когда необходима консультация уролога?
Консультация уролога необходима при обнаружении таких симптомов как:
- недержание, частое мочеиспускание;
- боли при мочеиспускании;
- изменения в моче;
- боли в промежности и поясничной области;
- нехарактерные выделения из уретры;
- зуд и жжение.⠀
Все консультации уролога в федеральной сети медицинских центров “Клиника Эксперт” проходят в удобной для пациента обстановке.
Какую диагностику назначает врач-уролог?
Для постановки диагноза уролог может назначить различные виды инструментальных обследований:
- эндоскопия;
- ультразвуковые методы исследования: УЗИ малого таза, почек, мочевого пузыря, предстательной железы, брюшной полости;
- компьютерная (КТ) и/или магнитно-резонансная томография (МРТ) определенных органов.⠀
Для постановки диагноза урологу могут понадобиться лабораторные исследования: анализ крови, анализ мочи, мазок на флору и другие.
Пациенты могут сдать анализы и пройти обследования, назначенные урологом в федеральной сети медицинских центров “Клиника Эксперт” в городах:
- Владикавказ 
- Воронеж
- Иркутск
- Курск 
- Ростов-на-Дону 
- Смоленск 
- Тверь 
- Тула.
#медицина, #гк эксперт, #мрт эксперт, #клиника эксперт, #урология</t>
  </si>
  <si>
    <t>16:50</t>
  </si>
  <si>
    <t>COVID IS MOST LIKELY ALL A SHAM A FAKE! AT THE VERY LEAST THE STUPID 
DEMOCRATS AND EVEN MANY REPUBLICANS MUST WAKE UP AND REALIZE THAT AT THE
 VERY LEAST IT IS NOWHERE NEAR AS BAD AS THE MEDIA KEEPS TRYING TO 
BRAINWASH PEOPLE'S MINDS WITH THE SAME FEAR MONGERING NEWS DAILY!! EVEN 
THE CDC ADMITTED MORE THAN HALF THE CASES AT THE VERY LEAST ARE FAKE 
CASES! "ITS A FALSIFIED OUTBREAK"! STOP WATCHING THE LYING FAKE 
MAINSTREAM NEWS MEDIA! MANY PEOPLE WHO FILLED OUT APPLICATIONS, BUT 
NEVER ACTUALLY TOOK THE TEST ARE BEING CALLED TO BE TOLD THEY TESTED 
POSITIVE LOL!!! WHAT A JOKE!!!</t>
  </si>
  <si>
    <t>jeff carlson</t>
  </si>
  <si>
    <t>15:37</t>
  </si>
  <si>
    <t>‍♂️ Сегодня, 2 августа по всей России состоялся Марафон «ЗаБег.РФ» @zabegrf Команда @mrt.expert.petrozavodsk  присоединились к любителям бега и профессиональным спортсменам разных возрастов. В зависимости от уровня подготовки участники могли выбрать подходящую дистанцию - 5000 м, 10000 м и 21000 м.
  «ЗаБег.РФ» будет бороться за право попасть в Книгу Рекордов Гиннеса, как массовое мероприятие, собравшее наибольшее количество городов-участников! #забег #karelia #петрозаводск #ялюблюэтотвашпетрозаводск</t>
  </si>
  <si>
    <t>Павел Чанторицкий</t>
  </si>
  <si>
    <t>15:27</t>
  </si>
  <si>
    <t>МРТ ВСЕГО ТЕЛА: КОГДА В ЭТОМ ЕСТЬ НЕОБХОДИМОСТЬ? 
«Посмотреть с головы до пят». Как бы вы представили себе такое обследование? 
Как оказалось, это не фантастика, а вполне посильная задача для такого метода, как магнитно-резонансная томография. Теперь сделать такой чек-ап – просканировать свой организм «от головы до пят» можно и во многих диагностических центрах «МРТ Эксперт». 
Что может показать МРТ всего тела? На этот и другие вопросы мы попросили ответить главного врача ООО «МРТ Эксперт Елец» Тулинова Владимира Владимировича. 
 Владимир Владимирович, давайте вначале напомним нашим читателям, что представляет собой метод МРТ и на каком принципе он основан? 
 Магнитно-резонансная томография - это высокотехнологичный способ диагностики, в основе которого находится метод магнитного резонанса. Что он представляет собой по сути? В любой клетке организма имеются атомы водорода. При помещении тела в магнитное поле, ядра этих атомов колеблются, генерируя сигналы с определенными характеристиками. Эти сигналы преобразуются аппаратом и программным комплексом МРТ в изображения, которые и видит врач. Поскольку количество атомов водорода в тканях различно, то, соответственно, и изображения тканей и органов будут визуально отличаться. 
 Верно ли, что гораздо чаще пациенты приходят за тем, чтобы провести МРТ-исследование одной области организма? Если это так, в каких случаях может быть целесообразным проведение МРТ всего организма? 
 Статистически да, люди чаще обращаются для обследования одной области. Это можно объяснить тем, что нередко человек приходит к нам по направлению лечащего врача, у которого уже могут быть какие-то диагностические предположения и они могут быть связаны с конкретными органами и системами. 
Если же жалобы человека достаточно «размытые», он не может точно сказать, что и где конкретно его беспокоит или болит, то в таких случаях МРТ всего тела может помочь внести ясность. 
Кроме того, такое расширенное исследование может быть целесообразно при системных заболеваниях (например, при болезни Бехтерева), когда поражается несколько анатомических областей, или при поиске метастазов опухоли, когда точно неизвестно, в каких именно органах они есть. 
Помимо собственно медицинских показаний, полное МРТ может использоваться в качестве профилактического обследования для обнаружения заболеваний на ранних, часто бессимптомно протекающих стадиях. Преимущество метода в том, что он позволяет за одно диагностическое исследование посмотреть все внутренние органы и системы. 
 А какие конкретно области исследуются при МРТ всего тела? 
 Это головной мозг с его артериями, все отделы позвоночника (шейный, грудной, поясничный и крестцово-копчиковый), мягкие ткани шеи, органы брюшной полости, забрюшинного пространства и малого таза. 
 Магнитно-резонансная томография не оказывает лучевой нагрузки и безопасна для организма. МРТ всего тела - не исключение? Или существуют какие-то отличия в этом плане от исследования одной области? 
 Нет, в плане безопасности отличий нет. На организм пациента, проходящего такой чек-ап, нет никакой лучевой нагрузки. 
 Владимир Владимирович, расскажите, пожалуйста, как правильно подготовиться к этому исследованию? 
 Никаких принципиальных особенностей не существует. Однако с учетом того, что при МРТ всего тела врач обследует, среди прочего, брюшную полость и малый таз, то соблюдаются рекомендации по подготовке к исследованию, в частности, этих областей. 
Они следующие: 
✴ последний прием пищи - за 4 часа до исследования; 
✴ за 2 часа до исследования назначается но-шпа или дротаверин (дозировку подбирает врач); 
✴ за 30 минут до исследования или непосредственно перед ним необходимо выпить стакан чистой негазированной воды. Это можно, кроме того, сделать по договоренности с врачом во время «переменки», если процедура делается с перерывом. 
 Как и насколько долго проводится МРТ всего тела? 
 Она ничем не отличается от МРТ одной области, т.е. пациента укладывают на стол аппарата и проводят исследование. 
Сама процедура длится 1 час 45 минут. При этом нужно понимать, что совсем необязательно лежать все это время без перерыва, поскольку физически это достаточно трудно. В связи с этим процедуру можно провести с перерывом, технически это вполне осуществимо. 
 Существуют ли какие-то особые противопоказания к МРТ всего тела? Или это только общеизвестные противопоказания к МРТ вообще? 
Противопоказаний немного, назову некоторые из них: 
Среди абсолютных: 
✴ искусственный водитель ритма, кардиостимулятор, нейростимулятор; 
✴ аппарат Илизарова; 
✴ протезы клапанов сердца, за исключением протезов, разрешенных при МРТ-диагностике; 
✴ инсулиновые помпы. 
Относительные: 
✴ боязнь замкнутого пространства (истинная клаустрофобия, гораздо чаще встречается надуманная – человек полагает, что у него есть такие трудности); 
✴ первый триместр беременности; 
✴ психомоторное возбуждение; 
✴ необходимость в непрерывном мониторинге жизненно важных физиологических показателей (например, артериального давления, частоты дыхания, электрокардиограммы) и/или в непрерывном проведении реанимационных мероприятий. 
Особо хотел бы сказать об актуальности боязни замкнутого пространства (клаустрофобии), поскольку обследование достаточно длительное. Если у человека есть такая проблема, то рекомендуется консультация с его лечащим врачом для решения вопроса о возможности обследования. Но во многих случаях возникновения страха перед МРТ-обследованием, мы всегда готовы помочь.
#ГКЭксперт #мртэксперт #мртвсеготела #МРТЭкспертЕлец #ЭнциклопедияГКЭксперт</t>
  </si>
  <si>
    <t>‍ก่อนหน้านี้คุณจอยเคยทำจมูกและตามาก่อน
แต่เมื่อดูจากรูปจมูกค่อนข้างแข็ง
ทำให้หน้าดูดุ ดูมีอายุ
นอกจากนั้นยังเห็นซิลิโคนชัดขึ้น
ซึ่งมีโอกาสทำให้เนื้อจมูกบางลง
ไม่เพียงเท่านั้น คุณจอยยังมีตา 3 ชั้น
ซึ่งอาจผิดพลาดจากการทำตาครั้งแรก
.
.
‍คุณหมอได้ปรับรูปจมูกใหม่
ด้วยเทคนิค Semi Open
โดยรองด้วยกระดูกอ่อนหลังหูที่ปลายจมูก
ทำให้จมูกมีสโลป ปลายพุงสวย
มีสันโดดเด่น ทำให้หน้าเด็กลง
.
.
‍ส่วนตาคุณหมอใช้เทคนิคกรีดยาว
พร้อมปรับชั้นตาใหม่
จัดเรียงขนตาให้งอนสวยขึ้น
.
.
  วันนี้คุณจอยมีนัดติดตามผล
หลังจากที่แก้จมูกและตามาครบ 1 เดือน
จะเห็นได้ว่าหน้าเธอหวานขึ้น
และยังดูเด็กลงอีกด้วยนะคะ
#ยินดีให้คำปรึกษาทั้งก่อนและหลังทำทุกเคสโดยแพทย์
ชมคลิปเต็มได้ที่..
https://youtu.be/bDxbOGdxw4I
ชมรีวิวเพิ่มเติมได้ที่..
https://bit.ly/2D7MckE
รับโปรโมชั่น คลิก!!
https://bit.ly/2BNGbJc
=======================================
Narada Clinic : Expert Beauty Center
นารดาคลินิก ศูนย์ความเป็นเลิศด้านความงามภาคเหนือ
Call center : 053-215447
Line: @naradaclinic(อย่าลืมใส่@ด้วยนะคะ)
Website: www.naradaclinic. com
IG:naradaclinic
Youtube:Narada clinic Channel
ติดตามผลหลังแก้จมูก+แก้ตา2ชั้น |น้องจอย
https://www.facebook.com/NaradaTeam/videos/1229664104050138/</t>
  </si>
  <si>
    <t>14:59</t>
  </si>
  <si>
    <t>Expert therapist</t>
  </si>
  <si>
    <t>durgesh choudhary</t>
  </si>
  <si>
    <t>13:40</t>
  </si>
  <si>
    <t>Павел</t>
  </si>
  <si>
    <t>13:39</t>
  </si>
  <si>
    <t>Анон, девочки подскажите,, мучаюсь головными болями довольно часто,,, думаю надо сделать мрт,, может кто знает где можно</t>
  </si>
  <si>
    <t>Да, бесплатно сложно добиться. Да и, к сожалению, дать направление могут куда угодно делать. А в птз лучше делать, как врачи говорят, в мибс на Свердлова. Выбирайте ни там, где дешевле, а где лучше оборудование. В мрт-эксперт я бы ни стала делать.</t>
  </si>
  <si>
    <t>Наталья Муренко</t>
  </si>
  <si>
    <t>В помощь маме - Петрозаводск</t>
  </si>
  <si>
    <t>13:00</t>
  </si>
  <si>
    <t>Beauty Bible Beauty Clinic: expert advice for a reader working on the front line whose skin is spotty, congested and dry in places, caused by long shifts under a protective medical face mask.  https://www.beautybible.com/beauty-bible-posts/beauty-clinic-doctors-mask
Beauty Clinic: Solving an A&amp;E doctor's mask-wearing challenges — Beauty Bible
Expert advice for a reader working on the front line whose skin is spotty, congested and dry in places, caused by long shifts under a protective medical face mask.
https://www.beautybible.com/beauty-bible-posts/beauty-clinic-doctors-mask</t>
  </si>
  <si>
    <t>The Beauty Bible (www.beautybible.com)</t>
  </si>
  <si>
    <t>https://external-ort2-1.xx.fbcdn.net/safe_image.php?d=AQBwbw9fmT8a_Glb&amp;url=http%3A%2F%2Fstatic1.squarespace.com%2Fstatic%2F5981f42b4c0dbf1358494125%2F5982850a9a6bf734b6e71e7a%2F5f202a31f472d515607bb11e%2F1596362440324%2FBEAUTY_CLINIC_MASK_BEAUTY.jpg%3Fformat%3D1500w&amp;_nc_hash=AQAp8LPx4l_C8UtI</t>
  </si>
  <si>
    <t>Beauty Bible Beauty Clinic: expert advice for a reader working on the front line whose skin is spotty, congested and dry in places, caused by long shifts under a protective medical face mask  https://www.beautybible.com/beauty-bible-posts/beauty-clinic-doctors-mask</t>
  </si>
  <si>
    <t>Beauty Bible</t>
  </si>
  <si>
    <t>Канзас</t>
  </si>
  <si>
    <t>Манхэттен</t>
  </si>
  <si>
    <t>ИНТИМНАЯ ХИРУРГИЯ В «КЛИНИКЕ ЭКСПЕРТ РОСТОВ»
- это успешное решение интимных проблем, ювелирная работа, опытные руки специалистов и 100% приватность.⠀
⠀
Выполняем:⠀
⠀
✔Рассечение девственной плевы
✔️Введение внутриматочной спирали
✔️Радиоволновое удаление кондилом наружных половых органов
✔️Радиоволновая деструкция шейки матки
✔️ Интимная контурная пластика больших и малых половых губ
✔️Интимная контурная пластика точки "G"
✔️Интимная контурная пластика возрастных инволютивных изменений
✔️Интимная контурная пластика послеродовых изменений
⠀
 Вмешательства могут быть проведены на приеме в кресле гинеколога. ⠀
⠀
Как записаться к гинекологу?
⠀
☎️ 8(863) 309-11-29 www.mrtexpert.ru rostov_admin@mrtexpert.ru ⏰ПН-ВС: 7:00-22:00 Ростов-на-Дону, ул. Красноармейская, д.262/122, пом.1 Лицензия: ЛО-61-01-006908</t>
  </si>
  <si>
    <t>ИНТИМНАЯ ХИРУРГИЯ В «КЛИНИКЕ ЭКСПЕРТ РОСТОВ»
- это успешное решение интимных проблем, ювелирная работа, опытные руки специалистов и 100% приватность.⠀
⠀
Выполняем:⠀
⠀
✔Рассечение девственной плевы
✔️Введение внутриматочной спирали
✔️Радиоволновое удаление кондилом наружных половых органов
✔️Радиоволновая деструкция шейки матки
✔️ Интимная контурная пластика больших и малых половых губ
✔️Интимная контурная пластика точки "G"
✔️Интимная контурная пластика возрастных инволютивных изменений
✔️Интимная контурная пластика послеродовых изменений
⠀
 Вмешательства могут быть проведены на приеме в кресле гинеколога. ⠀
⠀
Как записаться к гинекологу?
⠀
☎️ 8(863) 309-11-29�www.mrtexpert.ru�rostov_admin@mrtexpert.ru�⏰ПН-ВС: 7:00-22:00�Ростов-на-Дону, ул. Красноармейская, д.262/122, пом.1�Лицензия: ЛО-61-01-006908</t>
  </si>
  <si>
    <t>https://scontent-hel2-1.xx.fbcdn.net/v/t1.0-9/116797203_786654175412214_8744313793143417164_o.jpg?_nc_cat=102&amp;_nc_sid=730e14&amp;_nc_ohc=s-Wrrgh8iQkAX8RPsQ9&amp;_nc_oc=AQkNpjofpjnLdxZkIX24nh7Q-ZkYB9WfcpscDTIBXefXTqGEg-PJr8vcRr8Gu5m59cbpfg86jtRDSRA52seSr8CZ&amp;_nc_ht=scontent-hel2-1.xx&amp;oh=2af66d41b697ebb5873513e44140dfd0&amp;oe=5F4AA228</t>
  </si>
  <si>
    <t>#ต้นแขนกระชับด้วยเครื่องนวดRF(Radio Frequency)
โปรแกรม Body Firm
#ช่วยสลายไขมัน #กระชับสัดส่วนต้นแขน
.
.
‍♀️โดย RF(Radio Frequency)
ทำงานโดยการนวด 
พร้อมปล่อยพลังงานในช่วงคลื่นความถี่วิทยุ
ช่วยกระตุ้นความร้อนใต้ชั้นผิว
‍♀️ทำให้การไหลเวียนของโลหิต
และน้ำเหลืองดีขึ้น
โดยจะมีการขับของเสียออกมา
ในรูปแบบของเหงื่อและระบบน้ำเหลืองค่ะ
✅ ไม่เจ็บ
✅ ไม่มีระยะพักฟื้น
✅ เห็นผลหลังจากที่ทำทันที
#ยินดีให้คำแนะนำทั้งก่อนและหลังทำนะคะ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
#ต้นแขนกระชับด้วยเครื่องนวดRF(Radio Frequency)
โปรแกรม Body Firm
#ช่วยสลายไขมัน #กระชับสัดส่วนต้นแขน
.
.
‍♀️โดย RF(Radio Frequency)
ทำงานโดยการนวด 
พร้อมปล่อยพลังงานในช่วงคลื่นความถี่วิทยุ
ช่วยกระตุ้นความร้อนใต้ชั้นผิว
‍♀️ทำให้การไหลเวียนของโลหิต
และน้ำเหลืองดีขึ้น
โดยจะมีการขับของเสียออกมา
ในรูปแบบของเหงื่อและระบบน้ำเหลืองค่ะ
✅ ไม่เจ็บ
✅ ไม่มีระยะพักฟื้น
✅ เห็นผลหลังจากที่ทำทันที
#ยินดีให้คำแนะนำทั้งก่อนและหลังทำนะคะ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
https://www.facebook.com/NaradaTeam/photos/a.568393426606903/3027527844026770/?type=3</t>
  </si>
  <si>
    <t>06:25</t>
  </si>
  <si>
    <t>@kohenari https://newsnetwork.mayoclinic.org/discussion/covid-19-mayo-clinic-expert-answers-questions-about-masks-after-cdc-updates-its-recommendation/</t>
  </si>
  <si>
    <t>AnUnnamedSource</t>
  </si>
  <si>
    <t>06:00</t>
  </si>
  <si>
    <t>แนะนำโปรแกรม |Bio - Stem Cell</t>
  </si>
  <si>
    <t>แนะนำโปรแกรม |Bio - Stem Cell
มายกระดับความสวยหน้าใสฉ่ำวาวแบบหนุ่มสาวเกาหลีด้วยนวัตกรรมใหม่ล่าสุด Bio Collagen Stem Cell ที่นารดาคลินิก ซึ่งช่วยฟื้นฟูเซลล์ผิวหน้าอย่างล้ำลึกจนถึงเมโลกุลผิว  บำบัดตรงจุดถึงระดับเซลล์ด้วยสารสกัดสเต็มเซลล์ โดยการเพิ่มวิตามิน แร่ธาตุที่จำเป็นสำหรับผิว ช่วยให้ผิวแข็งแรง ขาวใส อิ่มเอิบ ฉ่ำวาว ผิวอิ่มน้ำดูสุขภาพดีค่ะ 
โปรโมชั่นสุดคุ้มสำหรับลูกค้าคนพิเศษ  ซื้อ 2 แถมฟรีอีก 1 ครั้ง  จาก 8,900 บาท ลดเหลือเพียง 5,900 บาทเท่านั้นค่ะ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t>
  </si>
  <si>
    <t>Narada clinic Channel</t>
  </si>
  <si>
    <t>02:56</t>
  </si>
  <si>
    <t>The Mayo Clinic please let us know what to do with those wet cloths masks.</t>
  </si>
  <si>
    <t>Pam Winder</t>
  </si>
  <si>
    <t>01:59</t>
  </si>
  <si>
    <t>COVID-19: Mayo Clinic expert answers questions about masks ...
￼https://newsnetwork.mayoclinic.org/discussion/covid-19-mayo-clinic-expert-answers-questions-about-masks-after-cdc-updates-its-recommendation/
The idea behind an N95 mask is it has a filtering ability down to, and actually below, the size of SARS-CoV-2, the virus that causes COVID-19. So the coronavirus is about 0.12 microns in diameter and N95 (masks) protect down to 0.1 microns, with 95% efficiency, which is where it gets its name
COVID-19: Mayo Clinic expert answers questions about masks after CDC updates its recommendation
The Centers for Disease Control and Prevention (CDC) is recommending people wear nonmedical cloth masks while in public to decrease [...]
https://newsnetwork.mayoclinic.org/discussion/covid-19-mayo-clinic-expert-answers-questions-about-masks-after-cdc-updates-its-recommendation/</t>
  </si>
  <si>
    <t>A Z</t>
  </si>
  <si>
    <t>Coronavirus Central</t>
  </si>
  <si>
    <t>01.08.2020</t>
  </si>
  <si>
    <t>23:14</t>
  </si>
  <si>
    <t>22:07</t>
  </si>
  <si>
    <t>Посоветуйте пожалуйста! Где хорошо и не очень дорого можно сделать МРТ( головного мозга)?в Перми.</t>
  </si>
  <si>
    <t>Мрт эксперт</t>
  </si>
  <si>
    <t>Юлия Нестерова</t>
  </si>
  <si>
    <t>19:51</t>
  </si>
  <si>
    <t>17:24</t>
  </si>
  <si>
    <t>МРТ ВСЕГО ТЕЛА: КОГДА В ЭТОМ ЕСТЬ НЕОБХОДИМОСТЬ?
«Посмотреть с головы до пят». Как бы вы представили себе такое обследование?
Как оказалось, это не фантастика, а вполне посильная задача для такого метода, как магнитно-резонансная томография. Теперь сделать такой чек-ап – просканировать свой организм «от головы до пят» можно и во многих диагностических центрах «МРТ Эксперт».
Что может показать МРТ всего тела? На этот и другие вопросы мы попросили ответить главного врача ООО «МРТ Эксперт Елец» Тулинова Владимира Владимировича.
 Владимир Владимирович, давайте вначале напомним нашим читателям, что представляет собой метод МРТ и на каком принципе он основан?
 Магнитно-резонансная томография - это высокотехнологичный способ диагностики, в основе которого находится метод магнитного резонанса. Что он представляет собой по сути? В любой клетке организма имеются атомы водорода. При помещении тела в магнитное поле, ядра этих атомов колеблются, генерируя сигналы с определенными характеристиками. Эти сигналы преобразуются аппаратом и программным комплексом МРТ в изображения, которые и видит врач. Поскольку количество атомов водорода в тканях различно, то, соответственно, и изображения тканей и органов будут визуально отличаться.
 Верно ли, что гораздо чаще пациенты приходят за тем, чтобы провести МРТ-исследование одной области организма? Если это так, в каких случаях может быть целесообразным проведение МРТ всего организма?
 Статистически да, люди чаще обращаются для обследования одной области. Это можно объяснить тем, что нередко человек приходит к нам по направлению лечащего врача, у которого уже могут быть какие-то диагностические предположения и они могут быть связаны с конкретными органами и системами.
Если же жалобы человека достаточно «размытые», он не может точно сказать, что и где конкретно его беспокоит или болит, то в таких случаях МРТ всего тела может помочь внести ясность.
Кроме того, такое расширенное исследование может быть целесообразно при системных заболеваниях (например, при болезни Бехтерева), когда поражается несколько анатомических областей, или при поиске метастазов опухоли, когда точно неизвестно, в каких именно органах они есть.
Помимо собственно медицинских показаний, полное МРТ может использоваться в качестве профилактического обследования для обнаружения заболеваний на ранних, часто бессимптомно протекающих стадиях. Преимущество метода в том, что он позволяет за одно диагностическое исследование посмотреть все внутренние органы и системы.
 А какие конкретно области исследуются при МРТ всего тела?
 Это головной мозг с его артериями, все отделы позвоночника (шейный, грудной, поясничный и крестцово-копчиковый), мягкие ткани шеи, органы брюшной полости, забрюшинного пространства и малого таза.
 Магнитно-резонансная томография не оказывает лучевой нагрузки и безопасна для организма. МРТ всего тела - не исключение? Или существуют какие-то отличия в этом плане от исследования одной области?
 Нет, в плане безопасности отличий нет. На организм пациента, проходящего такой чек-ап, нет никакой лучевой нагрузки.
 Владимир Владимирович, расскажите, пожалуйста, как правильно подготовиться к этому исследованию?
 Никаких принципиальных особенностей не существует. Однако с учетом того, что при МРТ всего тела врач обследует, среди прочего, брюшную полость и малый таз, то соблюдаются рекомендации по подготовке к исследованию, в частности, этих областей.
Они следующие:
✴ последний прием пищи - за 4 часа до исследования;
✴ за 2 часа до исследования назначается но-шпа или дротаверин (дозировку подбирает врач);
✴ за 30 минут до исследования или непосредственно перед ним необходимо выпить стакан чистой негазированной воды. Это можно, кроме того, сделать по договоренности с врачом во время «переменки», если процедура делается с перерывом.
 Как и насколько долго проводится МРТ всего тела?
 Она ничем не отличается от МРТ одной области, т.е. пациента укладывают на стол аппарата и проводят исследование.
Сама процедура длится 1 час 45 минут. При этом нужно понимать, что совсем необязательно лежать все это время без перерыва, поскольку физически это достаточно трудно. В связи с этим процедуру можно провести с перерывом, технически это вполне осуществимо.
 Существуют ли какие-то особые противопоказания к МРТ всего тела? Или это только общеизвестные противопоказания к МРТ вообще?
Противопоказаний немного, назову некоторые из них:
Среди абсолютных:
✴ искусственный водитель ритма, кардиостимулятор, нейростимулятор;
✴ аппарат Илизарова;
✴ протезы клапанов сердца, за исключением протезов, разрешенных при МРТ-диагностике;
✴ инсулиновые помпы.
Относительные:
✴ боязнь замкнутого пространства (истинная клаустрофобия, гораздо чаще встречается надуманная – человек полагает, что у него есть такие трудности);
✴ первый триместр беременности;
✴ психомоторное возбуждение;
✴ необходимость в непрерывном мониторинге жизненно важных физиологических показателей (например, артериального давления, частоты дыхания, электрокардиограммы) и/или в непрерывном проведении реанимационных мероприятий.
Особо хотел бы сказать об актуальности боязни замкнутого пространства (клаустрофобии), поскольку обследование достаточно длительное. Если у человека есть такая проблема, то рекомендуется консультация с его лечащим врачом для решения вопроса о возможности обследования. Но во многих случаях возникновения страха перед МРТ-обследованием, мы всегда готовы помочь.</t>
  </si>
  <si>
    <t>#Promotion Sale 50 % 
#หมดปัญหาขนกวนใจคุณ
เลเซอร์ Long Pulse ND YAG
กำจัดขนถาวร เครื่องมาตรฐานจากอเมริกา
ด้วยพลังแสงเลเซอร์ที่มีความเข้มข้นสูง 
ที่สามารถกำจัดขนได้ถึงเซลล์รากขนในผิวหนังระดับลึก
พร้อมทั้งหยุดการเกิดใหม่ของขนได้อย่างชะงัก
✔️กำจัดหนวด
✔️เคราคาง
✔️เคราแก้ม
✔️รักแร้
✔️ทั่วหน้ายกเว้นหนวดเครา
 พิเศษสุด ลด 50 % วันนี้ - 31 สิงหาคม 2563 นี้เท่านั้น
ติดตามข้อมูลที่เป็นประโยชน์
เกี่ยวกับเลเซอร์กำจัดขน ได้ที่..
https://bit.ly/2C6lfg8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
#Promotion Sale 50 % 
#หมดปัญหาขนกวนใจคุณ
เลเซอร์ Long Pulse ND YAG
กำจัดขนถาวร เครื่องมาตรฐานจากอเมริกา
ด้วยพลังแสงเลเซอร์ที่มีความเข้มข้นสูง 
ที่สามารถกำจัดขนได้ถึงเซลล์รากขนในผิวหนังระดับลึก
พร้อมทั้งหยุดการเกิดใหม่ของขนได้อย่างชะงัก
✔️กำจัดหนวด
✔️เคราคาง
✔️เคราแก้ม
✔️รักแร้
✔️ทั่วหน้ายกเว้นหนวดเครา
 พิเศษสุด ลด 50 % วันนี้ - 31 สิงหาคม 2563 นี้เท่านั้น
ติดตามข้อมูลที่เป็นประโยชน์
เกี่ยวกับเลเซอร์กำจัดขน ได้ที่..
https://bit.ly/2C6lfg8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
https://www.facebook.com/NaradaTeam/photos/a.568393426606903/3033651223414432/?type=3</t>
  </si>
  <si>
    <t>13:55</t>
  </si>
  <si>
    <t>Откорректировали среднюю треть лица и конечно же, сделали прекрасные  над губками работали моим любимым препаратом Surgiderm 24xp 
Может для кого-то наличие лидокаина в препарате  это и хорошо, но для меня надежными препаратами являются те, в которых ‍♀️нет лидокаина и значит нет‍♀️риска возникновения серьезных аллергических реакций‍♀️ которые, кстати, сейчас не такая уж и редкость  А какие филлеры у вас в фаворитах? Особенно хочется услышать про 
Запись на процедуры по тел. 40-01-71 @clinic_expert_kursk
. #губыкурск #косметологкурск #клинкаэксперткурск #косметологиякурск #девушкикурск #акциикурск #врачкосметологкурск #ботокскурск</t>
  </si>
  <si>
    <t>Откорректировали среднюю треть лица и конечно же, сделали прекрасные  над губками работали моим любимым препаратом Surgiderm 24xp 
Может для кого-то наличие лидокаина в препарате  это и хорошо, но для меня надежными препаратами являются те, в которых ‍♀️нет лидокаина и значит нет‍♀️риска возникновения серьезных аллергических реакций‍♀️ которые, кстати, сейчас не такая уж и редкость  А какие филлеры у вас в фаворитах? Особенно хочется услышать про 
Запись на процедуры по тел. 40-01-71 @clinic_expert_kursk 
. #губыкурск #косметологкурск #клинкаэксперткурск #косметологиякурск #девушкикурск #акциикурск #врачкосметологкурск #ботокскурск</t>
  </si>
  <si>
    <t>09:45</t>
  </si>
  <si>
    <t>Прикладные вопросы МР - контрастирования. (По опыту работы в «МРТ-Эксперт» г. Костромы) Вопросы МРТ-контрастирования</t>
  </si>
  <si>
    <t>Вообще, у меня вообще такое чувство, что все отцы МРТ-ологи либо заврались конкретно в своей узкопрофильной литературе (ради чьей-то очередной диссертации и почти 100-процентно виртуальной достоверности)...
Либо - рассчитывают на новое поколение "юных падаванов", желательно сразу после институтов, чтобы критическое мышление не успели выработать. Но верили рекламе и прочим комиксам - а иначе как же на всём этом деньги зарабатывать!?
P. S. Помните тот недавний анекдот: коронавирус это наука или религия? Ответ: скорее религия - можно верить, можно нет - но ритуалы соблюдать надо))</t>
  </si>
  <si>
    <t>Прикладные вопросы МР - контрастирования.
(По опыту работы в «МРТ-Эксперт» г. Костромы)
Вопросы МРТ-контрастирования.doc
https://vk.com/doc71191578_561809697?hash=16fe304e97af03f040&amp;dl=GI4TCMJUGU2DE:1596487529:4d09a695c037e4951d&amp;api=1&amp;no_preview=1</t>
  </si>
  <si>
    <t>#จมูกพุ่งได้รูปสุดละมุน
 น้องออมต้องการให้จมูกมีสันที่คมชัด
มีความพุ่ง แต่สมูท
เธอได้ดูรีวิวต่างๆมากมายในอินเตอร์เน็ท
จนได้พบรีวิวที่สะดุดตาจากนารดาคลินิก
และได้ตัดสินใจเข้ามาปรึกษาคุณหมอ
และปรับรูปจมูกตามที่เธอต้องการ
 คุณหมอได้เสริมซิลิโคน พรีเมี่ยม USA
ใช้เทคนิค Semi -Open
โดยใช้กระดูกอ่อนหลังหูรองปลายจมูก
ทำให้หน้าเธอมีมิติ และโฉบเฉี่ยวมากยิ่งขึ้น
และที่สำคัญ จมูกทรงใหม่
ถูกใจน้องออมจริงๆค่าาา
‍#ยินดีให้คำปรึกษาก่อนและหลังทำทุกเคสโดยแพทย์
#เพื่อเสริมบุคลิกของคุณให้ดูดีมากยิ่งขึ้น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
เสริมจมูกทรงเฮเลน |น้องออม
https://www.facebook.com/NaradaTeam/videos/296085911451788/</t>
  </si>
  <si>
    <t>06:45</t>
  </si>
  <si>
    <t>#มีข่าวดีมาบอก
นารดาคลินิกสาขารวมโชค
เปิดให้บริการทุกวัน​ ไม่มีวันหยุด
เริ่ม​ 1​ สิงหาคม​ 2563​ นี้นะคะ
#นารดาคลินิกยินดีให้บริการค่ะ♥️♥️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
#มีข่าวดีมาบอก
นารดาคลินิกสาขารวมโชค
เปิดให้บริการทุกวัน​ ไม่มีวันหยุด
เริ่ม​ 1​ สิงหาคม​ 2563​ นี้นะคะ
#นารดาคลินิกยินดีให้บริการค่ะ♥️♥️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
https://www.facebook.com/NaradaTeam/photos/a.584348505011395/3035752069871014/?type=3</t>
  </si>
  <si>
    <t>05:20</t>
  </si>
  <si>
    <t>WHAT CAN YOU DO ABOUT UNDER EYE HOLLOWS?
Fillers. Fillers. Fillers. Ask CDC
Treats tear troughs. Gives you more youthful looking face.
From $ 28% off for JULY &amp; AUGUST 
Strictly sanitized medical clinic 
Expert Medical Injectors ‍
Free consultations onsite or video apps 
9090 0099
#teartroughs #facelifts #cosmeticinjectables  #lookyounger #cosmeticprocedures #discounts #restalyn #eyesurgery #tiredeyes #puffyeyes #eyebags
WHAT CAN YOU DO ABOUT UNDER EYE HOLLOWS?
Fillers. Fillers. Fillers. Ask CDC
Treats tear troughs. Gives you more youthful looking face.
From $ 28% off for JULY &amp; AUGUST 
Strictly sanitized medical clinic 
Expert Medical Injectors ‍
Free consultations onsite or video apps 
9090 0099
#teartroughs #facelifts #cosmeticinjectables  #lookyounger #cosmeticprocedures #discounts #restalyn #eyesurgery #tiredeyes #puffyeyes #eyebags
https://www.facebook.com/cdccl1n1cs/photos/a.911745332215667/3268019206588256/?type=3</t>
  </si>
  <si>
    <t>CDC Clinics</t>
  </si>
  <si>
    <t>04:30</t>
  </si>
  <si>
    <t>@RockyShorz @MissesJ3 @LavenderLives @federalist28 @TrophyTruck_Q @Adrienne711 @Mariann72416833 @smileygurl56 @FederalistNo78 @Shorty56167141 @svsweetraven @11Llotus @Imaginer77 @j_lifeexplorer @FrancesannMaga @We_Have_Risen @Deepstate6969 @BabeReflex_8 @zachhaller @4heartandsoul @VeritasVital @MissiWhite4 @DawsonSField @Bluepopcorn8 @CavazosLiz @LiliesLegacies @Micro_Writ_anon @anonforUSA1968 @MadAddictSport @Perryalt1 @CarrollQuigley1 @ChristinePolon1 @ThomasFines @almostjingo @AltHutch @Nocoincidence33 @The_War_Economy @Agortitz @HowleyReporter @wfinalle57 @freenaynow @realDonaldTrump @gatewaypundit I did look. That study doesn't seem to exist. Again, I will ask you to provide a link to this article. The only studies of masks, was one saying please wear one, and here's how. YOU made the claim that this study exists, YOU need to prove it to me.
https://newsnetwork.mayoclinic.org/discussion/covid-19-mayo-clinic-expert-answers-questions-about-masks-after-cdc-updates-its-recommendation/</t>
  </si>
  <si>
    <t>Joe Schmoe</t>
  </si>
  <si>
    <t>02:17</t>
  </si>
  <si>
    <t>Jules</t>
  </si>
  <si>
    <t>02:16</t>
  </si>
  <si>
    <t>@RockyShorz @MissesJ3 @LavenderLives @federalist28 @TrophyTruck_Q @Adrienne711 @Mariann72416833 @smileygurl56 @FederalistNo78 @Shorty56167141 @svsweetraven @11Llotus @Imaginer77 @j_lifeexplorer @FrancesannMaga @We_Have_Risen @Deepstate6969 @BabeReflex_8 @zachhaller @4heartandsoul @VeritasVital @MissiWhite4 @DawsonSField @Bluepopcorn8 @CavazosLiz @LiliesLegacies @Micro_Writ_anon @anonforUSA1968 @MadAddictSport @Perryalt1 @CarrollQuigley1 @ChristinePolon1 @ThomasFines @almostjingo @AltHutch @Nocoincidence33 @The_War_Economy @Agortitz @HowleyReporter @wfinalle57 @freenaynow @realDonaldTrump @gatewaypundit Also, I looked up studies by the Mayo clinic regarding masks and CO3, and couldn't find one. So again, I'll ask you to provide this article for me, and I will post a study that ACTUALLY did, which says nothing about CO# and masks.
https://newsnetwork.mayoclinic.org/discussion/covid-19-mayo-clinic-expert-answers-questions-about-masks-after-cdc-updates-its-recommendation/</t>
  </si>
  <si>
    <t>01:40</t>
  </si>
  <si>
    <t>What Does melt foam roller Mean?</t>
  </si>
  <si>
    <t>What Does melt foam roller Mean? What Does melt foam roller Mean? Category: Blog Owing to those impeccable functions, we've been often known as the best health care center for physio provider, Toronto.Whether you are struggling from Persistent pain attributable to a health-related problem or an acute pain a result of an personal injury, all It's important to do would be to schedule an appointment with us and acquire the best physical therapy clinic expert services in Toronto.GreatSchools is definitely the leading countrywide nonprofit empowering mothers and fathers to unlock instructional opportunities for his or her children.Scope of follow: as we stated in the outset, APTA has appropriately identified the important part of nutrition in therapeutic and recovery and put it within just scope of exercise. We've got shared APTAs encouragement to use nourishment and a point out by condition guidance.With around 20 years during the fitness business, Dawna is surely an inspiration to anyone who is truly Completely ready to create good modify in their earth. Dawna takes advantage of an empowering method of fitness training to aid Girls Construct physical power, locate their inner strength, and explore new approaches to develop and obstacle by themselves.Having said that, an additional diploma of warning is needed. Make sure you are totally warmed up, but nevertheless sensation solid and fresh. Have a “exam go” first to pre-load your tendons without having trying one hundred pc.Pilates exercises are finished on a mat or making use of Specific devices, including the Reformer, Cadillac and Wunda Chair. With its system of pulleys and springs, handles and straps, the apparatus can offer either resistance or guidance, depending on your needs.Glassdoor will likely not get the job done correctly unless browser cookie support is enabled. Learn the way to help cookies.Pilates is classed to be a muscle mass-strengthening action, which can assist you sustain a healthy fat. Classes could vary in intensity: they can be Light, or dynamic and give a reliable workout.Check with thoughts and pay out loads of interest to what the consumer is stating. You will need to test to evaluate what the consumer is looking for. Try to be observant and take notes. Advertising and marketing guidelines are lined in many fitness certification classes.rockandice.com is totally free. We don’t Have a very paywall and you also don’t have to be a member to entry 1000s of posts, photos and videos. Our editorial and design staff—and all of our contributors—are climbers similar to you who love the Activity and need to share all The good items it provides.have only a millisecond to respond. Instead of rag-doll onto the ground, use your airtime to get your toes under you. Our inner gyroscopes can helpIt is possible to tone up without bulking up, raise your booty, and sculpt a wonderful physique—as well as create the functional energy, body Command, and body awareness that normally allows you feel healthier.If you have viewed Pilates workouts or used Pilates machines before, you've possibly found that a lot of the moves as well as the gear are inspired by yoga. A number of other movements click to read are inspired by animals like swans and tigers.</t>
  </si>
  <si>
    <t>boulder-pilates72715.fitnell.com</t>
  </si>
  <si>
    <t>01:35</t>
  </si>
  <si>
    <t>This guy is zzzzzzzzzz</t>
  </si>
  <si>
    <t>Uncle Jess</t>
  </si>
  <si>
    <t>31.07.2020</t>
  </si>
  <si>
    <t>20:24</t>
  </si>
  <si>
    <t>Masks Don’t Stop Viruses – The Proof</t>
  </si>
  <si>
    <t>Wausau, WI, USA / WSAU News/Talk 550 AM · 99.9 FM | Wausau, Stevens Point
Ben ArmstrongHere is the ABC report on it from Good Morning America.Notice the Doctor at the end states the fact the a Virus is so small it goes right through it.From the CDC websitehttps://wwwnc.cdc.gov/eid/article/26/5/19-0994_article
Disposable medical masks (also known as surgical masks) are loose-fitting devices that were designed to be worn by medical personnel to protect accidental contamination of patient wounds, and to protect the wearer against splashes or sprays of bodily fluids ( 36 ). There is limited evidence for their effectiveness in preventing influenza virus transmission either when worn by the infected person for source control or when worn by uninfected persons to reduce exposure. Our systematic review found no significant effect of face masks on transmission of laboratory-confirmed influenza.Here’s Dr.Fauci when he used the science before he decided to ignore it.Why Face Masks Don’t Work According to scienceHere is a link to the above video incase Youtube removes the truth.
https://video-frt3-1.xx.fbcdn.net/v/t39.24130-2/10000000_622059011772999_8521112753825050606_n.mp4?_nc_cat=104&amp;_nc_sid=985c63&amp;efg=eyJ2ZW5jb2RlX3RhZyI6Im9lcF9oZCJ9&amp;_nc_ohc=wlXF-V219RcAX_bMvuj&amp;_nc_ht=video-frt3-1.xx&amp;oh=4eca97b661b8c4f7529cda81f7711bc2&amp;oe=5F48C70E
Just some facts for you in the next video.
From a 2017 Oxford study
“In this review and meta-analysis, we analysed the collective evidence from published RCTs and observational studies in order to identify major gaps and methodological shortcomings in the current literature and develop evidence-based recommendations for the use of masks and respirators in healthcare settings. We found evidence to support universal medical mask use in hospital settings as part of infection control measures to reduce the risk of CRI and ILI among HCWs. Overall, N95 respirators may convey greater protection, but universal use throughout a work shift is likely to be less acceptable due to greater discomfort.
Our analysis confirms the effectiveness of medical masks and respirators against SARS. Disposable, cotton, or paper masks are not recommended.
The confirmed effectiveness of medical masks is crucially important for lower-resource and emergency settings lacking access to N95 respirators. In such cases, single-use medical masks are preferable to cloth masks, for which there is no evidence of protection and which might facilitate transmission of pathogens when used repeatedly without adequate sterilization [ 8 ].”
Some studies say masks work, some say they don’t work. Why wouldn’t someone wear a mask if there is a possibility it could reduce the spread? Even if it’s a small possibility. No one ever said masks are perfect.
Plus some people say it’s patriotic to wear a mask.
https://academic.oup.com/cid/ article/65/11/1934/4068747Here is Info from a listener Who wanted to stay anonymousIf we look at the size of a particle of wood smoke. Let’s look here: See page 3. (0.3 to 0.7 microns) Source is EPA https://www3.epa.gov/ttnamti1/ files/ambient/smoke/wildgd.pdf
Now let’s look into the size of the COVID 19 virus: 0.12 microns https://www.ajc.com/news/ health-med-fit-science/mayo- clinic-expert-answers- questions-about-masks-after- cdc-recommendation/ V9iFFvbtBpDwHrVF5cxemM/
An N95 mask if fitted precisely will prevent 95% of particles in the 0.1 micron size. Could reduce the viral load if you were in a situation where exposure was likely.
So if you have a properly fitted N95 mask you do have some protection. Outside of a hospital I have never seen a properly fitted mask.
The observation I am sharing is this, if you can smell wood smoke while wearing your face covering of choice, you’re probably not at all protected from COVID. However if you sneeze and you indeed have COVID, you project less of the virus into the area immediately around you. Same could be said if you sneezed into your elbow or a handkerchief…Final point by meThere is so much more info out there but I think I proved my case. For those who present studies that say masks work. Those studies always look at how a mask blocks sneezes of coughs. They show that droplets will be knocked down by a mask and not travel 15 feet. Well no duh. But what they don’t tell you is the virus still goes through the mask, it just won’t go as far. They are lying to you if they say it blocks viruses. But they usually don’t say that. They trick you with sleight of hand talking points. They say see it blocks droplets and bacteria from spreading far. But who cares if the virus still goes through. A sick person still contaminated the store you are in, and your mask will not stop it from getting to you. FACTS they don’t like.
By the way, even if I was wrong about masks. (I am not wrong – the science on this cannot change) But let’s pretend I am. Your eyes are still exposed and you can catch the virus through your eyes regardless. That is a medical fact that proves masks cannot prevent a virus from spreading. (Game, Set, Match)
You must now go out and “Red Pill” other people.</t>
  </si>
  <si>
    <t>Ben Armstrong</t>
  </si>
  <si>
    <t>wsau.com</t>
  </si>
  <si>
    <t>16:43</t>
  </si>
  <si>
    <t>Мария Мингалимова</t>
  </si>
  <si>
    <t>16:37</t>
  </si>
  <si>
    <t>Розыгрыш на странице↙️
.
@expert_massage_clinic
@expert_massage_clinic
@expert_massage_clinic
.
РОЗЫГРЫШ СЕАНСА МАССАЖА!!!  И другие подарки!!!
⠀
Клиника массажа EXPERT  @expert_massage_clinic с 12-летним стажем и профессиональными массажистами ПОДАРИТ победителю сеанс массажа на выбор:
⠀
скульптурно-буккальный массаж лица, либо
сеанс ручного моделирования тела  3в1 (включает антицеллюлитный массаж, лимфодренажный и обёртывание), либо
общий массаж тела!
⠀
А также другие призы от стоматологии, ортопедического центра и косметолога! 
⠀
Переходите в профиль @expert_massage_clinic и принимайте участие в розыгрыше! 
⠀
При подписке вы получите список всех специальных предложений для наших подписчиков  в Директ!
⠀
__
Клиника профессионального массажа  EXPERT
⠀
ул. Садовая-Самотёчная, д.5
@expert_massage_clinic
☎ +7 499 397 71 81
 +7 915 000 63 42</t>
  </si>
  <si>
    <t>Конкурсы Розыгрыши Москва</t>
  </si>
  <si>
    <t>15:55</t>
  </si>
  <si>
    <t>Как сохранить зрение у ребёнка? Каких рекомендаций должны придерживаться родители, заботясь о здоровье глаз своих детей?
Мы подготовили для мам и пап топ-5 советов врача-окулиста. Видео-памятка родителям. Смотрите, применяйте и пусть глазки ваших деток будут здоровыми!
Текст подготовлен при информационной поддержке врача-офтальмолога «Клиника Эксперт» Тула Татьяны Сергеевны Журавлёвой.
#ГКЭксперт #КлиникаЭксперт #КлиникаЭкспертТула #мртэксперт #ТатьянаЖуравлёва
Как сохранить зрение ребёнка? Топ-5 советов от офтальмолога
Как сохранить зрение у ребёнка? Каких рекомендаций должны придерживаться родители, заботясь о здоровье глаз своих детей?
Мы подготовили для мам и пап топ-5 советов врача-окулиста. Видео-памятка родителям. Смотрите, применяйте и пусть глазки ваших деток будут здоровыми!
Текст подготовлен при информационной поддержке врача-офтальмолога «Клиника Эксперт» Тула Татьяны Сергеевны Журавлёвой.
Мы работаем в 39 городах!
Записаться на приём в Туле:
https://www.mrtexpert.ru/tul</t>
  </si>
  <si>
    <t>Сложные диагностические исследования часто вызывают у человека тревогу. 
Есть ли какие-то гарантии? Есть! 
О программе «МРТ с гарантией» читайте в нашей статье: https://www.mrtexpert.ru/articles/1077
#ГКЭксперт #мртэксперт #КлиникаЭксперт #клиникаэксперткурск</t>
  </si>
  <si>
    <t>Клиника Эксперт Курск</t>
  </si>
  <si>
    <t>13:44</t>
  </si>
  <si>
    <t>Аневризма сосудов головного мозга. Что это за патология и чем она опасна? 
Рассказывает кандидат медицинских наук, врач-нейрохирург «Клиника Эксперт» Воронеж Владимир Табачников: https://www.mrtexpert.ru/articles/1076
#ГКЭксперт #мртэксперт #КлиникаЭксперт #КлиникаЭкспертВоронеж #нейрохирургия #аневризмаголовногомозга</t>
  </si>
  <si>
    <t>13:43</t>
  </si>
  <si>
    <t>Аневризма сосудов головного мозга. Что это за патология и чем она опасна?
Рассказывает кандидат медицинских наук, врач-нейрохирург «Клиника Эксперт» Воронеж Владимир Табачников: https://www.mrtexpert.ru/articles/1076
#ГКЭксперт #мртэксперт #КлиникаЭксперт #КлиникаЭкспертВоронеж #нейрохирургия #аневризмаголовногомозга
«Бомба замедленного действия». Говорим об аневризме сосудов головного мозга
Это заболевание может протекать бессимптомно. И может осложняться кровоизлиянием в мозг. Об аневризме сосудов головного мозга мы побеседовали с врачом-нейрохирургом «Клиника Эксперт» Воронеж Владимиром Абрамовичем Табачниковым.
https://www.mrtexpert.ru/articles/1076</t>
  </si>
  <si>
    <t>13:04</t>
  </si>
  <si>
    <t>اتمنى لكم راحة البال والصحة والعافية وان يبعد عنكم كل غم وهم وسوء منقلب، عيد سعيد على الجميع احبتي، ماوصيكم حافظوا عالتباعد الاجتماعي ❤️
.
.
.
.
#استشارة #استشارة_نفسية #دكتور_نفسي #احتراف #تخصص #متخصص #دكتور #مستشفى #مريض #مرض #دكتور #علاج #صحة #صحة_نفسية #الكويت #كويت#عقل#عيادة
#psychology#Psychologist#heal #mental_health #mind #mental #brain 
#clinic #expert #professional #mental #disorders #wellness #help</t>
  </si>
  <si>
    <t>СЛОЖНОЕ ЛЕЧЕНИЕ НЕ ПОМЕШАЕТ РАБОТЕ
В «Клинике Эксперт Ростов» все наши пациенты по показаниям могут расчитывать на больничные лист, который даёт право на временное освобождение от работы.
⠀
Документ полностью соответствует нормативным требованиям.
Наши больничные листы принимаются всеми работодателями и Фондом социального страхования.
Больничный лист оформляется на официальном бланке, имеющим все необходимые степени защиты.
⠀
Консультация терапевта - 2000₽
⠀
❓Как записаться?
⠀
☎️ 8(863) 309-11-29 www.mrtexpert.ru rostov_admin@mrtexpert.ru ⏰ПН-ВС: 7:00-22:00 Ростов-на-Дону, ул. Красноармейская, д.262/122, пом.1 Лицензия: ЛО-61-01-006908</t>
  </si>
  <si>
    <t>12:03</t>
  </si>
  <si>
    <t>СЛОЖНОЕ ЛЕЧЕНИЕ НЕ ПОМЕШАЕТ РАБОТЕ
В «Клинике Эксперт Ростов» все наши пациенты по показаниям могут расчитывать на больничные лист, который даёт право на временное освобождение от работы.
⠀
Документ полностью соответствует нормативным требованиям.
Наши больничные листы принимаются всеми работодателями и Фондом социального страхования.
Больничный лист оформляется на официальном бланке, имеющим все необходимые степени защиты.
⠀
Консультация терапевта - 2000₽
⠀
❓Как записаться?
⠀
☎️ 8(863) 309-11-29�www.mrtexpert.ru�rostov_admin@mrtexpert.ru�⏰ПН-ВС: 7:00-22:00�Ростов-на-Дону, ул. Красноармейская, д.262/122, пом.1�Лицензия: ЛО-61-01-006908</t>
  </si>
  <si>
    <t>10 ПЛЮСОВ МРТ-ДИАГНОСТИКИ
⠀
✅Безопасность.
Полное отсутствия использования радиации и рентгеновского облучения.
⠀
✅Точность.
Изображение костных тканей не подвергается искажению, а патологии можно заметить при размере меньше одного сантиметра.
⠀
✅Не требуется долгая подготовка.
 Не требуется специальная подготовка и введение тяжёлого йодосодержащего контрастного вещества.
⠀
✅Позволяет проводить исследования в любых плоскостях.
С учётом анатомических особенностей тела МРТ позволяет получать изображения для точной оценки взаиморасположения различных структур.
⠀
✅ Лучше визуализирует структуры головного и спинного мозга.
МРТ чаще используется для диагностики повреждений, опухолевых образований, в онкологии, когда необходимо определить наличие и распространённость опухолевого процесса.
⠀
✅Объёмный вид.
Результат проведенного обследования представляется в трехмерном изображении, а это повышает уровень визуализации и понимания.
⠀
✅Безопасность используемого контрастного вещества.
Контрастный препарат, который применяется для более точной визуализации патологии безопасен: он не токсичен, не содержит йода и является гипоаллергенным.
⠀
✅Высокая тканевая дифференцировка.
Все ткани и органы при проведении МРТ чётко различимы, что позволяет выявить и оценить мельчайшие структуры.
⠀
✅Возможность проведения МРТ-диагностики в динамике без ограничений.
МРТ можно проходить неограниченное количество раз, что может быть необходимо при многих патологиях.
⠀
✅МРТ можно проводить во время беременности.
Данная диагностика в период беременности позволяет узнать врождённые пороки в развитии плода.
⠀
Пройти диагностику можно в «Клинике Эксперт Ставрополь».
⠀
❓Как записаться?
⠀
☎ +7 (865) 297-95-68
www.mrtexpert.ru
Ставрополь, ул Доваторцев, 39А
Лицензия: ЛО-26-01-005183</t>
  </si>
  <si>
    <t>Сложные диагностические исследования часто вызывают у человека тревогу. Есть ли какие-то гарантии? Есть! О программе «МРТ с гарантией» читайте в нашей статье: https://www.mrtexpert.ru/articles/1077
#ГКЭксперт #мртэксперт #КлиникаЭксперт</t>
  </si>
  <si>
    <t>10:02</t>
  </si>
  <si>
    <t>10:00</t>
  </si>
  <si>
    <t>Открыт прием невролога для детей и взрослых в центре МРТ- ЭКСПЕРТ на Завенягина, д. 1, корпус 2.</t>
  </si>
  <si>
    <t>Надо почитать отзывы о данном заведении</t>
  </si>
  <si>
    <t>Денис Иванов</t>
  </si>
  <si>
    <t>Akenoo Магнитогорск Конкурс Акции Скидки Новости</t>
  </si>
  <si>
    <t>Пациент не должен оставаться с проблемами один на один: что такое «МРТ с гарантией»?
Федеральная сеть медицинских компаний «Эксперт» предлагает пациентам программу «МРТ с гарантией». На какую гарантию может рассчитывать пациент и как попасть на такое обследование? На наши вопросы ответила медицинский директор направления «Лучевая диагностика» Оксана Егоровна Волкова.
https://www.mrtexpert.ru/articles/1077
Сложные диагностические исследования часто вызывают у человека тревогу. Есть ли какие-то гарантии? Есть! О программе «МРТ с гарантией» читайте в нашей статье: https://www.mrtexpert.ru/articles/1077
#ГКЭксперт #мртэксперт #КлиникаЭксперт</t>
  </si>
  <si>
    <t>08:59</t>
  </si>
  <si>
    <t>08:57</t>
  </si>
  <si>
    <t>Елена, все вопросы вы можете задать по телефону +7 (351) 951-03-88</t>
  </si>
  <si>
    <t>08:37</t>
  </si>
  <si>
    <t>Фамилию специалиста напишите.</t>
  </si>
  <si>
    <t>Елена Попова</t>
  </si>
  <si>
    <t>08:30</t>
  </si>
  <si>
    <t>Неврологи в наше время дифецит.</t>
  </si>
  <si>
    <t>Любовь Александровна</t>
  </si>
  <si>
    <t>Светлана Александрова</t>
  </si>
  <si>
    <t>08:29</t>
  </si>
  <si>
    <t>08:28</t>
  </si>
  <si>
    <t>08:22</t>
  </si>
  <si>
    <t>‼СКИДКА 500 РУБЛЕЙ* ЗА РЕПОСТ‼
от Диагностического Центра "МРТ-ЭКСПЕРТ" в г.МАГНИТОГОРСК
Условия :
✅1) - сделать репост этой записи к себе на страницу и не удалять
✅2) - записаться на исследование МРТ по телефону 8(3519)51-03-88
✅3) - показать репост администратору при оформлении в центре
✅4) - получить скидку 500 рублей на любое МРТ-исследование
*Скидка действительна до 31.07.2020, распространяется только на МРТ-исследования (одиночные, комплексные), не распространяется на прием узких врачей специалистов, дополнительные и немедицинские услуги.
 МРТ-ЭКСПЕРТ г.Магнитогорск ул.Завенягина д.1. корп.2
 8(3519) 51-03-88
 www.mrtexpert.ru/mgt</t>
  </si>
  <si>
    <t>Мунира Юсупова</t>
  </si>
  <si>
    <t>08:21</t>
  </si>
  <si>
    <t>05:57</t>
  </si>
  <si>
    <t>He's full of fecal matter in his mouth. Sterilize your mask in the sun. Leave it for at least 30 minutes. It will kill the virus and other bacteria stone cold dead. Don't listen to medical fruit cakes, all they do is scare people. Change your filter once a week and you'll be good to go....</t>
  </si>
  <si>
    <t>YaleSteamer</t>
  </si>
  <si>
    <t>01:25</t>
  </si>
  <si>
    <t>@Citizen_Me @Rahmeljackson @sallyKP Here is some stuff from 2020 that says that while cloth masks aren’t a cure all, they are a good preventive measure...which is the point.
Thanks for the science explanation.
https://www.google.com/amp/s/www.wired.com/story/its-time-to-face-facts-america-masks-work/amp
https://newsnetwork.mayoclinic.org/discussion/covid-19-mayo-clinic-expert-answers-questions-about-masks-after-cdc-updates-its-recommendation/
https://www.google.com/amp/s/www.livescience.com/amp/are-face-masks-effective-reducing-coronavirus-spread.html
Last article argues both sides</t>
  </si>
  <si>
    <t>ItalianMade</t>
  </si>
  <si>
    <t>Сан-Франциско</t>
  </si>
  <si>
    <t>30.07.2020</t>
  </si>
  <si>
    <t>Rathfarnham Beauty Clinic</t>
  </si>
  <si>
    <t>Expert,friendly staff.Always feel good after a visit there!</t>
  </si>
  <si>
    <t>Valerie Kelly</t>
  </si>
  <si>
    <t>Ирландия</t>
  </si>
  <si>
    <t>Дублин</t>
  </si>
  <si>
    <t>22:52</t>
  </si>
  <si>
    <t>Прикладные вопросы МРТ-контрастирования</t>
  </si>
  <si>
    <t>Напомню, вместо вступления, начало из моей статьи: «Нефрогенный системный фиброз (НСФ) и гадолинийсодержащие контрастные средства: обновленные рекомендации комитета по безопасности контрастных средств при Европейском обществе урогенитальной радиологии».
(Литература: European Society of Radiology 2012, опубликовано 4 августа 2012 г.)
Ключевые слова: нефрогенный системный фиброз, контрастные средства, гадолиний, почечная недостаточность.
Возвращаюсь вновь к столь злободневной теме потому, что эти обсуждения идут непрерывно не только на форумах, но и в серьёзной учебно-научной литературе..
Как известно, в той массе рутинных МРТ-исследований, которые проводятся регулярно, контрастирование проводится практически непрерывно, то есть в абсолютном большинстве случаев. При этом везде (как в публичной рекламе, так и в учебной литературе) постулируется безвредность МРТ как метода и всего, что с ним связано – об этом и пойдёт речь ниже, во всех выдержках из учебной литературы сетевых центров. На фоне тех опасностей НСФ, о которых говорят на Западе с 1996 года (исходя из приведённой ранее статистики в 60-ти научных работах) это выглядит весьма странно и противоречиво, как-будто наши российские учёные умышленно скрывают всю данную информацию. Поэтому публикую в нескольких скринах все их основные постулаты на эту тему; можно бы было публиковать их без комментариев – настолько там всё очевидно! – но для неспециалистов в лучевой диагностике я всё-таки прокомментирую. Если кто-то, паче чаяния, понимает эти картинки иначе, с другими выводами, то прошу присоединиться к данному обсуждению.
Итак, цитата – скрин №01: «Контрастные препараты на основе гадолиния практически безвредны, аллергические реакции редки, выраженность их минимальна. Побочные реакции на МР-контраст встречаются во много раз реже, чем на рентгеноконтрастные средства, используемые при компьютерной томографии...» (Литература: «Общие аспекты МРТ. Центр обучения персонала», МРТ-Эксперт, автор Федянина В.Г. 2012 г) 
Прошу обратить внимание на год выпуска данного пособия: никогда не поверю, что доценты с кандидатами из учебного центра того же «Эксперта» ещё 6 лет назад были вроде как не в курсе подобных исследований по всему миру. Но если целью методического пособия было навести антирекламу на МСКТ и всего, что с ним связано, причём естественно неподтверждённую статистически, то это как минимум странно для любой серьёзной литературы.
Далее, из того же пособия, цитата – скрин №02: «Чувствительность – возможность увидеть патологические изменения... Специфичность – возможность определить, что это за изменение». Забегая вперёд, к этим понятиям мы ещё вернёмся в 6-ом пункте, а пока, по данному вопросу меня беспокоят смутные сомнения, что нас всех, в том числе и лучевиков, эти доценты с кандидатами нарочито принимают за наивных людей: как видите, вышеуказанные параметры для МРТ—РКТ различаются всего на 2—3%. Что для десятков тысяч исследований по всей стране вполне можно списать на статистическую погрешность, а не достоверное преимущество какого-то метода. Но при этом МРТ преподносится исключительно с контрастом, как там выделено латиницей с красным шрифтом, а РКТ соответственно без него. Как можно корректно сравнивать методы при столь разных исходных условиях, для меня так и осталось загадкой.
Снова цитата – скрин №03: «Вместе с тем споры о целесообразности контрастного усиления в диагностике и его эффективности до сих пор продолжаются» (Литература: «Контрастирование в нейрорадиологии» Докладчик: к.м.н. Пасечная В.Г. г. Омск, 4 декабря 2012 г) 
Подобная информация с заглавной страницы очередного конгресса наших российских экспертов не может не удивлять, поскольку речь идёт опять-таки о настоящем времени, а не о 80 – 90х годах, в эпоху становления и развития МРТ как метода. Причём заметьте, что речь идёт не о вредности контрастного усиления (КУ) и его отдалённых последствиях, чему посвящены десятки работ за эти 20 лет, а именно о целесообразности КУ вообще как дополнительного метода диагностики.
Однако на следующей же странице материалов данного конгресса постулируется вот эта мысль, ещё цитата – скрин №04: «Отечественный и зарубежный опыт показывает, что добиться оптимальной пропорции между снижением инвазивности диагностических процедур с одной стороны и обеспечением высокой чувствительности и специфичности визуализации с другой стороны, можно только при использовании дополнительного контрастирования». То есть, как бы даётся вводная всем врачам, со ссылкой на корифеев нашей российской рентгенодиагностики, что контраст лить можно и нужно – причём столько, сколько считает нужным врач МРТ в данном конкретном случае. Разумеется, ради «оптимальной пропорции» инвазивности процедуры и её специфичности, упомянутой выше.
Ещё из той же работы цитата – скрин №05: «При подозрении на опухолевое поражение ЦНС, с целью более точной и специфичной (!) диагностики... обязательно применять контрастное усиление в 100 % случаев». То есть надо понимать: это уже не вводная, по сути, а настоящее директивное указание, наравне с требованиями ФОМС или других важных организаций. И если в том же «Эксперте» льют контраст практически всем пациентам с исследованиями позвоночника (исключительно ради выполнения плана), то можно считать, что происходит это почти в соответствии со всеми вышестоящими указаниями. Не нашли опухоли у пациента? – Очень хорошо, значит, вовремя залили ему контраст! (Помните, как в этой связи говорил один герой анекдота, пациент палаты №6: «здесь нет крокодилов потому, что я вовремя хлопаю в ладоши и их распугиваю...»)
А вот дальше начинаются сплошные сомнения!
Ещё цитата – скрин №06: «Сравнительная характеристика МРС очагового поражения позвонков при различной природе первичных опухолей НЕ выявила достоверно специфических отличий, позволяющих идентифицировать гистологическую природу источника...» (Литература: кандидатская диссертация: «Возможности МРТ в оценке метастатического процесса позвоночника» 2009г., Материалы 6-го съезда врачей Челябинской области 2008—2009г). 
Вероятнее всего, все эти исследования проводились с контрастным усилением, исходя из всех указаний выше, но если даже при таких условиях МРТ не в состоянии выявить специфические отличия на клеточно-тканевом уровне и идентифицировать источник, то о какой чувствительности/специфичности МРТ идёт речь? А ведь это не просто игра слов, а основополагающие моменты всей МРТ-диагностики, взятые из учебной литературы. К слову, в упомянутой работе эти параметры доходят чуть ли не до 90 – 100%, но после подобного основного вывода верится в это с большим трудом. Притом что если при костной патологии МРТ не даёт достоверных специфических и гистологических отличий, то где гарантии, что это будет при опухолевом поражении ЦНС? Однако, парадокс ситуации сохраняется: если традиция лить контраст по любому поводу продолжается везде, уже много лет, то убедительных статистических подтверждений для неё по-прежнему нет.
В продолжение темы, цитата – скрин №07: «Контрастное усиление при рассеянном склерозе (РС) объективизирует активность процесса; является «дозо-зависимым» (с повышением дозы вводимого контрастного вещества на килограмм массы тела увеличивается количество видимых «активных» бляшек РС). (Литература: «Демиелинизирующие процессы в ЦНС» МРТ-Эксперт, 2012г) 
Вообще, именно то, что сами эти термины традиционно ставятся в кавычки, уже как-то странно само по себе – может быть, из-за несерьёзного отношения к ним самих авторов? Или ради соблюдения канонов научного жанра? Термин время-зависимости контраста я ещё могу понять: всё правильно, есть фармакокинетика и фармакодинамика для каждого препарата. Но вдумайтесь сами в этот эффект дозо-зависимости: значит, чем больше льёшь контраст, тем больше активных очагов получаешь на выходе? Ну и кто после этого остановит диагностический порыв докторов на МРТ, а особенно при сомнительных случаях диффдиагностики разных форм и стадий РС? Если здесь уже сам бог велел лить контраст quantum satis – то есть столько, сколько нужно, разумеется, не взирая на его смертельно-опасные побочные эффекты в виде того же НСФ. Но насколько будут убедительны и статистически достоверны эти данные, если они будут напрямую зависеть от вводимой дозы препарата? Мне кажется, здесь получается такая непаханая целина для научных исследований на тему РС – плавно переходящих в его очередную классификацию с пересмотром, уже 4—5-м по счёту, – что даже напоминать об этом как-то неприлично. А вот в научность и объективность этих пересмотров поверить намного сложнее.
Далее, снова по поводу РС, цитата – скрин №08: «Форма и степень контрастного усиления бляшек РС различны, контрастирование сохраняется от нескольких дней до нескольких недель (средняя продолжительность 3,1 недели)». (Литература: «Контрастное усиление в нейрорадиологии» МРТ-Эксперт, 2011г) 
То есть вопрос стоит даже не во вредности контраста как такового, а в том, что у него есть ещё и заметный эффект кумуляции в организме, причём с первого же введения. Который, как несложно догадаться любому специалисту в медицине, будет не только провоцировать развитие этого НСФ, но и оказывать влияние на все последующие исследования. Особенно с традиционными рекомендациями всех сетевых центров, при малейших подозрениях на демиелинизацию: «МРТ в динамике через 1—2—3 месяца, с контрастом». Как говорится, нужное подчеркнуть! Мне откровенно жаль таких пациентов, потому что для них эта ситуация напоминает тот давний анекдот: «Если алкоголь выводится из организма через три недели, то значит, практически он не выводится никогда»-))
Продолжение следует....
А. Копёнкин, врач-маммолог-рентгенолог, заведующий рентгенслужбой Окружного военно-клинического госпиталя (г. Кострома) – филиал №3 ФГКУ «422 ВГ» Минобороны России</t>
  </si>
  <si>
    <t>22:08</t>
  </si>
  <si>
    <t>,
This dog was rescued on the street after it was hit by a vehicle. As you may already know, his hind legs are paralyzed. 
As you can see, his scrotum is also swollen and has wounds. Worse, he is obviously feeling pain. 
Rescuer Benjamin Jacinto brought Tinio to my trusted vet clinic Animal Wonders Veterinary Clinic. Expert vet Doc Prex and Doc AG Garingalao will handle his case.
A previous vet mentioned bone pining as a solution. Many of you may already know how expensive bone pinning could get. I will never suggest amputation just because it is the cheaper choice but only if it is the only choice.
To those willing, please send help thru
Gcash - 09272182802 (c/o Fenady C)
Paymaya &amp; Coins.ph - 09176363824
Banco de Oro
Antonia Ramirez
002280238329
BPI Island
Antonia Ramirez
1286134494
Paypal: melanieramirez1717@yahoo.com.ph</t>
  </si>
  <si>
    <t>Strays Worth Saving - SWS</t>
  </si>
  <si>
    <t>Филиппины</t>
  </si>
  <si>
    <t>Кавите</t>
  </si>
  <si>
    <t>Imus</t>
  </si>
  <si>
    <t>21:26</t>
  </si>
  <si>
    <t>Ура, подарочки!
Врач косметолог Курск | Клиника Эксперт
Центр медицинской косметологии: услуги и цены в Курске в сети медицинских центров Клиника Эксперт
https://www.mrtexpert.ru/kur/categories/22
Собираешься к косметологу?
До 3 августа сделай репост записи к себе на страницу и получи купон на скидку 20% на любую процедуру ❤️
P.S. количество купонов ограничено.
За подробностями в ЛС группы.
Прайс на услуги:
https://www.mrtexpert.ru/kur/categories/22</t>
  </si>
  <si>
    <t>Людмила Заикина</t>
  </si>
  <si>
    <t>МРТ в поиске возможных причин возникновения психических расстройств: реальность или утопия?
Разобраться в проблеме нам помог врач-рентгенолог, кмн, член правления группы медицинских компаний «Эксперт» Андрей Владимирович Коробов: https://www.mrtexpert.ru/articles/663
#ГКЭксперт #мртэксперт #КлиникаЭксперт #АндрейКоробов</t>
  </si>
  <si>
    <t>МРТ в поиске возможных причин возникновения психических расстройств: реальность или утопия?
Разобраться в проблеме нам помог врач-рентгенолог, кмн, член правления группы медицинских компаний «Эксперт» Андрей Владимирович Коробов: https://www.mrtexpert.ru/articles/663
#ГКЭксперт #мртэксперт #КлиникаЭксперт #АндрейКоробов</t>
  </si>
  <si>
    <t>16:56</t>
  </si>
  <si>
    <t>Магнитно-резонансная томография (МРТ) – современный и наиболее точный метод диагностики внутренних органов и систем человека. 
Исследование позволяет на ранней стадии исключить или предотвратить неконтролируемое развитие опухолевых образований, воспалительных процессов и заболеваний.
✍МРТ является эффективным методом диагностики для постановки точного диагноза, выбора правильного курса лечения и решения вопроса о необходимости хирургического вмешательства, а также эффективен в целях профилактической диагностики состояния организма.
МРТ и КТ: в чем разница?
Врач-рентгенолог Яна Кузнецова рассказала о разнице МРТ и КТ.
МРТ или КТ? Почему врач назначает то или иное обследование? В чём заключается разница между магнитно-резонансной и компьютерной томографией? Когда необходима та или иная диагностика и какие существуют противопоказания? Ответы вы найдете в нашем видео.
Центр МРТ-диагностики в Москве:
https://www.mrtexpert.ru/msk</t>
  </si>
  <si>
    <t>16:22</t>
  </si>
  <si>
    <t>16:13</t>
  </si>
  <si>
    <t>Сложные диагностические исследования часто вызывают у человека тревогу. Есть ли какие-то гарантии? Есть! О программе «МРТ с гарантией» читайте в нашей статье: https://www.mrtexpert.ru/articles/1077
#ГКЭксперт #мртэксперт #КлиникаЭксперт
Пациент не должен оставаться с проблемами один на один: что такое «МРТ с гарантией»?
Федеральная сеть медицинских компаний «Эксперт» предлагает пациентам программу «МРТ с гарантией». На какую гарантию может рассчитывать пациент и как попасть на такое обследование? На наши вопросы ответила медицинский директор направления «Лучевая диагностика» Оксана Егоровна Волкова.
https://www.mrtexpert.ru/articles/1077</t>
  </si>
  <si>
    <t>15:30</t>
  </si>
  <si>
    <t>ГК ЭКСПЕРТ динамично развивается!
В сентябре месяце состоится открытие нового диагностического центра в г. Орехово-Зуево.
Приглашаем на работу сотрудников, готовых на переезд в этот замечательный город!
Из истории - город Орехово-Зуево является одним из крупнейших городов Восточного Подмосковья с многофункциональной и развитой инфраструктурой.
В 2017 году город отпраздновал свой 100-летний юбилей.
Расстояние до Столицы всего лишь 100км.
В нашу команду мы ждём Врачей -рентгенологов с высшим медицинским образованием по специализации "Рентгенология" и опытом работы в МРТ и КТ от 1 года.
В Ваши обязанности будет входить:
•  проведение диагностических исследований в амбулаторных условиях;
• оказание консультативной помощи врачам других специальностей;
• квалифицированное и своевременное составление описания рентгенологического исследования на магнитно-резонансном и компьютерном томографах;
• обеспечивать своевременное и качественное оформление медицинской и иной документации;
• организация групповых мероприятий для врачей-клиницистов.
Мы готовы Вам предложить:
• официальное оформление по ТК РФ;
• сменный график работы;
• возможность повышения разряда в первые полгода работы;
• бесплатное обучение и повышение квалификации в корпоративном учебном центре;
• доход от 80 тысяч рублей (по результатам собеседования).
По всем вопросам обращаться к менеджеру Виктории
Телефон: 8 (910) 250-18-13
E-mail: vgolovina@mrtexpert.ru
#рентгенологи #работарентгенологом #требуетсяврачрентгенолог #ОреховоЗуево #вакансиярентгенолога #ищуработурентгенологом</t>
  </si>
  <si>
    <t>Работа в ГК ЭКСПЕРТ</t>
  </si>
  <si>
    <t>15:28</t>
  </si>
  <si>
    <t>Виктория Аксёнова</t>
  </si>
  <si>
    <t>15:20</t>
  </si>
  <si>
    <t>‍⚕️ЯКОВЛЕВ ЛЕОНИД ЛЕОНИДОВИЧ
⠀
Врач невролог.
⠀
Стаж работы с 1983 г.
⠀
Возраст пациентов: c 5 лет
⠀
Образование:
⠀
✔Иркутский государственный медицинский институт. Врач по специальности "Лечебное дело". 1982 г.
⠀
✔ Интернатура. Иркутский институт усовершенствования врачей по специальности «Невропатология». 1983 г.
⠀
✔Ординатура. Иркутский институт усовершенствования врачей по специальности «Невропатология». 1988 г.
⠀
✔Новокузнецкий государственный институт усовершенствования врачей. Повышение квалификации по специальности «Неврология». 144 часа. 2015 г.
⠀
Направление работы:
⠀
✅Мигрень
✅Остеохондроз: радикулиты в острой и хронической форме
✅Невралгии различного генеза
✅Хронические состояния после травмы центральной и периферической нервной системы
⠀
Запись к специалисту по телефону: ☎8(862)444 04 03
⠀
Адрес: Сочи, Адлерский район, ул. Кирова, д.50
Лицензия: ЛО-23-01-0011827
 Сайт: http://www.mrtexpert.ru
#неврология#неврологсочи#неврологадлер#мигрень#больвспине#блокады</t>
  </si>
  <si>
    <t>15:08</t>
  </si>
  <si>
    <t>МРТ органов малого таза в настоящее время успешно заменяет (по показаниям) такие инвазивные методы диагностики, как лапароскопия, гистероскопия и др. ‍⚕️Но отметим, что иногда без применениях этих методов не обойтись.
⠀
МРТ малого таза проводится для визуализации и оценки значительной по размерам анатомической зоны, включающей матку с придатками, влагалище, мочевой пузырь и прямую кишку с окружающими мягкими тканями, лимфоузлами и сосудами.
⠀
Подробнее о том, что показывает МРТ малого таза у женщин
⠀
⏰31.07.2020г. в 16.00
⠀
‍В прямом эфире расскажет врач рентгенолог
 ООО «МРТ Эксперт Сочи» ‍⚕️Фёдорова Ольга Викторовна
⠀
Подключайтесьбудет интересно!
#мртмалоготаза#мртпрямойэфир#сочи#адлер#абхазия</t>
  </si>
  <si>
    <t>14:22</t>
  </si>
  <si>
    <t>Эритроцитарная/кровавая/ маска вампира как её только не называют‍♀️
Нет никаких диссертаций, исследований или других научнообоснованных доказательств эффективности данной маски‍♀️
Но мои пациенты от неё просто в восторге (даже просят сделать побольше пробирочек для плазмолифтинга взять)
После процедуры своим пациентам я отдаю пробирки домой(хранить в холодильнике обязательно!) и на следующий день после процедуры можно нанести эритроцитарную массу на лицо, предварительно сняв разделительный гель
Кожа подтягивается, увлажняется и,кстати, быстрее заживает после  
Кто пробовал? ❤️‍♀️
Запись по тел. @clinic_expert_kursk 
40-01-71 или в ЛС #косметологкурск #плазмолифтингкурск #косметологиякурск #курск #клиникаэксперткурск #чисткакурск #пилингкурск #девушкикурска #ботокскурск #плазмотерапиякурск</t>
  </si>
  <si>
    <t>13:56</t>
  </si>
  <si>
    <t>You are a QUACK!  How much are you being paid to lie to Americans?</t>
  </si>
  <si>
    <t>Karen Szatkowski</t>
  </si>
  <si>
    <t>13:15</t>
  </si>
  <si>
    <t>4 аппарата ИВЛ появятся в больнице Озерска В этом году 4 новых аппарата ИВЛ закупит озерская КБ №71 за ₽16 млн рублей.</t>
  </si>
  <si>
    <t>Бабушка, у меня сын работает врачом в "МРТ-эксперт" (г. Челябинск)...
На вопрос - а чего к нам не едешь работать?
Ответ - да я бы с удовольствием, но НА ЧЕМ работать?..
Вот вам и Минздрав, вот вам и реальная ситуация на местах...</t>
  </si>
  <si>
    <t>Андрей Коростелев</t>
  </si>
  <si>
    <t>Говорит Озерск | 74</t>
  </si>
  <si>
    <t>Самарская область</t>
  </si>
  <si>
    <t>Озерск</t>
  </si>
  <si>
    <t>12:05</t>
  </si>
  <si>
    <t>МРТ С ГАРАНТИЕЙ
Без перерыва и выходных
ул.Челюскинцев 4
ул.Коминтерна 5
тел.655-193
#мурманск #мурманск51 #мртмурманск #мрт51 #регион51 #murmansk_inst  #city51 #</t>
  </si>
  <si>
    <t>Congratulations to our CoolSculpting expert, Emma, for single-handedly returning Magnolia to the #1 performing CoolSculpting clinic in QLD and NT! Since taking over as our in-clinic expert in May, Emma has personally delivered more treatments than any other clinic in QLD and NT, and has broken our internal sales record for a three month period by a county mile. And to celebrate, we will be announcing a few big developments in the CoolSculpting space in the coming weeks. Stay tuned ❄️
#coolsculpting #theoriginal #provenresults #patentedtechnology #freezethefat #numberone #magnoliamediclinic</t>
  </si>
  <si>
    <t>Magnolia Mediclinic</t>
  </si>
  <si>
    <t>Квинсленд</t>
  </si>
  <si>
    <t>Голд-Кост</t>
  </si>
  <si>
    <t>09:17</t>
  </si>
  <si>
    <t>Торт для клиники Эксперт @clinic_expert_rnd 
⠀
what'sApp; звонки; смс 89185276828---—
⠀
#вкусняшки_by_sali_  #тортсфруктами #кремовыйторт #безмастичныйторт #ростовнадону #тортростов #cake #свадебныйторт #двухярусныйторт #тортсживымицветами #тортсцветами #тортнасвадьбу #многоярусныеторты #топперызолото #топперынаторт #свадьба #cakeideas #cakeideasfoto #cakedecor #cakedecorator</t>
  </si>
  <si>
    <t>By_Sali_</t>
  </si>
  <si>
    <t>Саломе</t>
  </si>
  <si>
    <t>09:03</t>
  </si>
  <si>
    <t>โปรแกรม Filler(ฟิลเลอร์)</t>
  </si>
  <si>
    <t>โปรแกรม Filler(ฟิลเลอร์)
เป็นธรรมดานะคะที่เมื่ออายุมากขึ้น คอลลาเจนโปรตีนใต้ผิวจะลดลง ทำให้ผิวเกิดริ้วรอย ร่องลึก หย่อนคล้อยเพราะผิวขาดความชุ่มชื้น นารดาคลินิกขอแนะนำฟิลเลอร์แท้ ได้มาตรฐานสากล ที่จะช่วยเติมเต็มในชั้นผิวหนังและแก้ไขโครงสร้างชั้นผิว
โดยฟิลเลอร์จะช่วย..
• เติมเต็มร่องแก้มให้ตื้นขึ้น
• ช่วยให้ริมฝีปากอวบอิ่มขึ้น และลดรอยย่นรอบริมฝีปาก
• เติมเต็มให้พวงแก้มเต็มอิ่ม ดูอ่อนเยาว์ขึ้น
• แก้ไขปัญหาร่องใต้ตา ตาลึก
• ช่วยรักษาหลุมสิวหรือแผลเป็นแบบหลุมต่างๆ
• เติมเต็มบริเวณขมับที่ตอบ หรือบริเวณแก้มตอบ
• ปรับรูปคางแก้ไขปัญหาคางสั้น
ฟิลเลอร์ 1 ซีซี 14,900 บาท
ฟิลเลอร์ 2 ซีซี 26,000 บาท
ฟิลเลอร์ 3 ซีซี 36,000 บาท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t>
  </si>
  <si>
    <t>07:52</t>
  </si>
  <si>
    <t>Если вы устали носить контактные линзы и очки, вас ждут в клинике «Эксперт Зрения», где вам заботливо помогут восстановить зрение. До 31 августа вы получите бесплатную предоперационную диагностику и специальную стоимость лазерной коррекции: за один глаз — 17 000 рублей.* Команда «Эксперт Зрения» помогает увидеть мир ярче и стать счастливее.
Подробности уточняйте по телефону 8 (383) 209-10-20.
Клиника лазерной коррекции «Эксперт Зрения»:
ул. Кирова, 32
expertzrenia.ru
тел. 8-383-209-10-20
Instagram
VK
* Акция действует с 25.07.2020 до 31.08.2020. Подробности акции уточняйте у администраторов в клинике.
 Также в «МРТ-Эксперт» проводят уникальное детальное тонкосрезовое исследование головы с артериографией. Комплекс включает МРТ головного мозга, гипофиза, придаточных пазух носа и глазниц. Томограф выстраивает изображение в любой проекции, чтобы подробно оценить все анатомические структуры. На исследование действует скидка 50%: всего 9500 рублей вместо 19 000 рублей.
Для тех, кто щепетильно относится к своему здоровью, «МРТ-Эксперт» предлагает пройти «Марафон здоровья» — обследование головного мозга, позвоночника и брюшной полости с малым тазом по специальной цене. При прохождении всего комплекса скидка на одно из направлений 50%.*
Центры «МРТ-Эксперт»:
ул. Якушева, 41, к. 1 (территория БСМП № 2), ст. м. «Речной вокзал»
Красный проспект, 79/1, ст. м. «Гагаринская»
часы работы с 7:00 до 23:00, без обеда и выходных
единый номер: 8 (383) 319–15–51
mrtexpert.ru
* Скидка 10% медработникам и 5% пенсионерам, комплексные программы «Марафон здоровья» и тонкосрезовое исследование головы с артериографией действуют бессрочно.
#нск #нск54 #здоровье #здоровьеикрасота #здоровьесемьи #здоровьевприоритете #скидки #скидкинск54 #скидкиновосибирск</t>
  </si>
  <si>
    <t>Барахолка Новосибирск</t>
  </si>
  <si>
    <t>Новосибирск</t>
  </si>
  <si>
    <t>07:39</t>
  </si>
  <si>
    <t>You guys really need to do your research. Spouting out nonsense without evidence. Wearing masks don’t necessarily grant you a 100% chance of contracting the virus.</t>
  </si>
  <si>
    <t>Julius Jackson</t>
  </si>
  <si>
    <t>06:48</t>
  </si>
  <si>
    <t>Are You Tired of Being Used and Abused?</t>
  </si>
  <si>
    <t>This sums it up.
 But we must never forget we are Immortal Spiritual Beings.
If not now, later we must deal with the blockage between us, in another life time. Some would call it Karma.
It could not be any other way. For this is Universal Law.
   The answer lay within ourselves. The roots are deep.
You are really making Great progress Amanda in your efforts to wake us up from the American dream that we believe.
 Regrettably to live this dream, we must go back to sleep, &amp;'d believe the bullshit!
   What is the answer?
Wake up!
   "Life is Conscience... just a thought".
"We are not an Island, we are an Ocean".
        A Mayo Clinic Expert on Cancer said when a caller on MPR asked, 'What is the cure rate of Chemo'?
His answer was, '1.5%', or 1.5 people out of 100 is cured. For a time.
   People whom opt out, live 5 to 7 years longer if they do not take Chemo. Fact
I tried to help my sister. But Chemo created another Incurable Cancer in her body.
       She is Fucked!
   Grace looks like she just walked out of Aschwitz, with a death sentence.
'My arms and hands, and feet feel like they are swollen 3 times the size that they are', she said.
   She is a living Zombie. Night &amp;'d Day of the living dead.
Is this medicine, or Genocide?
"Got a Vaccine? Live long and profit', said the Spider to the Fly".
Michael Flomer
etc. "The cure for Covid 19 is, Covid 20, the cure for all disease's,  Vaxxed yet"?. 
          The answer, Bullshit"!
etc. etc. They are Wagging the Dog.
etc.etc.etc. Are we the Dog's?</t>
  </si>
  <si>
    <t>michael flomer</t>
  </si>
  <si>
    <t>YumNaturals Emporium</t>
  </si>
  <si>
    <t>05:35</t>
  </si>
  <si>
    <t>STRANGE THINGS ARE HAPPENING IN NEW ZEALAND❗ RASHID BUTTAR</t>
  </si>
  <si>
    <t>http://theanswertocancr.com/food/?oprid=3139&amp;ref=10628
The Answer To Cancer — FREE Report &amp; 9-Part Documentary Series
Claim your complimentary report and hear from the world's leading experts in cancer healing and prevention as they share their greatest wisdom on how to...
theanswertocancr.com
     This sums it up.
 But we must never forget we are Immortal Spiritual Beings.
If not now, later we must deal with the blockage between us, in another life time. Some would call it Karma.
It could not be any other way. For this is Universal Law.
   The answer lay within ourselves. The roots are deep.
You are really making Great progress Amanda in your efforts to wake us up from the American dream that we believe.
 Regrettably to live this dream, we must go back to sleep, &amp;'d believe the bullshit!
   What is the answer?
Wake up!
   "Life is Conscience... just a thought".
"We are not an Island, we are an Ocean".
        A Mayo Clinic Expert on Cancer said when a caller on MPR asked, 'What is the cure rate of Chemo'?
His answer was, '1.5%', or 1.5 people out of 100 is cured. For a time.
   People whom opt out, live 5 to 7 years longer if they do not take Chemo. Fact
I tried to help my sister. But Chemo created another Incurable Cancer in her body.
       She is Fucked!
   Grace looks like she just walked out of Aschwitz, with a death sentence.
Her arms and hands, and feet feel like they are swollen 3 times the size that they are, she said.
   She is a living Zombie. Night &amp;'d Day of the living dead.
Is this medicine, or Genocide?
"Got a Vaccine? Live long and profit', said the Spider to the Fly".
Michael Flomer
etc. "The cure for Covid 19 is, Covid 20, the cure for all disease's,  Vaxxed yet?. 
          The answer, Bullshit"!
etc. etc. They are Wagging the Dog.
etc.etc.etc. Are you a Dog?</t>
  </si>
  <si>
    <t>Dr Rashid A Buttar</t>
  </si>
  <si>
    <t>As #COVID19 continues to spread rapidly in some parts of the U.S., more states are announcing mask mandates in an attempt to avoid seeing such resurgence. It's a move that Dr. Gregory Poland, Mayo Clinic expert, says is key to help slow the spread. 
https://mayocl.in/312TCgU</t>
  </si>
  <si>
    <t>Mayo Clinic Labs</t>
  </si>
  <si>
    <t>Миннесота</t>
  </si>
  <si>
    <t>Rochester</t>
  </si>
  <si>
    <t>29.07.2020</t>
  </si>
  <si>
    <t>Врач косметолог Курск | Клиника Эксперт
Центр медицинской косметологии: услуги и цены в Курске в сети медицинских центров Клиника Эксперт
https://www.mrtexpert.ru/kur/categories/22
Собираешься к косметологу?
До 3 августа сделай репост записи к себе на страницу и получи купон на скидку 20% на любую процедуру ❤️
P.S. количество купонов ограничено.
За подробностями в ЛС группы.
Прайс на услуги:
https://www.mrtexpert.ru/kur/categories/22</t>
  </si>
  <si>
    <t>Алина Башмакова</t>
  </si>
  <si>
    <t>22:56</t>
  </si>
  <si>
    <t>Наталья Варюхина</t>
  </si>
  <si>
    <t>22:55</t>
  </si>
  <si>
    <t>A simple “masks don’t work” statement would have sufficed from the fellow on the video.</t>
  </si>
  <si>
    <t>Darby O'Hara</t>
  </si>
  <si>
    <t>22:50</t>
  </si>
  <si>
    <t>Элеонора Варнавская</t>
  </si>
  <si>
    <t>Рентгенолаборант (Оператор МРТ)
от 36 000 до 56 000 руб. до вычета налогов
ГК Эксперт 
Калининград
Требуемый опыт работы: не требуется
Полная занятость, сменный график
Обязанности:
проведение исследований МРТ;
контроль за состоянием пациента во время исследования;
оказание доврачебной помощи при неотложных состояниях;
ведение документации;
контроль работы томографа;
контроль наличия расходных материалов.
Требования:
образование медицинское средне-специальное или высшее;
наличие действующего сертификата по специальности "Сестринское дело" или "Лечебное дело" ;
практические навыки постановки в\в и в\м инъекций;
Условия:
работа в крупной компании федерального уровня;
разрядная система оценки квалификации;
сменный график работы с 8-00 до 16-00; с 16-00 до 24-00
оформление по ТК РФ.
Контактная информация
Суворова Ольга
+7 (915) 5501537
osuvorova@mrtexpert.ru</t>
  </si>
  <si>
    <t>Оксана Абдуллаева</t>
  </si>
  <si>
    <t>РАБОТА В КАЛИНИНГРАДЕ!</t>
  </si>
  <si>
    <t>21:22</t>
  </si>
  <si>
    <t>What went wrong during the Northeast's first COVID-19 spike, and is the region ready for another?</t>
  </si>
  <si>
    <t>What went wrong during the Northeast\'s first COVID-19 spike, and is the region ready for another?
In early March, Dr. Jeffrey Shaman watched from his New York City home as political leaders debated how best to control the first cases of the new coronavirus.
It soon led to screaming at the television.
Shaman, an infectious disease expert at Columbia University, said he thought city schools should have been closed right then, in the first week of March, or at least by the second week of the month.
"It was definitely too slow," he told the USA TODAY Network. "I could not believe the schools were still open."
Schools in New York ultimately closed March 16 when the state had 950 COVID-19 cases and nine deaths.
New York and New Jersey have gone on to have the most coronavirus deaths in the nation, nearly 32,600 (including 4,600 probable deaths in New York City) and 15,700, respectively.
That was followed by 8,500 in Massachusetts; 8,400 in California; 7,600 in Illinois; and 7,100 in Pennsylvania. Maryland had about 3,500 deaths, while Delaware had 580, according to federal data.
US coronavirus map: Tracking the COVID-19 outbreak nationwide
Infection rates in the Northeast have fallen to record lows in recent weeks even as they have soared to record highs in more than 30 other states, mostly in the South and West.
Now the question is: How well prepared are Northeast states for another spike of COVID-19?
Nowhere in the country is a region more aware of the virus' impact than the Northeast.
And that experience - with thousands of deaths, overwhelmed hospitals and a shuttered economy - is working to inform how officials respond to an anticipated second wave.
The states have been working together to try to thwart a spike but at the same time making independent decisions on when to open or close certain industries.
"We see the second wave in the distance," New York Gov. Andrew Cuomo said July 17. "It will have an effect on New York. How bad? We don't know. But we cannot stop the virus at our borders. We're trying everything we can."Late shutdowns, European travel and nursing homes fueled virus' early daysShaman's early warnings about the need for a quick shutdown were not heeded. New York didn't close to nonessential workers until March 22, when the state had 114 deaths and more than 15,000 cases.
Shaman co-wrote a study in May that said New York could have saved as many as 17,000 lives if it instituted its stay-at-home order two weeks earlier.
"We didn't pick up and learn quickly from seeing what was happening in China," Shaman said.
"We didn't follow the leads of South Korea and Vietnam and Taiwan to control it, and we dithered and doubted the evidence and worried about the economic repercussions of it, which I can understand."
New York's stay-at-home order: Should state leaders have acted sooner?
He added, "It's an uncertain time and it's difficult, but this is one of the few instances where leadership really matters."
Cuomo has put the blame squarely on the federal government, saying it let more than 3 million Europeans travel to the U.S., mainly the Northeast, at least six weeks before the pandemic became apparent.
A U.S. Centers for Disease Control and Prevention report July 17 noted that by the time travel restrictions from Europe were put in place March 13, "importation and community transmission of SARS-CoV-2 had already occurred in NYC."
A faster shutdown may also have saved more lives among the most vulnerable population, those in nursing homes and extended care facilities.
About 43% of New Jersey's deaths occurred in nursing homes, while nearly 6,300 deaths in New York, or 25% of the total, were in the facilities. Nursing home deaths made up nearly 70% of COVID-19 deaths in Pennsylvania.
The nursing home deaths have drawn heavy scrutiny over whether states should have better insulated residents from COVID-19 cases, but New York has insisted the problem was the result of staff spreading the infection through the homes.
U.S. Rep. Tom Reed, R-N.Y., is among those calling for an independent investigation of nursing home deaths.
He said in a statement July 6 that blaming staff "when the state knowingly created COVID hotspots by forcing homes to accept COVID-positive patients is a slap in the face to those who lost a loved one."
New Jersey nursing home deaths: Police find 18 bodies in 'makeshift'facilityWhat Northeast states learned from the first wave of the pandemicNew York's daily death toll hit as high as 800 in early April, but now daily deaths are in the single digits, and there have been a few days without any deaths reported.
The Northeast is trying to keep it that way: New York, New Jersey and Connecticut are requiring a 14-day quarantine for visitors from states with high infection rates and requiring they fill out questionnaires when they enter New York.
And the states' phased reopening has been largely successful compared with states in the South and West that now are shutting down businesses after a broad reopening last month.
"The only way we can keep our positivity rate and our RT, or rate of transmission, low is by taking the precautions that we have across the past four months," New Jersey Gov. Phil Murphy said July 17.
The pandemic, in many ways, has laid bare fundamental flaws in American society.
'We're witnessing history': Why George Floyd's death, COVID-19 inequality sparked protests
COVID-19 racial disparities: Black people dying from coronavirus at much higher rates in cities across the USA
Watching the coronavirus spread like wildfire through low-income communities plagued by overcrowded housing underscored the systemic racism fueling disparate health outcomes for generations of Black and Hispanic people.
Stories of nurses and doctors being infected with COVID-19 and dying as hospitals struggled to secure protective masks and gowns exposed gaping holes in emergency preparedness plans and government stockpile systems.
And in the face of new surges across the country, renewed fears of shortages of personal protective equipment and COVID-19 testing supplies further revealed the faults in a medical supply chain over-reliant on Chinese imports.
Yet efforts in the Northeast to shore up regional manufacturing of basic medical goods and COVID-19 testing infrastructure show promise against a second wave.
New public health responses targeting zip codes hit hardest by COVID-19 deaths also offered a glimmer of hope that key resources, including contact tracing, testing and medical care, would better reach communities of color.
Meanwhile, politically charged debates over reopening plans and mask wearing in public, which New York ordered April 15 to help turn the tide in its coronavirus outbreak, endangered the entire undertaking nationally, experts said.
"We are seeing unnecessary tens of thousands of deaths and illnesses and disruption because people do not want to believe the evidence," said Dr. Gregory Poland, an Infectious Diseases Society of America and Mayo Clinic expert.
"They make it into a political or cultural or economic or faith-based issue, and it's not," he said. "The virus knows nothing of those areas. The virus knows one thing: Find the next susceptible person and infect them."Delaware's meat plants, nursing homes hit hard as testing laggedThat was the case in Delaware: State health officials saw a significant outbreak in April in small towns in Sussex County, particularly among Hispanics and Haitian immigrant communities.
Many of those residents work in the county's largest industry - chicken processing plants - where to complete their jobs, workers must stand close together, not adhering to social distancing guidelines.
Cheap chicken, beef came at a cost: How American meat plants bred coronavirus hot spots.
Many of the low-income workers can't afford to lose a paycheck, leading to hesitation about whether they should get tested - even if they have been exposed to the virus.
Language barriers led to challenges when the residents tried to access emergency resources and learn what safety precautions they needed to take.
Delaware nursing homes were also devastated in the early weeks of the pandemic, particularly because it was difficult for facilities to obtain protective equipment for employees and they have been historically understaffed.
Because of limited testing in Delaware at the time, only residents with symptoms could receive a COVID-19 test.
Deaths in long-term care facilities have contributed to more than 60% of the cumulative number of COVID-19 deaths in Delaware. It has led to Gov. John Carney requiring all long-term care employees to be tested on a weekly basis.
"One of the biggest problems across the country and every state in America from the beginning of this COVID crisis was the lack of availability of testing," Maryland Gov. Hogan said June 10.
A quick, cheap test would help stop COVID-19: So why don't we have one?
While Delaware has seen a decrease in the number of daily COVID-19 cases and hospitalizations, the Rehoboth-Dewey Beach ZIP code saw a spike in cases in late June. Many of these cases involved young people and residents.
In late June, Carney announced that he is pausing Delaware's plans to reopen its economy. Not long after, he mandated that, in eastern Sussex County, customers will no longer be able to sit or stand at a bar. Instead, beachgoers will have to sit at a table and be served.
"Too many Delawareans and visitors are not following basic public health precautions,"
Carney said June 25. "Now's not the time to let up."Pennsylvania sees harsh economic effectsWhen the coronavirus pandemic hit Pennsylvania in March, Gov. Tom Wolf scrambled to prevent his biggest fear: overwhelmed hospitals that had no beds for patients.
Pennsylvania never ran out of hospital beds or lifesaving ventilators, even when the virus peaked in April.
But businesses opened in defiance of state orders. Republican lawmakers tried to end the emergency powers of Wolf, a Democrat.
Millions lost jobs. Businesses struggled to survive. Without a bailout, the restaurant industry could end up a shadow of its former self, especially now that the governor has ordered them to either cut back to 25% of their dine-in capacity or close again.
And now, as administrators, parents and politicians argue about whether to send children back to school, Pennsylvania is seeing a surge of fresh cases.
Back to school? Despite CDC recommendations, most major schools going online as COVID-19 cases spike
This pandemic steered Pennsylvania toward a recession. The Pandemic Unemployment Assistance and the Paycheck Protection Program helped, but they have an expiration date, and right now "this virus doesn't," Labor and Industry Secretary Jerry Oleksiak said
So even as the state crawls out from economic lock-down, high unemployment and the lingering public health crisis slow the process, leaving economists to agree on one thing: Pennsylvania won't to recover from this disaster for years.
"Ultimately, what's going to work is not enforcement," Wolf said May 26. "What's going to work is each and every individual Pennsylvanian, each and every business owner doing everything they can to protect their employees and their customers and protect each other from this disease."'We don't really have a clear national policy on this'Many experts and health officials attributed the most glaring missteps to the lack of federal government leadership.
The criticism spanned from the CDC distributing faulty test kits to states, which delayed the pandemic response in January and February, to mixed messages coming from the Trump administration on the threat posed by spikes in COVID-19 cases.
"We don't really have a clear national policy on this, and that's been pretty evident," said Dr. Michael Mendoza, health commissioner of Monroe County in upstate New York.
In the absence of a universal plan, some states ignored, or shunned, lessons learned in the Northeast, threatening to undo the communal sacrifices that helped reduce infections in New York and New Jersey.
"When our messages and our data became politicized and distorted … that's when it became very difficult for us," Mendoza said.
Amid the chaotic early weeks of the pandemic this spring, the politically fueled confusion proved especially harmful because of limited scientific understanding at the time of how the coronavirus stealthily spread before symptoms appeared in many people.
More: The White House has sent conflicting messages on wearing masks and the new coronavirus cases
As intensive care units filled up, state officials scrambled to boost hospital bed capacity. Fears that hospitals would run out of lifesaving breathing machines ignited interstate competition over ventilators as opposed to a coordinated national response.
Ultimately, the flawed preparedness plan and scattershot emergency response helped delay the revelations unfolding today, such as the prospect that all Americans wearing face coverings in public could dramatically decrease the virus' spread in four to six weeks.
In dissecting the myriad of pandemic-related failures, Poland of the Mayo Clinic evoked findings of the 9/11 Commission report that delved into the terrorist attacks of Sept. 11, 2001.
"We believe the fundamental problem was one of imaginability, though we had been warned many times and many ways, we failed to imagine it was possible and therefore failed to prepare," he said, recounting the report.
"I think that singular statement is precisely applicable to the pandemic," Poland said, adding, "I hope that one thing that has happened is that our deniability has been stripped away and our imaginability enlivened."Northeast states continue to limit reopeningNew York and New Jersey have reopened many businesses but have kept some closed.
New Jersey has not allowed the resumption of indoor dining, while New York has outside New York City.
Malls, casinos and amusement parks have remained shuttered in New York, but New Jersey and Pennsylvania have opened them with safety precautions.
And New York tightened restrictions on outdoor dining, requiring alcohol purchases to be accompanied by food to cut down on large drinking scenes.
It's a process that Northeast governors continue to evaluate based on daily monitoring of the rates of infection. The concern is that the rapid spread of disease in the bulk of the country will eventually cause a spike in states that have tamped down the virus.
"This second wave is just going to be other states infecting us again for a second time," Cuomo said July 16 on MSNBC.
"There's no vaccine yet," New Jersey's Murphy warned July 17. "All we've got is social distancing, wearing a face covering whenever you are out in public, and certainly whenever you're indoors, washing your hands frequently with soap and water for at least 20 seconds."
Republican lawmakers in New Jersey say Murphy cut state lawmakers out when he crafted coronavirus-related orders, unfairly allowing big-box retailers to remain open while forcing smaller stores to close.
He limited outdoor gatherings, then showed up at Black Lives Matters rallies where protesters were not socially distanced. Those rallies, however, were not shown to result in spikes of COVID-19 cases.
But, as in other Northeast states, Murphy's strategy began to look smarter in July.
As states like California, Texas and Florida, which reopened sooner than New Jersey, began to see virus cases surge, their governors hastily closed businesses they had allowed to reopen. Now, Murphy hopes to not join those states in having to change course.
"We should all take pride in the fact we want to get this exactly as right as we can," he said.
This article originally appeared on USA TODAY NETWORK: COVID-19: Is New York, New Jersey, region ready for coronavirus spike?</t>
  </si>
  <si>
    <t>Daily Magazine</t>
  </si>
  <si>
    <t>dailymagazine.news</t>
  </si>
  <si>
    <t>20:55</t>
  </si>
  <si>
    <t>"I CANT BREATHE!!"
THINK ON THIS...
wearing a mask forces me to inhale my own CO2. The repercussions are...
1. my brain is oxygen deprived leading to erratic behavior from an inability to think we'll. 
2. My lungs are oxygen deprived leading to physical stress and a drop into survival mode. Fear leads to fighting for my life.
3. Combine these two factors with being bored and angry about not working, leading to fear of losing my livelihood, home, vehicle etc.
4. Add in a fear of dying from COVID or dying from starvation, or dying on the violence laden streets.
5. Then compound the issues through CNN, CSNBC, NYT, and other fear mongering media who tout the dangers of church, work &amp; rallys..but encourage violent riots and murders on public streets. 
Masks are deadly when they promote inhaling that which can suffocate us. 
Combine all these facets regarding the state of our nation and the violence is understood...
It still needs to be stopped and those responsible need held accountable....including Governors, mayors and media who refused to control it.</t>
  </si>
  <si>
    <t>Beth Walters</t>
  </si>
  <si>
    <t>ลบรอยแผลเป็นด้วย Renew Skin Laser By Narada Clinic</t>
  </si>
  <si>
    <t>ลบรอยแผลเป็นด้วย Renew Skin Laser By  Narada Clinic
เลเซอร์รอยแผลเป็น Renew Skin Laser by Narada เพื่อปรับผิวให้เรียบเนียล สีผิวสม่ำเสมอมากยิ่งขึ้น ในเคสนี้ เป็นแผลถลอกจากอุบัติเหตุ แล้วเกิดแผลเป็นนูน 
 เริ่มการรักษาด้วยการฉีดยาเพื่อสลายพังผืดแผลเป็น ประมาณ3ครั้ง เมื่อแผลนูนยุบดีแล้ว จึงมีการปรับสภาพผิวให้เรียบเนียน และสีผิวสม่ำเสมอมากยิ่งขึ้น ด้วย Renew Skin Laser อีกประมาณ 3 ครั้ง ทุก2สัปดาห์ค่ะ แผลเป็น ถ้าเริ่มต้นรักษาเร็ว ผลลัพธ์ก็ค่อนข้างดีกว่าปล่อยไว้นานๆนะคะ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t>
  </si>
  <si>
    <t>18:33</t>
  </si>
  <si>
    <t>Катерина Троицкая</t>
  </si>
  <si>
    <t>18:11</t>
  </si>
  <si>
    <t>What went wrong during the Northeast's first COVID-19 spike and is the region ready for another?</t>
  </si>
  <si>
    <t>Published 5:00 a.m. ET July 29, 2020 | Updated 9:36 a.m. ET July 29, 2020
Shaman, an infectious disease expert at Columbia University, said he thought city schools should have been closed right then, in the first week of March, or at least by the second week of the month.
"It was definitely too slow," he told the USA TODAY Network. "I could not believe the schools were still open."
Schools in New York ultimately closed March 16 when the state had 950 COVID-19 cases and nine deaths.
New York and New Jersey have gone on to have the most coronavirus deaths in the nation, nearly 32,600 (including 4,600 probable deaths in New York City) and 15,700, respectively.
That was followed by 8,500 in Massachusetts; 8,400 in California; 7,600 in Illinois and 7,100 in Pennsylvania. Maryland had about 3,500 deaths, while Delaware had 580, according to federal data.
Infection rates in the Northeast have fallen to record lows in recent weeks even as they have soared to record highs in more than 30 other states, mostly in the South and West.
Now the question is: How well prepared are Northeast states for another spike of COVID-19?
Nowhere in the country is a region more aware of the virus' impact than the Northeast.
And that experience — with thousands of deaths, overwhelmed hospitals and a shuttered economy — is working to inform how officials respond to an anticipated second wave.
The states have been working together to try to thwart a spike, but at the same time making independent decisions on when to open or close certain industries.
"We see the second wave in the distance," New York Gov. Andrew Cuomo said July 17. "It will have an effect on New York. How bad? We don’t know. But we cannot stop the virus at our borders. We’re trying everything we can."Late shutdowns, European travel and nursing homes fueled virus' early daysShaman's early warnings about the need for a quick shutdown were not heeded. New York didn't close to non-essential workers until March 22, when the state had 114 deaths and more than 15,000 cases.
Shaman co-authored a study in May that said New York could have saved as many as 17,000 lives if it instituted its stay-at-home order two weeks earlier.
"We didn’t pick up and learn quickly from seeing what was happening in China," Shaman said.
"We didn’t follow the leads of South Korea and Vietnam and Taiwan to control it, and we dithered and doubted the evidence and worried about the economic repercussions of it, which I can understand."New York's stay-at-home order:He added, "It’s an uncertain time and it’s difficult, but this is one of the few instances where leadership really matters."
Cuomo has put the blame squarely on the federal government, saying it let more than 3 million Europeans travel to the U.S., mainly the Northeast, at least six weeks before the pandemic became apparent.
A U.S. Centers for Disease Control and Prevention report July 17 noted that by the time travel restrictions from Europe were put in place March 13, "importation and community transmission of SARS-CoV-2 had already occurred in NYC."
A faster shutdown may also have saved more lives among the most vulnerable population, those in nursing homes and extended care facilities.
About 43% of New Jersey's deaths occurred in nursing homes, while nearly 6,300 deaths in New York, or 25% of the total, were in the facilities. Nursing home deaths made up nearly 70% of COVID-19 deaths in Pennsylvania.
The nursing home deaths have drawn heavy scrutiny over whether states should have better insulated residents from COVID cases, but New York has insisted the problem was due to staff spreading the infection through the homes.
U.S. Rep. Tom Reed, R-N.Y., is among those calling for an independent investigation of nursing home deaths.
He said in a July 6 statement that blaming staff "when the state knowingly created COVID hotspots by forcing homes to accept COVID-positive patients is a slap in the face to those who lost a loved one."What Northeast states learned from the first wave of the pandemicNew York's daily death toll hit as high as 800 in early April, but now daily deaths are in the single digits and there have been a few days without any deaths reported.
The Northeast is trying to keep it that way, with New York, New Jersey and Connecticut requiring a 14-day quarantine for visitors from states with high infection rates and mandating they fill out questionnaires when they enter New York.
And the states' phased reopening has been largely successful compared to states in the South and West that now are shutting down businesses after a broad reopening last month.
"The only way we can keep our positivity rate and our RT, or rate of transmission low, is by taking the precautions that we have across the past four months," New Jersey Gov. Phil Murphy said July 17.
Watching the coronavirus spread like wildfire through low-income communities plagued by overcrowded housing underscored the systemic racism fueling disparate health outcomes for generations of Black and Hispanic people.
Stories of nurses and doctors being infected with COVID-19 and dying as hospitals struggled to secure protective masks and gowns exposed gaping holes in emergency preparedness plans and government stockpile systems.
And in the face of new surges across the country, renewed fears of shortages of personal protective equipment and COVID-19 testing supplies further revealed the faults in a medical supply chain over-reliant on Chinese imports.
Yet efforts in the Northeast to shore up regional manufacturing of basic medical goods and COVID-19 testing infrastructure show promise against a second wave.
New public health responses targeting zip codes hit hardest by COVID-19 deaths also offered a glimmer of hope that key resources, including contact tracing, testing and medical care, would better reach communities of color.
Meanwhile, politically charged debates over reopening plans and mask wearing in public, which New York mandated April 15 to help turn the tide in its coronavirus outbreak, endangered the entire undertaking nationally, experts said.
“We are seeing unnecessary tens of thousands of deaths and illnesses and disruption because people do not want to believe the evidence,” said Dr. Gregory Poland, an Infectious Diseases Society of America and Mayo Clinic expert.
“They make it into a political or cultural or economic or faith-based issue, and it’s not,” he said. “The virus knows nothing of those areas. The virus knows one thing: Find the next susceptible person and infect them.”Delaware's meat plants, nursing homes hit hard as testing laggedThat was the case in Delaware: State health officials saw a significant outbreak in April in small towns in Sussex County, particularly among Hispanics and Haitian immigrant communities.
Many of those residents work in the county’s largest industry — chicken processing plants — where to complete their jobs, workers must stand close together, not adhering to social distancing guidelines.
Many of the low-income workers can't afford to lose a paycheck, leading to hesitation about whether they should get tested — even if they have been exposed to the virus.
Language barriers led to challenges when the residents tried to access emergency resources and learn what safety precautions they needed to take.
Delaware nursing homes were also devastated in the early weeks of the pandemic, particularly because it was difficult for facilities to obtain protective equipment for employees and they have been historically understaffed.
Because of limited testing in Delaware at the time, only residents with symptoms could receive a COVID-19 test.
Deaths in long-term care facilities have contributed to more than 60% of the cumulative number of COVID-19 deaths in Delaware. It has led to Gov. John Carney requiring all long-term care employees to be tested on a weekly basis.
"One of the biggest problems across the country and every state in America from the beginning of this COVID crisis was the lack of availability of testing," Maryland Gov. Hogan said June 10.A quick, cheap test would help stop COVID-19:While Delaware has seen a decrease in the number of daily COVID-19 cases and hospitalizations, the Rehoboth-Dewey Beach ZIP code saw a spike in cases in late June. Many of these cases involved young people and residents.
In late June, Carney announced that he is pausing Delaware's plans to reopen its economy. Not long after, he mandated that, in eastern Sussex County, customers will no longer be able to sit or stand at a bar. Instead, beachgoers will have to sit at a table and be served.
“Too many Delawareans and visitors are not following basic public health precautions,"
Carney said June 25. "Now’s not the time to let up."Pennsylvania sees harsh economic impactsWhen the coronavirus pandemic hit Pennsylvania in March, Gov. Tom Wolf scrambled to prevent his biggest fear — overwhelmed hospitals that had no beds for patients.
Pennsylvania never ran out of hospital beds or life-saving ventilators, even when the virus peaked in April.
But businesses opened in defiance of state orders. Republican lawmakers tried to end the emergency powers of Wolf, a Democrat.
Millions lost jobs. Businesses struggled to survive. Without a bailout, the restaurant industry could end up a shadow of its former self, especially now that the governor has ordered them to either cut back to 25% of their dine-in capacity or close again.
And now, as administrators, parents and politicians argue about whether to send children back to school, Pennsylvania is seeing a surge of fresh cases.
This pandemic steered Pennsylvania toward a recession. The Pandemic Unemployment Assistance and the Paycheck Protection Program helped, but they have an expiration date, and right now “this virus doesn’t,” Labor and Industry Secretary Jerry Oleksiak said
So even as the state crawls out from economic lock-down, high unemployment and the lingering public health crisis slow the process, leaving economists to agree on one thing: Pennsylvania won't to recover from this disaster for years.
"Ultimately, what’s going to work is not enforcement," Wolf said May 26. "What’s going to work is each and every individual Pennsylvanian, each and every business owner doing everything they can to protect their employees and their customers and protect each other from this disease."'We don’t really have a clear national policy on this'Many experts and health officials attributed the most glaring missteps to the lack of federal government leadership.
The criticism spanned from the CDC distributing faulty test kits to states, which delayed the pandemic response in January and February, to mixed messages coming from the Trump administration regarding the threat posed by current spikes in COVID-19 cases.
“We don’t really have a clear national policy on this, and that’s been pretty evident,” said Dr. Michael Mendoza, health commissioner of Monroe County in upstate New York.
In the absence of a universal plan, some states ignored, or shunned, lessons learned in the Northeast, threatening to undo the communal sacrifices that helped reduce infections in New York and New Jersey.
“When our messages and our data became politicized and distorted … that’s when it became very difficult for us,” Mendoza said.
Amid the chaotic early weeks of the pandemic this spring, the politically fueled confusion proved especially harmful due to limited scientific understanding at the time of how the coronavirus stealthily spread before symptoms appeared in many people.
As intensive care units filled up, state officials scrambled to boost hospital bed capacity. Fears that hospitals would run out of lifesaving breathing machines ignited interstate competition over ventilators, as opposed to a coordinated national response.
Ultimately, the flawed preparedness plan and scattershot emergency response helped delay the revelations unfolding today, such as the prospect that all Americans wearing face-coverings in public could dramatically decrease the virus’ spread in four to six weeks.
In dissecting the myriad of pandemic-related failures, Poland of the Mayo Clinic evoked findings of the 9/11 Commission report that delved into the terrorist attacks of Sept. 11, 2001.
“We believe the fundamental problem was one of imaginability, though we had been warned many times and many ways, we failed to imagine it was possible and therefore failed to prepare,” he said, recounting the report.
“I think that singular statement is precisely applicable to the pandemic,” Poland said, adding, “I hope that one thing that has happened is that our deniability has been stripped away and our imaginability enlivened.”Northeast states continue to limit reopeningNew York and New Jersey have reopened many businesses but have kept some closed.
New Jersey has not allowed the resumption of indoor dining, while New York has outside New York City.
Malls, casinos and amusement parks have remained shuttered in New York, but New Jersey and Pennsylvania have opened them with safety precautions.
And New York tightened restrictions on outdoor dining, requiring alcohol purchases to be accompanied by food to cut down on large drinking scenes.
It's a process that Northeast governors continue to evaluate based on daily monitoring of the rates of infection. The concern is that the rapid spread of disease in the bulk of the country will eventually cause a spike in states that have been successful in tamping down the virus.
"This second wave is just going to be other states infecting us again for a second time," Cuomo said July 16 on MSNBC.
"There's no vaccine yet," New Jersey's Murphy warned July 17.
"All we've got is social distancing, wearing a face covering whenever you are out in public, and certainly whenever you're indoors, washing your hands frequently with soap and water for at least 20 seconds."
Republican lawmakers in New Jersey allege Murphy cut state lawmakers out when he crafted coronavirus-related orders, unfairly allowed big-box retailers to remain open while forcing smaller stores to close.
He limited outdoor gatherings, then showed up at Black Lives Matters rallies where protesters were not socially distanced. Those rallies, however, were not shown to result in spikes of COVID-19 cases.
But, like other Northeast states, Murphy’s strategy began to look smarter in July.
As states like California, Texas and Florida, which reopened sooner than New Jersey, began to see virus cases surge, their governors hastily re-closed businesses they had allowed to reopen. Now, Murphy hopes to not join those states in having to change course.</t>
  </si>
  <si>
    <t>Joseph Spector, David Robinson, Terrence T. McDonald, Meredith Newman</t>
  </si>
  <si>
    <t>newsleader.com</t>
  </si>
  <si>
    <t>18:10</t>
  </si>
  <si>
    <t>МРТ С ГАРАНТИЕЙ
ГЕПАТИТ: Печальная  статистика! 
#мурманск #мртмурманск #регион51 #кольскийполурстров #гепатит #murmansk_inst #city51 #мрт51</t>
  </si>
  <si>
    <t>18:06</t>
  </si>
  <si>
    <t>In early March, Dr. Jeffrey Shaman watched from his New York City home as political leaders debated how best to control the first cases of the new coronavirus.
It soon led to screaming at the television.
 Shaman, an infectious disease expert at Columbia University, said he thought city schools should have been closed right then, in the first week of March, or at least by the second week of the month.
 "It was definitely too slow," he told the USA TODAY Network. "I could not believe the schools were still open."
 Schools in New York ultimately closed March 16 when the state had 950 COVID-19 cases and nine deaths.
 New York and New Jersey have gone on to have the most coronavirus deaths in the nation , nearly 32,600 (including 4,600 probable deaths in New York City) and 15,700, respectively.
 That was followed by 8,500 in Massachusetts; 8,400 in California; 7,600 in Illinois and 7,100 in Pennsylvania. Maryland had about 3,500 deaths, while Delaware had 580, according to federal data
 Infection rates in the Northeast have fallen to record lows in recent weeks even as they have soared to record highs in more than 30 other states, mostly in the South and West.
 Now the question is: How well prepared are Northeast states for another spike of COVID-19?
 Nowhere in the country is a region more aware of the virus' impact than the Northeast.
 And that experience — with thousands of deaths, overwhelmed hospitals and a shuttered economy — is working to inform how officials respond to an anticipated second wave.
 The states have been working together to try to thwart a spike, but at the same time making independent decisions on when to open or close certain industries.
 "We see the second wave in the distance," New York Gov. Andrew Cuomo said July 17. "It will have an effect on New York. How bad? We don't know. But we cannot stop the virus at our borders. We're trying everything we can."
 Late shutdowns, European travel and nursing homes fueled virus' early days
 Shaman's early warnings about the need for a quick shutdown were not heeded. New York didn't close to non-essential workers until March 22, when the state had 114 deaths and more than 15,000 cases.
 Shaman co-authored a study in May that said New York could have saved as many as 17,000 lives if it instituted its stay-at-home order two weeks earlier.
 "We didn't pick up and learn quickly from seeing what was happening in China," Shaman said.
 "We didn't follow the leads of South Korea and Vietnam and Taiwan to control it, and we dithered and doubted the evidence and worried about the economic repercussions of it, which I can understand."
 He added, "It's an uncertain time and it's difficult, but this is one of the few instances where leadership really matters."
 Cuomo has put the blame squarely on the federal government, saying it let more than 3 million Europeans travel to the U.S., mainly the Northeast, at least six weeks before the pandemic became apparent.
 A U.S. Centers for Disease Control and Prevention report July 17 noted that by the time travel restrictions from Europe were put in place March 13, "importation and community transmission of SARS-CoV-2 had already occurred in NYC."
 A faster shutdown may also have saved more lives among the most vulnerable population, those in nursing homes and extended care facilities.
 About 43% of New Jersey's deaths occurred in nursing homes, while nearly 6,300 deaths in New York, or 25% of the total, were in the facilities. Nursing home deaths made up nearly 70% of COVID-19 deaths in Pennsylvania.
 The nursing home deaths have drawn heavy scrutiny over whether states should have better insulated residents from COVID cases, but New York has insisted the problem was due to staff spreading the infection through the homes.
 U.S. Rep. Tom Reed, R-N.Y., is among those calling for an independent investigation of nursing home deaths.
 He said in a July 6 statement that blaming staff "when the state knowingly created COVID hotspots by forcing homes to accept COVID-positive patients is a slap in the face to those who lost a loved one."
 What Northeast states learned from the first wave of the pandemic
 New York's daily death toll hit as high as 800 in early April, but now daily deaths are in the single digits and there have been a few days without any deaths reported.
 The Northeast is trying to keep it that way, with New York, New Jersey and Connecticut requiring a 14-day quarantine for visitors from states with high infection rates and mandating they fill out questionnaires when they enter New York
 And the states' phased reopening has been largely successful compared to states in the South and West that now are shutting down businesses after a broad reopening last month.
 "The only way we can keep our positivity rate and our RT, or rate of transmission low, is by taking the precautions that we have across the past four months," New Jersey Gov. Phil Murphy said July 17.
 The pandemic, in many ways, has laid bare fundamental flaws in American society
 Watching the coronavirus spread like wildfire through low-income communities plagued by overcrowded housing underscored the systemic racism fueling disparate health outcomes for generations of Black and Hispanic people.
 Stories of nurses and doctors being infected with COVID-19 and dying as hospitals struggled to secure protective masks and gowns exposed gaping holes in emergency preparedness plans and government stockpile systems.
 And in the face of new surges across the country, renewed fears of shortages of personal protective equipment and COVID-19 testing supplies further revealed the faults in a medical supply chain over-reliant on Chinese imports.
 Yet efforts in the Northeast to shore up regional manufacturing of basic medical goods and COVID-19 testing infrastructure show promise against a second wave.
 New public health responses targeting zip codes hit hardest by COVID-19 deaths also offered a glimmer of hope that key resources, including contact tracing, testing and medical care, would better reach communities of color.
 Meanwhile, politically charged debates over reopening plans and mask wearing in public, which New York mandated April 15 to help turn the tide in its coronavirus outbreak, endangered the entire undertaking nationally, experts said.
 “We are seeing unnecessary tens of thousands of deaths and illnesses and disruption because people do not want to believe the evidence,” said Dr. Gregory Poland, an Infectious Diseases Society of America and Mayo Clinic expert.
 “They make it into a political or cultural or economic or faith-based issue, and it's not,” he said. “The virus knows nothing of those areas. The virus knows one thing: Find the next susceptible person and infect them.”
 Delaware's meat plants, nursing homes hit hard as testing lagged
 That was the case in Delaware: State health officials saw a significant outbreak in April in small towns in Sussex County , particularly among Hispanics and Haitian immigrant communities.
 Many of those residents work in the county's largest industry — chicken processing plants — where to complete their jobs, workers must stand close together, not adhering to social distancing guidelines.
 Many of the low-income workers can't afford to lose a paycheck, leading to hesitation about whether they should get tested — even if they have been exposed to the virus.
 Language barriers led to challenges when the residents tried to access emergency resources and learn what safety precautions they needed to take.
 Delaware nursing homes were also devastated in the early weeks of the pandemic, particularly because it was difficult for facilities to obtain protective equipment for employees and they have been historically understaffed.
 Because of limited testing in Delaware at the time, only residents with symptoms could receive a COVID-19 test.
 Deaths in long-term care facilities have contributed to more than 60% of the cumulative number of COVID-19 deaths in Delaware. It has led to Gov. John Carney requiring all long-term care employees to be tested on a weekly basis.
 "One of the biggest problems across the country and every state in America from the beginning of this COVID crisis was the lack of availability of testing," Maryland Gov. Hogan said June 10.
 A quick, cheap test would help stop COVID-19: So why don't we have one?
 While Delaware has seen a decrease in the number of daily COVID-19 cases and hospitalizations, the Rehoboth-Dewey Beach ZIP code saw a spike in cases in late June . Many of these cases involved young people and residents.
 In late June, Carney announced that he is pausing Delaware's plans to reopen its economy . Not long after, he mandated that, in eastern Sussex County, customers will no longer be able to sit or stand at a bar. Instead, beachgoers will have to sit at a table and be served.
 “Too many Delawareans and visitors are not following basic public health precautions," Carney said June 25 . "Now's not the time to let up."
 Pennsylvania sees harsh economic impacts
 When the coronavirus pandemic hit Pennsylvania in March, Gov. Tom Wolf scrambled to prevent his biggest fear — overwhelmed hospitals that had no beds for patients.
 Pennsylvania never ran out of hospital beds or life-saving ventilators, even when the virus peaked in April.
 But businesses opened in defiance of state orders. Republican lawmakers tried to end the emergency powers of Wolf, a Democrat.
 Millions lost jobs. Businesses struggled to survive. Without a bailout, the restaurant industry could end up a shadow of its former self, especially now that the governor has ordered them to either cut back to 25% of their dine-in capacity or close again.
 And now, as administrators, parents and politicians argue about whether to send children back to school, Pennsylvania is seeing a surge of fresh cases.
 This pandemic steered Pennsylvania toward a recession. The Pandemic Unemployment Assistance and the Paycheck Protection Program helped, but they have an expiration date, and right now “this virus doesn't,” Labor and Industry Secretary Jerry Oleksiak said
 So even as the state crawls out from economic lock-down, high unemployment and the lingering public health crisis slow the process, leaving economists to agree on one thing: Pennsylvania won't to recover from this disaster for years.
 "Ultimately, what's going to work is not enforcement," Wolf said May 26. "What's going to work is each and every individual Pennsylvanian, each and every business owner doing everything they can to protect their employees and their customers and protect each other from this disease."
 'We don't really have a clear national policy on this'
 Many experts and health officials attributed the most glaring missteps to the lack of federal government leadership.
 The criticism spanned from the CDC distributing faulty test kits to states, which delayed the pandemic response in January and February, to mixed messages coming from the Trump administration regarding the threat posed by current spikes in COVID-19 cases.
 “We don't really have a clear national policy on this, and that's been pretty evident,” said Dr. Michael Mendoza, health commissioner of Monroe County in upstate New York.
 In the absence of a universal plan, some states ignored, or shunned, lessons learned in the Northeast, threatening to undo the communal sacrifices that helped reduce infections in New York and New Jersey.
 “When our messages and our data became politicized and distorted … that's when it became very difficult for us,” Mendoza said.
 Amid the chaotic early weeks of the pandemic this spring, the politically fueled confusion proved especially harmful due to limited scientific understanding at the time of how the coronavirus stealthily spread before symptoms appeared in many people.
 As intensive care units filled up, state officials scrambled to boost hospital bed capacity. Fears that hospitals would run out of lifesaving breathing machines ignited interstate competition over ventilators, as opposed to a coordinated national response.
 Ultimately, the flawed preparedness plan and scattershot emergency response helped delay the revelations unfolding today, such as the prospect that all Americans wearing face-coverings in public could dramatically decrease the virus' spread in four to six weeks.
 In dissecting the myriad of pandemic-related failures, Poland of the Mayo Clinic evoked findings of the 9/11 Commission report that delved into the terrorist attacks of Sept. 11, 2001.
 “We believe the fundamental problem was one of imaginability, though we had been warned many times and many ways, we failed to imagine it was possible and therefore failed to prepare,” he said, recounting the report.
 “I think that singular statement is precisely applicable to the pandemic,” Poland said, adding, “I hope that one thing that has happened is that our deniability has been stripped away and our imaginability enlivened.”
 Northeast states continue to limit reopening
 New York and New Jersey have reopened many businesses but have kept some closed.
 New Jersey has not allowed the resumption of indoor dining , while New York has outside New York City.
 Malls, casinos and amusement parks have remained shuttered in New York, but New Jersey and Pennsylvania have opened them with safety precautions.
 And New York tightened restrictions on outdoor dining, requiring alcohol purchases to be accompanied by food to cut down on large drinking scenes.
 It's a process that Northeast governors continue to evaluate based on daily monitoring of the rates of infection. The concern is that the rapid spread of disease in the bulk of the country will eventually cause a spike in states that have been successful in tamping down the virus.
 "This second wave is just going to be other states infecting us again for a second time," Cuomo said July 16 on MSNBC.
 "There's no vaccine yet," New Jersey's Murphy warned July 17.
 "All we've got is social distancing, wearing a face covering whenever you are out in public, and certainly whenever you're indoors, washing your hands frequently with soap and water for at least 20 seconds."
 Republican lawmakers in New Jersey allege Murphy cut state lawmakers out when he crafted coronavirus-related orders, unfairly allowed big-box retailers to remain open while forcing smaller stores to close.
 He limited outdoor gatherings, then showed up at Black Lives Matters rallies where protesters were not socially distanced. Those rallies, however, were not shown to result in spikes of COVID-19 cases
 But, like other Northeast states, Murphy's strategy began to look smarter in July.
 As states like California, Texas and Florida, which reopened sooner than New Jersey, began to see virus cases surge, their governors hastily re-closed businesses they had allowed to reopen. Now, Murphy hopes to not join those states in having to change course.
 "We should all take pride in the fact we want to get this exactly as right as we can," he said.
 Gallery: These 4 States Need to Roll Back on Reopening, Harvard Doctor Says (Best Life)</t>
  </si>
  <si>
    <t>Joseph Spector, David Robinson, Terrence T. McDonald and Meredith Newman, USA TODAY NETWORK 1 hr ago</t>
  </si>
  <si>
    <t>msn.com</t>
  </si>
  <si>
    <t>What went wrong during the Northeast’s first COVID-19 spike and is the region ready for another?</t>
  </si>
  <si>
    <t>Choose the plan that’s right for you. Digital access or digital and print delivery.
By Joseph Spector / David Robinson / Terrence T. McDonald / Meredith Newman / USA TODAY NETWORK
Wednesday
Posted at 10:18 AM
Updated at 10:18 AM
Share
In early March, Dr. Jeffrey Shaman watched from his New York City home as political leaders debated how best to control the first cases of the new coronavirus.
It soon led to screaming at the television.
Shaman, an infectious disease expert at Columbia University, said he thought city schools should have been closed right then, in the first week of March, or at least by the second week of the month.
“It was definitely too slow,” he told the USA TODAY Network. “I could not believe the schools were still open.”
Schools in New York ultimately closed March 16 when the state had 950 COVID-19 cases and nine deaths.
New York and New Jersey have gone on to have the most coronavirus deaths in the nation, nearly 32,600 (including 4,600 probable deaths in New York City) and 15,700, respectively.
That was followed by 8,500 in Massachusetts; 8,400 in California; 7,600 in Illinois and 7,100 in Pennsylvania. Maryland had about 3,500 deaths, while Delaware had 580, according to federal data.
Infection rates in the Northeast have fallen to record lows in recent weeks even as they have soared to record highs in more than 30 other states, mostly in the South and West.
Now the question is: How well prepared are Northeast states for another spike of COVID-19?
Nowhere in the country is a region more aware of the virus’ impact than the Northeast.
And that experience — with thousands of deaths, overwhelmed hospitals and a shuttered economy — is working to inform how officials respond to an anticipated second wave.
The states have been working together to try to thwart a spike, but at the same time making independent decisions on when to open or close certain industries.
“We see the second wave in the distance,” New York Gov. Andrew Cuomo said July 17. “It will have an effect on New York. How bad? We don’t know. But we cannot stop the virus at our borders. We’re trying everything we can.”
Late shutdowns, European travel and nursing homes fueled virus’ early days
Shaman’s early warnings about the need for a quick shutdown were not heeded. New York didn’t close to non-essential workers until March 22, when the state had 114 deaths and more than 15,000 cases.
Shaman co-authored a study in May that said New York could have saved as many as 17,000 lives if it instituted its stay-at-home order two weeks earlier.
“We didn’t pick up and learn quickly from seeing what was happening in China,” Shaman said.
“We didn’t follow the leads of South Korea and Vietnam and Taiwan to control it, and we dithered and doubted the evidence and worried about the economic repercussions of it, which I can understand.”
He added, “It’s an uncertain time and it’s difficult, but this is one of the few instances where leadership really matters.”
Cuomo has put the blame squarely on the federal government, saying it let more than 3 million Europeans travel to the U.S., mainly the Northeast, at least six weeks before the pandemic became apparent.
A U.S. Centers for Disease Control and Prevention report July 17 noted that by the time travel restrictions from Europe were put in place March 13, “importation and community transmission of SARS-CoV-2 had already occurred in NYC.”
A faster shutdown may also have saved more lives among the most vulnerable population, those in nursing homes and extended care facilities.
About 43% of New Jersey’s deaths occurred in nursing homes, while nearly 6,300 deaths in New York, or 25% of the total, were in the facilities. Nursing home deaths made up nearly 70% of COVID-19 deaths in Pennsylvania.
The nursing home deaths have drawn heavy scrutiny over whether states should have better insulated residents from COVID cases, but New York has insisted the problem was due to staff spreading the infection through the homes.
U.S. Rep. Tom Reed, R-N.Y., is among those calling for an independent investigation of nursing home deaths.
He said in a July 6 statement that blaming staff “when the state knowingly created COVID hotspots by forcing homes to accept COVID-positive patients is a slap in the face to those who lost a loved one.”
What Northeast states learned from the first wave of the pandemic
New York’s daily death toll hit as high as 800 in early April, but now daily deaths are in the single digits and there have been a few days without any deaths reported.
The Northeast is trying to keep it that way, with New York, New Jersey and Connecticut requiring a 14-day quarantine for visitors from states with high infection rates and mandating they fill out questionnaires when they enter New York.
And the states’ phased reopening has been largely successful compared to states in the South and West that now are shutting down businesses after a broad reopening last month.
“The only way we can keep our positivity rate and our RT, or rate of transmission low, is by taking the precautions that we have across the past four months,” New Jersey Gov. Phil Murphy said July 17.
The pandemic, in many ways, has laid bare fundamental flaws in American society.
Watching the coronavirus spread like wildfire through low-income communities plagued by overcrowded housing underscored the systemic racism fueling disparate health outcomes for generations of Black and Hispanic people.
Stories of nurses and doctors being infected with COVID-19 and dying as hospitals struggled to secure protective masks and gowns exposed gaping holes in emergency preparedness plans and government stockpile systems.
And in the face of new surges across the country, renewed fears of shortages of personal protective equipment and COVID-19 testing supplies further revealed the faults in a medical supply chain over-reliant on Chinese imports.
Yet efforts in the Northeast to shore up regional manufacturing of basic medical goods and COVID-19 testing infrastructure show promise against a second wave.
New public health responses targeting zip codes hit hardest by COVID-19 deaths also offered a glimmer of hope that key resources, including contact tracing, testing and medical care, would better reach communities of color.
Meanwhile, politically charged debates over reopening plans and mask wearing in public, which New York mandated April 15 to help turn the tide in its coronavirus outbreak, endangered the entire undertaking nationally, experts said.
“We are seeing unnecessary tens of thousands of deaths and illnesses and disruption because people do not want to believe the evidence,” said Dr. Gregory Poland, an Infectious Diseases Society of America and Mayo Clinic expert.
“They make it into a political or cultural or economic or faith-based issue, and it’s not,” he said. “The virus knows nothing of those areas. The virus knows one thing: Find the next susceptible person and infect them.”
Delaware’s meat plants, nursing homes hit hard as testing lagged
That was the case in Delaware: State health officials saw a significant outbreak in April in small towns in Sussex County, particularly among Hispanics and Haitian immigrant communities.
Many of those residents work in the county’s largest industry — chicken processing plants — where to complete their jobs, workers must stand close together, not adhering to social distancing guidelines.
Cheap chicken, beef came at a cost:How American meat plants bred coronavirus hot spots.
Many of the low-income workers can’t afford to lose a paycheck, leading to hesitation about whether they should get tested — even if they have been exposed to the virus.
Language barriers led to challenges when the residents tried to access emergency resources and learn what safety precautions they needed to take.
Delaware nursing homes were also devastated in the early weeks of the pandemic, particularly because it was difficult for facilities to obtain protective equipment for employees and they have been historically understaffed.
Because of limited testing in Delaware at the time, only residents with symptoms could receive a COVID-19 test.
Deaths in long-term care facilities have contributed to more than 60% of the cumulative number of COVID-19 deaths in Delaware. It has led to Gov. John Carney requiring all long-term care employees to be tested on a weekly basis.
“One of the biggest problems across the country and every state in America from the beginning of this COVID crisis was the lack of availability of testing,” Maryland Gov. Hogan said June 10.
While Delaware has seen a decrease in the number of daily COVID-19 cases and hospitalizations, the Rehoboth-Dewey Beach ZIP code saw a spike in cases in late June. Many of these cases involved young people and residents.
In late June, Carney announced that he is pausing Delaware’s plans to reopen its economy. Not long after, he mandated that, in eastern Sussex County, customers will no longer be able to sit or stand at a bar. Instead, beachgoers will have to sit at a table and be served.
“Too many Delawareans and visitors are not following basic public health precautions,” Carney said June 25. “Now’s not the time to let up.”
Pennsylvania sees harsh economic impacts
When the coronavirus pandemic hit Pennsylvania in March, Gov. Tom Wolf scrambled to prevent his biggest fear — overwhelmed hospitals that had no beds for patients.
Pennsylvania never ran out of hospital beds or life-saving ventilators, even when the virus peaked in April.
But businesses opened in defiance of state orders. Republican lawmakers tried to end the emergency powers of Wolf, a Democrat.
Millions lost jobs. Businesses struggled to survive. Without a bailout, the restaurant industry could end up a shadow of its former self, especially now that the governor has ordered them to either cut back to 25% of their dine-in capacity or close again.
And now, as administrators, parents and politicians argue about whether to send children back to school, Pennsylvania is seeing a surge of fresh cases.
This pandemic steered Pennsylvania toward a recession. The Pandemic Unemployment Assistance and the Paycheck Protection Program helped, but they have an expiration date, and right now “this virus doesn’t,” Labor and Industry Secretary Jerry Oleksiak said
So even as the state crawls out from economic lock-down, high unemployment and the lingering public health crisis slow the process, leaving economists to agree on one thing: Pennsylvania won’t to recover from this disaster for years.
“Ultimately, what’s going to work is not enforcement,” Wolf said May 26. “What’s going to work is each and every individual Pennsylvanian, each and every business owner doing everything they can to protect their employees and their customers and protect each other from this disease.”
‘We don’t really have a clear national policy on this’
Many experts and health officials attributed the most glaring missteps to the lack of federal government leadership.
The criticism spanned from the CDC distributing faulty test kits to states, which delayed the pandemic response in January and February, to mixed messages coming from the Trump administration regarding the threat posed by current spikes in COVID-19 cases.
“We don’t really have a clear national policy on this, and that’s been pretty evident,” said Dr. Michael Mendoza, health commissioner of Monroe County in upstate New York.
In the absence of a universal plan, some states ignored, or shunned, lessons learned in the Northeast, threatening to undo the communal sacrifices that helped reduce infections in New York and New Jersey.
“When our messages and our data became politicized and distorted... that’s when it became very difficult for us,” Mendoza said.
Amid the chaotic early weeks of the pandemic this spring, the politically fueled confusion proved especially harmful due to limited scientific understanding at the time of how the coronavirus stealthily spread before symptoms appeared in many people.
As intensive care units filled up, state officials scrambled to boost hospital bed capacity. Fears that hospitals would run out of lifesaving breathing machines ignited interstate competition over ventilators, as opposed to a coordinated national response.
Ultimately, the flawed preparedness plan and scattershot emergency response helped delay the revelations unfolding today, such as the prospect that all Americans wearing face-coverings in public could dramatically decrease the virus’ spread in four to six weeks.
In dissecting the myriad of pandemic-related failures, Poland of the Mayo Clinic evoked findings of the 9/11 Commission report that delved into the terrorist attacks of Sept. 11, 2001.
“We believe the fundamental problem was one of imaginability, though we had been warned many times and many ways, we failed to imagine it was possible and therefore failed to prepare,” he said, recounting the report.
“I think that singular statement is precisely applicable to the pandemic,” Poland said, adding, “I hope that one thing that has happened is that our deniability has been stripped away and our imaginability enlivened.”
Northeast states continue to limit reopening
New York and New Jersey have reopened many businesses but have kept some closed.
New Jersey has not allowed the resumption of indoor dining, while New York has outside New York City.
Malls, casinos and amusement parks have remained shuttered in New York, but New Jersey and Pennsylvania have opened them with safety precautions.
And New York tightened restrictions on outdoor dining, requiring alcohol purchases to be accompanied by food to cut down on large drinking scenes.
It’s a process that Northeast governors continue to evaluate based on daily monitoring of the rates of infection. The concern is that the rapid spread of disease in the bulk of the country will eventually cause a spike in states that have been successful in tamping down the virus.
“This second wave is just going to be other states infecting us again for a second time,” Cuomo said July 16 on MSNBC.
“There’s no vaccine yet,” New Jersey’s Murphy warned July 17.
“All we’ve got is social distancing, wearing a face covering whenever you are out in public, and certainly whenever you’re indoors, washing your hands frequently with soap and water for at least 20 seconds.”
Gov. Phil Murphy speaks during his Friday, June 26, 2020, press conference at War Memorial in Trenton, NJ, on the state’s response to the coronavirus.
Republican lawmakers in New Jersey allege Murphy cut state lawmakers out when he crafted coronavirus-related orders, unfairly allowed big-box retailers to remain open while forcing smaller stores to close.
He limited outdoor gatherings, then showed up at Black Lives Matters rallies where protesters were not socially distanced. Those rallies, however, were not shown to result in spikes of COVID-19 cases.
But, like other Northeast states, Murphy’s strategy began to look smarter in July.
As states like California, Texas and Florida, which reopened sooner than New Jersey, began to see virus cases surge, their governors hastily re-closed businesses they had allowed to reopen. Now, Murphy hopes to not join those states in having to change course.
“We should all take pride in the fact we want to get this exactly as right as we can,” he said.
Sign up for daily e-mail Wake up to the day’s top news, delivered to your inbox Sign-up for other newsletters</t>
  </si>
  <si>
    <t>Joseph Spector David Robinson, Terrence T. McDonald, Meredith Newman, Shaman Said, Tom Reed, Patiot Ledger</t>
  </si>
  <si>
    <t>tauntongazette.com</t>
  </si>
  <si>
    <t>This is a modal window. Beginning of dialog window. Escape will cancel and close the window. End of dialog window.
In early March, Dr. Jeffrey Shaman watched from his New York City home as political leaders debated how best to control the first cases of the new coronavirus.
It soon led to screaming at the television.
Shaman, an infectious disease expert at Columbia University, said he thought city schools should have been closed right then, in the first week of March, or at least by the second week of the month.
"It was definitely too slow," he told the USA TODAY Network. "I could not believe the schools were still open."
Schools in New York ultimately closed March 16 when the state had 950 COVID-19 cases and nine deaths.
New York and New Jersey have gone on to have the most coronavirus deaths in the nation, nearly 32,600 (including 4,600 probable deaths in New York City) and 15,700, respectively.
That was followed by 8,500 in Massachusetts; 8,400 in California; 7,600 in Illinois and 7,100 in Pennsylvania. Maryland had about 3,500 deaths, while Delaware had 580, according to federal data.
US coronavirus map: Tracking the COVID-19 outbreak nationwide
Infection rates in the Northeast have fallen to record lows in recent weeks even as they have soared to record highs in more than 30 other states, mostly in the South and West.
Now the question is: How well prepared are Northeast states for another spike of COVID-19?
Nowhere in the country is a region more aware of the virus' impact than the Northeast.
And that experience — with thousands of deaths, overwhelmed hospitals and a shuttered economy — is working to inform how officials respond to an anticipated second wave.
The states have been working together to try to thwart a spike, but at the same time making independent decisions on when to open or close certain industries.
"We see the second wave in the distance," New York Gov. Andrew Cuomo said July 17. "It will have an effect on New York. How bad? We don’t know. But we cannot stop the virus at our borders. We’re trying everything we can."
Shaman's early warnings about the need for a quick shutdown were not heeded. New York didn't close to non-essential workers until March 22, when the state had 114 deaths and more than 15,000 cases.
Shaman co-authored a study in May that said New York could have saved as many as 17,000 lives if it instituted its stay-at-home order two weeks earlier.
"We didn’t pick up and learn quickly from seeing what was happening in China," Shaman said.
"We didn’t follow the leads of South Korea and Vietnam and Taiwan to control it, and we dithered and doubted the evidence and worried about the economic repercussions of it, which I can understand."
New York's stay-at-home order: Should state leaders have acted sooner?
He added, "It’s an uncertain time and it’s difficult, but this is one of the few instances where leadership really matters."
Cuomo has put the blame squarely on the federal government, saying it let more than 3 million Europeans travel to the U.S., mainly the Northeast, at least six weeks before the pandemic became apparent.
A U.S. Centers for Disease Control and Prevention report July 17 noted that by the time travel restrictions from Europe were put in place March 13, "importation and community transmission of SARS-CoV-2 had already occurred in NYC."
A faster shutdown may also have saved more lives among the most vulnerable population, those in nursing homes and extended care facilities.
About 43% of New Jersey's deaths occurred in nursing homes, while nearly 6,300 deaths in New York, or 25% of the total, were in the facilities. Nursing home deaths made up nearly 70% of COVID-19 deaths in Pennsylvania.
The nursing home deaths have drawn heavy scrutiny over whether states should have better insulated residents from COVID cases, but New York has insisted the problem was due to staff spreading the infection through the homes.
U.S. Rep. Tom Reed, R-N.Y., is among those calling for an independent investigation of nursing home deaths.
He said in a July 6 statement that blaming staff "when the state knowingly created COVID hotspots by forcing homes to accept COVID-positive patients is a slap in the face to those who lost a loved one."
New Jersey nursing home deaths: Police find 18 bodies in 'makeshift'facility
New York's daily death toll hit as high as 800 in early April, but now daily deaths are in the single digits and there have been a few days without any deaths reported.
The Northeast is trying to keep it that way, with New York, New Jersey and Connecticut requiring a 14-day quarantine for visitors from states with high infection rates and mandating they fill out questionnaires when they enter New York.
And the states' phased reopening has been largely successful compared to states in the South and West that now are shutting down businesses after a broad reopening last month.
"The only way we can keep our positivity rate and our RT, or rate of transmission low, is by taking the precautions that we have across the past four months," New Jersey Gov. Phil Murphy said July 17.
The pandemic, in many ways, has laid bare fundamental flaws in American society.
'We're witnessing history': Why George Floyd's death, COVID-19 inequality sparked protests
COVID-19 racial disparities: Black people dying from coronavirus at much higher rates in cities across the USA
Watching the coronavirus spread like wildfire through low-income communities plagued by overcrowded housing underscored the systemic racism fueling disparate health outcomes for generations of Black and Hispanic people.
Stories of nurses and doctors being infected with COVID-19 and dying as hospitals struggled to secure protective masks and gowns exposed gaping holes in emergency preparedness plans and government stockpile systems.
And in the face of new surges across the country, renewed fears of shortages of personal protective equipment and COVID-19 testing supplies further revealed the faults in a medical supply chain over-reliant on Chinese imports.
Yet efforts in the Northeast to shore up regional manufacturing of basic medical goods and COVID-19 testing infrastructure show promise against a second wave.
New public health responses targeting zip codes hit hardest by COVID-19 deaths also offered a glimmer of hope that key resources, including contact tracing, testing and medical care, would better reach communities of color.
Meanwhile, politically charged debates over reopening plans and mask wearing in public, which New York mandated April 15 to help turn the tide in its coronavirus outbreak, endangered the entire undertaking nationally, experts said.
“We are seeing unnecessary tens of thousands of deaths and illnesses and disruption because people do not want to believe the evidence,” said Dr. Gregory Poland, an Infectious Diseases Society of America and Mayo Clinic expert.
“They make it into a political or cultural or economic or faith-based issue, and it’s not,” he said. “The virus knows nothing of those areas. The virus knows one thing: Find the next susceptible person and infect them.”
That was the case in Delaware: State health officials saw a significant outbreak in April in small towns in Sussex County, particularly among Hispanics and Haitian immigrant communities.
Many of those residents work in the county’s largest industry — chicken processing plants — where to complete their jobs, workers must stand close together, not adhering to social distancing guidelines.
Cheap chicken, beef came at a cost: How American meat plants bred coronavirus hot spots.
Many of the low-income workers can't afford to lose a paycheck, leading to hesitation about whether they should get tested — even if they have been exposed to the virus.
Language barriers led to challenges when the residents tried to access emergency resources and learn what safety precautions they needed to take.
Delaware nursing homes were also devastated in the early weeks of the pandemic, particularly because it was difficult for facilities to obtain protective equipment for employees and they have been historically understaffed.
Because of limited testing in Delaware at the time, only residents with symptoms could receive a COVID-19 test.
Deaths in long-term care facilities have contributed to more than 60% of the cumulative number of COVID-19 deaths in Delaware. It has led to Gov. John Carney requiring all long-term care employees to be tested on a weekly basis.
"One of the biggest problems across the country and every state in America from the beginning of this COVID crisis was the lack of availability of testing," Maryland Gov. Hogan said June 10.
A quick, cheap test would help stop COVID-19: So why don't we have one?
While Delaware has seen a decrease in the number of daily COVID-19 cases and hospitalizations, the Rehoboth-Dewey Beach ZIP code saw a spike in cases in late June. Many of these cases involved young people and residents.
In late June, Carney announced that he is pausing Delaware's plans to reopen its economy. Not long after, he mandated that, in eastern Sussex County, customers will no longer be able to sit or stand at a bar. Instead, beachgoers will have to sit at a table and be served.
“Too many Delawareans and visitors are not following basic public health precautions,"
Carney said June 25. "Now’s not the time to let up."
When the coronavirus pandemic hit Pennsylvania in March, Gov. Tom Wolf scrambled to prevent his biggest fear — overwhelmed hospitals that had no beds for patients.
Pennsylvania never ran out of hospital beds or life-saving ventilators, even when the virus peaked in April.
But businesses opened in defiance of state orders. Republican lawmakers tried to end the emergency powers of Wolf, a Democrat.
Millions lost jobs. Businesses struggled to survive. Without a bailout, the restaurant industry could end up a shadow of its former self, especially now that the governor has ordered them to either cut back to 25% of their dine-in capacity or close again.
And now, as administrators, parents and politicians argue about whether to send children back to school, Pennsylvania is seeing a surge of fresh cases.
Back to school? Despite CDC recommendations, most major schools going online as COVID-19 cases spike
This pandemic steered Pennsylvania toward a recession. The Pandemic Unemployment Assistance and the Paycheck Protection Program helped, but they have an expiration date, and right now “this virus doesn’t,” Labor and Industry Secretary Jerry Oleksiak said
So even as the state crawls out from economic lock-down, high unemployment and the lingering public health crisis slow the process, leaving economists to agree on one thing: Pennsylvania won't to recover from this disaster for years.
"Ultimately, what’s going to work is not enforcement," Wolf said May 26. "What’s going to work is each and every individual Pennsylvanian, each and every business owner doing everything they can to protect their employees and their customers and protect each other from this disease."
Many experts and health officials attributed the most glaring missteps to the lack of federal government leadership.
The criticism spanned from the CDC distributing faulty test kits to states, which delayed the pandemic response in January and February, to mixed messages coming from the Trump administration regarding the threat posed by current spikes in COVID-19 cases.
“We don’t really have a clear national policy on this, and that’s been pretty evident,” said Dr. Michael Mendoza, health commissioner of Monroe County in upstate New York.
In the absence of a universal plan, some states ignored, or shunned, lessons learned in the Northeast, threatening to undo the communal sacrifices that helped reduce infections in New York and New Jersey.
“When our messages and our data became politicized and distorted … that’s when it became very difficult for us,” Mendoza said.
Amid the chaotic early weeks of the pandemic this spring, the politically fueled confusion proved especially harmful due to limited scientific understanding at the time of how the coronavirus stealthily spread before symptoms appeared in many people.
More: The White House has sent conflicting messages on wearing masks and the new coronavirus cases
As intensive care units filled up, state officials scrambled to boost hospital bed capacity. Fears that hospitals would run out of lifesaving breathing machines ignited interstate competition over ventilators, as opposed to a coordinated national response.
Ultimately, the flawed preparedness plan and scattershot emergency response helped delay the revelations unfolding today, such as the prospect that all Americans wearing face-coverings in public could dramatically decrease the virus’ spread in four to six weeks.
In dissecting the myriad of pandemic-related failures, Poland of the Mayo Clinic evoked findings of the 9/11 Commission report that delved into the terrorist attacks of Sept. 11, 2001.
“We believe the fundamental problem was one of imaginability, though we had been warned many times and many ways, we failed to imagine it was possible and therefore failed to prepare,” he said, recounting the report.
“I think that singular statement is precisely applicable to the pandemic,” Poland said, adding, “I hope that one thing that has happened is that our deniability has been stripped away and our imaginability enlivened.”
New York and New Jersey have reopened many businesses but have kept some closed.
New Jersey has not allowed the resumption of indoor dining, while New York has outside New York City.
Malls, casinos and amusement parks have remained shuttered in New York, but New Jersey and Pennsylvania have opened them with safety precautions.
And New York tightened restrictions on outdoor dining, requiring alcohol purchases to be accompanied by food to cut down on large drinking scenes.
It's a process that Northeast governors continue to evaluate based on daily monitoring of the rates of infection. The concern is that the rapid spread of disease in the bulk of the country will eventually cause a spike in states that have been successful in tamping down the virus.
"This second wave is just going to be other states infecting us again for a second time," Cuomo said July 16 on MSNBC.
"There's no vaccine yet," New Jersey's Murphy warned July 17.
"All we've got is social distancing, wearing a face covering whenever you are out in public, and certainly whenever you're indoors, washing your hands frequently with soap and water for at least 20 seconds."
Republican lawmakers in New Jersey allege Murphy cut state lawmakers out when he crafted coronavirus-related orders, unfairly allowed big-box retailers to remain open while forcing smaller stores to close.
He limited outdoor gatherings, then showed up at Black Lives Matters rallies where protesters were not socially distanced. Those rallies, however, were not shown to result in spikes of COVID-19 cases.
But, like other Northeast states, Murphy’s strategy began to look smarter in July.
As states like California, Texas and Florida, which reopened sooner than New Jersey, began to see virus cases surge, their governors hastily re-closed businesses they had allowed to reopen. Now, Murphy hopes to not join those states in having to change course.
"We should all take pride in the fact we want to get this exactly as right as we can," he said.
This article originally appeared on USA TODAY NETWORK: What went wrong during the Northeast's first COVID-19 spike and is the region ready for another?
© John Minchillo, AP FILE- In this April 10, 2020 file photo a woman wearing a face mask sure to CVID-19 concerns walks along the Jersey City waterfront with the New York City skyline in the background. New York City may be the epicenter of the coronavirus outbreak but of the city's suburbs have been hit just just as hard. In some, there have been more fatalities per capita than in super-dense Manhattan..
© Tariq Zehawi/NorthJersey.com Andover Subacute and Rehab Center was over whelmed with 17 bodies at their morgue that could only hold 4 bodies in Andover Township, N.J..
© Jerry Habraken, Delaware News Journal Gov. John Carney speaks to the media during a briefing on the status of the coronavirus pandemic in Delaware on Tuesday, July 14, 2020, at the Carvel State Office Building in Wilmington..
© John Minchillo, AP Customers dine outside PhoBar, Monday, June 22, 2020, in New York. New York City Mayor Bill de Blasio says he is delaying the planned resumption of indoor dining at restaurants in the city out of fear it would ignite a a spike in coronavirus infections..
© Thomas P. Costello/Asbury Park Press Gov. Phil Murphy speaks during his Friday, June 26, 2020, press conference at War Memorial in Trenton, NJ, on the state's response to the coronavirus..</t>
  </si>
  <si>
    <t>MSN New Zealand</t>
  </si>
  <si>
    <t>Новая Зеландия</t>
  </si>
  <si>
    <t>17:25</t>
  </si>
  <si>
    <t>Cash in As Little As 30 Minutes: Discover Title Loans and Pawns</t>
  </si>
  <si>
    <t>Choose the plan that’s right for you. Digital access or digital and print delivery.
Wednesday
Updated at 10:18 AM
Share
In early March, Dr. Jeffrey Shaman watched from his New York City home as political leaders debated how best to control the first cases of the new coronavirus.
It soon led to screaming at the television.
Shaman, an infectious disease expert at Columbia University, said he thought city schools should have been closed right then, in the first week of March, or at least by the second week of the month.
“It was definitely too slow,” he told the USA TODAY Network. “I could not believe the schools were still open.”
Schools in New York ultimately closed March 16 when the state had 950 COVID-19 cases and nine deaths.
New York and New Jersey have gone on to have the most coronavirus deaths in the nation, nearly 32,600 (including 4,600 probable deaths in New York City) and 15,700, respectively.
That was followed by 8,500 in Massachusetts; 8,400 in California; 7,600 in Illinois and 7,100 in Pennsylvania. Maryland had about 3,500 deaths, while Delaware had 580, according to federal data.
Infection rates in the Northeast have fallen to record lows in recent weeks even as they have soared to record highs in more than 30 other states, mostly in the South and West.
Now the question is: How well prepared are Northeast states for another spike of COVID-19?
Nowhere in the country is a region more aware of the virus’ impact than the Northeast.
And that experience — with thousands of deaths, overwhelmed hospitals and a shuttered economy — is working to inform how officials respond to an anticipated second wave.
The states have been working together to try to thwart a spike, but at the same time making independent decisions on when to open or close certain industries.
“We see the second wave in the distance,” New York Gov. Andrew Cuomo said July 17. “It will have an effect on New York. How bad? We don’t know. But we cannot stop the virus at our borders. We’re trying everything we can.”
Late shutdowns, European travel and nursing homes fueled virus’ early days
Shaman’s early warnings about the need for a quick shutdown were not heeded. New York didn’t close to non-essential workers until March 22, when the state had 114 deaths and more than 15,000 cases.
Shaman co-authored a study in May that said New York could have saved as many as 17,000 lives if it instituted its stay-at-home order two weeks earlier.
“We didn’t pick up and learn quickly from seeing what was happening in China,” Shaman said.
“We didn’t follow the leads of South Korea and Vietnam and Taiwan to control it, and we dithered and doubted the evidence and worried about the economic repercussions of it, which I can understand.”
He added, “It’s an uncertain time and it’s difficult, but this is one of the few instances where leadership really matters.”
Cuomo has put the blame squarely on the federal government, saying it let more than 3 million Europeans travel to the U.S., mainly the Northeast, at least six weeks before the pandemic became apparent.
A U.S. Centers for Disease Control and Prevention report July 17 noted that by the time travel restrictions from Europe were put in place March 13, “importation and community transmission of SARS-CoV-2 had already occurred in NYC.”
A faster shutdown may also have saved more lives among the most vulnerable population, those in nursing homes and extended care facilities.
About 43% of New Jersey’s deaths occurred in nursing homes, while nearly 6,300 deaths in New York, or 25% of the total, were in the facilities. Nursing home deaths made up nearly 70% of COVID-19 deaths in Pennsylvania.
The nursing home deaths have drawn heavy scrutiny over whether states should have better insulated residents from COVID cases, but New York has insisted the problem was due to staff spreading the infection through the homes.
U.S. Rep. Tom Reed, R-N.Y., is among those calling for an independent investigation of nursing home deaths.
He said in a July 6 statement that blaming staff “when the state knowingly created COVID hotspots by forcing homes to accept COVID-positive patients is a slap in the face to those who lost a loved one.”
What Northeast states learned from the first wave of the pandemic
New York’s daily death toll hit as high as 800 in early April, but now daily deaths are in the single digits and there have been a few days without any deaths reported.
The Northeast is trying to keep it that way, with New York, New Jersey and Connecticut requiring a 14-day quarantine for visitors from states with high infection rates and mandating they fill out questionnaires when they enter New York.
And the states’ phased reopening has been largely successful compared to states in the South and West that now are shutting down businesses after a broad reopening last month.
“The only way we can keep our positivity rate and our RT, or rate of transmission low, is by taking the precautions that we have across the past four months,” New Jersey Gov. Phil Murphy said July 17.
The pandemic, in many ways, has laid bare fundamental flaws in American society.
Watching the coronavirus spread like wildfire through low-income communities plagued by overcrowded housing underscored the systemic racism fueling disparate health outcomes for generations of Black and Hispanic people.
Stories of nurses and doctors being infected with COVID-19 and dying as hospitals struggled to secure protective masks and gowns exposed gaping holes in emergency preparedness plans and government stockpile systems.
And in the face of new surges across the country, renewed fears of shortages of personal protective equipment and COVID-19 testing supplies further revealed the faults in a medical supply chain over-reliant on Chinese imports.
Yet efforts in the Northeast to shore up regional manufacturing of basic medical goods and COVID-19 testing infrastructure show promise against a second wave.
New public health responses targeting zip codes hit hardest by COVID-19 deaths also offered a glimmer of hope that key resources, including contact tracing, testing and medical care, would better reach communities of color.
Meanwhile, politically charged debates over reopening plans and mask wearing in public, which New York mandated April 15 to help turn the tide in its coronavirus outbreak, endangered the entire undertaking nationally, experts said.
“We are seeing unnecessary tens of thousands of deaths and illnesses and disruption because people do not want to believe the evidence,” said Dr. Gregory Poland, an Infectious Diseases Society of America and Mayo Clinic expert.
“They make it into a political or cultural or economic or faith-based issue, and it’s not,” he said. “The virus knows nothing of those areas. The virus knows one thing: Find the next susceptible person and infect them.”
Delaware’s meat plants, nursing homes hit hard as testing lagged
That was the case in Delaware: State health officials saw a significant outbreak in April in small towns in Sussex County, particularly among Hispanics and Haitian immigrant communities.
Many of those residents work in the county’s largest industry — chicken processing plants — where to complete their jobs, workers must stand close together, not adhering to social distancing guidelines.
Cheap chicken, beef came at a cost:How American meat plants bred coronavirus hot spots.
Many of the low-income workers can’t afford to lose a paycheck, leading to hesitation about whether they should get tested — even if they have been exposed to the virus.
Language barriers led to challenges when the residents tried to access emergency resources and learn what safety precautions they needed to take.
Delaware nursing homes were also devastated in the early weeks of the pandemic, particularly because it was difficult for facilities to obtain protective equipment for employees and they have been historically understaffed.
Because of limited testing in Delaware at the time, only residents with symptoms could receive a COVID-19 test.
Deaths in long-term care facilities have contributed to more than 60% of the cumulative number of COVID-19 deaths in Delaware. It has led to Gov. John Carney requiring all long-term care employees to be tested on a weekly basis.
“One of the biggest problems across the country and every state in America from the beginning of this COVID crisis was the lack of availability of testing,” Maryland Gov. Hogan said June 10.
While Delaware has seen a decrease in the number of daily COVID-19 cases and hospitalizations, the Rehoboth-Dewey Beach ZIP code saw a spike in cases in late June. Many of these cases involved young people and residents.
In late June, Carney announced that he is pausing Delaware’s plans to reopen its economy. Not long after, he mandated that, in eastern Sussex County, customers will no longer be able to sit or stand at a bar. Instead, beachgoers will have to sit at a table and be served.
“Too many Delawareans and visitors are not following basic public health precautions,” Carney said June 25. “Now’s not the time to let up.”
Pennsylvania sees harsh economic impacts
When the coronavirus pandemic hit Pennsylvania in March, Gov. Tom Wolf scrambled to prevent his biggest fear — overwhelmed hospitals that had no beds for patients.
Pennsylvania never ran out of hospital beds or life-saving ventilators, even when the virus peaked in April.
But businesses opened in defiance of state orders. Republican lawmakers tried to end the emergency powers of Wolf, a Democrat.
Millions lost jobs. Businesses struggled to survive. Without a bailout, the restaurant industry could end up a shadow of its former self, especially now that the governor has ordered them to either cut back to 25% of their dine-in capacity or close again.
And now, as administrators, parents and politicians argue about whether to send children back to school, Pennsylvania is seeing a surge of fresh cases.
This pandemic steered Pennsylvania toward a recession. The Pandemic Unemployment Assistance and the Paycheck Protection Program helped, but they have an expiration date, and right now “this virus doesn’t,” Labor and Industry Secretary Jerry Oleksiak said
So even as the state crawls out from economic lock-down, high unemployment and the lingering public health crisis slow the process, leaving economists to agree on one thing: Pennsylvania won’t to recover from this disaster for years.
“Ultimately, what’s going to work is not enforcement,” Wolf said May 26. “What’s going to work is each and every individual Pennsylvanian, each and every business owner doing everything they can to protect their employees and their customers and protect each other from this disease.”
‘We don’t really have a clear national policy on this’
Many experts and health officials attributed the most glaring missteps to the lack of federal government leadership.
The criticism spanned from the CDC distributing faulty test kits to states, which delayed the pandemic response in January and February, to mixed messages coming from the Trump administration regarding the threat posed by current spikes in COVID-19 cases.
“We don’t really have a clear national policy on this, and that’s been pretty evident,” said Dr. Michael Mendoza, health commissioner of Monroe County in upstate New York.
In the absence of a universal plan, some states ignored, or shunned, lessons learned in the Northeast, threatening to undo the communal sacrifices that helped reduce infections in New York and New Jersey.
“When our messages and our data became politicized and distorted... that’s when it became very difficult for us,” Mendoza said.
Amid the chaotic early weeks of the pandemic this spring, the politically fueled confusion proved especially harmful due to limited scientific understanding at the time of how the coronavirus stealthily spread before symptoms appeared in many people.
As intensive care units filled up, state officials scrambled to boost hospital bed capacity. Fears that hospitals would run out of lifesaving breathing machines ignited interstate competition over ventilators, as opposed to a coordinated national response.
Ultimately, the flawed preparedness plan and scattershot emergency response helped delay the revelations unfolding today, such as the prospect that all Americans wearing face-coverings in public could dramatically decrease the virus’ spread in four to six weeks.
In dissecting the myriad of pandemic-related failures, Poland of the Mayo Clinic evoked findings of the 9/11 Commission report that delved into the terrorist attacks of Sept. 11, 2001.
“We believe the fundamental problem was one of imaginability, though we had been warned many times and many ways, we failed to imagine it was possible and therefore failed to prepare,” he said, recounting the report.
“I think that singular statement is precisely applicable to the pandemic,” Poland said, adding, “I hope that one thing that has happened is that our deniability has been stripped away and our imaginability enlivened.”
Northeast states continue to limit reopening
New York and New Jersey have reopened many businesses but have kept some closed.
New Jersey has not allowed the resumption of indoor dining, while New York has outside New York City.
Malls, casinos and amusement parks have remained shuttered in New York, but New Jersey and Pennsylvania have opened them with safety precautions.
And New York tightened restrictions on outdoor dining, requiring alcohol purchases to be accompanied by food to cut down on large drinking scenes.
It’s a process that Northeast governors continue to evaluate based on daily monitoring of the rates of infection. The concern is that the rapid spread of disease in the bulk of the country will eventually cause a spike in states that have been successful in tamping down the virus.
“This second wave is just going to be other states infecting us again for a second time,” Cuomo said July 16 on MSNBC.
“There’s no vaccine yet,” New Jersey’s Murphy warned July 17.
“All we’ve got is social distancing, wearing a face covering whenever you are out in public, and certainly whenever you’re indoors, washing your hands frequently with soap and water for at least 20 seconds.”
Gov. Phil Murphy speaks during his Friday, June 26, 2020, press conference at War Memorial in Trenton, NJ, on the state’s response to the coronavirus.
Republican lawmakers in New Jersey allege Murphy cut state lawmakers out when he crafted coronavirus-related orders, unfairly allowed big-box retailers to remain open while forcing smaller stores to close.
He limited outdoor gatherings, then showed up at Black Lives Matters rallies where protesters were not socially distanced. Those rallies, however, were not shown to result in spikes of COVID-19 cases.
But, like other Northeast states, Murphy’s strategy began to look smarter in July.
As states like California, Texas and Florida, which reopened sooner than New Jersey, began to see virus cases surge, their governors hastily re-closed businesses they had allowed to reopen. Now, Murphy hopes to not join those states in having to change course.
“We should all take pride in the fact we want to get this exactly as right as we can,” he said.
Sign up for daily e-mail Wake up to the day’s top news, delivered to your inbox Sign-up for other newsletters</t>
  </si>
  <si>
    <t>Taunton River, Joseph Spector David Robinson, Terrence T. McDonald, Meredith Newman, Shaman Said, Tom Reed</t>
  </si>
  <si>
    <t>heraldnews.com</t>
  </si>
  <si>
    <t>US What went wrong during the Northeast's first COVID-19 spike and is the region ready for another?</t>
  </si>
  <si>
    <t>In early March, Dr. Jeffrey Shaman watched from his New York City home as political leaders debated how best to control the first cases of the new coronavirus.
It soon led to screaming at the television.
Shaman, an infectious disease expert at Columbia University, said he thought city schools should have been closed right then, in the first week of March, or at least by the second week of the month.
Beijing reported one new coronavirus case on Tuesday, its first in 21 days, reflecting the fragility of the Chinese capital’s success at stamping out infections earlier this month. © Getty Images via Bloomberg A health worker carries out a Covid-19 test in Dalian, July 27. The new case is linked to the outbreak in the northeastern port city of Dalian, where more than 40 people have become infected. The cluster, which first started from a man working at a seafood processing plant, has also spread to other northeastern provinces as well as China’s southern Fujian province.
"It was definitely too slow," he told the USA TODAY Network. "I could not believe the schools were still open."
Schools in New York ultimately closed March 16 when the state had 950 COVID-19 cases and nine deaths.
The measure was decided when the country recorded 280 new cases of Covid-19 in 24 hours, three times more than two weeks ago. © Josep LAGO / AFP Two people wearing a mask in a deserted street in Barcelona on July 18, 2020 (illustration) The Catalan government ordered this Friday the closure of nightclubs and bars in this region of the northeast of the 'Spain to cope with an increase in cases of contamination with the new coronavirus.
New York and New Jersey have gone on to have the most coronavirus deaths in the nation, nearly 32,600 (including 4,600 probable deaths in New York City) and 15,700, respectively.
That was followed by 8,500 in Massachusetts; 8,400 in California; 7,600 in Illinois and 7,100 in Pennsylvania. Maryland had about 3,500 deaths, while Delaware had 580, according to federal data.
US coronavirus map: Tracking the COVID-19 outbreak nationwide
Infection rates in the Northeast have fallen to record lows in recent weeks even as they have soared to record highs in more than 30 other states, mostly in the South and West.
Now the question is: How well prepared are Northeast states for another spike of COVID-19?
Nowhere in the country is a region more aware of the virus' impact than the Northeast.
And that experience — with thousands of deaths, overwhelmed hospitals and a shuttered economy — is working to inform how officials respond to an anticipated second wave.
California reports nearly 12,000 COVID cases, biggest increase since pandemic started(Reuters) - California reported a record increase of more than 11,800 new cases of COVID-19 on Monday, according to a Reuters tally of county data, as the Trump administration pushes for schools to reopen to help businesses return to normal.
The states have been working together to try to thwart a spike, but at the same time making independent decisions on when to open or close certain industries.
"We see the second wave in the distance," New York Gov. Andrew Cuomo said July 17. "It will have an effect on New York. How bad? We don’t know. But we cannot stop the virus at our borders. We’re trying everything we can."Late shutdowns, European travel and nursing homes fueled virus' early daysShaman's early warnings about the need for a quick shutdown were not heeded. New York didn't close to non-essential workers until March 22, when the state had 114 deaths and more than 15,000 cases.
Shaman co-authored a study in May that said New York could have saved as many as 17,000 lives if it instituted its stay-at-home order two weeks earlier.
"We didn’t pick up and learn quickly from seeing what was happening in China," Shaman said.
"We didn’t follow the leads of South Korea and Vietnam and Taiwan to control it, and we dithered and doubted the evidence and worried about the economic repercussions of it, which I can understand."
Wear a mask even at home, Madrid region saysSpain already has Europe's strictest rules on masks. In Madrid they are mandatory everywhere in public unless people are outdoors and can keep a 1.5 meter distance. In most of the country, they must be worn in public regardless of safe distances, but with no rules on wearing them at home.
New York's stay-at-home order: Should state leaders have acted sooner?
He added, "It’s an uncertain time and it’s difficult, but this is one of the few instances where leadership really matters."
Cuomo has put the blame squarely on the federal government, saying it let more than 3 million Europeans travel to the U.S., mainly the Northeast, at least six weeks before the pandemic became apparent.
A U.S. Centers for Disease Control and Prevention report July 17 noted that by the time travel restrictions from Europe were put in place March 13, "importation and community transmission of SARS-CoV-2 had already occurred in NYC."
A faster shutdown may also have saved more lives among the most vulnerable population, those in nursing homes and extended care facilities.
About 43% of New Jersey's deaths occurred in nursing homes, while nearly 6,300 deaths in New York, or 25% of the total, were in the facilities. Nursing home deaths made up nearly 70% of COVID-19 deaths in Pennsylvania.
The nursing home deaths have drawn heavy scrutiny over whether states should have better insulated residents from COVID cases, but New York has insisted the problem was due to staff spreading the infection through the homes.
U.S. Rep. Tom Reed, R-N.Y., is among those calling for an independent investigation of nursing home deaths.
Philippines to ramp up coronavirus testing as Duterte warns of arrestsThe government aimed to test 32,000 to 40,000 people a day compared with the current 20,000 to 23,000, Health Secretary Francisco Duque said in a televised meeeting with Duterte.
He said in a July 6 statement that blaming staff "when the state knowingly created COVID hotspots by forcing homes to accept COVID-positive patients is a slap in the face to those who lost a loved one."
New Jersey nursing home deaths: Police find 18 bodies in 'makeshift'facilityWhat Northeast states learned from the first wave of the pandemicNew York's daily death toll hit as high as 800 in early April, but now daily deaths are in the single digits and there have been a few days without any deaths reported.
The Northeast is trying to keep it that way, with New York, New Jersey and Connecticut requiring a 14-day quarantine for visitors from states with high infection rates and mandating they fill out questionnaires when they enter New York.
And the states' phased reopening has been largely successful compared to states in the South and West that now are shutting down businesses after a broad reopening last month.
"The only way we can keep our positivity rate and our RT, or rate of transmission low, is by taking the precautions that we have across the past four months," New Jersey Gov. Phil Murphy said July 17.
The pandemic, in many ways, has laid bare fundamental flaws in American society.
'We're witnessing history': Why George Floyd's death, COVID-19 inequality sparked protests
COVID-19 racial disparities: Black people dying from coronavirus at much higher rates in cities across the USA
Watching the coronavirus spread like wildfire through low-income communities plagued by overcrowded housing underscored the systemic racism fueling disparate health outcomes for generations of Black and Hispanic people.
With no Brits, cash-strapped Algarve fights for survivalVILAMOURA, Portugal (Reuters) - In his near-empty pub in the Algarve in southern Portugal, Samuel Tilley is fuming that coronavirus regulations in his home country Britain are keeping tourists away, further jeopardizing an already gloomy summer season.
Stories of nurses and doctors being infected with COVID-19 and dying as hospitals struggled to secure protective masks and gowns exposed gaping holes in emergency preparedness plans and government stockpile systems.
And in the face of new surges across the country, renewed fears of shortages of personal protective equipment and COVID-19 testing supplies further revealed the faults in a medical supply chain over-reliant on Chinese imports.
Yet efforts in the Northeast to shore up regional manufacturing of basic medical goods and COVID-19 testing infrastructure show promise against a second wave.
New public health responses targeting zip codes hit hardest by COVID-19 deaths also offered a glimmer of hope that key resources, including contact tracing, testing and medical care, would better reach communities of color.
Meanwhile, politically charged debates over reopening plans and mask wearing in public, which New York mandated April 15 to help turn the tide in its coronavirus outbreak, endangered the entire undertaking nationally, experts said.
“We are seeing unnecessary tens of thousands of deaths and illnesses and disruption because people do not want to believe the evidence,” said Dr. Gregory Poland, an Infectious Diseases Society of America and Mayo Clinic expert.
“They make it into a political or cultural or economic or faith-based issue, and it’s not,” he said. “The virus knows nothing of those areas. The virus knows one thing: Find the next susceptible person and infect them.”Delaware's meat plants, nursing homes hit hard as testing laggedThat was the case in Delaware: State health officials saw a significant outbreak in April in small towns in Sussex County, particularly among Hispanics and Haitian immigrant communities.
Many of those residents work in the county’s largest industry — chicken processing plants — where to complete their jobs, workers must stand close together, not adhering to social distancing guidelines.
© iStock / RolfAasa Malaria is a potentially fatal disease, which caused 405,000 deaths in 2018, 94% of which in Africa. If in 2019 the disease affected 350,000 people and killed 260 in the country, the figures are down in 2020. If this decrease in cases can be linked to the campaigns carried out each year, it also hides another phenomenon. In fact, since the appearance of the Coronavirus, populations have been more reluctant to be tested, fearing to expose themselves to Covid-19.
Cheap chicken, beef came at a cost: How American meat plants bred coronavirus hot spots.
Many of the low-income workers can't afford to lose a paycheck, leading to hesitation about whether they should get tested — even if they have been exposed to the virus.
Language barriers led to challenges when the residents tried to access emergency resources and learn what safety precautions they needed to take.
Delaware nursing homes were also devastated in the early weeks of the pandemic, particularly because it was difficult for facilities to obtain protective equipment for employees and they have been historically understaffed.
Because of limited testing in Delaware at the time, only residents with symptoms could receive a COVID-19 test.
Deaths in long-term care facilities have contributed to more than 60% of the cumulative number of COVID-19 deaths in Delaware. It has led to Gov. John Carney requiring all long-term care employees to be tested on a weekly basis.
"One of the biggest problems across the country and every state in America from the beginning of this COVID crisis was the lack of availability of testing," Maryland Gov. Hogan said June 10.
A quick, cheap test would help stop COVID-19: So why don't we have one?
While Delaware has seen a decrease in the number of daily COVID-19 cases and hospitalizations, the Rehoboth-Dewey Beach ZIP code saw a spike in cases in late June. Many of these cases involved young people and residents.
In late June, Carney announced that he is pausing Delaware's plans to reopen its economy. Not long after, he mandated that, in eastern Sussex County, customers will no longer be able to sit or stand at a bar. Instead, beachgoers will have to sit at a table and be served.
“Too many Delawareans and visitors are not following basic public health precautions,"
Carney said June 25. "Now’s not the time to let up."Pennsylvania sees harsh economic impactsWhen the coronavirus pandemic hit Pennsylvania in March, Gov. Tom Wolf scrambled to prevent his biggest fear — overwhelmed hospitals that had no beds for patients.
Pennsylvania never ran out of hospital beds or life-saving ventilators, even when the virus peaked in April.
But businesses opened in defiance of state orders. Republican lawmakers tried to end the emergency powers of Wolf, a Democrat.
Millions lost jobs. Businesses struggled to survive. Without a bailout, the restaurant industry could end up a shadow of its former self, especially now that the governor has ordered them to either cut back to 25% of their dine-in capacity or close again.
And now, as administrators, parents and politicians argue about whether to send children back to school, Pennsylvania is seeing a surge of fresh cases.
Back to school? Despite CDC recommendations, most major schools going online as COVID-19 cases spike
This pandemic steered Pennsylvania toward a recession. The Pandemic Unemployment Assistance and the Paycheck Protection Program helped, but they have an expiration date, and right now “this virus doesn’t,” Labor and Industry Secretary Jerry Oleksiak said
So even as the state crawls out from economic lock-down, high unemployment and the lingering public health crisis slow the process, leaving economists to agree on one thing: Pennsylvania won't to recover from this disaster for years.
"Ultimately, what’s going to work is not enforcement," Wolf said May 26. "What’s going to work is each and every individual Pennsylvanian, each and every business owner doing everything they can to protect their employees and their customers and protect each other from this disease."'We don’t really have a clear national policy on this'Many experts and health officials attributed the most glaring missteps to the lack of federal government leadership.
The criticism spanned from the CDC distributing faulty test kits to states, which delayed the pandemic response in January and February, to mixed messages coming from the Trump administration regarding the threat posed by current spikes in COVID-19 cases.
“We don’t really have a clear national policy on this, and that’s been pretty evident,” said Dr. Michael Mendoza, health commissioner of Monroe County in upstate New York.
In the absence of a universal plan, some states ignored, or shunned, lessons learned in the Northeast, threatening to undo the communal sacrifices that helped reduce infections in New York and New Jersey.
“When our messages and our data became politicized and distorted … that’s when it became very difficult for us,” Mendoza said.
Amid the chaotic early weeks of the pandemic this spring, the politically fueled confusion proved especially harmful due to limited scientific understanding at the time of how the coronavirus stealthily spread before symptoms appeared in many people.
More: The White House has sent conflicting messages on wearing masks and the new coronavirus cases
As intensive care units filled up, state officials scrambled to boost hospital bed capacity. Fears that hospitals would run out of lifesaving breathing machines ignited interstate competition over ventilators, as opposed to a coordinated national response.
Ultimately, the flawed preparedness plan and scattershot emergency response helped delay the revelations unfolding today, such as the prospect that all Americans wearing face-coverings in public could dramatically decrease the virus’ spread in four to six weeks.
In dissecting the myriad of pandemic-related failures, Poland of the Mayo Clinic evoked findings of the 9/11 Commission report that delved into the terrorist attacks of Sept. 11, 2001.
“We believe the fundamental problem was one of imaginability, though we had been warned many times and many ways, we failed to imagine it was possible and therefore failed to prepare,” he said, recounting the report.
“I think that singular statement is precisely applicable to the pandemic,” Poland said, adding, “I hope that one thing that has happened is that our deniability has been stripped away and our imaginability enlivened.”Northeast states continue to limit reopeningNew York and New Jersey have reopened many businesses but have kept some closed.
New Jersey has not allowed the resumption of indoor dining, while New York has outside New York City.
Malls, casinos and amusement parks have remained shuttered in New York, but New Jersey and Pennsylvania have opened them with safety precautions.
And New York tightened restrictions on outdoor dining, requiring alcohol purchases to be accompanied by food to cut down on large drinking scenes.
It's a process that Northeast governors continue to evaluate based on daily monitoring of the rates of infection. The concern is that the rapid spread of disease in the bulk of the country will eventually cause a spike in states that have been successful in tamping down the virus.
"This second wave is just going to be other states infecting us again for a second time," Cuomo said July 16 on MSNBC.
"There's no vaccine yet," New Jersey's Murphy warned July 17.
"All we've got is social distancing, wearing a face covering whenever you are out in public, and certainly whenever you're indoors, washing your hands frequently with soap and water for at least 20 seconds."
Republican lawmakers in New Jersey allege Murphy cut state lawmakers out when he crafted coronavirus-related orders, unfairly allowed big-box retailers to remain open while forcing smaller stores to close.
He limited outdoor gatherings, then showed up at Black Lives Matters rallies where protesters were not socially distanced. Those rallies, however, were not shown to result in spikes of COVID-19 cases.
But, like other Northeast states, Murphy’s strategy began to look smarter in July.
As states like California, Texas and Florida, which reopened sooner than New Jersey, began to see virus cases surge, their governors hastily re-closed businesses they had allowed to reopen. Now, Murphy hopes to not join those states in having to change course.
"We should all take pride in the fact we want to get this exactly as right as we can," he said.
This article originally appeared on USA TODAY NETWORK: What went wrong during the Northeast's first COVID-19 spike and is the region ready for another?
Gallery: These 4 States Need to Roll Back on Reopening, Harvard Doctor Says (Best Life)</t>
  </si>
  <si>
    <t>News of United States &amp; World News</t>
  </si>
  <si>
    <t>pressfrom.info</t>
  </si>
  <si>
    <t>In early March, Dr. Jeffrey Shaman watched from his New York City home as political leaders debated how best to control the first cases of the new coronavirus.   It soon led to screaming at the television.   Shaman, an infectious disease expert at Columbia University, said he thought city schools should have been closed right then, in the first week of March, or at least by the second week of the month.   "It was definitely too slow," he told the USA TODAY Network. "I could not believe the schools were still open."   Schools in New York ultimately closed March 16 when the state had 950 COVID-19 cases and nine deaths.   New York and New Jersey have gone on to have the most coronavirus deaths in the nation , nearly 32,600 (including 4,600 probable deaths in New York City) and 15,700, respectively.   That was followed by 8,500 in Massachusetts; 8,400 in California; 7,600 in Illinois and 7,100 in Pennsylvania. Maryland had about 3,500 deaths, while Delaware had 580, according to federal data .    US coronavirus map:  Tracking the COVID-19 outbreak nationwide   Infection rates in the Northeast have fallen to record lows in recent weeks even as they have soared to record highs in more than 30 other states, mostly in the South and West.   Now the question is: How well prepared are Northeast states for another spike of COVID-19?   Nowhere in the country is a region more aware of the virus' impact than the Northeast.   And that experience — with thousands of deaths, overwhelmed hospitals and a shuttered economy — is working to inform how officials respond to an anticipated second wave.   The states have been working together to try to thwart a spike, but at the same time making independent decisions on when to open or close certain industries.   "We see the second wave in the distance," New York Gov. Andrew Cuomo said July 17. "It will have an effect on New York. How bad? We don’t know. But we cannot stop the virus at our borders. We’re trying everything we can."   Shaman's early warnings about the need for a quick shutdown were not heeded. New York didn't close to non-essential workers until March 22, when the state had 114 deaths and more than 15,000 cases.   Shaman co-authored a study in May that said New York could have saved as many as 17,000 lives if it instituted its stay-at-home order two weeks earlier.   "We didn’t pick up and learn quickly from seeing what was happening in China," Shaman said.   "We didn’t follow the leads of South Korea and Vietnam and Taiwan to control it, and we dithered and doubted the evidence and worried about the economic repercussions of it, which I can understand."    New York's stay-at-home order:  Should state leaders have acted sooner?   He added, "It’s an uncertain time and it’s difficult, but this is one of the few instances where leadership really matters."   Cuomo has put the blame squarely on the federal government, saying it let more than 3 million Europeans travel to the U.S., mainly the Northeast, at least six weeks before the pandemic became apparent.   A U.S. Centers for Disease Control and Prevention report July 17 noted that by the time travel restrictions from Europe were put in place March 13, "importation and community transmission of SARS-CoV-2 had already occurred in NYC."   A faster shutdown may also have saved more lives among the most vulnerable population, those in nursing homes and extended care facilities.   About 43% of New Jersey's deaths occurred in nursing homes, while nearly 6,300 deaths in New York, or 25% of the total, were in the facilities. Nursing home deaths made up nearly 70% of COVID-19 deaths in Pennsylvania.   The nursing home deaths have drawn heavy scrutiny over whether states should have better insulated residents from COVID cases, but New York has insisted the problem was due to staff spreading the infection through the homes.   U.S. Rep. Tom Reed, R-N.Y., is among those calling for an independent investigation of nursing home deaths.   He said in a July 6 statement that blaming staff "when the state knowingly created COVID hotspots by forcing homes to accept COVID-positive patients is a slap in the face to those who lost a loved one."    New Jersey nursing home deaths:  Police find 18 bodies in 'makeshift' facility   New York's daily death toll hit as high as 800 in early April, but now daily deaths are in the single digits and there have been a few days without any deaths reported.   The Northeast is trying to keep it that way, with New York, New Jersey and Connecticut requiring a 14-day quarantine for visitors from states with high infection rates and mandating they fill out questionnaires when they enter New York .   And the states' phased reopening has been largely successful compared to states in the South and West that now are shutting down businesses after a broad reopening last month.   "The only way we can keep our positivity rate and our RT, or rate of transmission low, is by taking the precautions that we have across the past four months," New Jersey Gov. Phil Murphy said July 17.   The pandemic, in many ways, has laid bare fundamental flaws in American society .    'We're witnessing history':  Why George Floyd's death, COVID-19 inequality sparked protests    COVID-19 racial disparities:  Black people dying from coronavirus at much higher rates in cities across the USA   Watching the coronavirus spread like wildfire through low-income communities plagued by overcrowded housing underscored the systemic racism fueling disparate health outcomes for generations of Black and Hispanic people.   Stories of nurses and doctors being infected with COVID-19 and dying as hospitals struggled to secure protective masks and gowns exposed gaping holes in emergency preparedness plans and government stockpile systems.   And in the face of new surges across the country, renewed fears of shortages of personal protective equipment and COVID-19 testing supplies further revealed the faults in a medical supply chain over-reliant on Chinese imports.   Yet efforts in the Northeast to shore up regional manufacturing of basic medical goods and COVID-19 testing infrastructure show promise against a second wave.   New public health responses targeting zip codes hit hardest by COVID-19 deaths also offered a glimmer of hope that key resources, including contact tracing, testing and medical care, would better reach communities of color.   Meanwhile, politically charged debates over reopening plans and mask wearing in public, which New York mandated April 15 to help turn the tide in its coronavirus outbreak, endangered the entire undertaking nationally, experts said.   “We are seeing unnecessary tens of thousands of deaths and illnesses and disruption because people do not want to believe the evidence,” said Dr. Gregory Poland, an Infectious Diseases Society of America and Mayo Clinic expert.   “They make it into a political or cultural or economic or faith-based issue, and it’s not,” he said. “The virus knows nothing of those areas. The virus knows one thing: Find the next susceptible person and infect them.”   That was the case in Delaware: State health officials saw a significant outbreak in April in small towns in Sussex County , particularly among Hispanics and Haitian immigrant communities.   Many of those residents work in the county’s largest industry — chicken processing plants — where to complete their jobs, workers must stand close together, not adhering to social distancing guidelines.    Cheap chicken, beef came at a cost:  How American meat plants bred coronavirus hot spots.   Many of the low-income workers can't afford to lose a paycheck, leading to hesitation about whether they should get tested — even if they have been exposed to the virus.   Language barriers led to challenges when the residents tried to access emergency resources and learn what safety precautions they needed to take.   Delaware nursing homes were also devastated in the early weeks of the pandemic, particularly because it was difficult for facilities to obtain protective equipment for employees and they have been historically understaffed.   Because of limited testing in Delaware at the time, only residents with symptoms could receive a COVID-19 test.   Deaths in long-term care facilities have contributed to more than 60% of the cumulative number of COVID-19 deaths in Delaware. It has led to Gov. John Carney requiring all long-term care employees to be tested on a weekly basis.   "One of the biggest problems across the country and every state in America from the beginning of this COVID crisis was the lack of availability of testing," Maryland Gov. Hogan said June 10.    A quick, cheap test would help stop COVID-19:  So why don't we have one?   While Delaware has seen a decrease in the number of daily COVID-19 cases and hospitalizations, the Rehoboth-Dewey Beach ZIP code saw a spike in cases in late June . Many of these cases involved young people and residents.   In late June, Carney announced that he is pausing Delaware's plans to reopen its economy . Not long after, he mandated that, in eastern Sussex County, customers will no longer be able to sit or stand at a bar. Instead, beachgoers will have to sit at a table and be served.   “Too many Delawareans and visitors are not following basic public health precautions," Carney said June 25 . "Now’s not the time to let up."   When the coronavirus pandemic hit Pennsylvania in March, Gov. Tom Wolf scrambled to prevent his biggest fear — overwhelmed hospitals that had no beds for patients.   Pennsylvania never ran out of hospital beds or life-saving ventilators, even when the virus peaked in April.   But businesses opened in defiance of state orders. Republican lawmakers tried to end the emergency powers of Wolf, a Democrat.   Millions lost jobs. Businesses struggled to survive. Without a bailout, the restaurant industry could end up a shadow of its former self, especially now that the governor has ordered them to either cut back to 25% of their dine-in capacity or close again.   And now, as administrators, parents and politicians argue about whether to send children back to school, Pennsylvania is seeing a surge of fresh cases.    Back to school?  Despite CDC recommendations, most major schools going online as COVID-19 cases spike   This pandemic steered Pennsylvania toward a recession. The Pandemic Unemployment Assistance and the Paycheck Protection Program helped, but they have an expiration date, and right now “this virus doesn’t,” Labor and Industry Secretary Jerry Oleksiak said   So even as the state crawls out from economic lock-down, high unemployment and the lingering public health crisis slow the process, leaving economists to agree on one thing: Pennsylvania won't to recover from this disaster for years.   "Ultimately, what’s going to work is not enforcement," Wolf said May 26. "What’s going to work is each and every individual Pennsylvanian, each and every business owner doing everything they can to protect their employees and their customers and protect each other from this disease."   Many experts and health officials attributed the most glaring missteps to the lack of federal government leadership.   The criticism spanned from the CDC distributing faulty test kits to states, which delayed the pandemic response in January and February, to mixed messages coming from the Trump administration regarding the threat posed by current spikes in COVID-19 cases.   “We don’t really have a clear national policy on this, and that’s been pretty evident,” said Dr. Michael Mendoza, health commissioner of Monroe County in upstate New York.   In the absence of a universal plan, some states ignored, or shunned, lessons learned in the Northeast, threatening to undo the communal sacrifices that helped reduce infections in New York and New Jersey.   “When our messages and our data became politicized and distorted … that’s when it became very difficult for us,” Mendoza said.   Amid the chaotic early weeks of the pandemic this spring, the politically fueled confusion proved especially harmful due to limited scientific understanding at the time of how the coronavirus stealthily spread before symptoms appeared in many people.    More:  The White House has sent conflicting messages on wearing masks and the new coronavirus cases   As intensive care units filled up, state officials scrambled to boost hospital bed capacity. Fears that hospitals would run out of lifesaving breathing machines ignited interstate competition over ventilators, as opposed to a coordinated national response.   Ultimately, the flawed preparedness plan and scattershot emergency response helped delay the revelations unfolding today, such as the prospect that all Americans wearing face-coverings in public could dramatically decrease the virus’ spread in four to six weeks.   In dissecting the myriad of pandemic-related failures, Poland of the Mayo Clinic evoked findings of the 9/11 Commission report that delved into the terrorist attacks of Sept. 11, 2001.   “We believe the fundamental problem was one of imaginability, though we had been warned many times and many ways, we failed to imagine it was possible and therefore failed to prepare,” he said, recounting the report.   “I think that singular statement is precisely applicable to the pandemic,” Poland said, adding, “I hope that one thing that has happened is that our deniability has been stripped away and our imaginability enlivened.”   New York and New Jersey have reopened many businesses but have kept some closed.   New Jersey has not allowed the resumption of indoor dining , while New York has outside New York City.   Malls, casinos and amusement parks have remained shuttered in New York, but New Jersey and Pennsylvania have opened them with safety precautions.   And New York tightened restrictions on outdoor dining, requiring alcohol purchases to be accompanied by food to cut down on large drinking scenes.   It's a process that Northeast governors continue to evaluate based on daily monitoring of the rates of infection. The concern is that the rapid spread of disease in the bulk of the country will eventually cause a spike in states that have been successful in tamping down the virus.   "This second wave is just going to be other states infecting us again for a second time," Cuomo said July 16 on MSNBC.   "There's no vaccine yet," New Jersey's Murphy warned July 17.   "All we've got is social distancing, wearing a face covering whenever you are out in public, and certainly whenever you're indoors, washing your hands frequently with soap and water for at least 20 seconds."   Republican lawmakers in New Jersey allege Murphy cut state lawmakers out when he crafted coronavirus-related orders, unfairly allowed big-box retailers to remain open while forcing smaller stores to close.   He limited outdoor gatherings, then showed up at Black Lives Matters rallies where protesters were not socially distanced. Those rallies, however, were not shown to result in spikes of COVID-19 cases .   But, like other Northeast states, Murphy’s strategy began to look smarter in July.   As states like California, Texas and Florida, which reopened sooner than New Jersey, began to see virus cases surge, their governors hastily re-closed businesses they had allowed to reopen. Now, Murphy hopes to not join those states in having to change course.   "We should all take pride in the fact we want to get this exactly as right as we can," he said.</t>
  </si>
  <si>
    <t>El Paso Times</t>
  </si>
  <si>
    <t>elpasotimes.com</t>
  </si>
  <si>
    <t>16:02</t>
  </si>
  <si>
    <t>РЕВМАТОЛОГИЯ В ФЕДЕРАЛЬНОЙ СЕТИ КЛИНИК «ЭКСПЕРТ»</t>
  </si>
  <si>
    <t>Ревматология занимается болезнями:
— опорно-двигательного аппарата (позвоночник, суставы, кости);
— болезнями соединительной ткани (мышцы, связки, сухожилия);
— ревматическими пороками сердца.
В ревматологии существует огромное количество заболеваний, которые условно разделяются на группы: опухоли, артриты, заболевания костей, хрящей и другие.
Некоторые ревматические заболевания начинаются ещё в детстве или подростковом возрасте, несвоевременная диагностика и хронические болезни которых могут привести к инвалидности. Проблема ревматических заболеваний в том, что они возникают незаметно, а затем продолжительно прогрессируют, перерастая в диагноз.
Когда необходимо прийти на приём к ревматологу? Незамедлительно при наличии следующих симптомов:
— болевые ощущения в спине;
— чувство скованности в спине и суставах после сна;
— припухлость в области суставов;
— ощущение хруста суставов при движении;
— повышение температуры тела без видимых причин;
— кожные высыпания.⠀
Для постановки диагноза врач-ревматолог назначает лабораторные анализы и обследования. Часто это:
— УЗИ мягких тканей, суставов, сердца, сосудов;
— рентгенологические методы исследования.⠀
А также магнитно-резонансная томография, в том числе МРТ суставов, МРТ коленных суставов, МРТ позвоночника и компьютерная томография; допплерография сосудов: мелких, средних и крупных.
На основе результатов исследований ревматологи “Клиника Эксперт” сформируют пациенту персональную программу лечения, с применением медикаментозного лечения, физиотерапевтических процедур и мануальных техник.
В наших клиниках врач-ревматолог может принять в следующих городах:
— Владикавказ;
— Воронеж;
— Иркутск;
— Курск;
— Оренбург;
— Пермь;
— Ростов-на-Дону;
— Смоленск;
— Тверь;
— Тула.
#медицина, #мрт эксперт, #гк эксперт, #клиника эксперт, #ревматология</t>
  </si>
  <si>
    <t>Ищу модель. Курск</t>
  </si>
  <si>
    <t>15:52</t>
  </si>
  <si>
    <t>Подскажите пожалуйста, где можно сделать в пойме мрт грудной клетке?</t>
  </si>
  <si>
    <t>Мрт эксперт на Щукинской</t>
  </si>
  <si>
    <t>Натали Натали</t>
  </si>
  <si>
    <t>Павшинская пойма Online</t>
  </si>
  <si>
    <t>“We are seeing unnecessary tens of thousands of deaths and illnesses and disruption because people do not want to believe the evidence,” said Dr. Gregory Poland, an Infectious Diseases Society of America and Mayo Clinic expert.
https://www.usatoday.com/story/news/nation/2020/07/29/covid-new-york-new-jersey-northeast-region-second-coronavirus-spike/5526854002/</t>
  </si>
  <si>
    <t>Ryan Ross</t>
  </si>
  <si>
    <t>Нью-Джерси</t>
  </si>
  <si>
    <t>Asbury Park</t>
  </si>
  <si>
    <t>15:14</t>
  </si>
  <si>
    <t>Анастасия Шумакова</t>
  </si>
  <si>
    <t>14:33</t>
  </si>
  <si>
    <t>Joseph Spector, David Robinson, Terrence T. McDonald and Meredith Newman
USA TODAY NETWORK
Published 5:00 AM EDT Jul 29, 2020
In early March, Dr. Jeffrey Shaman watched from his New York City home as political leaders debated how best to control the first cases of the new coronavirus.
It soon led to screaming at the television.
Shaman, an infectious disease expert at Columbia University, said he thought city schools should have been closed right then, in the first week of March, or at least by the second week of the month.
"It was definitely too slow," he told the USA TODAY Network. "I could not believe the schools were still open."
Schools in New York ultimately closed March 16 when the state had 950 COVID-19 cases and nine deaths.
New York and New Jersey have gone on to have the most coronavirus deaths in the nation, nearly 32,600 (including 4,600 probable deaths in New York City) and 15,700, respectively.
That was followed by 8,500 in Massachusetts; 8,400 in California; 7,600 in Illinois and 7,100 in Pennsylvania. Maryland had about 3,500 deaths, while Delaware had 580, according to federal data.
US coronavirus map: Tracking the COVID-19 outbreak nationwide
Infection rates in the Northeast have fallen to record lows in recent weeks even as they have soared to record highs in more than 30 other states, mostly in the South and West.
Now the question is: How well prepared are Northeast states for another spike of COVID-19?
Nowhere in the country is a region more aware of the virus' impact than the Northeast.
And that experience — with thousands of deaths, overwhelmed hospitals and a shuttered economy — is working to inform how officials respond to an anticipated second wave.
The states have been working together to try to thwart a spike, but at the same time making independent decisions on when to open or close certain industries.
"We see the second wave in the distance," New York Gov. Andrew Cuomo said July 17. "It will have an effect on New York. How bad? We don’t know. But we cannot stop the virus at our borders. We’re trying everything we can."
New York Gov. Andrew Cuomo is joined by video by Connecticut Gov. Ned Lamont, New Jersey Gov. Phil Murphy, Pennsylvania Gov. Tom Wolf and Delaware Gov. John Carney at his daily coronavirus briefing; May 3, 2020.
Shaman's early warnings about the need for a quick shutdown were not heeded. New York didn't close to non-essential workers until March 22, when the state had 114 deaths and more than 15,000 cases.
Shaman co-authored a study in May that said New York could have saved as many as 17,000 lives if it instituted its stay-at-home order two weeks earlier.
"We didn’t pick up and learn quickly from seeing what was happening in China," Shaman said.
"We didn’t follow the leads of South Korea and Vietnam and Taiwan to control it, and we dithered and doubted the evidence and worried about the economic repercussions of it, which I can understand."
New York's stay-at-home order: Should state leaders have acted sooner?
He added, "It’s an uncertain time and it’s difficult, but this is one of the few instances where leadership really matters."
Cuomo has put the blame squarely on the federal government, saying it let more than 3 million Europeans travel to the U.S., mainly the Northeast, at least six weeks before the pandemic became apparent.
A U.S. Centers for Disease Control and Prevention report July 17 noted that by the time travel restrictions from Europe were put in place March 13, "importation and community transmission of SARS-CoV-2 had already occurred in NYC."
A faster shutdown may also have saved more lives among the most vulnerable population, those in nursing homes and extended care facilities.
About 43% of New Jersey's deaths occurred in nursing homes, while nearly 6,300 deaths in New York, or 25% of the total, were in the facilities. Nursing home deaths made up nearly 70% of COVID-19 deaths in Pennsylvania.
The nursing home deaths have drawn heavy scrutiny over whether states should have better insulated residents from COVID cases, but New York has insisted the problem was due to staff spreading the infection through the homes.
Andover Subacute and Rehab Center was over whelmed with 17 bodies at their morgue that could only hold 4 bodies in Andover Township, N.J.
U.S. Rep. Tom Reed, R-N.Y., is among those calling for an independent investigation of nursing home deaths.
He said in a July 6 statement that blaming staff "when the state knowingly created COVID hotspots by forcing homes to accept COVID-positive patients is a slap in the face to those who lost a loved one."
New Jersey nursing home deaths: Police find 18 bodies in 'makeshift'facilityWhat Northeast states learned from the first wave of the pandemicNew York's daily death toll hit as high as 800 in early April, but now daily deaths are in the single digits and there have been a few days without any deaths reported.
The Northeast is trying to keep it that way, with New York, New Jersey and Connecticut requiring a 14-day quarantine for visitors from states with high infection rates and mandating they fill out questionnaires when they enter New York.
And the states' phased reopening has been largely successful compared to states in the South and West that now are shutting down businesses after a broad reopening last month.
"The only way we can keep our positivity rate and our RT, or rate of transmission low, is by taking the precautions that we have across the past four months," New Jersey Gov. Phil Murphy said July 17.
The pandemic, in many ways, has laid bare fundamental flaws in American society.
'We're witnessing history': Why George Floyd's death, COVID-19 inequality sparked protests
COVID-19 racial disparities: Black people dying from coronavirus at much higher rates in cities across the USA
Watching the coronavirus spread like wildfire through low-income communities plagued by overcrowded housing underscored the systemic racism fueling disparate health outcomes for generations of Black and Hispanic people.
Stories of nurses and doctors being infected with COVID-19 and dying as hospitals struggled to secure protective masks and gowns exposed gaping holes in emergency preparedness plans and government stockpile systems.
And in the face of new surges across the country, renewed fears of shortages of personal protective equipment and COVID-19 testing supplies further revealed the faults in a medical supply chain over-reliant on Chinese imports.
Yet efforts in the Northeast to shore up regional manufacturing of basic medical goods and COVID-19 testing infrastructure show promise against a second wave.
New public health responses targeting zip codes hit hardest by COVID-19 deaths also offered a glimmer of hope that key resources, including contact tracing, testing and medical care, would better reach communities of color.
Meanwhile, politically charged debates over reopening plans and mask wearing in public, which New York mandated April 15 to help turn the tide in its coronavirus outbreak, endangered the entire undertaking nationally, experts said.
“We are seeing unnecessary tens of thousands of deaths and illnesses and disruption because people do not want to believe the evidence,” said Dr. Gregory Poland, an Infectious Diseases Society of America and Mayo Clinic expert.
FILE- In this April 10, 2020 file photo a woman wearing a face mask sure to CVID-19 concerns walks along the Jersey City waterfront with the New York City skyline in the background. New York City may be the epicenter of the coronavirus outbreak but of the city's suburbs have been hit just just as hard. In some, there have been more fatalities per capita than in super-dense Manhattan.
“They make it into a political or cultural or economic or faith-based issue, and it’s not,” he said. “The virus knows nothing of those areas. The virus knows one thing: Find the next susceptible person and infect them.”Delaware's meat plants, nursing homes hit hard as testing laggedThat was the case in Delaware: State health officials saw a significant outbreak in April in small towns in Sussex County, particularly among Hispanics and Haitian immigrant communities.
Many of those residents work in the county’s largest industry — chicken processing plants — where to complete their jobs, workers must stand close together, not adhering to social distancing guidelines.
Cheap chicken, beef came at a cost: How American meat plants bred coronavirus hot spots.
Many of the low-income workers can't afford to lose a paycheck, leading to hesitation about whether they should get tested — even if they have been exposed to the virus.
Language barriers led to challenges when the residents tried to access emergency resources and learn what safety precautions they needed to take.
Delaware nursing homes were also devastated in the early weeks of the pandemic, particularly because it was difficult for facilities to obtain protective equipment for employees and they have been historically understaffed.
Because of limited testing in Delaware at the time, only residents with symptoms could receive a COVID-19 test.
Gov. John Carney speaks to the media during a briefing on the status of the coronavirus pandemic in Delaware on Tuesday, July 14, 2020, at the Carvel State Office Building in Wilmington.
Deaths in long-term care facilities have contributed to more than 60% of the cumulative number of COVID-19 deaths in Delaware. It has led to Gov. John Carney requiring all long-term care employees to be tested on a weekly basis.
"One of the biggest problems across the country and every state in America from the beginning of this COVID crisis was the lack of availability of testing," Maryland Gov. Hogan said June 10.
A quick, cheap test would help stop COVID-19: So why don't we have one?
While Delaware has seen a decrease in the number of daily COVID-19 cases and hospitalizations, the Rehoboth-Dewey Beach ZIP code saw a spike in cases in late June. Many of these cases involved young people and residents.
In late June, Carney announced that he is pausing Delaware's plans to reopen its economy. Not long after, he mandated that, in eastern Sussex County, customers will no longer be able to sit or stand at a bar. Instead, beachgoers will have to sit at a table and be served.
“Too many Delawareans and visitors are not following basic public health precautions,"Carney said June 25."Now’s not the time to let up."Pennsylvania sees harsh economic impactsWhen the coronavirus pandemic hit Pennsylvania in March, Gov. Tom Wolf scrambled to prevent his biggest fear — overwhelmed hospitals that had no beds for patients.
Pennsylvania never ran out of hospital beds or life-saving ventilators, even when the virus peaked in April.
But businesses opened in defiance of state orders. Republican lawmakers tried to end the emergency powers of Wolf, a Democrat.
Millions lost jobs. Businesses struggled to survive. Without a bailout, the restaurant industry could end up a shadow of its former self, especially now that the governor has ordered them to either cut back to 25% of their dine-in capacity or close again.
And now, as administrators, parents and politicians argue about whether to send children back to school, Pennsylvania is seeing a surge of fresh cases.
Back to school? Despite CDC recommendations, most major schools going online as COVID-19 cases spike
This pandemic steered Pennsylvania toward a recession. The Pandemic Unemployment Assistance and the Paycheck Protection Program helped, but they have an expiration date, and right now “this virus doesn’t,” Labor and Industry Secretary Jerry Oleksiak said
So even as the state crawls out from economic lock-down, high unemployment and the lingering public health crisis slow the process, leaving economists to agree on one thing: Pennsylvania won't to recover from this disaster for years.
"Ultimately, what’s going to work is not enforcement," Wolf said May 26. "What’s going to work is each and every individual Pennsylvanian, each and every business owner doing everything they can to protect their employees and their customers and protect each other from this disease."'We don’t really have a clear national policy on this'Many experts and health officials attributed the most glaring missteps to the lack of federal government leadership.
The criticism spanned from the CDC distributing faulty test kits to states, which delayed the pandemic response in January and February, to mixed messages coming from the Trump administration regarding the threat posed by current spikes in COVID-19 cases.
“We don’t really have a clear national policy on this, and that’s been pretty evident,” said Dr. Michael Mendoza, health commissioner of Monroe County in upstate New York.
In the absence of a universal plan, some states ignored, or shunned, lessons learned in the Northeast, threatening to undo the communal sacrifices that helped reduce infections in New York and New Jersey.
“When our messages and our data became politicized and distorted … that’s when it became very difficult for us,” Mendoza said.
Amid the chaotic early weeks of the pandemic this spring, the politically fueled confusion proved especially harmful due to limited scientific understanding at the time of how the coronavirus stealthily spread before symptoms appeared in many people.
More: The White House has sent conflicting messages on wearing masks and the new coronavirus cases
As intensive care units filled up, state officials scrambled to boost hospital bed capacity. Fears that hospitals would run out of lifesaving breathing machines ignited interstate competition over ventilators, as opposed to a coordinated national response.
Ultimately, the flawed preparedness plan and scattershot emergency response helped delay the revelations unfolding today, such as the prospect that all Americans wearing face-coverings in public could dramatically decrease the virus’ spread in four to six weeks.
In dissecting the myriad of pandemic-related failures, Poland of the Mayo Clinic evoked findings of the 9/11 Commission report that delved into the terrorist attacks of Sept. 11, 2001.
“We believe the fundamental problem was one of imaginability, though we had been warned many times and many ways, we failed to imagine it was possible and therefore failed to prepare,” he said, recounting the report.
“I think that singular statement is precisely applicable to the pandemic,” Poland said, adding, “I hope that one thing that has happened is that our deniability has been stripped away and our imaginability enlivened.”Northeast states continue to limit reopeningNew York and New Jersey have reopened many businesses but have kept some closed.
New Jersey has not allowed the resumption of indoor dining, while New York has outside New York City.</t>
  </si>
  <si>
    <t>Wopular</t>
  </si>
  <si>
    <t>wopular.com</t>
  </si>
  <si>
    <t>14:15</t>
  </si>
  <si>
    <t>,
This dog was rescued on the street after it was hit by a vehicle. As you may already know, his hind legs are paralyzed. Doing this update made me realize once again how bad the situation of Tinio is. His rescuer Jojo Buendia Lastimado fostered his after his first bout with the vet but after showing me his pictures this morning, it is apparent he needed to be back to the vet.
As you can see, his scrotum is swollen and has wounds. Worse, he is obviously feeling pain. Rescuer Benjamin Jacinto brought Tinio to my trusted vet clinic Animal Wonders Veterinary Clinic. Expert vet Doc Prex and Doc AG Garingalao will handle his case.
A previous vet mentioned bone pining as a solution. Many of you may already know how expensive bone pinning could get. I will never suggest amputation just because it is the cheaper choice but only if it is the only choice. 
To those willing, please send help thru
Gcash - 09272182802 (c/o Fenady C)
Paymaya &amp; Coins.ph - 09176363824
Banco de Oro
Antonia Ramirez
002280238329
BPI Island
Antonia Ramirez
1286134494
Paypal: melanieramirez1717@yahoo.com.ph</t>
  </si>
  <si>
    <t>Здравствуйте, Евгения! Благодарим за отзыв и добрые слова в адрес наших сотрудников. Видимо, Вам потребовался отсроченный контраст, поэтому врач сказал, что нужно подождать. Контрастное вещество попадает непосредственно в кровь, и его можно вводить, когда пациент стоит. Это не повлияло на результат, Вы можете не волноваться.
Желаем Вам здоровья и всех благ!
С уважением, исполнительный директор ООО «МРТ Эксперт Владимир», Серова Ирина Константиновна.</t>
  </si>
  <si>
    <t>12:30</t>
  </si>
  <si>
    <t>Joseph Spector, David Robinson, Terrence T. McDonald and Meredith Newman, USA TODAY NETWORK Published 5:00 a.m. ET July 29, 2020
Shaman, an infectious disease expert at Columbia University, said he thought city schools should have been closed right then, in the first week of March, or at least by the second week of the month.
"It was definitely too slow," he told the USA TODAY Network. "I could not believe the schools were still open."
Schools in New York ultimately closed March 16 when the state had 950 COVID-19 cases and nine deaths.
New York and New Jersey have gone on to have the most coronavirus deaths in the nation, nearly 32,600 (including 4,600 probable deaths in New York City) and 15,700, respectively.
That was followed by 8,500 in Massachusetts; 8,400 in California; 7,600 in Illinois and 7,100 in Pennsylvania. Maryland had about 3,500 deaths, while Delaware had 580, according to federal data.
Infection rates in the Northeast have fallen to record lows in recent weeks even as they have soared to record highs in more than 30 other states, mostly in the South and West.
Now the question is: How well prepared are Northeast states for another spike of COVID-19?
Nowhere in the country is a region more aware of the virus' impact than the Northeast.
And that experience — with thousands of deaths, overwhelmed hospitals and a shuttered economy — is working to inform how officials respond to an anticipated second wave.
The states have been working together to try to thwart a spike, but at the same time making independent decisions on when to open or close certain industries.
"We see the second wave in the distance," New York Gov. Andrew Cuomo said July 17. "It will have an effect on New York. How bad? We don’t know. But we cannot stop the virus at our borders. We’re trying everything we can."Late shutdowns, European travel and nursing homes fueled virus' early daysShaman's early warnings about the need for a quick shutdown were not heeded. New York didn't close to non-essential workers until March 22, when the state had 114 deaths and more than 15,000 cases.
Shaman co-authored a study in May that said New York could have saved as many as 17,000 lives if it instituted its stay-at-home order two weeks earlier.
"We didn’t pick up and learn quickly from seeing what was happening in China," Shaman said.
"We didn’t follow the leads of South Korea and Vietnam and Taiwan to control it, and we dithered and doubted the evidence and worried about the economic repercussions of it, which I can understand."New York's stay-at-home order:He added, "It’s an uncertain time and it’s difficult, but this is one of the few instances where leadership really matters."
Cuomo has put the blame squarely on the federal government, saying it let more than 3 million Europeans travel to the U.S., mainly the Northeast, at least six weeks before the pandemic became apparent.
A U.S. Centers for Disease Control and Prevention report July 17 noted that by the time travel restrictions from Europe were put in place March 13, "importation and community transmission of SARS-CoV-2 had already occurred in NYC."
A faster shutdown may also have saved more lives among the most vulnerable population, those in nursing homes and extended care facilities.
About 43% of New Jersey's deaths occurred in nursing homes, while nearly 6,300 deaths in New York, or 25% of the total, were in the facilities. Nursing home deaths made up nearly 70% of COVID-19 deaths in Pennsylvania.
The nursing home deaths have drawn heavy scrutiny over whether states should have better insulated residents from COVID cases, but New York has insisted the problem was due to staff spreading the infection through the homes.
U.S. Rep. Tom Reed, R-N.Y., is among those calling for an independent investigation of nursing home deaths.
He said in a July 6 statement that blaming staff "when the state knowingly created COVID hotspots by forcing homes to accept COVID-positive patients is a slap in the face to those who lost a loved one."New Jersey nursing home deaths:What Northeast states learned from the first wave of the pandemicNew York's daily death toll hit as high as 800 in early April, but now daily deaths are in the single digits and there have been a few days without any deaths reported.
The Northeast is trying to keep it that way, with New York, New Jersey and Connecticut requiring a 14-day quarantine for visitors from states with high infection rates and mandating they fill out questionnaires when they enter New York.
And the states' phased reopening has been largely successful compared to states in the South and West that now are shutting down businesses after a broad reopening last month.
"The only way we can keep our positivity rate and our RT, or rate of transmission low, is by taking the precautions that we have across the past four months," New Jersey Gov. Phil Murphy said July 17.
Watching the coronavirus spread like wildfire through low-income communities plagued by overcrowded housing underscored the systemic racism fueling disparate health outcomes for generations of Black and Hispanic people.
Stories of nurses and doctors being infected with COVID-19 and dying as hospitals struggled to secure protective masks and gowns exposed gaping holes in emergency preparedness plans and government stockpile systems.
And in the face of new surges across the country, renewed fears of shortages of personal protective equipment and COVID-19 testing supplies further revealed the faults in a medical supply chain over-reliant on Chinese imports.
Yet efforts in the Northeast to shore up regional manufacturing of basic medical goods and COVID-19 testing infrastructure show promise against a second wave.
New public health responses targeting zip codes hit hardest by COVID-19 deaths also offered a glimmer of hope that key resources, including contact tracing, testing and medical care, would better reach communities of color.
Meanwhile, politically charged debates over reopening plans and mask wearing in public, which New York mandated April 15 to help turn the tide in its coronavirus outbreak, endangered the entire undertaking nationally, experts said.
“We are seeing unnecessary tens of thousands of deaths and illnesses and disruption because people do not want to believe the evidence,” said Dr. Gregory Poland, an Infectious Diseases Society of America and Mayo Clinic expert.</t>
  </si>
  <si>
    <t>Port Clinton News Herald</t>
  </si>
  <si>
    <t>portclintonnewsherald.com</t>
  </si>
  <si>
    <t>12:08</t>
  </si>
  <si>
    <t>5 ПРИЧИН «МУЖСКИХ» НЕУДАЧ В ПОСТЕЛИ:
⠀
❌Заболевания простаты (аденома или простатит) отрицательно влияют на потенцию, вплоть до ее полного исчезновения.
❌Гормональный дисбаланс. При нарушении выработки гормонов, в частности тестостерона, снижается активность сексуального влечения и страдает эрекция.
❌Воспалительные и инфекционные заболевания. Вследствие таких заболеваний страдают сосуды, кровь плохо циркулирует во всем организме, включая органы таза, поэтому страдает эрекция.
❌Частая смена сексуальных партнерш может привести к снижению потенции. Это связано не только с вероятностью заразиться венерическими заболеваниями, но и с психологическими проблемами, вызванными неуверенностью в собственных силах.
❌На эрекцию могут повлиять профессиональные занятия спортом. Перегрузки, высокое напряжение и физическая активность на пределе собственных возможностей отрицательно влияют на потенцию.
⠀
При возникновении подобных проблем срочно нужна консультация андролога, тщательная диагностика и незамедлительное лечение.
⠀
В «Клинике Эксперт Ростов» мы поможем справиться с мужскими сложностями и сделать интимную жизнь счастливой!
Запишитесь на консультацию к нашему андрологу:
⠀
☎️ 8(863) 309-11-29 www.mrtexpert.ru rostov_admin@mrtexpert.ru ⏰ПН-ВС: 7:00-22:00 Ростов-на-Дону, ул. Красноармейская, д.262/122, пом.1 Лицензия: ЛО-61-01-006908</t>
  </si>
  <si>
    <t>12:06</t>
  </si>
  <si>
    <t>In early March, Dr. Jeffrey Shaman watched from his New York City home as political leaders debated how best to control the first cases of the new coronavirus.
It soon led to screaming at the television.
 Shaman, an infectious disease expert at Columbia University, said he thought city schools should have been closed right then, in the first week of March, or at least by the second week of the month.
 "It was definitely too slow," he told the USA TODAY Network. "I could not believe the schools were still open."
 Schools in New York ultimately closed March 16 when the state had 950 COVID-19 cases and nine deaths.
 New York and New Jersey have gone on to have the most coronavirus deaths in the nation , nearly 32,600 (including 4,600 probable deaths in New York City) and 15,700, respectively.
 That was followed by 8,500 in Massachusetts; 8,400 in California; 7,600 in Illinois and 7,100 in Pennsylvania. Maryland had about 3,500 deaths, while Delaware had 580, according to federal data
 US coronavirus map: Tracking the COVID-19 outbreak nationwide
 Infection rates in the Northeast have fallen to record lows in recent weeks even as they have soared to record highs in more than 30 other states, mostly in the South and West.
 Now the question is: How well prepared are Northeast states for another spike of COVID-19?
 Nowhere in the country is a region more aware of the virus' impact than the Northeast.
 And that experience — with thousands of deaths, overwhelmed hospitals and a shuttered economy — is working to inform how officials respond to an anticipated second wave.
 The states have been working together to try to thwart a spike, but at the same time making independent decisions on when to open or close certain industries.
 "We see the second wave in the distance," New York Gov. Andrew Cuomo said July 17. "It will have an effect on New York. How bad? We don't know. But we cannot stop the virus at our borders. We're trying everything we can."
 Late shutdowns, European travel and nursing homes fueled virus' early days
 Shaman's early warnings about the need for a quick shutdown were not heeded. New York didn't close to non-essential workers until March 22, when the state had 114 deaths and more than 15,000 cases.
 Shaman co-authored a study in May that said New York could have saved as many as 17,000 lives if it instituted its stay-at-home order two weeks earlier.
 "We didn't pick up and learn quickly from seeing what was happening in China," Shaman said.
 "We didn't follow the leads of South Korea and Vietnam and Taiwan to control it, and we dithered and doubted the evidence and worried about the economic repercussions of it, which I can understand."
 New York's stay-at-home order: Should state leaders have acted sooner?
 He added, "It's an uncertain time and it's difficult, but this is one of the few instances where leadership really matters."
 Cuomo has put the blame squarely on the federal government, saying it let more than 3 million Europeans travel to the U.S., mainly the Northeast, at least six weeks before the pandemic became apparent.
 A U.S. Centers for Disease Control and Prevention report July 17 noted that by the time travel restrictions from Europe were put in place March 13, "importation and community transmission of SARS-CoV-2 had already occurred in NYC."
 A faster shutdown may also have saved more lives among the most vulnerable population, those in nursing homes and extended care facilities.
 About 43% of New Jersey's deaths occurred in nursing homes, while nearly 6,300 deaths in New York, or 25% of the total, were in the facilities. Nursing home deaths made up nearly 70% of COVID-19 deaths in Pennsylvania.
 The nursing home deaths have drawn heavy scrutiny over whether states should have better insulated residents from COVID cases, but New York has insisted the problem was due to staff spreading the infection through the homes.
 U.S. Rep. Tom Reed, R-N.Y., is among those calling for an independent investigation of nursing home deaths.
 He said in a July 6 statement that blaming staff "when the state knowingly created COVID hotspots by forcing homes to accept COVID-positive patients is a slap in the face to those who lost a loved one."
 New Jersey nursing home deaths: Police find 18 bodies in 'makeshift' facility
 What Northeast states learned from the first wave of the pandemic
 New York's daily death toll hit as high as 800 in early April, but now daily deaths are in the single digits and there have been a few days without any deaths reported.
 The Northeast is trying to keep it that way, with New York, New Jersey and Connecticut requiring a 14-day quarantine for visitors from states with high infection rates and mandating they fill out questionnaires when they enter New York
 Mitch McConnell unveils $1 trillion pandemic aid package to criticisms from Republicans and Democrats
 MGM Resorts says 'large majority' of employees in the entertainment, sports division will be fired
 Donald Trump says he won't attend John Lewis' memorial services
 Get the latest news straight to your phone: Download the USA TODAY app
 And the states' phased reopening has been largely successful compared to states in the South and West that now are shutting down businesses after a broad reopening last month.
 "The only way we can keep our positivity rate and our RT, or rate of transmission low, is by taking the precautions that we have across the past four months," New Jersey Gov. Phil Murphy said July 17.
 The pandemic, in many ways, has laid bare fundamental flaws in American society
 'We're witnessing history': Why George Floyd's death, COVID-19 inequality sparked protests
 COVID-19 racial disparities: Black people dying from coronavirus at much higher rates in cities across the USA
 Watching the coronavirus spread like wildfire through low-income communities plagued by overcrowded housing underscored the systemic racism fueling disparate health outcomes for generations of Black and Hispanic people.
 Stories of nurses and doctors being infected with COVID-19 and dying as hospitals struggled to secure protective masks and gowns exposed gaping holes in emergency preparedness plans and government stockpile systems.
 And in the face of new surges across the country, renewed fears of shortages of personal protective equipment and COVID-19 testing supplies further revealed the faults in a medical supply chain over-reliant on Chinese imports.
 Yet efforts in the Northeast to shore up regional manufacturing of basic medical goods and COVID-19 testing infrastructure show promise against a second wave.
 New public health responses targeting zip codes hit hardest by COVID-19 deaths also offered a glimmer of hope that key resources, including contact tracing, testing and medical care, would better reach communities of color.
 Meanwhile, politically charged debates over reopening plans and mask wearing in public, which New York mandated April 15 to help turn the tide in its coronavirus outbreak, endangered the entire undertaking nationally, experts said.
 “We are seeing unnecessary tens of thousands of deaths and illnesses and disruption because people do not want to believe the evidence,” said Dr. Gregory Poland, an Infectious Diseases Society of America and Mayo Clinic expert.
 “They make it into a political or cultural or economic or faith-based issue, and it's not,” he said. “The virus knows nothing of those areas. The virus knows one thing: Find the next susceptible person and infect them.”
 Delaware's meat plants, nursing homes hit hard as testing lagged
 That was the case in Delaware: State health officials saw a significant outbreak in April in small towns in Sussex County , particularly among Hispanics and Haitian immigrant communities.
 Many of those residents work in the county's largest industry — chicken processing plants — where to complete their jobs, workers must stand close together, not adhering to social distancing guidelines.
 Cheap chicken, beef came at a cost: How American meat plants bred coronavirus hot spots.
 Many of the low-income workers can't afford to lose a paycheck, leading to hesitation about whether they should get tested — even if they have been exposed to the virus.
 Language barriers led to challenges when the residents tried to access emergency resources and learn what safety precautions they needed to take.
 Delaware nursing homes were also devastated in the early weeks of the pandemic, particularly because it was difficult for facilities to obtain protective equipment for employees and they have been historically understaffed.
 Because of limited testing in Delaware at the time, only residents with symptoms could receive a COVID-19 test.
 Deaths in long-term care facilities have contributed to more than 60% of the cumulative number of COVID-19 deaths in Delaware. It has led to Gov. John Carney requiring all long-term care employees to be tested on a weekly basis.
 "One of the biggest problems across the country and every state in America from the beginning of this COVID crisis was the lack of availability of testing," Maryland Gov. Hogan said June 10.
 A quick, cheap test would help stop COVID-19: So why don't we have one?
 While Delaware has seen a decrease in the number of daily COVID-19 cases and hospitalizations, the Rehoboth-Dewey Beach ZIP code saw a spike in cases in late June . Many of these cases involved young people and residents.
 In late June, Carney announced that he is pausing Delaware's plans to reopen its economy . Not long after, he mandated that, in eastern Sussex County, customers will no longer be able to sit or stand at a bar. Instead, beachgoers will have to sit at a table and be served.
 “Too many Delawareans and visitors are not following basic public health precautions," Carney said June 25 . "Now's not the time to let up."
 Pennsylvania sees harsh economic impacts
 When the coronavirus pandemic hit Pennsylvania in March, Gov. Tom Wolf scrambled to prevent his biggest fear — overwhelmed hospitals that had no beds for patients.
 Pennsylvania never ran out of hospital beds or life-saving ventilators, even when the virus peaked in April.
 But businesses opened in defiance of state orders. Republican lawmakers tried to end the emergency powers of Wolf, a Democrat.
 Millions lost jobs. Businesses struggled to survive. Without a bailout, the restaurant industry could end up a shadow of its former self, especially now that the governor has ordered them to either cut back to 25% of their dine-in capacity or close again.
 And now, as administrators, parents and politicians argue about whether to send children back to school, Pennsylvania is seeing a surge of fresh cases.
 Back to school? Despite CDC recommendations, most major schools going online as COVID-19 cases spike
 This pandemic steered Pennsylvania toward a recession. The Pandemic Unemployment Assistance and the Paycheck Protection Program helped, but they have an expiration date, and right now “this virus doesn't,” Labor and Industry Secretary Jerry Oleksiak said
 So even as the state crawls out from economic lock-down, high unemployment and the lingering public health crisis slow the process, leaving economists to agree on one thing: Pennsylvania won't to recover from this disaster for years.
 "Ultimately, what's going to work is not enforcement," Wolf said May 26. "What's going to work is each and every individual Pennsylvanian, each and every business owner doing everything they can to protect their employees and their customers and protect each other from this disease."
 'We don't really have a clear national policy on this'
 Many experts and health officials attributed the most glaring missteps to the lack of federal government leadership.
 The criticism spanned from the CDC distributing faulty test kits to states, which delayed the pandemic response in January and February, to mixed messages coming from the Trump administration regarding the threat posed by current spikes in COVID-19 cases.
 “We don't really have a clear national policy on this, and that's been pretty evident,” said Dr. Michael Mendoza, health commissioner of Monroe County in upstate New York.
 In the absence of a universal plan, some states ignored, or shunned, lessons learned in the Northeast, threatening to undo the communal sacrifices that helped reduce infections in New York and New Jersey.
 “When our messages and our data became politicized and distorted … that's when it became very difficult for us,” Mendoza said.
 Amid the chaotic early weeks of the pandemic this spring, the politically fueled confusion proved especially harmful due to limited scientific understanding at the time of how the coronavirus stealthily spread before symptoms appeared in many people.
 More: The White House has sent conflicting messages on wearing masks and the new coronavirus cases
 As intensive care units filled up, state officials scrambled to boost hospital bed capacity. Fears that hospitals would run out of lifesaving breathing machines ignited interstate competition over ventilators, as opposed to a coordinated national response.
 Ultimately, the flawed preparedness plan and scattershot emergency response helped delay the revelations unfolding today, such as the prospect that all Americans wearing face-coverings in public could dramatically decrease the virus' spread in four to six weeks.
 In dissecting the myriad of pandemic-related failures, Poland of the Mayo Clinic evoked findings of the 9/11 Commission report that delved into the terrorist attacks of Sept. 11, 2001.
 “We believe the fundamental problem was one of imaginability, though we had been warned many times and many ways, we failed to imagine it was possible and therefore failed to prepare,” he said, recounting the report.
 “I think that singular statement is precisely applicable to the pandemic,” Poland said, adding, “I hope that one thing that has happened is that our deniability has been stripped away and our imaginability enlivened.”
 Northeast states continue to limit reopening
 New York and New Jersey have reopened many businesses but have kept some closed.
 New Jersey has not allowed the resumption of indoor dining , while New York has outside New York City.
 Malls, casinos and amusement parks have remained shuttered in New York, but New Jersey and Pennsylvania have opened them with safety precautions.
 And New York tightened restrictions on outdoor dining, requiring alcohol purchases to be accompanied by food to cut down on large drinking scenes.
 It's a process that Northeast governors continue to evaluate based on daily monitoring of the rates of infection. The concern is that the rapid spread of disease in the bulk of the country will eventually cause a spike in states that have been successful in tamping down the virus.
 "This second wave is just going to be other states infecting us again for a second time," Cuomo said July 16 on MSNBC.
 "There's no vaccine yet," New Jersey's Murphy warned July 17.
 "All we've got is social distancing, wearing a face covering whenever you are out in public, and certainly whenever you're indoors, washing your hands frequently with soap and water for at least 20 seconds."
 Republican lawmakers in New Jersey allege Murphy cut state lawmakers out when he crafted coronavirus-related orders, unfairly allowed big-box retailers to remain open while forcing smaller stores to close.
 He limited outdoor gatherings, then showed up at Black Lives Matters rallies where protesters were not socially distanced. Those rallies, however, were not shown to result in spikes of COVID-19 cases
 But, like other Northeast states, Murphy's strategy began to look smarter in July.
 As states like California, Texas and Florida, which reopened sooner than New Jersey, began to see virus cases surge, their governors hastily re-closed businesses they had allowed to reopen. Now, Murphy hopes to not join those states in having to change course.
 "We should all take pride in the fact we want to get this exactly as right as we can," he said.</t>
  </si>
  <si>
    <t>Joseph Spector, David Robinson, Terrence T. McDonald and Meredith Newman</t>
  </si>
  <si>
    <t>usatoday.com</t>
  </si>
  <si>
    <t>5 ПРИЧИН «МУЖСКИХ» НЕУДАЧ В ПОСТЕЛИ:
⠀
❌Заболевания простаты (аденома или простатит) отрицательно влияют на потенцию, вплоть до ее полного исчезновения.
❌Гормональный дисбаланс. При нарушении выработки гормонов, в частности тестостерона, снижается активность сексуального влечения и страдает эрекция.
❌Воспалительные и инфекционные заболевания. Вследствие таких заболеваний страдают сосуды, кровь плохо циркулирует во всем организме, включая органы таза, поэтому страдает эрекция.
❌Частая смена сексуальных партнерш может привести к снижению потенции. Это связано не только с вероятностью заразиться венерическими заболеваниями, но и с психологическими проблемами, вызванными неуверенностью в собственных силах.
❌На эрекцию могут повлиять профессиональные занятия спортом. Перегрузки, высокое напряжение и физическая активность на пределе собственных возможностей отрицательно влияют на потенцию.
⠀
При возникновении подобных проблем срочно нужна консультация андролога, тщательная диагностика и незамедлительное лечение.
⠀
В «Клинике Эксперт Ростов» мы поможем справиться с мужскими сложностями и сделать интимную жизнь счастливой!
Запишитесь на консультацию к нашему андрологу:
⠀
☎️ 8(863) 309-11-29�www.mrtexpert.ru�rostov_admin@mrtexpert.ru�⏰ПН-ВС: 7:00-22:00�Ростов-на-Дону, ул. Красноармейская, д.262/122, пом.1�Лицензия: ЛО-61-01-006908</t>
  </si>
  <si>
    <t>In early March, Dr. Jeffrey Shaman watched from his New York City home as political leaders debated how best to control the first cases of the new coronavirus.
It soon led to screaming at the television.
Shaman, an infectious disease expert at Columbia University, said he thought city schools should have been closed right then, in the first week of March, or at least by the second week of the month.
"It was definitely too slow," he told the USA TODAY Network. "I could not believe the schools were still open."
Schools in New York ultimately closed March 16 when the state had 950 COVID-19 cases and nine deaths.
New York and New Jersey have gone on to have the most coronavirus deaths in the nation, nearly 32,600 (including 4,600 probable deaths in New York City) and 15,700, respectively.
That was followed by 8,500 in Massachusetts; 8,400 in California; 7,600 in Illinois and 7,100 in Pennsylvania. Maryland had about 3,500 deaths, while Delaware had 580, according to federal data.
US coronavirus map: Tracking the COVID-19 outbreak nationwide
Infection rates in the Northeast have fallen to record lows in recent weeks even as they have soared to record highs in more than 30 other states, mostly in the South and West.
Now the question is: How well prepared are Northeast states for another spike of COVID-19?
Nowhere in the country is a region more aware of the virus' impact than the Northeast.
And that experience — with thousands of deaths, overwhelmed hospitals and a shuttered economy — is working to inform how officials respond to an anticipated second wave.
The states have been working together to try to thwart a spike, but at the same time making independent decisions on when to open or close certain industries.
"We see the second wave in the distance," New York Gov. Andrew Cuomo said July 17. "It will have an effect on New York. How bad? We don’t know. But we cannot stop the virus at our borders. We’re trying everything we can."
Story continues
New York Gov. Andrew Cuomo is joined by video by Connecticut Gov. Ned Lamont, New Jersey Gov. Phil Murphy, Pennsylvania Gov. Tom Wolf and Delaware Gov. John Carney at his daily coronavirus briefing; May 3, 2020. Late shutdowns, European travel and nursing homes fueled virus' early days Shaman's early warnings about the need for a quick shutdown were not heeded. New York didn't close to non-essential workers until March 22, when the state had 114 deaths and more than 15,000 cases. Shaman co-authored a study in May that said New York could have saved as many as 17,000 lives if it instituted its stay-at-home order two weeks earlier. "We didn’t pick up and learn quickly from seeing what was happening in China," Shaman said. "We didn’t follow the leads of South Korea and Vietnam and Taiwan to control it, and we dithered and doubted the evidence and worried about the economic repercussions of it, which I can understand." New York's stay-at-home order: Should state leaders have acted sooner? He added, "It’s an uncertain time and it’s difficult, but this is one of the few instances where leadership really matters." Cuomo has put the blame squarely on the federal government, saying it let more than 3 million Europeans travel to the U.S., mainly the Northeast, at least six weeks before the pandemic became apparent. A U.S. Centers for Disease Control and Prevention report July 17 noted that by the time travel restrictions from Europe were put in place March 13, "importation and community transmission of SARS-CoV-2 had already occurred in NYC." A faster shutdown may also have saved more lives among the most vulnerable population, those in nursing homes and extended care facilities. About 43% of New Jersey's deaths occurred in nursing homes, while nearly 6,300 deaths in New York, or 25% of the total, were in the facilities. Nursing home deaths made up nearly 70% of COVID-19 deaths in Pennsylvania. The nursing home deaths have drawn heavy scrutiny over whether states should have better insulated residents from COVID cases, but New York has insisted the problem was due to staff spreading the infection through the homes. Andover Subacute and Rehab Center was over whelmed with 17 bodies at their morgue that could only hold 4 bodies in Andover Township, N.J. U.S. Rep. Tom Reed, R-N.Y., is among those calling for an independent investigation of nursing home deaths. He said in a July 6 statement that blaming staff "when the state knowingly created COVID hotspots by forcing homes to accept COVID-positive patients is a slap in the face to those who lost a loved one." New Jersey nursing home deaths: Police find 18 bodies in 'makeshift'facility What Northeast states learned from the first wave of the pandemic New York's daily death toll hit as high as 800 in early April, but now daily deaths are in the single digits and there have been a few days without any deaths reported. The Northeast is trying to keep it that way, with New York, New Jersey and Connecticut requiring a 14-day quarantine for visitors from states with high infection rates and mandating they fill out questionnaires when they enter New York. And the states' phased reopening has been largely successful compared to states in the South and West that now are shutting down businesses after a broad reopening last month. "The only way we can keep our positivity rate and our RT, or rate of transmission low, is by taking the precautions that we have across the past four months," New Jersey Gov. Phil Murphy said July 17. The pandemic, in many ways, has laid bare fundamental flaws in American society. 'We're witnessing history': Why George Floyd's death, COVID-19 inequality sparked protests COVID-19 racial disparities: Black people dying from coronavirus at much higher rates in cities across the USA Watching the coronavirus spread like wildfire through low-income communities plagued by overcrowded housing underscored the systemic racism fueling disparate health outcomes for generations of Black and Hispanic people. Stories of nurses and doctors being infected with COVID-19 and dying as hospitals struggled to secure protective masks and gowns exposed gaping holes in emergency preparedness plans and government stockpile systems. And in the face of new surges across the country, renewed fears of shortages of personal protective equipment and COVID-19 testing supplies further revealed the faults in a medical supply chain over-reliant on Chinese imports. Yet efforts in the Northeast to shore up regional manufacturing of basic medical goods and COVID-19 testing infrastructure show promise against a second wave. New public health responses targeting zip codes hit hardest by COVID-19 deaths also offered a glimmer of hope that key resources, including contact tracing, testing and medical care, would better reach communities of color. Meanwhile, politically charged debates over reopening plans and mask wearing in public, which New York mandated April 15 to help turn the tide in its coronavirus outbreak, endangered the entire undertaking nationally, experts said. “We are seeing unnecessary tens of thousands of deaths and illnesses and disruption because people do not want to believe the evidence,” said Dr. Gregory Poland, an Infectious Diseases Society of America and Mayo Clinic expert. A woman wearing a face mask walks along the Jersey City waterfront with the New York City skyline in the background on April 10. “They make it into a political or cultural or economic or faith-based issue, and it’s not,” he said. “The virus knows nothing of those areas. The virus knows one thing: Find the next susceptible person and infect them.” Delaware's meat plants, nursing homes hit hard as testing lagged That was the case in Delaware: State health officials saw a significant outbreak in April in small towns in Sussex County, particularly among Hispanics and Haitian immigrant communities. Many of those residents work in the county’s largest industry — chicken processing plants — where to complete their jobs, workers must stand close together, not adhering to social distancing guidelines. Cheap chicken, beef came at a cost: How American meat plants bred coronavirus hot spots. Many of the low-income workers can't afford to lose a paycheck, leading to hesitation about whether they should get tested — even if they have been exposed to the virus. Language barriers led to challenges when the residents tried to access emergency resources and learn what safety precautions they needed to take. Delaware nursing homes were also devastated in the early weeks of the pandemic, particularly because it was difficult for facilities to obtain protective equipment for employees and they have been historically understaffed. Because of limited testing in Delaware at the time, only residents with symptoms could receive a COVID-19 test. Gov. John Carney speaks to the media during a briefing on the status of the coronavirus pandemic in Delaware on Tuesday, July 14, 2020, at the Carvel State Office Building in Wilmington. Deaths in long-term care facilities have contributed to more than 60% of the cumulative number of COVID-19 deaths in Delaware. It has led to Gov. John Carney requiring all long-term care employees to be tested on a weekly basis. "One of the biggest problems across the country and every state in America from the beginning of this COVID crisis was the lack of availability of testing," Maryland Gov. Hogan said June 10. A quick, cheap test would help stop COVID-19: So why don't we have one? While Delaware has seen a decrease in the number of daily COVID-19 cases and hospitalizations, the Rehoboth-Dewey Beach ZIP code saw a spike in cases in late June. Many of these cases involved young people and residents. In late June, Carney announced that he is pausing Delaware's plans to reopen its economy. Not long after, he mandated that, in eastern Sussex County, customers will no longer be able to sit or stand at a bar. Instead, beachgoers will have to sit at a table and be served. “Too many Delawareans and visitors are not following basic public health precautions,"Carney said June 25."Now’s not the time to let up."Pennsylvania sees harsh economic impacts When the coronavirus pandemic hit Pennsylvania in March, Gov. Tom Wolf scrambled to prevent his biggest fear — overwhelmed hospitals that had no beds for patients. Pennsylvania never ran out of hospital beds or life-saving ventilators, even when the virus peaked in April. But businesses opened in defiance of state orders. Republican lawmakers tried to end the emergency powers of Wolf, a Democrat. Gov. Tom Wolf gives an update on Pennsylvania's efforts to mitigate the effects of the new coronavirus. Millions lost jobs. Businesses struggled to survive. Without a bailout, the restaurant industry could end up a shadow of its former self, especially now that the governor has ordered them to either cut back to 25% of their dine-in capacity or close again. And now, as administrators, parents and politicians argue about whether to send children back to school, Pennsylvania is seeing a surge of fresh cases. Back to school? Despite CDC recommendations, most major schools going online as COVID-19 cases spike This pandemic steered Pennsylvania toward a recession. The Pandemic Unemployment Assistance and the Paycheck Protection Program helped, but they have an expiration date, and right now “this virus doesn’t,” Labor and Industry Secretary Jerry Oleksiak said So even as the state crawls out from economic lock-down, high unemployment and the lingering public health crisis slow the process, leaving economists to agree on one thing: Pennsylvania won't to recover from this disaster for years."Ultimately, what’s going to work is not enforcement,"Wolf said May 26."What’s going to work is each and every individual Pennsylvanian, each and every business owner doing everything they can to protect their employees and their customers and protect each other from this disease."'We don’t really have a clear national policy on this' Many experts and health officials attributed the most glaring missteps to the lack of federal government leadership. The criticism spanned from the CDC distributing faulty test kits to states, which delayed the pandemic response in January and February, to mixed messages coming from the Trump administration regarding the threat posed by current spikes in COVID-19 cases. “We don’t really have a clear national policy on this, and that’s been pretty evident,” said Dr. Michael Mendoza, health commissioner of Monroe County in upstate New York. In the absence of a universal plan, some states ignored, or shunned, lessons learned in the Northeast, threatening to undo the communal sacrifices that helped reduce infections in New York and New Jersey. “When our messages and our data became politicized and distorted … that’s when it became very difficult for us,” Mendoza said. Amid the chaotic early weeks of the pandemic this spring, the politically fueled confusion proved especially harmful due to limited scientific understanding at the time of how the coronavirus stealthily spread before symptoms appeared in many people. More: The White House has sent conflicting messages on wearing masks and the new coronavirus cases As intensive care units filled up, state officials scrambled to boost hospital bed capacity. Fears that hospitals would run out of lifesaving breathing machines ignited interstate competition over ventilators, as opposed to a coordinated national response. Ultimately, the flawed preparedness plan and scattershot emergency response helped delay the revelations unfolding today, such as the prospect that all Americans wearing face-coverings in public could dramatically decrease the virus’ spread in four to six weeks. In dissecting the myriad of pandemic-related failures, Poland of the Mayo Clinic evoked findings of the 9/11 Commission report that delved into the terrorist attacks of Sept. 11, 2001. “We believe the fundamental problem was one of imaginability, though we had been warned many times and many ways, we failed to imagine it was possible and therefore failed to prepare,” he said, recounting the report. “I think that singular statement is precisely applicable to the pandemic,” Poland said, adding, “I hope that one thing that has happened is that our deniability has been stripped away and our imaginability enlivened.” Northeast states continue to limit reopening New York and New Jersey have reopened many businesses but have kept some closed. New Jersey has not allowed the resumption of indoor dining, while New York has outside New York City. Customers dine outside PhoBar, Monday, June 22, 2020, in New York. New York City Mayor Bill de Blasio says he is delaying the planned resumption of indoor dining at restaurants in the city out of fear it would ignite a a spike in coronavirus infections. Malls, casinos and amusement parks have remained shuttered in New York, but New Jersey and Pennsylvania have opened them with safety precautions. And New York tightened restrictions on outdoor dining, requiring alcohol purchases to be accompanied by food to cut down on large drinking scenes. It's a process that Northeast governors continue to evaluate based on daily monitoring of the rates of infection. The concern is that the rapid spread of disease in the bulk of the country will eventually cause a spike in states that have been successful in tamping down the virus."This second wave is just going to be other states infecting us again for a second time,"Cuomo said July 16 on MSNBC."There's no vaccine yet," New Jersey's Murphy warned July 17."All we've got is social distancing, wearing a face covering whenever you are out in public, and certainly whenever you're indoors, washing your hands frequently with soap and water for at least 20 seconds."Gov. Phil Murphy speaks during his Friday, June 26, 2020, press conference at War Memorial in Trenton, NJ, on the state's response to the coronavirus. Republican lawmakers in New Jersey allege Murphy cut state lawmakers out when he crafted coronavirus-related orders, unfairly allowed big-box retailers to remain open while forcing smaller stores to close. He limited outdoor gatherings, then showed up at Black Lives Matters rallies where protesters were not socially distanced. Those rallies, however, were not shown to result in spikes of COVID-19 cases. But, like other Northeast states, Murphy’s strategy began to look smarter in July. As states like California, Texas and Florida, which reopened sooner than New Jersey, began to see virus cases surge, their governors hastily re-closed businesses they had allowed to reopen. Now, Murphy hopes to not join those states in having to change course. "We should all take pride in the fact we want to get this exactly as right as we can," he said. This article originally appeared on USA TODAY NETWORK: COVID-19: Is New York, New Jersey, region ready for coronavirus spike?</t>
  </si>
  <si>
    <t>News Yahoo</t>
  </si>
  <si>
    <t>news.yahoo.com</t>
  </si>
  <si>
    <t>Joseph Spector, David Robinson, Terrence T. McDonald and Meredith Newman, USA TODAY NETWORK
In early March, Dr. Jeffrey Shaman watched from his New York City home as political leaders debated how best to control the first cases of the new coronavirus.
It soon led to screaming at the television.
Shaman, an infectious disease expert at Columbia University, said he thought city schools should have been closed right then, in the first week of March, or at least by the second week of the month.
"It was definitely too slow," he told the USA TODAY Network. "I could not believe the schools were still open."
Schools in New York ultimately closed March 16 when the state had 950 COVID-19 cases and nine deaths.
New York and New Jersey have gone on to have the most coronavirus deaths in the nation, nearly 32,600 (including 4,600 probable deaths in New York City) and 15,700, respectively.
That was followed by 8,500 in Massachusetts; 8,400 in California; 7,600 in Illinois and 7,100 in Pennsylvania. Maryland had about 3,500 deaths, while Delaware had 580, according to federal data.
Infection rates in the Northeast have fallen to record lows in recent weeks even as they have soared to record highs in more than 30 other states, mostly in the South and West.
Now the question is: How well prepared are Northeast states for another spike of COVID-19?
Nowhere in the country is a region more aware of the virus' impact than the Northeast.
And that experience — with thousands of deaths, overwhelmed hospitals and a shuttered economy — is working to inform how officials respond to an anticipated second wave.
The states have been working together to try to thwart a spike, but at the same time making independent decisions on when to open or close certain industries.
"We see the second wave in the distance," New York Gov. Andrew Cuomo said July 17. "It will have an effect on New York. How bad? We don’t know. But we cannot stop the virus at our borders. We’re trying everything we can."Late shutdowns, European travel and nursing homes fueled virus' early daysShaman's early warnings about the need for a quick shutdown were not heeded. New York didn't close to non-essential workers until March 22, when the state had 114 deaths and more than 15,000 cases.
Shaman co-authored a study in May that said New York could have saved as many as 17,000 lives if it instituted its stay-at-home order two weeks earlier.
"We didn’t pick up and learn quickly from seeing what was happening in China," Shaman said.
"We didn’t follow the leads of South Korea and Vietnam and Taiwan to control it, and we dithered and doubted the evidence and worried about the economic repercussions of it, which I can understand."New York's stay-at-home order:He added, "It’s an uncertain time and it’s difficult, but this is one of the few instances where leadership really matters."
Cuomo has put the blame squarely on the federal government, saying it let more than 3 million Europeans travel to the U.S., mainly the Northeast, at least six weeks before the pandemic became apparent.
A U.S. Centers for Disease Control and Prevention report July 17 noted that by the time travel restrictions from Europe were put in place March 13, "importation and community transmission of SARS-CoV-2 had already occurred in NYC."
A faster shutdown may also have saved more lives among the most vulnerable population, those in nursing homes and extended care facilities.
About 43% of New Jersey's deaths occurred in nursing homes, while nearly 6,300 deaths in New York, or 25% of the total, were in the facilities. Nursing home deaths made up nearly 70% of COVID-19 deaths in Pennsylvania.
The nursing home deaths have drawn heavy scrutiny over whether states should have better insulated residents from COVID cases, but New York has insisted the problem was due to staff spreading the infection through the homes.
U.S. Rep. Tom Reed, R-N.Y., is among those calling for an independent investigation of nursing home deaths.
He said in a July 6 statement that blaming staff "when the state knowingly created COVID hotspots by forcing homes to accept COVID-positive patients is a slap in the face to those who lost a loved one."What Northeast states learned from the first wave of the pandemicNew York's daily death toll hit as high as 800 in early April, but now daily deaths are in the single digits and there have been a few days without any deaths reported.
The Northeast is trying to keep it that way, with New York, New Jersey and Connecticut requiring a 14-day quarantine for visitors from states with high infection rates and mandating they fill out questionnaires when they enter New York.
And the states' phased reopening has been largely successful compared to states in the South and West that now are shutting down businesses after a broad reopening last month.
"The only way we can keep our positivity rate and our RT, or rate of transmission low, is by taking the precautions that we have across the past four months," New Jersey Gov. Phil Murphy said July 17.
Watching the coronavirus spread like wildfire through low-income communities plagued by overcrowded housing underscored the systemic racism fueling disparate health outcomes for generations of Black and Hispanic people.
Stories of nurses and doctors being infected with COVID-19 and dying as hospitals struggled to secure protective masks and gowns exposed gaping holes in emergency preparedness plans and government stockpile systems.
And in the face of new surges across the country, renewed fears of shortages of personal protective equipment and COVID-19 testing supplies further revealed the faults in a medical supply chain over-reliant on Chinese imports.
Yet efforts in the Northeast to shore up regional manufacturing of basic medical goods and COVID-19 testing infrastructure show promise against a second wave.
New public health responses targeting zip codes hit hardest by COVID-19 deaths also offered a glimmer of hope that key resources, including contact tracing, testing and medical care, would better reach communities of color.
Meanwhile, politically charged debates over reopening plans and mask wearing in public, which New York mandated April 15 to help turn the tide in its coronavirus outbreak, endangered the entire undertaking nationally, experts said.
“We are seeing unnecessary tens of thousands of deaths and illnesses and disruption because people do not want to believe the evidence,” said Dr. Gregory Poland, an Infectious Diseases Society of America and Mayo Clinic expert.
“They make it into a political or cultural or economic or faith-based issue, and it’s not,” he said. “The virus knows nothing of those areas. The virus knows one thing: Find the next susceptible person and infect them.”Delaware's meat plants, nursing homes hit hard as testing laggedThat was the case in Delaware: State health officials saw a significant outbreak in April in small towns in Sussex County, particularly among Hispanics and Haitian immigrant communities.
Many of those residents work in the county’s largest industry — chicken processing plants — where to complete their jobs, workers must stand close together, not adhering to social distancing guidelines.
Cheap chicken, beef came at a cost: How American meat plants bred coronavirus hot spots.
Many of the low-income workers can't afford to lose a paycheck, leading to hesitation about whether they should get tested — even if they have been exposed to the virus.
Language barriers led to challenges when the residents tried to access emergency resources and learn what safety precautions they needed to take.
Delaware nursing homes were also devastated in the early weeks of the pandemic, particularly because it was difficult for facilities to obtain protective equipment for employees and they have been historically understaffed.
Because of limited testing in Delaware at the time, only residents with symptoms could receive a COVID-19 test.
Deaths in long-term care facilities have contributed to more than 60% of the cumulative number of COVID-19 deaths in Delaware. It has led to Gov. John Carney requiring all long-term care employees to be tested on a weekly basis.
"One of the biggest problems across the country and every state in America from the beginning of this COVID crisis was the lack of availability of testing," Maryland Gov. Hogan said June 10.
A quick, cheap test would help stop COVID-19: So why don't we have one?
While Delaware has seen a decrease in the number of daily COVID-19 cases and hospitalizations, the Rehoboth-Dewey Beach ZIP code saw a spike in cases in late June. Many of these cases involved young people and residents.
In late June, Carney announced that he is pausing Delaware's plans to reopen its economy. Not long after, he mandated that, in eastern Sussex County, customers will no longer be able to sit or stand at a bar. Instead, beachgoers will have to sit at a table and be served.
“Too many Delawareans and visitors are not following basic public health precautions,"
Carney said June 25. "Now’s not the time to let up."Pennsylvania sees harsh economic impactsWhen the coronavirus pandemic hit Pennsylvania in March, Gov. Tom Wolf scrambled to prevent his biggest fear — overwhelmed hospitals that had no beds for patients.
Pennsylvania never ran out of hospital beds or life-saving ventilators, even when the virus peaked in April.
But businesses opened in defiance of state orders. Republican lawmakers tried to end the emergency powers of Wolf, a Democrat.
Millions lost jobs. Businesses struggled to survive. Without a bailout, the restaurant industry could end up a shadow of its former self, especially now that the governor has ordered them to either cut back to 25% of their dine-in capacity or close again.
And now, as administrators, parents and politicians argue about whether to send children back to school, Pennsylvania is seeing a surge of fresh cases.
This pandemic steered Pennsylvania toward a recession. The Pandemic Unemployment Assistance and the Paycheck Protection Program helped, but they have an expiration date, and right now “this virus doesn’t,” Labor and Industry Secretary Jerry Oleksiak said
So even as the state crawls out from economic lock-down, high unemployment and the lingering public health crisis slow the process, leaving economists to agree on one thing: Pennsylvania won't to recover from this disaster for years.
"Ultimately, what’s going to work is not enforcement," Wolf said May 26. "What’s going to work is each and every individual Pennsylvanian, each and every business owner doing everything they can to protect their employees and their customers and protect each other from this disease."'We don’t really have a clear national policy on this'Many experts and health officials attributed the most glaring missteps to the lack of federal government leadership.
The criticism spanned from the CDC distributing faulty test kits to states, which delayed the pandemic response in January and February, to mixed messages coming from the Trump administration regarding the threat posed by current spikes in COVID-19 cases.
“We don’t really have a clear national policy on this, and that’s been pretty evident,” said Dr. Michael Mendoza, health commissioner of Monroe County in upstate New York.
In the absence of a universal plan, some states ignored, or shunned, lessons learned in the Northeast, threatening to undo the communal sacrifices that helped reduce infections in New York and New Jersey.
“When our messages and our data became politicized and distorted … that’s when it became very difficult for us,” Mendoza said.
Amid the chaotic early weeks of the pandemic this spring, the politically fueled confusion proved especially harmful due to limited scientific understanding at the time of how the coronavirus stealthily spread before symptoms appeared in many people.
As intensive care units filled up, state officials scrambled to boost hospital bed capacity. Fears that hospitals would run out of lifesaving breathing machines ignited interstate competition over ventilators, as opposed to a coordinated national response.
Ultimately, the flawed preparedness plan and scattershot emergency response helped delay the revelations unfolding today, such as the prospect that all Americans wearing face-coverings in public could dramatically decrease the virus’ spread in four to six weeks.
In dissecting the myriad of pandemic-related failures, Poland of the Mayo Clinic evoked findings of the 9/11 Commission report that delved into the terrorist attacks of Sept. 11, 2001.
“We believe the fundamental problem was one of imaginability, though we had been warned many times and many ways, we failed to imagine it was possible and therefore failed to prepare,” he said, recounting the report.
“I think that singular statement is precisely applicable to the pandemic,” Poland said, adding, “I hope that one thing that has happened is that our deniability has been stripped away and our imaginability enlivened.”Northeast states continue to limit reopeningNew York and New Jersey have reopened many businesses but have kept some closed.
New Jersey has not allowed the resumption of indoor dining, while New York has outside New York City.
Malls, casinos and amusement parks have remained shuttered in New York, but New Jersey and Pennsylvania have opened them with safety precautions.
And New York tightened restrictions on outdoor dining, requiring alcohol purchases to be accompanied by food to cut down on large drinking scenes.
It's a process that Northeast governors continue to evaluate based on daily monitoring of the rates of infection. The concern is that the rapid spread of disease in the bulk of the country will eventually cause a spike in states that have been successful in tamping down the virus.
"This second wave is just going to be other states infecting us again for a second time," Cuomo said July 16 on MSNBC.
"There's no vaccine yet," New Jersey's Murphy warned July 17.
"All we've got is social distancing, wearing a face covering whenever you are out in public, and certainly whenever you're indoors, washing your hands frequently with soap and water for at least 20 seconds."</t>
  </si>
  <si>
    <t>Hattiesburg American</t>
  </si>
  <si>
    <t>hattiesburgamerican.com</t>
  </si>
  <si>
    <t>Joseph Spector, David Robinson, Terrence T. McDonald and Meredith Newman, USA TODAY NETWORK Published 2:00 a.m. PT July 29, 2020
Shaman, an infectious disease expert at Columbia University, said he thought city schools should have been closed right then, in the first week of March, or at least by the second week of the month.
"It was definitely too slow," he told the USA TODAY Network. "I could not believe the schools were still open."
Schools in New York ultimately closed March 16 when the state had 950 COVID-19 cases and nine deaths.
New York and New Jersey have gone on to have the most coronavirus deaths in the nation, nearly 32,600 (including 4,600 probable deaths in New York City) and 15,700, respectively.
That was followed by 8,500 in Massachusetts; 8,400 in California; 7,600 in Illinois and 7,100 in Pennsylvania. Maryland had about 3,500 deaths, while Delaware had 580, according to federal data.
Infection rates in the Northeast have fallen to record lows in recent weeks even as they have soared to record highs in more than 30 other states, mostly in the South and West.
Now the question is: How well prepared are Northeast states for another spike of COVID-19?
Nowhere in the country is a region more aware of the virus' impact than the Northeast.
And that experience — with thousands of deaths, overwhelmed hospitals and a shuttered economy — is working to inform how officials respond to an anticipated second wave.
The states have been working together to try to thwart a spike, but at the same time making independent decisions on when to open or close certain industries.
"We see the second wave in the distance," New York Gov. Andrew Cuomo said July 17. "It will have an effect on New York. How bad? We don’t know. But we cannot stop the virus at our borders. We’re trying everything we can."Late shutdowns, European travel and nursing homes fueled virus' early daysShaman's early warnings about the need for a quick shutdown were not heeded. New York didn't close to non-essential workers until March 22, when the state had 114 deaths and more than 15,000 cases.
Shaman co-authored a study in May that said New York could have saved as many as 17,000 lives if it instituted its stay-at-home order two weeks earlier.
"We didn’t pick up and learn quickly from seeing what was happening in China," Shaman said.
"We didn’t follow the leads of South Korea and Vietnam and Taiwan to control it, and we dithered and doubted the evidence and worried about the economic repercussions of it, which I can understand."New York's stay-at-home order:He added, "It’s an uncertain time and it’s difficult, but this is one of the few instances where leadership really matters."
Cuomo has put the blame squarely on the federal government, saying it let more than 3 million Europeans travel to the U.S., mainly the Northeast, at least six weeks before the pandemic became apparent.
A U.S. Centers for Disease Control and Prevention report July 17 noted that by the time travel restrictions from Europe were put in place March 13, "importation and community transmission of SARS-CoV-2 had already occurred in NYC."
A faster shutdown may also have saved more lives among the most vulnerable population, those in nursing homes and extended care facilities.
About 43% of New Jersey's deaths occurred in nursing homes, while nearly 6,300 deaths in New York, or 25% of the total, were in the facilities. Nursing home deaths made up nearly 70% of COVID-19 deaths in Pennsylvania.
The nursing home deaths have drawn heavy scrutiny over whether states should have better insulated residents from COVID cases, but New York has insisted the problem was due to staff spreading the infection through the homes.
U.S. Rep. Tom Reed, R-N.Y., is among those calling for an independent investigation of nursing home deaths.
He said in a July 6 statement that blaming staff "when the state knowingly created COVID hotspots by forcing homes to accept COVID-positive patients is a slap in the face to those who lost a loved one."New Jersey nursing home deaths:What Northeast states learned from the first wave of the pandemicNew York's daily death toll hit as high as 800 in early April, but now daily deaths are in the single digits and there have been a few days without any deaths reported.
The Northeast is trying to keep it that way, with New York, New Jersey and Connecticut requiring a 14-day quarantine for visitors from states with high infection rates and mandating they fill out questionnaires when they enter New York.
And the states' phased reopening has been largely successful compared to states in the South and West that now are shutting down businesses after a broad reopening last month.
"The only way we can keep our positivity rate and our RT, or rate of transmission low, is by taking the precautions that we have across the past four months," New Jersey Gov. Phil Murphy said July 17.
Watching the coronavirus spread like wildfire through low-income communities plagued by overcrowded housing underscored the systemic racism fueling disparate health outcomes for generations of Black and Hispanic people.
Stories of nurses and doctors being infected with COVID-19 and dying as hospitals struggled to secure protective masks and gowns exposed gaping holes in emergency preparedness plans and government stockpile systems.
And in the face of new surges across the country, renewed fears of shortages of personal protective equipment and COVID-19 testing supplies further revealed the faults in a medical supply chain over-reliant on Chinese imports.
Yet efforts in the Northeast to shore up regional manufacturing of basic medical goods and COVID-19 testing infrastructure show promise against a second wave.
New public health responses targeting zip codes hit hardest by COVID-19 deaths also offered a glimmer of hope that key resources, including contact tracing, testing and medical care, would better reach communities of color.
Meanwhile, politically charged debates over reopening plans and mask wearing in public, which New York mandated April 15 to help turn the tide in its coronavirus outbreak, endangered the entire undertaking nationally, experts said.
“We are seeing unnecessary tens of thousands of deaths and illnesses and disruption because people do not want to believe the evidence,” said Dr. Gregory Poland, an Infectious Diseases Society of America and Mayo Clinic expert.</t>
  </si>
  <si>
    <t>Visalia Times-Delta</t>
  </si>
  <si>
    <t>visaliatimesdelta.com</t>
  </si>
  <si>
    <t>Здравствуйте! Спасибо за отзыв. Мы внимательно рассмотрели, что происходило во время Ваших приёмов 22 и 23 июля. Приносим извинения за задержку перед Вашим приёмом 22 июля, нам пришлось делать дополнительные процедуры предыдущему пациенту (вводить контрастное усиление, что всегда увеличивает время исследования), в итоге Вы смогли зайти на приём примерно на полчаса позже. Учитывая, что в наш центр Вы пришли за 30-40 минут до назначенного времени, понимаем, что ожидание Ваше было длительным.
Действительно, 22 июля не удалось ввести Вам контраст. При "плохих" венах, о которых Вы заранее предупредили нашего специалиста, так иногда бывает. При этом, мы всегда идём навстречу нашим пациентам, поэтому предложили вам альтернативу перезаписи на другое, удобное для вас, время. Вероятнее всего, синяки появились после соприкосновения иглы с кожным покровом, что очень часто может быть, так как кожа в данной области наиболее чувствительна. В любом случае, мы приносим свои извинения перед вами, за оказанные неудобства!
Еще раз благодарим Вас за отзыв и желаем крепкого здоровья.
С уважением, исполнительный директор ООО «МРТ Эксперт Санкт-Петербург», Григорьева Юлия Алексеевна.</t>
  </si>
  <si>
    <t>округ Лахта-Ольгино</t>
  </si>
  <si>
    <t>10:47</t>
  </si>
  <si>
    <t>COVID what's next: What went wrong during first spike and how Northeast is preparing for another</t>
  </si>
  <si>
    <t>First in a series. COVID-19 killed tens of thousands in the Northeast, caused massive unemployment and wrecked the economy. Today, the USA TODAY Network Atlantic Group begins its series that examines what the government got wrong in its response to the virus, what policies eventually worked — and how the states are planning if the coronavirus spikes in the fall.
In the first days of March, Dr. Jeffrey Shaman watched from his New York City home as political leaders debated how best to control the first cases of the coronavirus.
It soon led to screaming at the television.
Shaman, an infectious disease expert at Columbia University, said he thought city schools should have been closed right then, in the first week of March, or at least by the second week of the month.
"It was definitely too slow," he told the USA TODAY Network Atlantic Group. "I live in New York City, and I could not believe the schools were still open."
Schools in New York were ultimately closed March 16, when the state had 950 COVID-19 cases and nine deaths.
New York and New Jersey have gone on to have the most coronavirus deaths in the nation, nearly 32,600 (including 4,600 probable deaths in New York City) and 15,825, respectively, as of earlier in the week.
That was followed by 8,500 in Massachusetts; 8,400 in California; 7,600 in Illinois and 7,100 in Pennsylvania. Maryland had about 3,500 deaths, while Delaware had 580, according to federal data.
Infection rates in the Northeast have fallen to record lows in recent weeks even as they have soared to record highs in more than 30 other states, mostly in the South and West.
Now the question is: How well prepared are Northeast states for another spike of COVID-19?
New York Gov. Andrew Cuomo said it's "almost inevitable" the state will grapple with what he called a second wave or, at least, an extension of the first wave.
"I feel like we’re standing on a beach, and we’re looking out into the sea, and we see the second wave building in the distance," Cuomo said on July 17.
"So, I want all New Yorkers to be on high alert."
Nowhere in the country is a region more aware of the virus' impact than the Northeast.
And that experience — with thousands of deaths, overwhelmed hospitals and a shuttered economy — is working to inform how officials respond to an anticipated second wave.
The states have been working together to try to thwart a spike, but at the same time making independent decisions on when to open or close certain industries.
"We see the second wave in the distance," Cuomo continued. "It will have an effect on New York. How bad? We don’t know. But we cannot stop the virus at our borders. We’re trying everything we can."What did the states do wrong and how can it improve?Shaman's early warnings about the need for a quick shutdown were not heeded. New York didn't close to nonessential workers until March 22, when the state had 114 deaths and more than 15,000 cases.
Shaman co-authored a study in May that said New York could have saved as many as 17,000 lives if it instituted its stay-at-home order two weeks earlier.
"We didn’t pick up and learn quickly from seeing what was happening in China," Shaman said.
"We didn’t follow the leads of South Korea and Vietnam and Taiwan to control it, and we dithered and doubted the evidence and worried about the economic repercussions of it, which I can understand."
He added, "It’s an uncertain time and it’s difficult, but this is one of the few instances where leadership really matters."
Cuomo has put the blame squarely on the federal government, saying it let more than 3 million Europeans travel to the U.S., mainly the Northeast, at least six weeks before the pandemic became apparent.
A U.S. Centers for Disease Control and Prevention report July 17 noted that by the time travel restrictions from Europe were put in place March 13, "importation and community transmission of SARS-CoV-2 had already occurred in NYC."
A faster shutdown may also have saved more lives among the most vulnerable population, those in nursing homes and extended care facilities.
About 43% of New Jersey's deaths have occurred in nursing homes, while nearly 6,300 deaths in New York, or 25% of the total, have been in the facilities.
Nursing home deaths have made up nearly 70% of COVID-19 deaths in Pennsylvania.
The nursing home deaths have drawn heavy scrutiny over whether states should have better insulated residents from COVID cases, but New York has insisted the problem was due to staff spreading the infection through the homes.
New York Rep. Tom Reed, R-Corning, is among those calling for an independent investigation of nursing home deaths.
He said in a July 6 statement that blaming staff "when the state knowingly created COVID hotspots by forcing homes to accept COVID-positive patients is a slap in the face to those who lost a loved one."What Northeast states learned from the pandemicNew York's daily death toll hit as high as 800 in early April, but now daily deaths are in the single digits and there have been a few days without any deaths reported.
The Northeast is trying to keep it that way, with New York, New Jersey and Connecticut requiring a 14-day quarantine for visitors from states with high infection rates and mandating they fill out questionnaires when they enter New York.
And the states' phased reopening has been largely successful compared to states in the South and West that now are shutting down businesses after a broad reopening last month.
"The only way we can keep our positivity rate and our RT, or rate of transmission low, is by taking the precautions that we have across the past four months," Gov. Phil Murphy said July 17.
The pandemic, in many ways, has laid bare fundamental flaws in American society.
Watching the coronavirus spread like wildfire through low-income communities plagued by overcrowded housing underscored the systemic racism fueling disparate health outcomes for generations of Black and Hispanic people.
Stories of nurses and doctors being infected with COVID-19 and dying as hospitals struggled to secure protective masks and gowns exposed gaping holes in emergency preparedness plans and government stockpile systems.
And in the face of new surges across the country, renewed fears of shortages of personal protective equipment and COVID-19 testing supplies further revealed the faults in a medical supply chain over-reliant on Chinese imports.
Yet efforts in the Northeast to shore up regional manufacturing of basic medical goods and COVID-19 testing infrastructure show promise against a second wave.
New public health responses targeting ZIP codes hit hardest by COVID-19 deaths also offered a glimmer of hope that key resources, including contact tracing, testing and medical care, would better reach communities of color.
Meanwhile, politically charged debates over reopening plans and mask wearing in public, which New York mandated April 15 to help turn the tide in its coronavirus outbreak, endangered the entire undertaking nationally, experts said.
“We are seeing unnecessary tens of thousands of deaths and illnesses and disruption because people do not want to believe the evidence,” said Dr. Gregory Poland, an Infectious Diseases Society of America and Mayo Clinic expert.
“They make it into a political or cultural or economic or faith-based issue, and it’s not,” he said. “The virus knows nothing of those areas. The virus knows one thing: Find the next susceptible person and infect them.”How coronavirus first spread in the NortheastIn Delaware, state health officials saw a significant outbreak in April in small towns in Sussex County, particularly among Hispanics and Haitian immigrant communities.
Many of those residents work in the county’s largest industry — chicken processing plants — where to complete their jobs, workers must stand close together, not adhering to social distancing guidelines.
Many of the low-income workers can't afford to lose a paycheck, leading to hesitation about whether they should get tested — even if they had been exposed to the virus.
Language barriers led to challenges when the residents tried to access emergency resources and learn what safety precautions they needed to take.
Delaware nursing homes were also devastated in the early weeks of the pandemic, particularly because it was difficult for facilities to obtain protective equipment for employees, and they have been historically understaffed.
Because of limited testing in Delaware at the time, only residents with symptoms could receive a COVID-19 test.
Deaths in long-term care facilities have contributed to more than 60% of the cumulative number of COVID-19 deaths in Delaware. It has led to Gov. John Carney requiring all long-term care employees to be tested on a weekly basis.
"One of the biggest problems across the country and every state in America from the beginning of this COVID crisis was the lack of availability of testing," Maryland Gov. Larry Hogan said June 10.
"It was the most serious obstacle to safely reopening the economy."
While Delaware has seen a decrease in the number of daily COVID-19 cases and hospitalizations, the Rehoboth-Dewey Beach ZIP code saw a spike in cases in late June. Many of these cases involved young people and residents.
In late June, Carney announced that he was pausing Delaware's plans to reopen its economy. Not long after, he mandated that, in eastern Sussex County, customers will no longer be able to sit or stand at a bar.
Instead, beachgoers will have to sit at a table and be served.
“Too many Delawareans and visitors are not following basic public health precautions,"
Carney said on June 25.
"We’ve heard and seen concerns especially in our beach communities, in restaurants, in gyms, and at sporting events. Now’s not the time to let up."Protecting hospitals for a future spikeWhen the coronavirus pandemic hit Pennsylvania in March, Gov. Tom Wolf scrambled to prevent his biggest fear — overwhelmed hospitals that had no beds for patients.
Pennsylvania never ran out of hospital beds or lifesaving ventilators, even when the virus peaked in April.
But businesses opened in defiance of state orders. Republican lawmakers tried to end the emergency powers of Wolf, a Democrat.
Millions lost jobs. Businesses struggled to survive. Without a bailout, the restaurant industry could end up a shadow of its former self, especially now that the governor has ordered them to either cut back to 25% of their dine-in capacity or close again.
Prisons thinned their populations through early releases and furloughs.
But inmate advocates and Corrections Secretary John Wetzel agree that state prison populations need to be reduced more, especially at sites that are old and poorly designed for infection control.
And now, as administrators, parents and politicians argue about whether to send children back to school, Pennsylvania is seeing a surge of fresh cases.
This pandemic steered Pennsylvania toward a recession. The Pandemic Unemployment Assistance and the Paycheck Protection Program helped, but they have an expiration date, and right now “this virus doesn’t,” Labor and Industry Secretary Jerry Oleksiak said.
So even as the state crawls out from economic lockdown, high unemployment and the lingering public health crisis slow the process, leaving economists to agree on one thing: Pennsylvania won't recover from this disaster for years.
"Ultimately, what’s going to work is not enforcement," Wolf said May 26. "What’s going to work is each and every individual Pennsylvanian, each and every business owner doing everything they can to protect their employees and their customers and protect each other from this disease."What states will do in the coming monthsMany experts and health officials attributed the most glaring missteps to the lack of federal government leadership.
The criticism spanned from the CDC distributing faulty test kits to states, which delayed the pandemic response in January and February, to mixed messages coming from the Trump administration regarding the threat posed by current spikes in COVID-19 cases.
“We don’t really have a clear national policy on this, and that’s been pretty evident,” said Dr. Michael Mendoza, health commissioner of Monroe County in upstate New York.
In the absence of a universal plan, some states ignored, or shunned, lessons learned in the Northeast, threatening to undo the communal sacrifices that helped reduce infections in New York and New Jersey.
“When our messages and our data became politicized and distorted…that’s when it became very difficult for us,” Mendoza said.
Amid the chaotic early weeks of the pandemic this spring, the politically fueled confusion proved especially harmful due to limited scientific understanding at the time of how the coronavirus stealthily spread before symptoms appeared in many people.
As intensive care units filled up, state officials scrambled to boost hospital bed capacity. Fears that hospitals would run out of lifesaving breathing machines ignited interstate competition over ventilators, as opposed to a coordinated national response.
Ultimately, the flawed preparedness plan and scattershot emergency response helped delay the revelations unfolding today, such as the prospect that all Americans wearing face coverings in public could dramatically decrease the virus’ spread in four to six weeks.
In dissecting the myriad of pandemic-related failures, Dr. Gregory Poland of the Mayo Clinic evoked findings of the 9/11 Commission report that delved into the terrorist attacks of Sept. 11, 2001.
“We believe the fundamental problem was one of imaginability, though we had been warned many times and many ways, we failed to imagine it was possible and therefore failed to prepare,” he said, recounting the report.
“I think that singular statement is precisely applicable to the pandemic,” Poland said, adding, “I hope that one thing that has happened is that our deniability has been stripped away and our imaginability enlivened.”Northeast states continue to limit reopeningNew York and New Jersey have reopened many businesses but have kept some closed.
New Jersey has not allowed the resumption of indoor dining, while New York has outside New York City.
Malls, casinos and amusement parks have remained shuttered in New York, but New Jersey and Pennsylvania have opened them with safety precautions.</t>
  </si>
  <si>
    <t>hockessincommunitynews.com</t>
  </si>
  <si>
    <t>07:32</t>
  </si>
  <si>
    <t>https://www.rasyog.com/
Free online Ayurveda counselling, phone counselling and treatment at Rasyog clinic. Expert from Ayurveda specialist doctor at Rasyog Ayurveda in Mumbai, India</t>
  </si>
  <si>
    <t>monk</t>
  </si>
  <si>
    <t>06:31</t>
  </si>
  <si>
    <t>STOP EXCESSIVE SWEATING FAST!
Enjoy professional #hyperhidrosis treatment for less.
VISIT NOW --&gt; http://www.NoSweatClinic.com
- - - - - - - - - - - - - - - - - - - - - - - - - - - - - - -
No Sweat Clinic
Expert hyperhidrosis treatment in Sydney, Melbourne, Brisbane &amp; Gold Coast
Medicare rebates for underarm sweat treatment (see website)
Stop excessive #sweating fast with the specialists.
WEBSITE --&gt; http://www.NoSweatClinic.com
- - - - - - - - - - - - - - - - - - - - - - - - - - - - - - -
#sweat #hyperhidrosistreatment #sweatclinic #profusesweating #sydney #melbourne #brisbane #goldcoast #parramatta #campbelltown #penrith #sydneycbd #sydneycity #auburn #northSydney #Waverley #CanadaBay #SouthSydney #Marrickville #ElizabethBay #Pyrmont #RushcuttersBay #SydneyHarbour #WentworthPoint #Ultimo #Darlinghurst #Glebe #NSW</t>
  </si>
  <si>
    <t>No Sweat Clinic</t>
  </si>
  <si>
    <t>Новый Южный Уэльс</t>
  </si>
  <si>
    <t>Сидней</t>
  </si>
  <si>
    <t>03:32</t>
  </si>
  <si>
    <t>@DoctorCheryl @4YrsToday Actually it's 1.2 microns, which is the same as a micrometer. And you're not going to get just a single covid particle hanging around, it will be stuck to other particles, moisture and snot. 
https://newsnetwork.mayoclinic.org/discussion/covid-19-mayo-clinic-expert-answers-questions-about-masks-after-cdc-updates-its-recommendation/</t>
  </si>
  <si>
    <t>comboverwhelmed</t>
  </si>
  <si>
    <t>00:41</t>
  </si>
  <si>
    <t>Why reply . Covid in U.S. vs The World.</t>
  </si>
  <si>
    <t>yoopertoo said:
					↑ goto/post?id=8493551#post-8493551 
		Do you believe everything WHO and the CDC says? You meant to tell me you simply node and say okay no matter what they say? really? Do you mean to tell me you only believe bureaucratic officials and you will not believe anything a non bureaucrat says?
Pay close attention to the quote s below:
azelkhntr, post: 8490859, member: 129245"]This Kung-flu is airborne and masks dont work. But why not? The Sars-cov 2 virus is reported to be 0.06 nanometers in size. I believe its actually 0.005um because i saw the very first published electron microscope pic in January.[/QUOTE]
			pescadero said:
					↑ goto/post?id=8491085#post-8491085 
		SARS-CoV-2 is an enveloped virus ≈0.1 μm in diameter
So... only ~1,667 times as large as what you are saying.
Qian Y, Willeke K, Grinshpun SA, Donnelly J, Coffey CC. Performance of N95 respirators: filtration efficiency for airborne microbial and inert particles. Am Ind Hyg Assoc J. 1998;59(2):128-132.
"different companies were found to have different filtration efficiencies for the most penetrating particle size (0.1 to 0.3 micron), but all were at least 95% efficient at that size"
...and:
https://blogs.cdc.gov/niosh-science-blog/2009/10/14/n95/
"How do filters collect particles?
These capture, or filtration, mechanisms are described as follows:
 http://blogs.cdc.gov/niosh-science-blog/files/2011/12/resp-filtration.gif 
Figure 1: Filtration mechanisms
Inertial impaction: With this mechanism, particles having too much inertia due to size or mass cannot follow the airstream as it is diverted around a filter fiber. This mechanism is responsible for collecting larger particles.
Interception: As particles pass close to a filter fiber, they may be intercepted by the fiber. Again, this mechanism is responsible for collecting larger particles.
Diffusion: Small particles are constantly bombarded by air molecules, which causes them to deviate from the airstream and come into contact with a filter fiber. This mechanism is responsible for collecting smaller particles.
Electrostatic attraction: Oppositely charged particles are attracted to a charged fiber. This collection mechanism does not favor a certain particle size."
...
As seen in Figure 2, there is a particle size at which none of the “mechanical” collection mechanisms (interception, impaction, or diffusion) is particularly effective. This “most penetrating particle size” (MPPS) marks the best point at which to measure filter performance. If the filter demonstrates a high level of performance at the MPPS, then particles both smaller AND larger will be collected with even higher performance. This is perhaps the most misunderstood aspect of filter performance and bears repeating. Filters do NOT act as sieves.
 http://blogs.cdc.gov/niosh-science-blog/files/2011/12/resp-diffusion.gif "
			Northernfisher said:
					↑ goto/post?id=8491137#post-8491137 
		Here is what the Mayo Clinic has to say about masks and virus size:
Q. What's the difference between cloth masks and medical masks, such as an N95 mask?
A. The idea behind an N95 mask is it has a filtering ability down to, and actually below, the size of SARS-CoV-2, the virus that causes COVID-19. So the coronavirus is about 0.12 microns in diameter and N95 (masks) protect down to 0.1 microns, with 95% efficiency, which is where it gets its name.
We don't want the public to think that the recommendation is for medical masking. That would be detrimental to us as a society, health care providers and patients who are sick with the disease need those masks.
https://newsnetwork.mayoclinic.org/...t-masks-after-cdc-updates-its-recommendation/ https://newsnetwork.mayoclinic.org/discussion/covid-19-mayo-clinic-expert-answers-questions-about-masks-after-cdc-updates-its-recommendation/ 
			azelkhntr said:
					↑ goto/post?id=8491225#post-8491225 
		So you are sticking with the Covid-19 virus being "0.06 nanometers in size."
Okay believe what you want but, a methane molecule is 0.3988 nm. (0.0003988 micron)
http://phycomp.technion.ac.il/~talimu/molecular_structure.html
Now methane is fairly small as it is only one carbon and 4 hydrogens.
For your 0.06 nanometers to be true covid-19 would have to be smaller than methane.
Did you get.  Someone posted something they saw on the internet.  ( with no sources) That post was corrected with posts with sources.
The CDC and WHO give sources.  When the sources are shown to be wrong they update their information.
So who do I believe more, the WHO or "azelkhntr, ?
WHO be far.  But hey that is just me using that stuff I learned in school.</t>
  </si>
  <si>
    <t>Northernfisher</t>
  </si>
  <si>
    <t>michigan-sportsman.com</t>
  </si>
  <si>
    <t>Sound Off</t>
  </si>
  <si>
    <t>Вашингтон</t>
  </si>
  <si>
    <t>Tri-Cities</t>
  </si>
  <si>
    <t>Northernfisher said:
					↑ goto/post?id=8491137#post-8491137 
		Here is what the Mayo Clinic has to say about masks and virus size:
Q. What's the difference between cloth masks and medical masks, such as an N95 mask?
A. The idea behind an N95 mask is it has a filtering ability down to, and actually below, the size of SARS-CoV-2, the virus that causes COVID-19. So the coronavirus is about 0.12 microns in diameter and N95 (masks) protect down to 0.1 microns, with 95% efficiency, which is where it gets its name.
We don't want the public to think that the recommendation is for medical masking. That would be detrimental to us as a society, health care providers and patients who are sick with the disease need those masks.
https://newsnetwork.mayoclinic.org/...t-masks-after-cdc-updates-its-recommendation/ https://newsnetwork.mayoclinic.org/discussion/covid-19-mayo-clinic-expert-answers-questions-about-masks-after-cdc-updates-its-recommendation/ 
Should I believe you or the Mayo Clinic:
 " According to the Centers for Disease Control and Prevention https://www.cdc.gov/media/releases/2020/s0522-cdc-updates-covid-transmission.html , the most common mode of transmission for COVID-19 https://newsnetwork.mayoclinic.org/category/covid-19/?mc_id=us&amp;utm_source=newsnetwork&amp;utm_medium=l&amp;utm_content=content&amp;utm_campaign=mayoclinic&amp;geo=national&amp;placementsite=enterprise&amp;cauid=100721  is through close contact from person to person. While it is possible that someone can get COVID-19 by touching a surface or object that has the virus on it and then touching their own mouth, nose or possibly their eyes, this isn’t thought to be the main way the virus spreads. "
https://newsnetwork.mayoclinic.org/...odcast-what-we-know-about-virus-transmission/ https://newsnetwork.mayoclinic.org/discussion/mayo-clinic-qa-podcast-what-we-know-about-virus-transmission/ 
A mask that filters down to 0.1 micromanage the virus size is 0.12 microns will help protect you.
For your claim about touching masks to be dangerous to be true the mask would have to be catching and stopping virus on its surface.  That storage would prevent you from inhaling the virus.
So which is it;  does the virus get trapped on the mask and protect your lungs or does the virus pass through the mask so the surface is safe?
Me, I am going with the experts at Mayo Clinic.
If we had the same death rate per million people as the world as a whole we would have fewer than 28,000 deaths, not our 149,900 that we are reporting.  (Actually that number would be even lower due to the impact our deaths is having on the world average).
So what I am still trying to get my head around is why we are so much worse than the rest of the world.  Is it climate, location, lack of belief in experts, or something else?
The studies are performed under a perfect fit.
In our union training and a test fit with
Respirator masks which are even better everyone failed the first time if not multiple times and the straps are so tight it digs in your skin and leaves marks for a couple hours.
I could take that synthetic smoke and make every single n 95 mask wear with barely a hint of smoke  around it gage and cough like mad.</t>
  </si>
  <si>
    <t>birdhntr</t>
  </si>
  <si>
    <t>Мичиган</t>
  </si>
  <si>
    <t>Village of Clarkston</t>
  </si>
  <si>
    <t>28.07.2020</t>
  </si>
  <si>
    <t>23:32</t>
  </si>
  <si>
    <t>Мрт-Эксперт Владимир, Мрт- всего тела,
МРТ с ГАРАНТИЕЙ!
Владимирцам в два раза снизили цену на обследование всего тела. Узнали кому его стоит пройти
Где сделать МРТ во Владимире. Медицинский центр «МртЭксперт» во Владимире
https://progorod33.ru/news/55090</t>
  </si>
  <si>
    <t>Ирина Серова</t>
  </si>
  <si>
    <t>23:07</t>
  </si>
  <si>
    <t>Twitter Censors Videos of Doctors&amp;#8217; Capitol Hill Coronavirus Press Conference, Locks Breitbart Account</t>
  </si>
  <si>
    <t>according to the may clinic the medical grade N95 masks (not the KN95 masks that people are buying which aren't helpful in protecting the wearer, I agree) filter down to .1 microns
https://newsnetwork.mayocli... https://disq.us/url?url=https://newsnetwork.mayoclinic.org/discussion/covid-19-mayo-clinic-expert-answers-questions-about-masks-after-cdc-updates-its-recommendation/:wJ00p1jRwZRrKA_tFyHLRZosOAs&amp;cuid=1290197 
So.... yeah. Also just look at the fact that doctors and nurses in hospitals with sufficient PPE aren't getting infected at rates higher then the general population which means that they aren't getting sick from being in and among infected people at work. So... yeah, again, your logic makes no sense.
As far as the whole masks causing illness thing - I am wearing loose fitting cotton masks and i'm only wearing them for a few hours at most before they go into the dirty laundry. they are intended to catch respiratory droplets that come out of my mouth should i be sick and not know it.
Anyone who is having the kinds of issues you are describing isn't using masks properly.  It also ignores the fact that medical workers wear masks for 12 to 16 hours at a time. Something they wouldn't do if it was a major health concern.</t>
  </si>
  <si>
    <t>Jose Maize</t>
  </si>
  <si>
    <t>breitbart.com</t>
  </si>
  <si>
    <t>Breitbart News Network</t>
  </si>
  <si>
    <t>20:52</t>
  </si>
  <si>
    <t>لا تنتظر وتؤجل ، ولكن لا اطالب بالعجلة ايضاً، فإن تلك الامور العالقة التي لازلت تؤجلها ومن دون سبب واضح هي نفسها الامور التي قد تغير الحال وقد تصل لأمور تغير مجرى حياتك، قم واستدر وافعل ! قد تكون نقطة الانطلاقة ! 
.
.
.
.
#استشارة #استشارة_نفسية #دكتور_نفسي #احتراف #تخصص #متخصص #دكتور #مستشفى #مريض #مرض #دكتور #علاج #صحة #صحة_نفسية #الكويت #كويت#عقل#عيادة
#psychology#Psychologist#heal #mental_health #mind #mental #brain 
#clinic #expert #professional #mental #disorders #wellness #help</t>
  </si>
  <si>
    <t>19:34</t>
  </si>
  <si>
    <t>แนะนำโปรแกรม BOTOX</t>
  </si>
  <si>
    <t>แนะนำโปรแกรม BOTOX
มาลดกรามปรับรูปหน้า ลดเลือนริ้วรอยแห่งวัยด้วยโบทูลินั่ม ท็อกซิน A หรือ BOTOX ที่นารดาคลินิกนะคะ เนื่องจาก BOTOX สามารถช่วยคลายกล้ามเนื้อ   ซึ่งส่วนใหญ่มักจะฉีด ที่กรามน่อง หรือแขน รวมถึงฉีดที่ปีกจมูกเพื่อช่วยให้ปีกจมูกเล็กลงด้วย  ไม่เพียงเท่านั้น BOTOX ยังช่วยลดเลือนริ้วรอยแห่งวัยที่เกิดจากการแสดงอารมณ์บนใบหน้า ที่บริเวณหน้าผาก หางตา และระหว่างคิ้วรวมถึงผิวบริเวณคอ โบท็อกก็สามารถช่วยให้ผิวคอเรียบตึงขึ้นได้ด้วยค่ะ
Botox 10 ยูนิต 1,290 บาท
Botox 20 ยูนิต 2,390 บาท
Botox กราม +Lifting 6,900 บาท
Botox รักแร้ 6,900 บาท
Botox 50 ยูนิต 5,500 บาท
Botox 100 ยูนิต 8,500 บาท
Botox 200 ยูนิต 15,900บาท
ติดตามความรู้เกี่ยวกับการฉีดโบท้อกซ์ได้ที่
https://bit.ly/2P5qxMd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t>
  </si>
  <si>
    <t>18:37</t>
  </si>
  <si>
    <t>Northeast states work to learn from missteps</t>
  </si>
  <si>
    <t>Pennsylvania and surrounding states remain vulnerable to a second wave of the virus.
COVID-19 killed tens of thousands in the Northeast, caused massive unemployment and wrecked the economy. In an ongoing series of stories, the USA TODAY Network Atlantic Group examines what the government got wrong in its response to the virus, what policies eventually worked — and why we remain vulnerable if the coronavirus strikes harder in the fall. This is the first in that series.
In the first days of March, Dr. Jeffrey Shaman watched from his New York City home as political leaders debated how best to control the first cases of coronavirus.
It soon led to screaming at the television.
Shaman, an infectious disease expert at Columbia University, said he thought city schools should have been closed right then, in the first week of March, or at least by the second week.
“It was definitely too slow,” he told the USA TODAY Network Atlantic Group. “I live in New York City, and I could not believe the schools were still open.”
Schools in New York were ultimately closed March 16 when the state had 950 COVID-19 cases and nine deaths.
New York and New Jersey have gone on to have the most coronavirus deaths in the nation, nearly 32,500 (including 4,600 probable deaths in New York City) and 15,700, respectively.
But infection rates in the Northeast have fallen to record lows in recent weeks even as they have soared to record highs in more than 30 other states, mostly in the South and West.
Now the question is: How well prepared are Northeast states for another spike of COVID-19?
New York Gov. Andrew Cuomo said it’s “almost inevitable” the state will grapple with what he called a second wave or, at least, an extension of the first wave.
“I feel like we’re standing on a beach, and we’re looking out into the sea, and we see the second wave building in the distance,” Cuomo said July 17.
“So, I want all New Yorkers to be on high alert.”
Nowhere in the country is a region more aware of the virus’ impact than the Northeast. And that experience — with thousands of deaths, overwhelmed hospitals and a shuttered economy — is working to inform how officials respond to an anticipated second wave.
“We see the second wave in the distance,” Cuomo continued. “It will have an effect on New York. How bad? We don’t know. But we cannot stop the virus at our borders. We’re trying everything we can.”
Shaman’s early warnings about the need for a quick shutdown were not heeded. New York didn’t close to non-essential workers until March 22, when the state had 114 deaths and more than 15,000 cases.
Shaman co-authored a study in May that said New York could have saved as many as 17,000 lives if it instituted its stay-at-home order two weeks earlier.
“We didn’t pick up and learn quickly from seeing what was happening in China,” Shaman said. “We didn’t follow the leads of South Korea and Vietnam and Taiwan to control it, and we dithered and doubted the evidence and worried about the economic repercussions of it, which I can understand.”
He added, “It’s an uncertain time and it’s difficult, but this is one of the few instances where leadership really matters.”
Cuomo has put the blame squarely on the federal government, saying it let more than 3 million Europeans travel to the U.S., mainly the Northeast, at least six weeks before the pandemic became apparent.
A U.S. Centers for Disease Control and Prevention report on July 17 noted that by the time travel restrictions from Europe were put in place March 13, “importation and community transmission of SARS-CoV-2 had already occurred in NYC.”
A faster shutdown may also have saved more lives among the most vulnerable population, those in nursing homes and extended care facilities.
About 43% of New Jersey’s deaths occurred in nursing homes, while nearly 6,300 deaths in New York, or 25% of the total, were in the facilities.
The nursing home deaths have drawn heavy scrutiny over whether states should have better insulated residents from COVID cases, but New York has insisted the problem was due to staff spreading the infection through the homes.
New York Rep. Tom Reed, R-Corning, is among those calling for an independent investigation of nursing home deaths.
He said in a July 6 statement that blaming staff “when the state knowingly created COVID hotspots by forcing homes to accept COVID-positive patients is a slap in the face to those who lost a loved one.”
New York’s daily death toll hit as high as 800 in early April, but now daily deaths are in the single digits and there have been a few days without any deaths reported.
The Northeast is trying to keep it that way, requiring a 14-day quarantine for visitors from states with high infection rates and mandating they fill out questionnaires when they enter New York.
And the states’ phased reopening has been largely successful compared with states in the South and West that now are shutting down businesses after a broad reopening last month.
“The only way we can keep our positivity rate and our RT, or rate of transmission, low, is by taking the precautions that we have across the past four months,” New Jersey Gov. Phil Murphy said July 17.
The pandemic, in many ways, has laid bare fundamental flaws in American society.
Watching the coronavirus spread like wildfire through low-income communities plagued by overcrowded housing underscored the systemic racism fueling disparate health outcomes for generations of Black and Hispanic people.
Stories of nurses and doctors being infected with COVID-19 and dying as hospitals struggled to secure protective masks and gowns exposed gaping holes in emergency preparedness plans and government stockpile systems.
And in the face of new surges across the country, renewed fears of shortages of personal protective equipment and COVID-19 testing supplies further revealed the faults in a medical supply chain over-reliant on Chinese imports.
Yet efforts in the Northeast to shore up regional manufacturing of basic medical goods and COVID-19 testing infrastructure show promise against a second wave.
New public health responses targeting ZIP codes hit hardest by COVID-19 deaths also offered a glimmer of hope that key resources, including contact tracing, testing and medical care, would better reach communities of color.
Meanwhile, politically charged debates over reopening plans and mask wearing in public, which New York mandated April 15 to help turn the tide in its coronavirus outbreak, endangered the entire undertaking nationally, experts said.
“We are seeing unnecessary tens of thousands of deaths and illnesses and disruption because people do not want to believe the evidence,” said Dr. Gregory Poland, an Infectious Diseases Society of America and Mayo Clinic expert.
“They make it into a political or cultural or economic or faith-based issue, and it’s not,” he said. “The virus knows nothing of those areas. The virus knows one thing: Find the next susceptible person and infect them.”
In Delaware, state health officials saw a significant outbreak in April in small towns in Sussex County, particularly among Hispanics and Haitian immigrant communities. Many of those residents work in the county’s largest industry — chicken processing plants — where to complete their jobs, workers must stand close together, not adhering to social distancing guidelines. Many of these low-income workers can’t afford to lose a paycheck, leading to hesitation about whether they should get tested — even if they have been exposed to the virus.
Language barriers led to challenges when these residents tried to access emergency resources and learn what safety precautions they needed to take. This outbreak resulted in the state increasing testing in Sussex County, including at the poultry processing plants.
Delaware nursing homes were also devastated in the early weeks of the pandemic. It has been hard for facilities to obtain protective equipment for employees. And many long-term care facilities have been historically understaffed. Because of limited testing in Delaware at the time, only residents with symptoms could receive a COVID-19 test.
Deaths in long-term care facilities have contributed to more than 60% of the cumulative number of COVID-19 deaths in Delaware. That has led to Gov. John Carney requiring all long-term care employees to be tested on a weekly basis.
While Delaware has seen a decrease in the number of daily COVID-19 cases and hospitalizations, the Rehoboth-Dewey Beach ZIP code saw a spike in cases in late June. Many of these cases involved young people and residents.
In late June, Carney announced that he was pausing Delaware’s plans to reopen its economy. Not long after, he mandated that, in eastern Sussex County, customers will no longer be able to sit or stand at a bar. Instead, beachgoers will have to sit at a table and be served.
The coronavirus pandemic hit Pennsylvania in March and Gov. Tom Wolf scrambled to prevent his biggest fear — overwhelmed hospitals that had no beds for patients.
Pennsylvania never ran out of hospital beds or life-saving ventilators, even when the virus peaked in April.
But businesses opened in defiance of state orders. Republican lawmakers tried to end the emergency powers of Wolf, a Democrat. Nursing home deaths rose into the thousands, making up nearly 70% of COVID-19 deaths.
Millions lost jobs. Businesses struggled to survive. Without a bailout, the restaurant industry could end up a shadow of its former self, especially now that the governor has ordered them to either cut back to 25% of their dine-in capacity or close again.
Prisons thinned their populations through early releases and furloughs. But inmate advocates and Corrections Secretary John Wetzel agree that state prison populations need to be reduced more, especially at sites that are old and poorly designed for infection control.
And now, as administrators, parents and politicians argue about whether to send children back to school, Pennsylvania is seeing a surge of fresh cases.
This pandemic steered Pennsylvania toward a recession. The Pandemic Unemployment Assistance and the Paycheck Protection Program helped, but they have an expiration date, and right now “this virus doesn’t,” Labor and Industry Secretary Jerry Oleksiak said
So even as the state crawls out from economic lockdown, high unemployment and the lingering public health crisis slow the process, leaving economists to agree on one thing: Pennsylvania won’t to recover from this disaster for years.
Many experts and health officials attributed the most glaring missteps to the lack of federal government leadership.
The criticism spanned from the CDC distributing faulty test kits to states, which delayed the pandemic response in January and February, to mixed messages coming from the Trump administration regarding the threat posed by current spikes in COVID-19 cases.
“We don’t really have a clear national policy on this, and that’s been pretty evident,” said Dr. Michael Mendoza, health commissioner of Monroe County in upstate New York.
In the absence of a universal plan, some states ignored, or shunned, lessons learned in the Northeast, threatening to undo the communal sacrifices that helped reduce infections in New York and New Jersey.
“When our messages and our data became politicized and distorted... that’s when it became very difficult for us,” Mendoza said.
Amid the chaotic early weeks of the pandemic this spring, the politically fueled confusion proved especially harmful due to limited scientific understanding at the time of how the coronavirus stealthily spread before symptoms appeared in many people.
As intensive care units filled up, state officials scrambled to boost hospital bed capacity. Fears that hospitals would run out of lifesaving breathing machines ignited interstate competition over ventilators, as opposed to a coordinated national response.
Ultimately, the flawed preparedness plan and scattershot emergency response helped delay the revelations unfolding today, such as the prospect that all Americans wearing face coverings in public could dramatically decrease the virus’ spread in four to six weeks.
In dissecting the myriad of pandemic-related failures, Poland, of the Mayo Clinic, evoked findings of the 9/11 Commission report that delved into the terrorist attacks of Sept. 11, 2001.
“We believe the fundamental problem was one of imaginability. Though we had been warned many times and many ways, we failed to imagine it was possible and therefore failed to prepare,” he said, recounting the report.
“I think that singular statement is precisely applicable to the pandemic,” Poland said, adding, “I hope that one thing that has happened is that our deniability has been stripped away and our imaginability enlivened.”
Northeast states continue to limit reopening
New York and New Jersey have reopened many businesses but have kept some closed.
Neither state has allowed the resumption of indoor dining. Malls, casinos and amusement parks have remained shuttered in New York, but New Jersey and Pennsylvania have opened them with safety precautions.
And New York tightened restrictions on outdoor dining, requiring alcohol purchases to be accompanied by food to cut down on large drinking scenes.
It’s a process that Northeast governors continue to evaluate based on daily monitoring of the rates of infection. The concern is that the rapid spread of disease in the bulk of the country will eventually cause a spike in states that have been successful in tamping down the virus.
“This second wave is just going to be other states infecting us again for a second time,” Cuomo said July 16 on MSNBC.
The control of the situation is a long way from early March.
When the first coronavirus case hit New Jersey, the state’s chief executive was out of commission.
Gov. Phil Murphy underwent surgery to remove a tumor on his kidney March 4 and ceded authority to Lt. Gov. Sheila Oliver. That night, health officials announced a 32-year-old Fort Lee man had the state’s first positive coronavirus diagnosis.
The days, weeks and months that followed were often chaotic, with Murphy and other officials handing down often-confusing sets of rules intended to contain the outbreak as the virus ripped through the state.
Murphy has won praise from voters, with polls showing wide approval for his handling of the coronavirus crisis.
“There’s no vaccine yet,” Murphy warned July 17. “All we’ve got is social distancing, wearing a face covering whenever you are out in public, and certainly whenever you’re indoors, washing your hands frequently with soap and water for at least 20 seconds.”
Republican lawmakers in New Jersey allege Murphy cut state lawmakers out when he crafted coronavirus-related orders, unfairly allowed big-box retailers to remain open while forcing smaller stores to close. He limited outdoor gatherings, then showed up at Black Lives Matters rallies where protesters were not socially distanced. Those rallies, however, were not shown to result in spikes of COVID-19 cases.
Much like the other states that were hit hard early in the outbreak, New Jersey did not have enough test kits, supplies, lab capacity or manpower to test people early. But like other Northeast states, Murphy’s strategy began to look smarter in July.
States like California, Texas and Florida, which reopened sooner than New Jersey, began to see virus cases surge and their governors hastily re-closed businesses they had allowed to reopen.
Now Murphy hopes to not join those states in having to change course.
“We should all take pride in the fact we want to get this exactly as right as we can,” he said.
Hello reader, our article commenting that you would normally see here is temporarily shut down. We still want to hear from you, so we invite you to go to our Facebook page or submit a letter to the editor.
Don’t even talk to me until I’ve had my coffee! When I first heard about the Keurig coffee maker, I was thrilled....
Choose the plan that’s right for you. Digital access or digital and print delivery.</t>
  </si>
  <si>
    <t>By Joseph Spector, David Robinson, Terrence T. McDonald and Meredith Newman</t>
  </si>
  <si>
    <t>mpnnow.com</t>
  </si>
  <si>
    <t>17:54</t>
  </si>
  <si>
    <t>Coronavirus Vaccine Trial Shows Promise
covid vaccine and needles 
As the ongoing coronavirus (COVID-19) pandemic continues to unfold across the globe, researchers are continuing to work diligently toward a working vaccine. Several possible vaccines have entered large clinical trials and one in particular has shown promise, according to a Cleveland Clinic expert. 
Pulmonologist Daniel Culver, DO, recently spoke about a novel RNA-based vaccine that showed promise. Even though Dr. Culver wasn’t involved in the research, he says that the Phase 1 trial, conducted at the Kaiser Permanente Washington Health Research Institute in Seattle and at the Emory University School of Medicine in Atlanta, showed promise. 
“It’s showing that patients respond, that patients are responding in the way you would hope,” he says. The trial looked involved 45 adults, between the ages of 18 and 55, and included two separate doses administered 28 days apart. 
What the data so far shows
Data from the study showed that the potential vaccine triggered an immune system response in patients, producing antibodies that could possibly fight off COVID-19. According to the National Institute of Health, the vaccine is called mRNA-1273 and uses what’s called “messenger RNA” to cause the immune system to generate antibodies that can fight the “spike” protein that the coronavirus uses to attach itself to human cells. 
While the patients tolerated potential vaccine well, there are signs that it could cause some mild side effects, including fatigue, headache, chills, muscle pain and injection site pain. 
Even with these early successful results, Dr. Culver points out that there’s a long way to go, including multiple additional phases of testing before potential approval for widespread distribution. 
What are the next steps in development?
“The next steps are to prove that this actually is durable, effective at preventing infection and will be a useful strategy for populations,” he says.
On July 27, 2020, the National Institute of Allergy and Infectious Diseases announced that the vaccine was entering Phase 3 of testing. This new phase of testing will involve 30,000 adults and be a blind, placebo-controlled study. If this phase of testing proves successful, it could pave the way for the vaccine to go to market.
Dr. Anthony Fauci, director of the National Institute of Allergy and Infectious Diseases, also seems cautiously optimistic for the vaccine’s development, saying, “Results from early-stage clinical testing indicate the investigational mRNA-1273 vaccine is safe and immunogenic, supporting the initiation of a Phase 3 clinical trial. This scientifically rigorous, randomized, placebo-controlled trial is designed to determine if the vaccine can prevent COVID-19 and for how long such protection may last.”</t>
  </si>
  <si>
    <t>FR Marketing Consultancy</t>
  </si>
  <si>
    <t>Зимбабве</t>
  </si>
  <si>
    <t>Midlands</t>
  </si>
  <si>
    <t>Гверу</t>
  </si>
  <si>
    <t>МРТ Эксперт, сеть диагностических центров</t>
  </si>
  <si>
    <t>Молодцы,  девчонки!!!
Всё быстро,  оперативно, а, главное,  вовремя!!
За 25 минут сделали МРТ и выдали диск со снимками. 
Очень признательна!!!!</t>
  </si>
  <si>
    <t>Леся Осокина</t>
  </si>
  <si>
    <t>flamp.ru</t>
  </si>
  <si>
    <t>16:44</t>
  </si>
  <si>
    <t>Поддержим мои начинания. Вступайте в группу.
https://vk.com/clinic_expert_kursk</t>
  </si>
  <si>
    <t>Сергей Долгов</t>
  </si>
  <si>
    <t>July 28th - World Hepatitis Day
Below is a small overview of each type of hepatitis. 
For more information follow the link below!
https://newsnetwork.mayoclinic.org/discussion/the-abcs-of-hepatitis-mayo-clinic-expert-explains-types-prevention/</t>
  </si>
  <si>
    <t>Edwards County Medical Center</t>
  </si>
  <si>
    <t>Kinsley</t>
  </si>
  <si>
    <t>15:26</t>
  </si>
  <si>
    <t>МРТ С ГАРАНТИЕЙ
Порой, МРТ требуется даже самым маленьким пациентам. Мы понимаем, что это исследование может стать стрессом для ребенка. Поэтому подготовили советы для родителей, которые помогут превратить прохождение МРТ в небольшое приключение.
 https://www.mrtexpert.ru/mur
https://www.mrtexpert.ru/mur</t>
  </si>
  <si>
    <t>МРТ С ГАРАНТИЕЙ
Порой, МРТ требуется даже самым маленьким пациентам. Мы понимаем, что это исследование может стать стрессом для ребенка. Поэтому подготовили советы для родителей, которые помогут превратить прохождение МРТ в небольшое приключение. 
 #мрт51 #мртмурманск #мурманск #мртдетям #регион51 #murmansk  #murmansk_inst #city51 #кольскийполуостров  #диагностика51</t>
  </si>
  <si>
    <t>15:01</t>
  </si>
  <si>
    <t>Цены не соответствуют заявленным по телефону. Время начала работы не соответствует заявленному. Очен - Отзывы о МРТ Эксперт</t>
  </si>
  <si>
    <t>Цены не соответствуют заявленным по телефону. Время начала работы не соответствует заявленному. Очень долгое ожидание. Безответственность и невнимательность персонала. Очень маленький внутренний диаметр катушки. Описание по удалёнке, невозможность пообщаться с рентгенологом лично, задать вопросы. Очень холодно в помещении. Очень быстрое проведение процедуры, отсутствуют подсказки при проведении процедуры. 
Делал МРТ грудного отдела позвоночника. По телефону назвали цену сначала 2500, потом 2530. По факту оказалось 2880. Записали на 9.30. Потом перезвонили, сославшись на накладку, перенесли на 8.00. Сказали приехать за 20 минут до начала. Сказали, что работают с 7 утра. По факту на вывеске: с 8.00. Я приехал к 7.30. Вынужден был ожидать открытия пол часа в машине. Впоследствии, выясняется, что лаборанта нет на месте. Ничего конкретного не говорят. В результате, лаборант Краснов Никита Сергеевич является на работу к 9 часам. Итого полтора часа ожидания с болями в спине. Я инвалид и для меня это было очень нелегко. Далее, всё происходит по принципу "Галопом по Европам". В поменщении, как обычно, работает кондиционер. Так как я первый, катушка холодная и в помещении очень холодно. Обычно, у персонала всегда есть, чем укрыть пациента. Но не в этой клинике. Кое-как удалось уговорить прикрыть меня, хотя бы, одноразовой простынкой. Я с трудом помещаюсь внутрь катушки. Руки трутся о корпус, если их положить на живот. Стол очень узкий, руки по бокам не держатся. Пришлось засунуть руки под задницу. К концу процедуры, руки затекли. Плечи всё равно трутся о корпус. Простынка сползла. Мой рост 186 см., но я, отнюдь, не толстый. Что же делать тучным людям или тем, у кого широкая грудная клетка? Или большая грудь, или таз? Лаборант не дал мне тревожную кнопку. Пришлось вылазить из катушки во время проведения процедуры. Обычно, во время процедуры, система информирует голосом, что делать. Здесь же полная тишина. В результате, невозможно догадаться, когда начнётся следующая серия и приходится всё время лежать, замерев, боясь испортить результаты. Зато, время прохождения процедуры всего около 10 минут. В других клиниках около 30-40 минут. Подозреваю, что информирование отключил лаборант, чтобы наверстать упущенный час. Так же, с учётом резкого сокращения времени проведения процедуры, возникает вопрос о качестве и полноте её проведения. Во всяком случае, количество серий было меньше, чем обычно. Постфактум выясняется, что врач рентгенолог Заболотняя Надежда Александровна на рабочем месте отсутствует и описывает снимки на дому. Мне важно было оценить динамику процесса, поэтому я принёс предыдущие результаты на плёнке. Естественно, никто их не посмотрел. Так же, мне не удалось задать ретгенологу, естественно возникающие в таких случаях, воп</t>
  </si>
  <si>
    <t>Борис</t>
  </si>
  <si>
    <t>otzyvru.com</t>
  </si>
  <si>
    <t>Предпочитает оставаться «в тени», особо никак не беспокоя человека. Изменчив по натуре. Способен на убийство.
С врачом-гастроэнтерологом «Клиника Эксперт Курск» Ищенко Василисой Владимировной говорим о грозном, но, к счастью, уже во многих случаях излечимом заболевании - гепатите C: https://www.mrtexpert.ru/articles/662
#ГКЭксперт #мртэксперт #КлиникаЭксперт #КлиникаЭкспертКурск
#гепатит</t>
  </si>
  <si>
    <t>Предпочитает оставаться «в тени», особо никак не беспокоя человека. Изменчив по натуре. Способен на убийство.
С врачом-гастроэнтерологом «Клиника Эксперт Курск» Ищенко Василисой Владимировной говорим о грозном, но, к счастью, уже во многих случаях излечимом заболевании - гепатите C: https://www.mrtexpert.ru/articles/662
#ГКЭксперт #мртэксперт #КлиникаЭксперт #КлиникаЭкспертКурск
#гепатит</t>
  </si>
  <si>
    <t>Coronavirus Vaccine Trial Shows Promise</t>
  </si>
  <si>
    <t>As the ongoing coronavirus (COVID-19) pandemic continues to unfold across the globe, researchers are continuing to work diligently toward a working vaccine. Several possible vaccines have entered large clinical trials and one in particular has shown promise, according to a Cleveland Clinic expert.
Pulmonologist Daniel Culver, DO, recently spoke about a novel RNA-based vaccine that showed promise. Even though Dr. Culver wasn’t involved in the research, he says that the Phase 1 trial, conducted at the Kaiser Permanente Washington Health Research Institute in Seattle and at the Emory University School of Medicine in Atlanta, showed promise.
“It’s showing that patients respond, that patients are responding in the way you would hope,” he says. The trial looked involved 45 adults, between the ages of 18 and 55, and included two separate doses administered 28 days apart.
Data from the study showed that the potential vaccine triggered an immune system response in patients, producing antibodies that could possibly fight off COVID-19. According to the National Institute of Health, the vaccine is called mRNA-1273 and uses what’s called “messenger RNA” to cause the immune system to generate antibodies that can fight the “spike” protein that the coronavirus uses to attach itself to human cells.</t>
  </si>
  <si>
    <t>Health Essentials from Cleveland Clinic</t>
  </si>
  <si>
    <t>health.clevelandclinic.org</t>
  </si>
  <si>
    <t>12:33</t>
  </si>
  <si>
    <t>Citations for studies referenced in this video would be helpful.</t>
  </si>
  <si>
    <t>Mila Lewis</t>
  </si>
  <si>
    <t>First in a series. COVID-19 killed tens of thousands in the Northeast, caused massive unemployment and wrecked the economy. Today, the USA TODAY Network Atlantic Group begins its series that examines what the government got wrong in its response to the virus, what policies eventually worked — and how the states are planning if the coronavirus spikes in the fall.
In the first days of March, Dr. Jeffrey Shaman watched from his New York City home as political leaders debated how best to control the first cases of coronavirus.
It soon led to screaming at the television.
Shaman, an infectious disease expert at Columbia University, said he thought city schools should have been closed right then, in the first week of March, or at least by the second week of the month.
"It was definitely too slow," he told the USA TODAY Network Atlantic Group. "I live in New York City, and I could not believe the schools were still open."
Schools in New York were ultimately closed March 16 when the state had 950 COVID-19 cases and nine deaths.
New York and New Jersey have gone on to have the most coronavirus deaths in the nation, nearly 32,600 (including 4,600 probable deaths in New York City) and 15,700, respectively.
That was followed by 8,500 in Massachusetts; 8,400 in California; 7,600 in Illinois and 7,100 in Pennsylvania. Maryland had about 3,500 deaths, while Delaware had 580, according to federal data.
Infection rates in the Northeast have fallen to record lows in recent weeks even as they have soared to record highs in more than 30 other states, mostly in the South and West.
Now the question is: How well prepared are Northeast states for another spike of COVID-19?
New York Gov. Andrew Cuomo said it's "almost inevitable" the state will grapple with what he called a second wave or, at least, an extension of the first wave.
"I feel like we’re standing on a beach, and we’re looking out into the sea, and we see the second wave building in the distance," Cuomo said July 17.
"So, I want all New Yorkers to be on high alert."
Nowhere in the country is a region more aware of the virus' impact than the Northeast.
And that experience — with thousands of deaths, overwhelmed hospitals and a shuttered economy — is working to inform how officials respond to an anticipated second wave.
The states have been working together to try to thwart a spike, but at the same time making independent decisions on when to open or close certain industries.
"We see the second wave in the distance," Cuomo continued. "It will have an effect on New York. How bad? We don’t know. But we cannot stop the virus at our borders. We’re trying everything we can."What did the states do wrong and how can it improve?Shaman's early warnings about the need for a quick shutdown were not heeded. New York didn't close to non-essential workers until March 22, when the state had 114 deaths and more than 15,000 cases.
Shaman co-authored a study in May that said New York could have saved as many as 17,000 lives if it instituted its stay-at-home order two weeks earlier.
"We didn’t pick up and learn quickly from seeing what was happening in China," Shaman said.
"We didn’t follow the leads of South Korea and Vietnam and Taiwan to control it, and we dithered and doubted the evidence and worried about the economic repercussions of it, which I can understand."
He added, "It’s an uncertain time and it’s difficult, but this is one of the few instances where leadership really matters."
Cuomo has put the blame squarely on the federal government, saying it let more than 3 million Europeans travel to the U.S., mainly the Northeast, at least six weeks before the pandemic became apparent.
A U.S. Centers for Disease Control and Prevention report July 17 noted that by the time travel restrictions from Europe was put in place March 13, "importation and community transmission of SARS-CoV-2 had already occurred in NYC."
A faster shutdown may also have saved more lives among the most vulnerable population, those in nursing homes and extended care facilities.
About 43% of New Jersey's deaths occurred in nursing homes, while nearly 6,300 deaths in New York, or 25% of the total, were in the facilities.
Nursing home deaths made up nearly 70% of COVID-19 deaths in Pennsylvania.
The nursing home deaths have drawn heavy scrutiny over whether states should have better insulated residents from COVID cases, but New York has insisted the problem was due to staff spreading the infection through the homes.
New York Rep. Tom Reed, R-Corning, is among those calling for an independent investigation of nursing home deaths.
He said in a July 6 statement that blaming staff "when the state knowingly created COVID hotspots by forcing homes to accept COVID-positive patients is a slap in the face to those who lost a loved one."What Northeast states learned from the pandemicNew York's daily death toll hit as high as 800 in early April, but now daily deaths are in the single digits and there have been a few days without any deaths reported.
The Northeast is trying to keep it that way, with New York, New Jersey and Connecticut requiring a 14-day quarantine for visitors from states with high infection rates and mandating they fill out questionnaires when they enter New York.
And the states phased reopening has been largely successful compared to states in the South and West that now are shutting down businesses are a broad reopening last month.
"The only way we can keep our positivity rate and our RT, or rate of transmission low, is by taking the precautions that we have across the past four months," New Jersey Gov. Phil Murphy said July 17.
The pandemic, in many ways, has laid bare fundamental flaws in American society.
Watching the coronavirus spread like wildfire through low-income communities plagued by overcrowded housing underscored the systemic racism fueling disparate health outcomes for generations of Black and Hispanic people.
Stories of nurses and doctors being infected with COVID-19 and dying as hospitals struggled to secure protective masks and gowns exposed gaping holes in emergency preparedness plans and government stockpile systems.
And in the face of new surges across the country, renewed fears of shortages of personal protective equipment and COVID-19 testing supplies further revealed the faults in a medical supply chain over-reliant on Chinese imports.
Yet efforts in the Northeast to shore up regional manufacturing of basic medical goods and COVID-19 testing infrastructure show promise against a second wave.
New public health responses targeting zip codes hit hardest by COVID-19 deaths also offered a glimmer of hope that key resources, including contact tracing, testing and medical care, would better reach communities of color.
Meanwhile, politically charged debates over reopening plans and mask wearing in public, which New York mandated April 15 to help turn the tide in its coronavirus outbreak, endangered the entire undertaking nationally, experts said.
“We are seeing unnecessary tens of thousands of deaths and illnesses and disruption because people do not want to believe the evidence,” said Dr. Gregory Poland, an Infectious Diseases Society of America and Mayo Clinic expert.
“They make it into a political or cultural or economic or faith-based issue, and it’s not,” he said. “The virus knows nothing of those areas. The virus knows one thing: Find the next susceptible person and infect them.”How coronavirus first spread in the NortheastThat was the case in Delaware: State health officials saw a significant outbreak in April in small towns in Sussex County, particularly among Hispanics and Haitian immigrant communities.
Many of those residents work in the county’s largest industry — chicken processing plants — where to complete their jobs, workers must stand close together, not adhering to social distancing guidelines.
Many of the low-income workers can't afford to lose a paycheck, leading to hesitation about whether they should get tested — even if they have been exposed to the virus.
Language barriers led to challenges when the residents tried to access emergency resources and learn what safety precautions they needed to take.
Delaware nursing homes were also devastated in the early weeks of the pandemic, particularly because it was difficult for facilities to obtain protective equipment for employees and they have been historically understaffed.
Because of limited testing in Delaware at the time, only residents with symptoms could receive a COVID-19 test.
Deaths in long-term care facilities have contributed to more than 60% of the cumulative number of COVID-19 deaths in Delaware. It has led to Gov. John Carney requiring all long-term care employees to be tested on a weekly basis.
"One of the biggest problems across the country and every state in America from the beginning of this COVID crisis was the lack of availability of testing," Maryland Gov. Hogan said June 10.
"It was the most serious obstacle to safely reopening the economy."
While Delaware has seen a decrease in the number of daily COVID-19 cases and hospitalizations, the Rehoboth-Dewey Beach ZIP code saw a spike in cases in late June. Many of these cases involved young people and residents.
In late June, Carney announced that he is pausing Delaware's plans to reopen its economy. Not long after, he mandated that, in eastern Sussex County, customers will no longer be able to sit or stand at a bar.
Instead, beachgoers will have to sit at a table and be served.
“Too many Delawareans and visitors are not following basic public health precautions,"
Carney said June 25.
"We’ve heard and seen concerns especially in our beach communities, in restaurants, in gyms, and at sporting events. Now’s not the time to let up."Protecting hospitals for a future spikeWhen the coronavirus pandemic hit Pennsylvania in March, Gov. Tom Wolf scrambled to prevent his biggest fear — overwhelmed hospitals that had no beds for patients.
Pennsylvania never ran out of hospital beds or life-saving ventilators, even when the virus peaked in April.
But businesses opened in defiance of state orders. Republican lawmakers tried to end the emergency powers of Wolf, a Democrat.
Millions lost jobs. Businesses struggled to survive. Without a bailout, the restaurant industry could end up a shadow of its former self, especially now that the governor has ordered them to either cut back to 25% of their dine-in capacity or close again.
Prisons thinned their populations through early releases and furloughs.
But inmate advocates and Corrections Secretary John Wetzel agree that state prison populations need to be reduced more, especially at sites that are old and poorly designed for infection control.
And now, as administrators, parents and politicians argue about whether to send children back to school, Pennsylvania is seeing a surge of fresh cases.
This pandemic steered Pennsylvania toward a recession. The Pandemic Unemployment Assistance and the Paycheck Protection Program helped, but they have an expiration date, and right now “this virus doesn’t,” Labor and Industry Secretary Jerry Oleksiak said
So even as the state crawls out from economic lock-down, high unemployment and the lingering public health crisis slow the process, leaving economists to agree on one thing: Pennsylvania won't to recover from this disaster for years.
"Ultimately, what’s going to work is not enforcement," Wolf said May 26. "What’s going to work is each and every individual Pennsylvanian, each and every business owner doing everything they can to protect their employees and their customers and protect each other from this disease."What states will do in the coming monthsMany expert and health official attributed the most glaring missteps to the lack of federal government leadership.
The criticism spanned from the CDC distributing faulty test kits to states, which delayed the pandemic response in January and February, to mixed messages coming from the Trump administration regarding the threat posed by current spikes in COVID-19 cases.
“We don’t really have a clear national policy on this, and that’s been pretty evident,” said Dr. Michael Mendoza, health commissioner of Monroe County in upstate New York.
In the absence of a universal plan, some states ignored, or shunned, lessons learned in the Northeast, threatening to undo the communal sacrifices that helped reduce infections in New York and New Jersey.
“When our messages and our data became politicized and distorted…that’s when it became very difficult for us,” Mendoza said.
Amid the chaotic early weeks of the pandemic this spring, the politically fueled confusion proved especially harmful due to limited scientific understanding at the time of how the coronavirus stealthily spread before symptoms appeared in many people.
As intensive care units filled up, state officials scrambled to boost hospital bed capacity. Fears that hospitals would run out of lifesaving breathing machines ignited interstate competition over ventilators, as opposed to a coordinated national response.
Ultimately, the flawed preparedness plan and scattershot emergency response helped delay the revelations unfolding today, such as the prospect that all Americans wearing face-coverings in public could dramatically decrease the virus’ spread in four to six weeks.
In dissecting the myriad of pandemic-related failures, Poland of the Mayo Clinic evoked findings of the 9/11 Commission report that delved into the terrorist attacks of Sept. 11, 2001.
“We believe the fundamental problem was one of imaginability, though we had been warned many times and many ways, we failed to imagine it was possible and therefore failed to prepare,” he said, recounting the report.
“I think that singular statement is precisely applicable to the pandemic,” Poland said, adding, “I hope that one thing that has happened is that our deniability has been stripped away and our imaginability enlivened.”</t>
  </si>
  <si>
    <t>sussexcountian.com</t>
  </si>
  <si>
    <t>Joseph Spector, David Robinson, Terrence T. McDonald and Meredith Newman
New York State Team
Published 4:30 AM EDT Jul 28, 2020
First in a series. COVID-19 killed tens of thousands in the Northeast, caused massive unemployment and wrecked the economy. Today, the USA TODAY Network Atlantic Group begins its series that examines what the government got wrong in its response to the virus, what policies eventually worked — and how the states are planning if the coronavirus spikes in the fall.
In the first days of March, Dr. Jeffrey Shaman watched from his New York City home as political leaders debated how best to control the first cases of coronavirus.
It soon led to screaming at the television.
Shaman, an infectious disease expert at Columbia University, said he thought city schools should have been closed right then, in the first week of March, or at least by the second week of the month.
"It was definitely too slow," he told the USA TODAY Network Atlantic Group. "I live in New York City, and I could not believe the schools were still open."
Schools in New York were ultimately closed March 16 when the state had 950 COVID-19 cases and nine deaths.
New York and New Jersey have gone on to have the most coronavirus deaths in the nation, nearly 32,600 (including 4,600 probable deaths in New York City) and 15,700, respectively.
That was followed by 8,500 in Massachusetts; 8,400 in California; 7,600 in Illinois and 7,100 in Pennsylvania. Maryland had about 3,500 deaths, while Delaware had 580, according to federal data.
Infection rates in the Northeast have fallen to record lows in recent weeks even as they have soared to record highs in more than 30 other states, mostly in the South and West.
Now the question is: How well prepared are Northeast states for another spike of COVID-19?
New York Gov. Andrew Cuomo said it's "almost inevitable" the state will grapple with what he called a second wave or, at least, an extension of the first wave.
Gov. Andrew M. Cuomo, joined via video conference by New Jersey Gov. Phil Murphy and Connecticut Gov. Ned Lamont, on June 24 announced a joint travel advisory for individuals traveling from states with significant community spread of COVID-19.
"I feel like we’re standing on a beach, and we’re looking out into the sea, and we see the second wave building in the distance," Cuomo said July 17.
"So, I want all New Yorkers to be on high alert."
Nowhere in the country is a region more aware of the virus' impact than the Northeast.
And that experience — with thousands of deaths, overwhelmed hospitals and a shuttered economy — is working to inform how officials respond to an anticipated second wave.
The states have been working together to try to thwart a spike, but at the same time making independent decisions on when to open or close certain industries.
"We see the second wave in the distance," Cuomo continued. "It will have an effect on New York. How bad? We don’t know. But we cannot stop the virus at our borders. We’re trying everything we can."What did the states do wrong and how can it improve?Shaman's early warnings about the need for a quick shutdown were not heeded. New York didn't close to non-essential workers until March 22, when the state had 114 deaths and more than 15,000 cases.
Shaman co-authored a study in May that said New York could have saved as many as 17,000 lives if it instituted its stay-at-home order two weeks earlier.
Jeffrey Shaman is a professor of Environmental Health Sciences at Columbia University and co-authored a study on New York's response to the coronavirus pandemic in May 2020.
"We didn’t pick up and learn quickly from seeing what was happening in China," Shaman said.
"We didn’t follow the leads of South Korea and Vietnam and Taiwan to control it, and we dithered and doubted the evidence and worried about the economic repercussions of it, which I can understand."
He added, "It’s an uncertain time and it’s difficult, but this is one of the few instances where leadership really matters."
Cuomo has put the blame squarely on the federal government, saying it let more than 3 million Europeans travel to the U.S., mainly the Northeast, at least six weeks before the pandemic became apparent.
A U.S. Centers for Disease Control and Prevention report July 17 noted that by the time travel restrictions from Europe was put in place March 13, "importation and community transmission of SARS-CoV-2 had already occurred in NYC."
A faster shutdown may also have saved more lives among the most vulnerable population, those in nursing homes and extended care facilities.
INVESTIGATION: Coronavirus NJ: Hard-hit nursing homes failed infection control, staffing | Investigation
ACTING QUICKER: If New York acted more quickly, an early lockdown could have saved 17,000 lives, study says
About 43% of New Jersey's deaths occurred in nursing homes, while nearly 6,300 deaths in New York, or 25% of the total, were in the facilities.
Nursing home deaths made up nearly 70% of COVID-19 deaths in Pennsylvania.
The nursing home deaths have drawn heavy scrutiny over whether states should have better insulated residents from COVID cases, but New York has insisted the problem was due to staff spreading the infection through the homes.
Andover Subacute and Rehab Center was over whelmed with 17 bodies at their morgue that could only hold 4 bodies in Andover Township, N.J.
New York Rep. Tom Reed, R-Corning, is among those calling for an independent investigation of nursing home deaths.
He said in a July 6 statement that blaming staff "when the state knowingly created COVID hotspots by forcing homes to accept COVID-positive patients is a slap in the face to those who lost a loved one."What Northeast states learned from the pandemicNew York's daily death toll hit as high as 800 in early April, but now daily deaths are in the single digits and there have been a few days without any deaths reported.
The Northeast is trying to keep it that way, with New York, New Jersey and Connecticut requiring a 14-day quarantine for visitors from states with high infection rates and mandating they fill out questionnaires when they enter New York.
And the states phased reopening has been largely successful compared to states in the South and West that now are shutting down businesses are a broad reopening last month.
"The only way we can keep our positivity rate and our RT, or rate of transmission low, is by taking the precautions that we have across the past four months," New Jersey Gov. Phil Murphy said July 17.
The pandemic, in many ways, has laid bare fundamental flaws in American society.
TRAUMATIZED NURSES: Traumatized by the amount of death, some NJ nurses unsure they can face another COVID-19 wave
COVID IN YOUR ZIP CODE: Race, income can double your chance of getting sick in NJ
Watching the coronavirus spread like wildfire through low-income communities plagued by overcrowded housing underscored the systemic racism fueling disparate health outcomes for generations of Black and Hispanic people.
Stories of nurses and doctors being infected with COVID-19 and dying as hospitals struggled to secure protective masks and gowns exposed gaping holes in emergency preparedness plans and government stockpile systems.
And in the face of new surges across the country, renewed fears of shortages of personal protective equipment and COVID-19 testing supplies further revealed the faults in a medical supply chain over-reliant on Chinese imports.
FILE- In this April 10, 2020 file photo a woman wearing a face mask sure to CVID-19 concerns walks along the Jersey City waterfront with the New York City skyline in the background. New York City may be the epicenter of the coronavirus outbreak but of the city's suburbs have been hit just just as hard. In some, there have been more fatalities per capita than in super-dense Manhattan.
Yet efforts in the Northeast to shore up regional manufacturing of basic medical goods and COVID-19 testing infrastructure show promise against a second wave.
New public health responses targeting zip codes hit hardest by COVID-19 deaths also offered a glimmer of hope that key resources, including contact tracing, testing and medical care, would better reach communities of color.
Meanwhile, politically charged debates over reopening plans and mask wearing in public, which New York mandated April 15 to help turn the tide in its coronavirus outbreak, endangered the entire undertaking nationally, experts said.
“We are seeing unnecessary tens of thousands of deaths and illnesses and disruption because people do not want to believe the evidence,” said Dr. Gregory Poland, an Infectious Diseases Society of America and Mayo Clinic expert.
“They make it into a political or cultural or economic or faith-based issue, and it’s not,” he said. “The virus knows nothing of those areas. The virus knows one thing: Find the next susceptible person and infect them.”How coronavirus first spread in the NortheastThat was the case in Delaware: State health officials saw a significant outbreak in April in small towns in Sussex County, particularly among Hispanics and Haitian immigrant communities.
Many of those residents work in the county’s largest industry — chicken processing plants — where to complete their jobs, workers must stand close together, not adhering to social distancing guidelines.
Many of the low-income workers can't afford to lose a paycheck, leading to hesitation about whether they should get tested — even if they have been exposed to the virus.
Language barriers led to challenges when the residents tried to access emergency resources and learn what safety precautions they needed to take.
Delaware nursing homes were also devastated in the early weeks of the pandemic, particularly because it was difficult for facilities to obtain protective equipment for employees and they have been historically understaffed.
Because of limited testing in Delaware at the time, only residents with symptoms could receive a COVID-19 test.
Gov. John Carney speaks to the media during a briefing on the status of the coronavirus pandemic in Delaware on Tuesday, July 14, 2020, at the Carvel State Office Building in Wilmington.
Deaths in long-term care facilities have contributed to more than 60% of the cumulative number of COVID-19 deaths in Delaware. It has led to Gov. John Carney requiring all long-term care employees to be tested on a weekly basis.
"One of the biggest problems across the country and every state in America from the beginning of this COVID crisis was the lack of availability of testing," Maryland Gov. Hogan said June 10.
"It was the most serious obstacle to safely reopening the economy."
DELAWARE NURSING HOMES: As COVID took elderly lives, 30% of Delaware nursing homes failed to follow proper steps
DATA REVIEW: Review of death records results in 67 additions to Delaware's coronavirus death count
While Delaware has seen a decrease in the number of daily COVID-19 cases and hospitalizations, the Rehoboth-Dewey Beach ZIP code saw a spike in cases in late June. Many of these cases involved young people and residents.
In late June, Carney announced that he is pausing Delaware's plans to reopen its economy. Not long after, he mandated that, in eastern Sussex County, customers will no longer be able to sit or stand at a bar.
Instead, beachgoers will have to sit at a table and be served.
“Too many Delawareans and visitors are not following basic public health precautions,"Carney said June 25.
"We’ve heard and seen concerns especially in our beach communities, in restaurants, in gyms, and at sporting events. Now’s not the time to let up."Protecting hospitals for a future spikeWhen the coronavirus pandemic hit Pennsylvania in March, Gov. Tom Wolf scrambled to prevent his biggest fear — overwhelmed hospitals that had no beds for patients.
Pennsylvania never ran out of hospital beds or life-saving ventilators, even when the virus peaked in April.
But businesses opened in defiance of state orders. Republican lawmakers tried to end the emergency powers of Wolf, a Democrat.
Millions lost jobs. Businesses struggled to survive. Without a bailout, the restaurant industry could end up a shadow of its former self, especially now that the governor has ordered them to either cut back to 25% of their dine-in capacity or close again.
Prisons thinned their populations through early releases and furloughs.
But inmate advocates and Corrections Secretary John Wetzel agree that state prison populations need to be reduced more, especially at sites that are old and poorly designed for infection control.
And now, as administrators, parents and politicians argue about whether to send children back to school, Pennsylvania is seeing a surge of fresh cases.
'WEAR A MASK': Wolf, Levine say COVID-19 wave not over in Pa., during WellSpan visit
BAIL OUT: Gov. Wolf urges Congress to support RESTAURANTS Act &amp; bail out hospitality industry
This pandemic steered Pennsylvania toward a recession. The Pandemic Unemployment Assistance and the Paycheck Protection Program helped, but they have an expiration date, and right now “this virus doesn’t,” Labor and Industry Secretary Jerry Oleksiak said
So even as the state crawls out from economic lock-down, high unemployment and the lingering public health crisis slow the process, leaving economists to agree on one thing: Pennsylvania won't to recover from this disaster for years.
"Ultimately, what’s going to work is not enforcement," Wolf said May 26. "What’s going to work is each and every individual Pennsylvanian, each and every business owner doing everything they can to protect their employees and their customers and protect each other from this disease."What states will do in the coming monthsMany expert and health official attributed the most glaring missteps to the lack of federal government leadership.
The criticism spanned from the CDC distributing faulty test kits to states, which delayed the pandemic response in January and February, to mixed messages coming from the Trump administration regarding the threat posed by current spikes in COVID-19 cases.
“We don’t really have a clear national policy on this, and that’s been pretty evident,” said Dr. Michael Mendoza, health commissioner of Monroe County in upstate New York.
In the absence of a universal plan, some states ignored, or shunned, lessons learned in the Northeast, threatening to undo the communal sacrifices that helped reduce infections in New York and New Jersey.
“When our messages and our data became politicized and distorted…that’s when it became very difficult for us,” Mendoza said.
Amid the chaotic early weeks of the pandemic this spring, the politically fueled confusion proved especially harmful due to limited scientific understanding at the time of how the coronavirus stealthily spread before symptoms appeared in many people.
As intensive care units filled up, state officials scrambled to boost hospital bed capacity. Fears that hospitals would run out of lifesaving breathing machines ignited interstate competition over ventilators, as opposed to a coordinated national response.
Ultimately, the flawed preparedness plan and scattershot emergency response helped delay the revelations unfolding today, such as the prospect that all Americans wearing face-coverings in public could dramatically decrease the virus’ spread in four to six weeks.
In dissecting the myriad of pandemic-related failures, Poland of the Mayo Clinic evoked findings of the 9/11 Commission report that delved into the terrorist attacks of Sept. 11, 2001.
“We believe the fundamental problem was one of imaginability, though we had been warned many times and many ways, we failed to imagine it was possible and therefore failed to prepare,” he said, recounting the report.
“I think that singular statement is precisely applicable to the pandemic,” Poland said, adding, “I hope that one thing that has happened is that our deniability has been stripped away and our imaginability enlivened.”
More: New York malls can reopen Friday if ventilation system meets state standards, Cuomo says
More: Why George Floyd's death, COVID-19 inequality sparked protests:'We're witnessing history'</t>
  </si>
  <si>
    <t>Press &amp; Sun-Bulletin</t>
  </si>
  <si>
    <t>pressconnects.com</t>
  </si>
  <si>
    <t>NorthJersey.com</t>
  </si>
  <si>
    <t>northjersey.com</t>
  </si>
  <si>
    <t>11:34</t>
  </si>
  <si>
    <t>Joseph Spector David Robinson Terrence T. McDonald Meredith Newman New York State Team
First in a series. COVID-19 killed tens of thousands in the Northeast, caused massive unemployment and wrecked the economy. Today, the USA TODAY Network Atlantic Group begins its series that examines what the government got wrong in its response to the virus, what policies eventually worked — and how the states are planning if the coronavirus spikes in the fall.
 In the first days of March, Dr. Jeffrey Shaman watched from his New York City home as political leaders debated how best to control the first cases of coronavirus.
 It soon led to screaming at the television.
 Shaman, an infectious disease expert at Columbia University, said he thought city schools should have been closed right then, in the first week of March, or at least by the second week of the month.
 "It was definitely too slow," he told the USA TODAY Network Atlantic Group. "I live in New York City, and I could not believe the schools were still open."
 Schools in New York were ultimately closed March 16 when the state had 950 COVID-19 cases and nine deaths.
 New York and New Jersey have gone on to have the most coronavirus deaths in the nation, nearly 32,600 (including 4,600 probable deaths in New York City) and 15,700, respectively.
 That was followed by 8,500 in Massachusetts; 8,400 in California; 7,600 in Illinois and 7,100 in Pennsylvania. Maryland had about 3,500 deaths, while Delaware had 580, according to federal data.
 Infection rates in the Northeast have fallen to record lows in recent weeks even as they have soared to record highs in more than 30 other states, mostly in the South and West.
 Now the question is: How well prepared are Northeast states for another spike of COVID-19?
 New York Gov. Andrew Cuomo said it's "almost inevitable" the state will grapple with what he called a second wave or, at least, an extension of the first wave.
 "I feel like we're standing on a beach, and we're looking out into the sea, and we see the second wave building in the distance," Cuomo said July 17.
 "So, I want all New Yorkers to be on high alert."
 Nowhere in the country is a region more aware of the virus' impact than the Northeast.
 And that experience — with thousands of deaths, overwhelmed hospitals and a shuttered economy — is working to inform how officials respond to an anticipated second wave
 The states have been working together to try to thwart a spike, but at the same time making independent decisions on when to open or close certain industries.
 "We see the second wave in the distance," Cuomo continued. "It will have an effect on New York. How bad? We don't know. But we cannot stop the virus at our borders. We're trying everything we can."
 What did the states do wrong and how can it improve?
 Shaman's early warnings about the need for a quick shutdown were not heeded. New York didn't close to non-essential workers until March 22, when the state had 114 deaths and more than 15,000 cases.
 Shaman co-authored a study in May that said New York could have saved as many as 17,000 lives if it instituted its stay-at-home order two weeks earlier.
 "We didn't pick up and learn quickly from seeing what was happening in China," Shaman said.
 "We didn't follow the leads of South Korea and Vietnam and Taiwan to control it, and we dithered and doubted the evidence and worried about the economic repercussions of it, which I can understand."
 He added, "It's an uncertain time and it's difficult, but this is one of the few instances where leadership really matters."
 Cuomo has put the blame squarely on the federal government, saying it let more than 3 million Europeans travel to the U.S., mainly the Northeast, at least six weeks before the pandemic became apparent.
 A U.S. Centers for Disease Control and Prevention report July 17 noted that by the time travel restrictions from Europe was put in place March 13, "importation and community transmission of SARS-CoV-2 had already occurred in NYC."
 A faster shutdown may also have saved more lives among the most vulnerable population, those in nursing homes and extended care facilities.
 About 43% of New Jersey's deaths occurred in nursing homes, while nearly 6,300 deaths in New York, or 25% of the total, were in the facilities.
 Nursing home deaths made up nearly 70% of COVID-19 deaths in Pennsylvania.
 The nursing home deaths have drawn heavy scrutiny over whether states should have better insulated residents from COVID cases, but New York has insisted the problem was due to staff spreading the infection through the homes.
 New York Rep. Tom Reed, R-Corning, is among those calling for an independent investigation of nursing home deaths.
 He said in a July 6 statement that blaming staff "when the state knowingly created COVID hotspots by forcing homes to accept COVID-positive patients is a slap in the face to those who lost a loved one."
 What Northeast states learned from the pandemic
 New York's daily death toll hit as high as 800 in early April, but now daily deaths are in the single digits and there have been a few days without any deaths reported.
 The Northeast is trying to keep it that way, with New York, New Jersey and Connecticut requiring a 14-day quarantine for visitors from states with high infection rates and mandating they fill out questionnaires when they enter New York.
 And the states phased reopening has been largely successful compared to states in the South and West that now are shutting down businesses are a broad reopening last month.
 "The only way we can keep our positivity rate and our RT, or rate of transmission low, is by taking the precautions that we have across the past four months," New Jersey Gov. Phil Murphy said July 17.
 The pandemic, in many ways, has laid bare fundamental flaws in American society
 Watching the coronavirus spread like wildfire through low-income communities plagued by overcrowded housing underscored the systemic racism fueling disparate health outcomes for generations of Black and Hispanic people.
 Stories of nurses and doctors being infected with COVID-19 and dying as hospitals struggled to secure protective masks and gowns exposed gaping holes in emergency preparedness plans and government stockpile systems.
 And in the face of new surges across the country, renewed fears of shortages of personal protective equipment and COVID-19 testing supplies further revealed the faults in a medical supply chain over-reliant on Chinese imports.
 Yet efforts in the Northeast to shore up regional manufacturing of basic medical goods and COVID-19 testing infrastructure show promise against a second wave.
 New public health responses targeting zip codes hit hardest by COVID-19 deaths also offered a glimmer of hope that key resources, including contact tracing, testing and medical care, would better reach communities of color.
 Meanwhile, politically charged debates over reopening plans and mask wearing in public, which New York mandated April 15 to help turn the tide in its coronavirus outbreak, endangered the entire undertaking nationally, experts said.
 “We are seeing unnecessary tens of thousands of deaths and illnesses and disruption because people do not want to believe the evidence,” said Dr. Gregory Poland, an Infectious Diseases Society of America and Mayo Clinic expert.
 “They make it into a political or cultural or economic or faith-based issue, and it's not,” he said. “The virus knows nothing of those areas. The virus knows one thing: Find the next susceptible person and infect them.”
 How coronavirus first spread in the Northeast
 That was the case in Delaware: State health officials saw a significant outbreak in April in small towns in Sussex County, particularly among Hispanics and Haitian immigrant communities.
 Many of those residents work in the county's largest industry — chicken processing plants — where to complete their jobs, workers must stand close together, not adhering to social distancing guidelines.
 Many of the low-income workers can't afford to lose a paycheck, leading to hesitation about whether they should get tested — even if they have been exposed to the virus.
 Language barriers led to challenges when the residents tried to access emergency resources and learn what safety precautions they needed to take.
 Delaware nursing homes were also devastated in the early weeks of the pandemic, particularly because it was difficult for facilities to obtain protective equipment for employees and they have been historically understaffed.
 Because of limited testing in Delaware at the time, only residents with symptoms could receive a COVID-19 test.
 Deaths in long-term care facilities have contributed to more than 60% of the cumulative number of COVID-19 deaths in Delaware. It has led to Gov. John Carney requiring all long-term care employees to be tested on a weekly basis.
 "One of the biggest problems across the country and every state in America from the beginning of this COVID crisis was the lack of availability of testing," Maryland Gov. Hogan said June 10.
 "It was the most serious obstacle to safely reopening the economy."
 While Delaware has seen a decrease in the number of daily COVID-19 cases and hospitalizations, the Rehoboth-Dewey Beach ZIP code saw a spike in cases in late June. Many of these cases involved young people and residents.
 In late June, Carney announced that he is pausing Delaware's plans to reopen its economy . Not long after, he mandated that, in eastern Sussex County, customers will no longer be able to sit or stand at a bar.
 Instead, beachgoers will have to sit at a table and be served.
 “Too many Delawareans and visitors are not following basic public health precautions," Carney said June 25
 "We've heard and seen concerns especially in our beach communities, in restaurants, in gyms, and at sporting events. Now's not the time to let up."
 Protecting hospitals for a future spike
 When the coronavirus pandemic hit Pennsylvania in March, Gov. Tom Wolf scrambled to prevent his biggest fear — overwhelmed hospitals that had no beds for patients.
 Pennsylvania never ran out of hospital beds or life-saving ventilators, even when the virus peaked in April.
 But businesses opened in defiance of state orders. Republican lawmakers tried to end the emergency powers of Wolf, a Democrat.
 Millions lost jobs. Businesses struggled to survive. Without a bailout, the restaurant industry could end up a shadow of its former self, especially now that the governor has ordered them to either cut back to 25% of their dine-in capacity or close again.
 Prisons thinned their populations through early releases and furloughs.
 But inmate advocates and Corrections Secretary John Wetzel agree that state prison populations need to be reduced more, especially at sites that are old and poorly designed for infection control.
 And now, as administrators, parents and politicians argue about whether to send children back to school, Pennsylvania is seeing a surge of fresh cases.
 This pandemic steered Pennsylvania toward a recession. The Pandemic Unemployment Assistance and the Paycheck Protection Program helped, but they have an expiration date, and right now “this virus doesn't,” Labor and Industry Secretary Jerry Oleksiak said
 So even as the state crawls out from economic lock-down, high unemployment and the lingering public health crisis slow the process, leaving economists to agree on one thing: Pennsylvania won't to recover from this disaster for years.
 "Ultimately, what's going to work is not enforcement," Wolf said May 26. "What's going to work is each and every individual Pennsylvanian, each and every business owner doing everything they can to protect their employees and their customers and protect each other from this disease."
 What states will do in the coming months
 Many expert and health official attributed the most glaring missteps to the lack of federal government leadership.
 The criticism spanned from the CDC distributing faulty test kits to states, which delayed the pandemic response in January and February, to mixed messages coming from the Trump administration regarding the threat posed by current spikes in COVID-19 cases.
 “We don't really have a clear national policy on this, and that's been pretty evident,” said Dr. Michael Mendoza, health commissioner of Monroe County in upstate New York.
 In the absence of a universal plan, some states ignored, or shunned, lessons learned in the Northeast, threatening to undo the communal sacrifices that helped reduce infections in New York and New Jersey.
 “When our messages and our data became politicized and distorted…that's when it became very difficult for us,” Mendoza said.
 Amid the chaotic early weeks of the pandemic this spring, the politically fueled confusion proved especially harmful due to limited scientific understanding at the time of how the coronavirus stealthily spread before symptoms appeared in many people.
 As intensive care units filled up, state officials scrambled to boost hospital bed capacity. Fears that hospitals would run out of lifesaving breathing machines ignited interstate competition over ventilators, as opposed to a coordinated national response.
 Ultimately, the flawed preparedness plan and scattershot emergency response helped delay the revelations unfolding today, such as the prospect that all Americans wearing face-coverings in public could dramatically decrease the virus' spread in four to six weeks.
 In dissecting the myriad of pandemic-related failures, Poland of the Mayo Clinic evoked findings of the 9/11 Commission report that delved into the terrorist attacks of Sept. 11, 2001.
 “We believe the fundamental problem was one of imaginability, though we had been warned many times and many ways, we failed to imagine it was possible and therefore failed to prepare,” he said, recounting the report.
 “I think that singular statement is precisely applicable to the pandemic,” Poland said, adding, “I hope that one thing that has happened is that our deniability has been stripped away and our imaginability enlivened.”
 Northeast states continue to limit reopening
 New York and New Jersey have reopened many businesses but have kept some closed.
 Neither state has allowed the resumption of indoor dining. Malls, casinos and amusement parks have remained shuttered in New York, but New Jersey and Pennsylvania have opened them with safety precautions.
 And New York tightened restrictions on outdoor dining, requiring alcohol purchases to be accompanied by food to cut down on large drinking scenes.
 It's a process that Northeast governors continue to evaluate based on daily monitoring of the rates of infection. The concern is that the rapid spread of disease in the bulk of the country will eventually cause a spike in states that have been successful in tamping down the virus.
 "This second wave is just going to be other states infecting us again for a second time," Cuomo said July 16 on MSNBC.
 The control of the situation is a long way from early March.
 When the first coronavirus case hit New Jersey, the state's chief executive was out of commission.
 Murphy underwent surgery to remove a tumor on his kidney March 4 and ceded authority to Lt. Gov. Sheila Oliver. That night, health officials announced a 32-year-old Fort Lee man had the state's first positive coronavirus diagnosis.
 The days, weeks and months that followed were often chaotic, with Murphy and other officials handing down often-confusing sets of rules intended to contain the outbreak as the virus ripped through the state.
 Murphy has won praise from voters , with polls showing wide approval for his handling of the coronavirus crisis.
 "There's no vaccine yet," Murphy warned July 17.
 "All we've got is social distancing, wearing a face covering whenever you are out in public, and certainly whenever you're indoors, washing your hands frequently with soap and water for at least 20 seconds."
 Republican lawmakers in New Jersey allege Murphy cut state lawmakers out when he crafted coronavirus-related orders, unfairly allowed big-box retailers to remain open while forcing smaller stores to close.
 He limited outdoor gatherings, then showed up at Black Lives Matters rallies where protesters were not socially distanced. Those rallies, however, were not shown to result in spikes of COVID-19 cases.
 Much like the other states that were hit hard early in the outbreak, New Jersey did not have enough test kits, supplies, lab capacity or manpower to test people early.
 But like other Northeast states, Murphy's strategy began to look smarter in July.
 States like California, Texas and Florida, which reopened sooner than New Jersey, began to see virus cases surge and their governors hastily re-closed businesses they had allowed to reopen.
 Now Murphy hopes to not join those states in having to change course.
 "We should all take pride in the fact we want to get this exactly as right as we can," he said.
 Joseph Spector is the New York state editor for the USA TODAY Network. He can be reached at JSPECTOR@Gannett.com or followed on Twitter: @GannettAlbany</t>
  </si>
  <si>
    <t>mycentraljersey.com</t>
  </si>
  <si>
    <t>Ithaca Journal</t>
  </si>
  <si>
    <t>ithacajournal.com</t>
  </si>
  <si>
    <t>Courierpostonline</t>
  </si>
  <si>
    <t>courierpostonline.com</t>
  </si>
  <si>
    <t>ydr.com</t>
  </si>
  <si>
    <t>11:33</t>
  </si>
  <si>
    <t>Vineland Daily Journal</t>
  </si>
  <si>
    <t>thedailyjournal.com</t>
  </si>
  <si>
    <t>Rochester Democrat and Chronicle</t>
  </si>
  <si>
    <t>democratandchronicle.com</t>
  </si>
  <si>
    <t>Daily Record - Morris County</t>
  </si>
  <si>
    <t>dailyrecord.com</t>
  </si>
  <si>
    <t>11:32</t>
  </si>
  <si>
    <t>Chambersburg Public Opinion</t>
  </si>
  <si>
    <t>eu.publicopiniononline.com</t>
  </si>
  <si>
    <t>Delaware Online</t>
  </si>
  <si>
    <t>delawareonline.com</t>
  </si>
  <si>
    <t>11:31</t>
  </si>
  <si>
    <t>Lohud The Journal News</t>
  </si>
  <si>
    <t>lohud.com</t>
  </si>
  <si>
    <t>Joseph Spector, David Robinson, Terrence T. McDonald and Meredith Newman New York State Team Published 4:30 AM EDT Jul 28, 2020
First in a series. COVID-19 killed tens of thousands in the Northeast, caused massive unemployment and wrecked the economy. Today, the USA TODAY Network Atlantic Group begins its series that examines what the government got wrong in its response to the virus, what policies eventually worked — and how the states are planning if the coronavirus spikes in the fall.
 In the first days of March, Dr. Jeffrey Shaman watched from his New York City home as political leaders debated how best to control the first cases of coronavirus.
 It soon led to screaming at the television.
 Shaman, an infectious disease expert at Columbia University, said he thought city schools should have been closed right then, in the first week of March, or at least by the second week of the month.
 "It was definitely too slow," he told the USA TODAY Network Atlantic Group. "I live in New York City, and I could not believe the schools were still open."
 Schools in New York were ultimately closed March 16 when the state had 950 COVID-19 cases and nine deaths.
 New York and New Jersey have gone on to have the most coronavirus deaths in the nation, nearly 32,600 (including 4,600 probable deaths in New York City) and 15,700, respectively.
 That was followed by 8,500 in Massachusetts; 8,400 in California; 7,600 in Illinois and 7,100 in Pennsylvania. Maryland had about 3,500 deaths, while Delaware had 580, according to federal data.
 Infection rates in the Northeast have fallen to record lows in recent weeks even as they have soared to record highs in more than 30 other states, mostly in the South and West.
 Now the question is: How well prepared are Northeast states for another spike of COVID-19?
 New York Gov. Andrew Cuomo said it's "almost inevitable" the state will grapple with what he called a second wave or, at least, an extension of the first wave.
 Gov. Andrew M. Cuomo, joined via video conference by New Jersey Gov. Phil Murphy and Connecticut Gov. Ned Lamont, on June 24 announced a joint travel advisory for individuals traveling from states with significant community spread of COVID-19.
 "I feel like we're standing on a beach, and we're looking out into the sea, and we see the second wave building in the distance," Cuomo said July 17.
 "So, I want all New Yorkers to be on high alert."
 Nowhere in the country is a region more aware of the virus' impact than the Northeast.
 And that experience — with thousands of deaths, overwhelmed hospitals and a shuttered economy — is working to inform how officials respond to an anticipated second wave
 The states have been working together to try to thwart a spike, but at the same time making independent decisions on when to open or close certain industries.
 "We see the second wave in the distance," Cuomo continued. "It will have an effect on New York. How bad? We don't know. But we cannot stop the virus at our borders. We're trying everything we can."
 What did the states do wrong and how can it improve?
 Shaman's early warnings about the need for a quick shutdown were not heeded. New York didn't close to non-essential workers until March 22, when the state had 114 deaths and more than 15,000 cases.
 Shaman co-authored a study in May that said New York could have saved as many as 17,000 lives if it instituted its stay-at-home order two weeks earlier.
 Jeffrey Shaman is a professor of Environmental Health Sciences at Columbia University and co-authored a study on New York's response to the coronavirus pandemic in May 2020.
 "We didn't pick up and learn quickly from seeing what was happening in China," Shaman said.
 "We didn't follow the leads of South Korea and Vietnam and Taiwan to control it, and we dithered and doubted the evidence and worried about the economic repercussions of it, which I can understand."
 He added, "It's an uncertain time and it's difficult, but this is one of the few instances where leadership really matters."
 Cuomo has put the blame squarely on the federal government, saying it let more than 3 million Europeans travel to the U.S., mainly the Northeast, at least six weeks before the pandemic became apparent.
 A U.S. Centers for Disease Control and Prevention report July 17 noted that by the time travel restrictions from Europe was put in place March 13, "importation and community transmission of SARS-CoV-2 had already occurred in NYC."
 A faster shutdown may also have saved more lives among the most vulnerable population, those in nursing homes and extended care facilities.
 INVESTIGATION: Coronavirus NJ: Hard-hit nursing homes failed infection control, staffing | Investigation
 ACTING QUICKER: If New York acted more quickly, an early lockdown could have saved 17,000 lives, study says
 About 43% of New Jersey's deaths occurred in nursing homes, while nearly 6,300 deaths in New York, or 25% of the total, were in the facilities.
 Nursing home deaths made up nearly 70% of COVID-19 deaths in Pennsylvania.
 The nursing home deaths have drawn heavy scrutiny over whether states should have better insulated residents from COVID cases, but New York has insisted the problem was due to staff spreading the infection through the homes.
 Andover Subacute and Rehab Center was over whelmed with 17 bodies at their morgue that could only hold 4 bodies in Andover Township, N.J.
 New York Rep. Tom Reed, R-Corning, is among those calling for an independent investigation of nursing home deaths.
 He said in a July 6 statement that blaming staff "when the state knowingly created COVID hotspots by forcing homes to accept COVID-positive patients is a slap in the face to those who lost a loved one."
 What Northeast states learned from the pandemic
 New York's daily death toll hit as high as 800 in early April, but now daily deaths are in the single digits and there have been a few days without any deaths reported.
 The Northeast is trying to keep it that way, with New York, New Jersey and Connecticut requiring a 14-day quarantine for visitors from states with high infection rates and mandating they fill out questionnaires when they enter New York.
 And the states phased reopening has been largely successful compared to states in the South and West that now are shutting down businesses are a broad reopening last month.
 "The only way we can keep our positivity rate and our RT, or rate of transmission low, is by taking the precautions that we have across the past four months," New Jersey Gov. Phil Murphy said July 17.
 The pandemic, in many ways, has laid bare fundamental flaws in American society.
 TRAUMATIZED NURSES: Traumatized by the amount of death, some NJ nurses unsure they can face another COVID-19 wave
 COVID IN YOUR ZIP CODE: Race, income can double your chance of getting sick in NJ
 Watching the coronavirus spread like wildfire through low-income communities plagued by overcrowded housing underscored the systemic racism fueling disparate health outcomes for generations of Black and Hispanic people.
 Stories of nurses and doctors being infected with COVID-19 and dying as hospitals struggled to secure protective masks and gowns exposed gaping holes in emergency preparedness plans and government stockpile systems.
 And in the face of new surges across the country, renewed fears of shortages of personal protective equipment and COVID-19 testing supplies further revealed the faults in a medical supply chain over-reliant on Chinese imports.
 FILE- In this April 10, 2020 file photo a woman wearing a face mask sure to CVID-19 concerns walks along the Jersey City waterfront with the New York City skyline in the background. New York City may be the epicenter of the coronavirus outbreak but of the city's suburbs have been hit just just as hard. In some, there have been more fatalities per capita than in super-dense Manhattan.
 Yet efforts in the Northeast to shore up regional manufacturing of basic medical goods and COVID-19 testing infrastructure show promise against a second wave.
 New public health responses targeting zip codes hit hardest by COVID-19 deaths also offered a glimmer of hope that key resources, including contact tracing, testing and medical care, would better reach communities of color.
 Meanwhile, politically charged debates over reopening plans and mask wearing in public, which New York mandated April 15 to help turn the tide in its coronavirus outbreak, endangered the entire undertaking nationally, experts said.
 “We are seeing unnecessary tens of thousands of deaths and illnesses and disruption because people do not want to believe the evidence,” said Dr. Gregory Poland, an Infectious Diseases Society of America and Mayo Clinic expert.
 “They make it into a political or cultural or economic or faith-based issue, and it's not,” he said. “The virus knows nothing of those areas. The virus knows one thing: Find the next susceptible person and infect them.”
 How coronavirus first spread in the Northeast
 That was the case in Delaware: State health officials saw a significant outbreak in April in small towns in Sussex County, particularly among Hispanics and Haitian immigrant communities.
 Many of those residents work in the county's largest industry — chicken processing plants — where to complete their jobs, workers must stand close together, not adhering to social distancing guidelines.
 Many of the low-income workers can't afford to lose a paycheck, leading to hesitation about whether they should get tested — even if they have been exposed to the virus.
 Language barriers led to challenges when the residents tried to access emergency resources and learn what safety precautions they needed to take.
 Delaware nursing homes were also devastated in the early weeks of the pandemic, particularly because it was difficult for facilities to obtain protective equipment for employees and they have been historically understaffed.
 Because of limited testing in Delaware at the time, only residents with symptoms could receive a COVID-19 test.
 Gov. John Carney speaks to the media during a briefing on the status of the coronavirus pandemic in Delaware on Tuesday, July 14, 2020, at the Carvel State Office Building in Wilmington.
 Deaths in long-term care facilities have contributed to more than 60% of the cumulative number of COVID-19 deaths in Delaware. It has led to Gov. John Carney requiring all long-term care employees to be tested on a weekly basis.
 "One of the biggest problems across the country and every state in America from the beginning of this COVID crisis was the lack of availability of testing," Maryland Gov. Hogan said June 10.
 "It was the most serious obstacle to safely reopening the economy."
 As COVID took elderly lives, 30% of Delaware nursing homes failed to follow proper steps
 DATA REVIEW: Review of death records results in 67 additions to Delaware's coronavirus death count
 While Delaware has seen a decrease in the number of daily COVID-19 cases and hospitalizations, the Rehoboth-Dewey Beach ZIP code saw a spike in cases in late June. Many of these cases involved young people and residents.
 In late June, Carney announced that he is pausing Delaware's plans to reopen its economy. Not long after, he mandated that, in eastern Sussex County, customers will no longer be able to sit or stand at a bar.
 Instead, beachgoers will have to sit at a table and be served.
 “Too many Delawareans and visitors are not following basic public health precautions," Carney said June 25.
 "We've heard and seen concerns especially in our beach communities, in restaurants, in gyms, and at sporting events. Now's not the time to let up."
 Protecting hospitals for a future spike
 When the coronavirus pandemic hit Pennsylvania in March, Gov. Tom Wolf scrambled to prevent his biggest fear — overwhelmed hospitals that had no beds for patients.
 Pennsylvania never ran out of hospital beds or life-saving ventilators, even when the virus peaked in April.
 Gov. Tom Wolf gives an update on Pennsylvania's efforts to mitigate the effects of the new coronavirus.
 But businesses opened in defiance of state orders. Republican lawmakers tried to end the emergency powers of Wolf, a Democrat.
 Millions lost jobs. Businesses struggled to survive. Without a bailout, the restaurant industry could end up a shadow of its former self, especially now that the governor has ordered them to either cut back to 25% of their dine-in capacity or close again.
 Prisons thinned their populations through early releases and furloughs.
 But inmate advocates and Corrections Secretary John Wetzel agree that state prison populations need to be reduced more, especially at sites that are old and poorly designed for infection control.
 And now, as administrators, parents and politicians argue about whether to send children back to school, Pennsylvania is seeing a surge of fresh cases.
 'WEAR A MASK': Wolf, Levine say COVID-19 wave not over in Pa., during WellSpan visit
 BAIL OUT: Gov. Wolf urges Congress to support RESTAURANTS Act &amp; bail out hospitality industry
 This pandemic steered Pennsylvania toward a recession. The Pandemic Unemployment Assistance and the Paycheck Protection Program helped, but they have an expiration date, and right now “this virus doesn't,” Labor and Industry Secretary Jerry Oleksiak said
 So even as the state crawls out from economic lock-down, high unemployment and the lingering public health crisis slow the process, leaving economists to agree on one thing: Pennsylvania won't to recover from this disaster for years.
 "Ultimately, what's going to work is not enforcement," Wolf said May 26. "What's going to work is each and every individual Pennsylvanian, each and every business owner doing everything they can to protect their employees and their customers and protect each other from this disease."
 What states will do in the coming months
 Many expert and health official attributed the most glaring missteps to the lack of federal government leadership.
 The criticism spanned from the CDC distributing faulty test kits to states, which delayed the pandemic response in January and February, to mixed messages coming from the Trump administration regarding the threat posed by current spikes in COVID-19 cases.
 “We don't really have a clear national policy on this, and that's been pretty evident,” said Dr. Michael Mendoza, health commissioner of Monroe County in upstate New York.
 In the absence of a universal plan, some states ignored, or shunned, lessons learned in the Northeast, threatening to undo the communal sacrifices that helped reduce infections in New York and New Jersey.
 “When our messages and our data became politicized and distorted…that's when it became very difficult for us,” Mendoza said.
 Amid the chaotic early weeks of the pandemic this spring, the politically fueled confusion proved especially harmful due to limited scientific understanding at the time of how the coronavirus stealthily spread before symptoms appeared in many people.
 As intensive care units filled up, state officials scrambled to boost hospital bed capacity. Fears that hospitals would run out of lifesaving breathing machines ignited interstate competition over ventilators, as opposed to a coordinated national response.
 Ultimately, the flawed preparedness plan and scattershot emergency response helped delay the revelations unfolding today, such as the prospect that all Americans wearing face-coverings in public could dramatically decrease the virus' spread in four to six weeks.
 In dissecting the myriad of pandemic-related failures, Poland of the Mayo Clinic evoked findings of the 9/11 Commission report that delved into the terrorist attacks of Sept. 11, 2001.
 “We believe the fundamental problem was one of imaginability, though we had been warned many times and many ways, we failed to imagine it was possible and therefore failed to prepare,” he said, recounting the report.
 “I think that singular statement is precisely applicable to the pandemic,” Poland said, adding, “I hope that one thing that has happened is that our deniability has been stripped away and our imaginability enlivened.”
 More: New York malls can reopen Friday if ventilation system meets state standards, Cuomo says
 More: Why George Floyd's death, COVID-19 inequality sparked protests: 'We're witnessing history'
 Northeast states continue to limit reopening
 Customers dine outside PhoBar, Monday, June 22, 2020, in New York. New York City Mayor Bill de Blasio says he is delaying the planned resumption of indoor dining at restaurants in the city out of fear it would ignite a a spike in coronavirus infections.
 New York and New Jersey have reopened many businesses but have kept some closed.
 Neither state has allowed the resumption of indoor dining. Malls, casinos and amusement parks have remained shuttered in New York, but New Jersey and Pennsylvania have opened them with safety precautions.
 And New York tightened restrictions on outdoor dining, requiring alcohol purchases to be accompanied by food to cut down on large drinking scenes.
 It's a process that Northeast governors continue to evaluate based on daily monitoring of the rates of infection. The concern is that the rapid spread of disease in the bulk of the country will eventually cause a spike in states that have been successful in tamping down the virus.
 "This second wave is just going to be other states infecting us again for a second time," Cuomo said July 16 on MSNBC.
 The control of the situation is a long way from early March.
 New York Gov. Andrew Cuomo is joined by video by Connecticut Gov. Ned Lamont, New Jersey Gov. Phil Murphy, Pennsylvania Gov. Tom Wolf and Delaware Gov. John Carney at his daily coronavirus briefing; May 3, 2020.
 When the first coronavirus case hit New Jersey, the state's chief executive was out of commission.
 Murphy underwent surgery to remove a tumor on his kidney March 4 and ceded authority to Lt. Gov. Sheila Oliver. That night, health officials announced a 32-year-old Fort Lee man had the state's first positive coronavirus diagnosis.
 The days, weeks and months that followed were often chaotic, with Murphy and other officials handing down often-confusing sets of rules intended to contain the outbreak as the virus ripped through the state.
 Murphy has won praise from voters, with polls showing wide approval for his handling of the coronavirus crisis.
 "There's no vaccine yet," Murphy warned July 17.
 "All we've got is social distancing, wearing a face covering whenever you are out in public, and certainly whenever you're indoors, washing your hands frequently with soap and water for at least 20 seconds."
 Republican lawmakers in New Jersey allege Murphy cut state lawmakers out when he crafted coronavirus-related orders, unfairly allowed big-box retailers to remain open while forcing smaller stores to close.
 He limited outdoor gatherings, then showed up at Black Lives Matters rallies where protesters were not socially distanced. Those rallies, however, were not shown to result in spikes of COVID-19 cases.
 Gov. Phil Murphy speaks during his Friday, June 26, 2020, press conference at War Memorial in Trenton, NJ, on the state's response to the coronavirus.
 Much like the other states that were hit hard early in the outbreak, New Jersey did not have enough test kits, supplies, lab capacity or manpower to test people early.
 But like other Northeast states, Murphy's strategy began to look smarter in July.
 States like California, Texas and Florida, which reopened sooner than New Jersey, began to see virus cases surge and their governors hastily re-closed businesses they had allowed to reopen.
 Now Murphy hopes to not join those states in having to change course.
 "We should all take pride in the fact we want to get this exactly as right as we can," he said.
 More: Metro-North ridership up slightly while the rush-hour commuter stays home
 More: New York City will not allow indoor dining as it proceeds in the rest of the state
 Joseph Spector is the New York state editor for the USA TODAY Network. He can be reached at JSPECTOR@Gannett.com or followed on Twitter: @GannettAlbany
 Published 4:30 AM EDT Jul 28, 2020</t>
  </si>
  <si>
    <t>Delmarva Now</t>
  </si>
  <si>
    <t>delmarvanow.com</t>
  </si>
  <si>
    <t>Lebanon Daily News</t>
  </si>
  <si>
    <t>ldnews.com</t>
  </si>
  <si>
    <t>Poughkeepsie Journal</t>
  </si>
  <si>
    <t>poughkeepsiejournal.com</t>
  </si>
  <si>
    <t>Позаботьтесь о своём здоровье сейчас!
В диагностическом центре МРТ-Эксперт проходит очень выгодная акция
 "Марафон здоровья" -
МРТ ВСЕГО ОРГАНИЗМА
ЗА 1⃣4⃣ 9⃣0⃣0⃣, вместо 23 500!
Организатор акции ООО «МРТ-Эксперт» г.Магнитогорск ул.Завенягина д. 1 корп. 2
тел 8(3519)51-03-88.☎
 .
Акция дает право в данный период пройти комплексное исследование:
✔МРТ головного мозга
✔МРТ артерий головного мозга
✔МРТ всех отделов позвоночника
✔МРТ брюшной полости
✔МРТ забрюшинного пространства
✔МРТ малого таза
.
*Акция действительна до 31.07.2020 включительно. Скидка не суммируется с другими акциями, действующими в центре.</t>
  </si>
  <si>
    <t>Ксения Башкатова</t>
  </si>
  <si>
    <t>Why Always Choose a Best IVF Centre in Delhi</t>
  </si>
  <si>
    <t>Best IVF Centre in Delhi Infertility is getting attention these days because of its growth in the number of cases in our society which is used to be an uncommon problem a few decades ago. However, the more we hear about infertility cases, the more we grow fear about Infertility Centre in Delhi. Just because of our lack of information and the ignorance, we keep delaying the consultation with the Best IVF Centre in Delhi . I do not know why people see these clinics as a fear monster and do not approach them straight away when the locate the trouble for the first.
Although IVF Centre in Delhi have played a vital role in helping people to conceive and achieve parenthood in several common as well as complicated cases, still people do not show a keen interest to visit IVF clinic too often at the inception of infertility factors or symptoms. Probably, couples looking to conceive a baby believe that going to a fertility clinic is the admission of failure on their part. The flip side of the coin, it may be due to the reason that they are not aware enough regarding how sophisticated these process has become nowadays and how supportive it can be in enhancing their chances of bringing a baby in their life.
Keep your fear aside
Whatever the specific reason that prevents you to visit an IVF clinic or an IVF Expert in Delhi , but the truth is that the fertility clinics are not meant to be fear. In fact, it is one of the sources that can bridge you with your dream to conceive a kid that has halted due to infertility factors. Now is the time to brush aside the uneasiness in your mind.
IVF clinic offers a ray of hope
Numerous couples have become fertile, become pregnant and deliver a healthy baby for the first time. Moreover, the legitimacy of the IVF Clinic in Delhi is so widely recognized that several financial and insurance coverage are more likely to be available as well as other essential assistance for treatment.
Have all essential skill, expertise, and infrastructure
It is needless to mention that there are so many obstacle couples face these days on their way to achieve the parenthood. The last unnecessary things they should avoid is their own created inhibition that holds themselves back from impending or reaching out the Best IVF Center in Delhi that possesses the key knowledge, expertise and required advanced tools, equipment, and the whole infrastructure. Such a clinic has witnessed many amazing results in the field of IVF and other assisted reproduction technique.
Avoid misconception and rumors
At times our decision to consult the Best IVF Clinic or not is largely manufactured by the opinion and their views we take from others. It persuades more misconception than actual fact. Hence, instead of listening to common people, consult the clinic expert to eliminate your apprehension if there is any in your mind.
At times our decision to consult the best IVF clinic or not is largely manufactured by the opinion and their views we take from others.
Dr. Kuldeep Jain is one of the Best IVF Doctor in Delhi , India and work with more than a decade of experience in IVF infertility management.
If you need to understand more about IVF Treatment in Delhi, Best IVF Centre in Delhi, Best Infertility Clinic in Delhi,Best Infertility Treatment in Delhi , Best IVF Centre in Delhi ,Best Infertility Specialist in Delhi, IVF Hospital in Delhi,Male Infertility, Infertility Centre in Delhi,Sperm Bank in Delhi,Best Infertility Doctor in Delhi,best tube baby centre in Delhi,Best IVF Centre in Delhi, IVF Clinic in Delhi etc then you can call us at +9196507 25386, +91 011 22503927 .
Ref: https://bit.ly/303vhs0</t>
  </si>
  <si>
    <t>kjivf</t>
  </si>
  <si>
    <t>wordpress.com</t>
  </si>
  <si>
    <t>07:44</t>
  </si>
  <si>
    <t>Has there been a miracle happen since June up till now? CDC and WHO showed how harmful masks are and said they won't work for viruses anyway. It was shown how oxygen levels were lowered with masks on. So now we are basically being told that we aren't allowed to breath? Is that what we are being told?</t>
  </si>
  <si>
    <t>tammy goodman</t>
  </si>
  <si>
    <t>Медицина Магнитогорск</t>
  </si>
  <si>
    <t>06:35</t>
  </si>
  <si>
    <t>5⃣ Причин сделать 3D - УЗИ малого таза, если ты носитель внутриматочного контрацептива, см. клип 
⠀
❓Как узнать, что спираль стоит правило?
⠀
1⃣Можно сходить к гинекологу @doctor__cberepanova и она посмотрит  есть ли ‍ усы
⠀
Но усы могут просто в шейку подтянуться.
⠀
2⃣Можно сходить на обычное УЗИ
⠀
Но не всегда видно какая стоит спираль в 2D- режиме, а тем более как она установлена
⠀
3⃣Наконец-то можно все на  посмотреть на УЗИ в 3D
⠀
❓Что мы увидим на 3D  УЗИ
⠀
✔️ Форму спирали
⠀
✔️Как она стоит в полости матки:
правильно (плечиками вверх)
стоит "на голове" (перевернулась на 180 плечиками в низ)
развернула плечики
⠀
✔️Выпала из полости:
частично и стоит в шейке матки
или полностью и мы ее не нашли
⠀
✔️Плечики внедрились в мышцу матки - перфорировали миометрий
⠀
И это все на 3D  УЗИ❗️
⠀
А Вы делали 3D УЗИ❓
⠀
Это  "космос"
⠀
Скорей записывайтесь по
☎️ 215 30 03
Клиника Эксперт на  Монастырской, 42 а
@clinic_expert_perm 
⠀
Всегда Ваша, @uzi_belkina
⠀
#крутыесторис11
Марафон @krutie_storis
Куратор @doctor_ioga</t>
  </si>
  <si>
    <t>Врач УЗИ Пермь</t>
  </si>
  <si>
    <t>06:12</t>
  </si>
  <si>
    <t>Bible Prophecy Update – July 26th, 2020</t>
  </si>
  <si>
    <t>Do you trust mayo clinic..we do. @jdfarag https://newsnetwork.mayoclinic.org/discussion/covid-19-mayo-clinic-expert-answers-questions-about-masks-after-cdc-updates-its-recommendation/</t>
  </si>
  <si>
    <t>Vickie V</t>
  </si>
  <si>
    <t>J.D. Farag</t>
  </si>
  <si>
    <t>05:53</t>
  </si>
  <si>
    <t>Yea but touch you mask constantly.</t>
  </si>
  <si>
    <t>Seth Watts</t>
  </si>
  <si>
    <t>00:00</t>
  </si>
  <si>
    <t>Владимирцам в два раза снизили цену на обследование всего тела. Узнали кому его стоит пройти - новости Владимира</t>
  </si>
  <si>
    <t>Сделать его можно в одном из медицинских центров города
"Посмотреть с головы до пят" - теперь это реально и вполне посильная задача для такого метода, как магнитно-резонансная томография. Мы попросили рассказать подробно врача-рентгенолога Медицинского центра «Мрт-Эксперт Владимир» - Любчича Евгения Игоревича о том, кому стоит провести обследование и по каким симптомам понять – как срочно нужно это сделать.   - Евгений Игоревич, начнем с основного — что такое МРТ?
Магнитно-резонансная томография или МРТ — метод диагностики,получения послойных медицинских изображений, внутренних органов и тканей, основанный на явлении ядерного магнитного резонанса. Основан на отклике атомных ядер, чаще всего водорода. МРТ всего тела – способ комплексного обследования организма человека, для поиска скрытой, неявной патологии, уточнения диагноза, а так же оценка распространенности уже ранее выявленного заболевания, например, поиск метастатического поражения органов человека.  - А сколько по времени длится осмотр МРТ всего тела? Приблизительно 1.5 часа. В него входит 9 обследований: МРТ головного мозга; МРТ ангиография интракраниальных артерий; МРТ шейного, грудного, поясничного и крестцово-копчикового отделов позвоночника; МРТ органов брюшной полости, забрюшинного пространства и органы малого таза.  - Что такое контрастное вещество и зачем оно вводится? Парамагнитный препарат на основе гадолиния. В нашем центре используется Омнискан - препарат практически не обладающий противопоказаниями. Когда «нативного», т.е без контраста обследования недостаточно для оценки характера патологического процесса и его распространенности — вводится контрастный препарат. Иными словами – для уточнения диагноза.  - Что делать, если болит, но не понятно где? Для этого и нужно МРТ всего тела — это поможет выявить или исключить какие-либо заболевания, только в комплексе.  - А если мучают головные боли, достаточно ли сделать только МРТ головного мозга? Нет. Головная боль это очень не специфический симптом для многих из заболеваний - от повышенного давления и остеохондроза, до опухолевых поражений. Включает большое количество заболеваний разных врачебных специальностей. Соответственно и точки приложения могут быть разными: как МРТ головного мозга, так и МР-ангиография интракраниальных артерий, синусография, МРТ шейного отдела позвоночника и так далее. Какое обследование нужно именно Вам, лучше решать с лечащим доктором.  - Кому нужно делать МРТ всего тела? Пройти МРТ обследование может любой желающий, который следит за своим здоровьем, люди, которые уже делали операцию и хотят посмотреть динамику после и люди с онкозаболеваниями. «Мрт-Эксперт Владимир» запустили акцию к 75-летию войны — скидка 50% на МРТ всего тела. То есть, полноценное обследование будет стоить всего 15 000 рублей. Памятка от «МРТ-Эксперт Владимир» где причина боли и что войдет в МРТ всего тела:  Записаться на прием, задать свои вопросы и ознакомиться с ценами на услуги «Мрт-Эксперт Владимир» вы можете по телефону: 77-99-81 или по адресу: Владимир, ул. Токарева 3.
Адрес: Владимир, ул. Токарева 3; Телефон: 77-99-81, 77-99-82; Сайт: https://www.mrtexpert.ru/vla. ИМЕЮТСЯ ПРОТИВОПОКАЗАНИЯ, НЕОХОДИМА КОНСУЛЬТАЦИЯ СПЕЦИАЛИСТА</t>
  </si>
  <si>
    <t>vladimir.holme.ru</t>
  </si>
  <si>
    <t>27.07.2020</t>
  </si>
  <si>
    <t>22:42</t>
  </si>
  <si>
    <t>I have dairreah and some lower abdomen pain  from yesterday after eating outside food, normally when I had Dairreah i'll recover quickly in a day but this it's looks something different, July 26th, and felt chill once in night and some Nausea in night. I think is only Dairreah but don't want to take chases as doctor said I may have respiratory issues later after a week, so I've appointment scheduled tomorrow i.e 28th July.
I still fell some pains and lazyness.
Will update after I get my results.</t>
  </si>
  <si>
    <t>Rajesh Hazari</t>
  </si>
  <si>
    <t>22:01</t>
  </si>
  <si>
    <t>Surviving COVID-19 Is One Thing; Physical Therapy Is Another</t>
  </si>
  <si>
    <t>Surviving COVID-19 Is One Thing; Physical Therapy Is Another CBS 2 Morning Insider Lauren Victory went inside a physical therapy session for a slice of life after the virus.
By CBS Chicago, News Partner
 Jul 27, 2020 1:51 pm CT
 Reply
 CHICAGO (CBS) — We routinely see celebrations for recovered COVID-19 patients leaving the hospital; cheering, music, and balloons. But the party is often over when the person gets home.
 CBS 2 Morning Insider Lauren Victory went inside a physical therapy session for a slice of life after the virus.
 Read more at CBS Chicago
 Reply to this article
 Reply
 Next on Patch
 Back to the
 Chicago
 Patch
 Feels good to be back in the stores... buying that stuff made in China again !
 mY lAsT TrIp tO tHe ToBaCCoNisT wEnT sWImMiNgLY!?!
 i think you need your meds
 FOR IMMEDIATE RELEASE
 Council of Islamic Organizations of Greater Chicago Launches City-Wide Social Justice Service Challenge this July; Grand Prize Winner to Win $5000 in August
 CHICAGO, IL, Wednesday, July 22, 2020 --
 On July 1st, 2020, the CIOGC gave 32 mosques in Chicago a $1000 grant each to to come up with a service project that benefits their community. All applicants had to register by the June 30th deadline in order to participate. The 4-week, social-justice-themed Challenge requires each participating mosque to send in regular, timely photographs and videos highlighting the progress on their service project leading to a final video and a public voting day. Winners, including one grand prize winner, will be announced in August after the second religious holiday for Muslims, Eid ul Adha.
 Board Director, Sabina Qadir, who proposed this Challenge after seeing the Chicago Muslim community in action during Covid19 says, "The Muslim community has always been about service. [This] challenge is an opportunity for the Muslim community to focus on hope and action. The pandemic and the senseless killing of black men and women has highlighted the racial and economic injustices in our nation and this challenge is a way for the Muslims of Illinois to come together and empower our communities to address the issues at hand."
 Participants include mega mosques like Mosque Foundation in Bridgeview and the Islamic Center of Naperville who have signed up, not because of the prize money, but because the Challenge has piqued their communities' interest.
 Inner city mosques like Masjid al Farooq and Masjid al Taqwa are also eager to participate. Some of them will get additional time in the spotlight as CIOGC sponsors Live social media chats with influencers to highlight some of the issues these mosques face. The first live chat is Saturday, July 11, with Chicago-based influencer Wali Khan.
 To learn more about the Challenge, its rules and follow the weekly submission process for participants, visit www.ciogc.org
 The Council of Islamic Organizations of Greater Chicago is a 27-year old Muslim nonprofit organization working towards guiding and unifying Muslims all across the Chicagoland, encouraging civic engagement and strengthening interfaith relationships.
 Mayor Lightfoot, wearing a mask should not be an option in public, especially by law enforcement.
 Everyone has an old sock, t- shirt, napkin, blanket, pillow case, clothes that no longer fit, old junk in their house or garage that contains fabric. It doesn't need to be fancy, it just needs to do it's purpose.
 There is no excuse not to wear a mask in public.
 If you can smell a fart through an N95, then they are completely non effective against a virus that is 20 nanometers.
 Johnny Truth Mayo clinic feels differently, but there are a lot of different opinions on this
 https://newsnetwork.mayoclinic.org/discussion/covid-19-mayo-clinic-expert-answers-questions-about-masks-after-cdc-updates-its-recommendation/
 I think that I have an old tube sock, lol.
 Asking a question and curious about it? My husband are both Republicans and we are not shy about it. We got cards in the mail telling us we should have a while back a long with everyone else in Illinois gotten our registration voters cards to go online and register to vote. Well, we haven't gotten anything to go vote at all in-fact we haven't seen nothing about voting until this past week in the mail. If you try to call the offices you can't get through to talk to anyone because they are so busy to find out what is going on.
 I'm curious if anyone else has missed their voters mail in registration cards or online registration cards as well .
 This is exactly why I was against mail in and online registration and voting to begin with with. It's all screwed up and and what is going to happen at the end of all this. THE NUMBER WILL BE WRONG but OF COURSE THE DEMOCRATS WILL SAY THEY ARE CORRECT. I KNOW FOR A FACT of 2 PEOPLE WHO HASN'T GOTTEN THEIR CARDS WHEN THE VOTER REGISTRATION SAID WE DID ?.
 And get spellcheck
 Judith Adams Well, Judith did you get up on the wrong side of the bed today or did I just click a wrong button. ??‍♀️ Wow! Nice to meet you! Have a nice day
 Judith Adams Some of us are using dated software and the spell check "no worka so good"
 Ciao!
 Judith Adams. Staying classy
 Ben aaron Not trying to be classy just being honest
 The New Jersey Ground Water Association would like to let residents of Howell Twp ,who are being required to hook up to the new NJ American Water mains, know that they can keep their existing wells with the assistance of a licensed professional.
 Some residents are being told that they must decommission their wells, but this is not the case. There is an alternative. Please log on to our website at www.njgwa.org and click on the Find Pros button to find a licensed professional near you who can help you keep your existing well to fill your pool or water your grass and flowers.
 Email the Cook County Commissioners...
 tell them you OPPOSE THE RESOLUTION 20-2867... the “defund police” nonsense.
 Commissioner Brandon Johnson, 1st District: brandon.johnson@cookcountyil.gov
 Commissioner Dennis Deer, 2nd District: dennis.deer@cookcountyil.gov
 Commissioner Bill Lowry, 3rd District: bill.lowry@cookcountyil.gov
 Commissioner Stanley Moore, 4th District: stanley.moore2@cookcountyil.gov
 Commissioner Deborah Sims, 5th District: deborah.sims@cookcountyil.gov
 Commissioner Donna Miller, 6th District: donna.miller@cookcountyil.gov
 Commissioner Alma Anaya, 7th District: alma.anaya@cookcountyil.gov
 Commissioner Luis Arroyo, Jr., 8th District: luis.arroyojr@cookcountyil.gov
 Commissioner Peter Silvestri, 9th District: cookcty9@aol.com
 Commissioner Bridget Gainer, 10th District: district10@cookcountyil.gov
 Commissioner John Daley, 11th District: john.daley@cookcountyil.gov
 Commissioner Bridget Degnen, 12th District: bridget.degnen@cookcountyil.gov
 Commissioner Larry Suffredin, 13th District: lsuffredin@aol.com
 Commissioner Scott Britton, 14th District: scott.britton@cookcountyil.gov
 Commissioner Kevin Morrison, 15th District: kevin.morrison@cookcountyil.gov
 Commissioner Frank Aguilar, 16th District: frank.aguilar@cookcountyil.gov
 Commissioner Sean Morrison, 17th District: sean.morrison@cookcountyil.gov
 Thanks John! I will email as many of these commissioners as I can because it seems as if the same group that wants to erode our 2nd amendment rights also want to defund the police too. Makes no sense!
 Funny - the only people in favor of "Defund the Police" are white middle or upper class people and gangbangers. The actual residents of poor areas want more police - not less. Care to guess how many unarmed Black Men were killed by cops in 2019? It's 14, according to the Washington Post.
 John Schnieder We do that within a couple weekends in Chicago
 You don't have to wear a mask on CTA, and yet the mayor is worried about virus spreading?
 Yes, I know there are signs that say please wear a mask, and there's a “rule “that you have to wear a mask.
 Absolutely no enforcement.
 On a division bus two days ago 13 young people did not have masks, chatting away merrily.
 What a farce.
 It's no farce..Either Mask it, or Casket..It's their choice.
 Wearing masks seems kind of pointless when protests have been going on for weeks it would seem.
 Removal of artwork
 and destruction of property
 and installation of special interest propaganda, are just some of the things that will have to be repaired when Lightfoot leaves office.
 She is leaving a trail of misery and discord.
 If she does not resign, or get recalled, we will have to tolerate her three more years and never ..ever ..make the same mistake again.
 I like her because she's tough and she stands by her word.
 MELANIE W John isn't saying that at all. She's destroying this city. Take a walk down Michigan Avenue and see the boarded up buildings, businesses closed, grafitti all over, and by the way, Streets and San grafitti cleaners aren't allowed to remove terrorist BLM grafitti. What's that about Miss know-it-all?
 All these thugs and yeah that includes the white Antifa thugs, so don't start with your bs "code word", were given free rein to destroy this city. These criminals are allowed to roam daily, robbing, rapiing, beating and killing. AND POLICE AREN'T ALLOWED TO ENFORCE THE LAW.
 If she were a white man or woman and this was happening she would absolutely NOT be praised. Nice try though.
 John Weis Loftus I had to stick up for you via responses to Melanie. I can't believe people have their head so far up their rears that they can't see the destruction of this city and not be furious. Maybe shes LL's troll, who knows? I absolutely agree with you though, usually do!
 I like her, because as a 77 year old prostitute, she's still someone I can look down on. She's lower than whale excrement.
 Vivian Taintbiter Rotflmao
 Vivian Taintbiter I thought you said that you were 87 yrs. old. WTH??? ????
 We're different!
 Please sign our petition so we may keep our backyard hens.
 https://www.change.org/BackyardChickensInShorewood
 Signed. Best of luck. Sad that someone woupd expect you to let go of some of your chickens when it's obvious they are loved and well taken care of</t>
  </si>
  <si>
    <t>Patch</t>
  </si>
  <si>
    <t>patch.com</t>
  </si>
  <si>
    <t>20:51</t>
  </si>
  <si>
    <t>azelkhntr said:
					↑ goto/post?id=8490859#post-8490859 
		This Kung-flu is airborne and masks dont work. But why not? The Sars-cov 2 virus is reported to be 0.06 nanometers in size. I believe its actually 0.005um because i saw the very first published electron microscope pic in January. A pic which disappeared and couldn't be found the day after released. The N95 mask only filters out particles down to 0.3 microns 95% of the time. The bug is 9x smaller than that. Cloth and paper masks are useless and bandanas are less then useless. The only thing they provide is a false sense of security and comfort, no more. Now I had to wear a mask for 25 years of my career in surgery and its a once and done deal and you never touch it again after donning. N95 masks must be properly fitted to the wearer to work as designed and after an hour or two of wearing one its a soaking sponge and you cant wait to get it off. This disease is now treatable and can be managed. You still only have a 0.03% chance of dying if infected vs the entire US population. 0.03% is nothing to be worked up about. If you have no co-morbidities you'll be fine. The best thing you can do is to supplement Zinc at 30mg. into your diet daily. The Zinc interferes with a coronavirus' ability to replicate inside healthy cells. Take the zinc.
Here is what the Mayo Clinic has to say about masks and virus size:
Q. What's the difference between cloth masks and medical masks, such as an N95 mask?
A. The idea behind an N95 mask is it has a filtering ability down to, and actually below, the size of SARS-CoV-2, the virus that causes COVID-19. So the coronavirus is about 0.12 microns in diameter and N95 (masks) protect down to 0.1 microns, with 95% efficiency, which is where it gets its name.
We don't want the public to think that the recommendation is for medical masking. That would be detrimental to us as a society, health care providers and patients who are sick with the disease need those masks.
https://newsnetwork.mayoclinic.org/...t-masks-after-cdc-updates-its-recommendation/ https://newsnetwork.mayoclinic.org/discussion/covid-19-mayo-clinic-expert-answers-questions-about-masks-after-cdc-updates-its-recommendation/ 
			birdhntr said:
					↑ goto/post?id=8490299#post-8490299 
		Yes.You do realize how the virus is transmitted do you not.How does it enter the bloodstream.
I am safe to walk on it bare foot.I am not safe to walk on it bare foot then rub my feet and then rub my lips a few times while I also eat my lunch.
Hands are the number one contributor to communicable diseases and have been.Has something changed?
Remember droplets fall when your looking down at your items you are looking to purchase.
Should I believe you or the Mayo Clinic:
 " According to the Centers for Disease Control and Prevention https://www.cdc.gov/media/releases/2020/s0522-cdc-updates-covid-transmission.html , the most common mode of transmission for COVID-19 https://newsnetwork.mayoclinic.org/category/covid-19/?mc_id=us&amp;utm_source=newsnetwork&amp;utm_medium=l&amp;utm_content=content&amp;utm_campaign=mayoclinic&amp;geo=national&amp;placementsite=enterprise&amp;cauid=100721  is through close contact from person to person. While it is possible that someone can get COVID-19 by touching a surface or object that has the virus on it and then touching their own mouth, nose or possibly their eyes, this isn’t thought to be the main way the virus spreads. "
https://newsnetwork.mayoclinic.org/...odcast-what-we-know-about-virus-transmission/ https://newsnetwork.mayoclinic.org/discussion/mayo-clinic-qa-podcast-what-we-know-about-virus-transmission/ 
			birdhntr said:
					↑ goto/post?id=8490301#post-8490301 
		And remember that the mask doesn't protect you from getting the virus but can slow transmission supposedly.
A large majority was wearing masks and now this is where were at.Are they thinking that they are doing the right thing and letting their guard down on hand washing along with other measures.One thing for sure is everyone goes to the grocery stores.
A mask that filters down to 0.1 micromanage the virus size is 0.12 microns will help protect you.
For your claim about touching masks to be dangerous to be true the mask would have to be catching and stopping virus on its surface.  That storage would prevent you from inhaling the virus.
So which is it;  does the virus get trapped on the mask and protect your lungs or does the virus pass through the mask so the surface is safe?
Me, I am going with the experts at Mayo Clinic.
If we had the same death rate per million people as the world as a whole we would have fewer than 28,000 deaths, not our 149,900 that we are reporting.  (Actually that number would be even lower due to the impact our deaths is having on the world average).
So what I am still trying to get my head around is why we are so much worse than the rest of the world.  Is it climate, location, lack of belief in experts, or something else?</t>
  </si>
  <si>
    <t>20:08</t>
  </si>
  <si>
    <t>Wellness Physiotherapy Clinic</t>
  </si>
  <si>
    <t>Expert doctors with friendly attitude who will listen to you like a friend.
I came with neck pain issues and was advised physiotherapy sessions. Now the neck pain is managed and i am really on the way to recovery thanks to Dr. Ankur.
Really recommend others to try them out :)</t>
  </si>
  <si>
    <t>Mudit Singh</t>
  </si>
  <si>
    <t>19:56</t>
  </si>
  <si>
    <t>МРТ ангиография (артерии шеи)
https://www.mrtexpert.ru/spb/services/18</t>
  </si>
  <si>
    <t>Евгения Смагина</t>
  </si>
  <si>
    <t>Лечение артрита - в Клинике Эксперт Ростов!
⠀⠀⠀⠀⠀⠀⠀⠀⠀
Только 18 и 19 июля в нашей клинике приём ведёт Дарья Александровна Кусевич - ведущий врач-ревматолог из Москвы⚕
⠀⠀⠀⠀⠀⠀⠀⠀⠀
С чем поможет Дарья Александровна?
✔С болью, которая сильнее утром и становится легче к полудню и вечеру.
✔С установленным диагнозом ревматического заболевания, остеоартрозом.
✔С неясной болью в суставах, мышцах и связках
✔Если требуется мнение по поводу лечения и уже установленного диагноза.
⠀⠀⠀⠀⠀⠀⠀⠀⠀
Осталось 5 мест на приём!
⠀
Запись по телефону в Ростове-на-Дону: (863) 333-03-93
⠀⠀⠀⠀⠀⠀⠀⠀⠀
Чем известна Дарья Кусевич
✔Научный сотрудник НИИ Ревматологии, г.Москва ⠀
✔Научный сотрудник лаборатории остеоартрита
✔Член Ассоциации Ревматологов России
✔Победитель конференции молодых учёных
✔Сертифицированный специалист по кинезиотейпированию.
⠀
Запись по телефону в Ростове-на-Дону: (863) 333-03-93
⠀
Что такое Клиника Эксперт Ростов?
«Клиника Эксперт» - это крупнейшая федеральная сеть медицинских центров.
Уже 12 лет мы помогаем выявить и справиться со сложными заболеваниями!⠀
- 36 диагностических центров в 36 регионах России.
- 10 многопрофильных центров в 10 регионах.
⠀⠀⠀⠀⠀⠀⠀⠀⠀⠀
Запись по телефону в Ростове-на-Дону: (863) 333-03-93
www.mrtexpert.ru
rostov_admin@mrtexpert.ru
⏰ПН-ВС: 7:00-22:00
Ростов-на-Дону, ул. Красноармейская, д.262/122, пом.1
Лицензия: ЛО-61-01-006908</t>
  </si>
  <si>
    <t>Лечение артрита - в Клинике Эксперт Ростов!$#129658;
⠀⠀⠀⠀⠀⠀⠀⠀⠀
Только 18 и 19 июля в нашей клинике приём ведёт Дарья Александровна Кусевич - ведущий врач-ревматолог из Москвы⚕
⠀⠀⠀⠀⠀⠀⠀⠀⠀
С чем поможет Дарья Александровна?
✔С болью, которая сильнее утром и становится легче к полудню и вечеру.
✔С установленным диагнозом ревматического заболевания, остеоартрозом.
✔С неясной болью в суставах, мышцах и связках
✔Если требуется мнение по поводу лечения и уже установленного диагноза.
⠀⠀⠀⠀⠀⠀⠀⠀⠀
Осталось 5 мест на приём!
⠀
Запись по телефону в Ростове-на-Дону: (863) 333-03-93
⠀⠀⠀⠀⠀⠀⠀⠀⠀
Чем известна Дарья Кусевич$#129658;
✔Научный сотрудник НИИ Ревматологии, г.Москва ⠀
✔Научный сотрудник лаборатории остеоартрита
✔Член Ассоциации Ревматологов России
✔Победитель конференции молодых учёных
✔Сертифицированный специалист по кинезиотейпированию.
⠀
Запись по телефону в Ростове-на-Дону: (863) 333-03-93
⠀
Что такое Клиника Эксперт Ростов?
«Клиника Эксперт» - это крупнейшая федеральная сеть медицинских центров.
Уже 12 лет мы помогаем выявить и справиться со сложными заболеваниями!⠀
- 36 диагностических центров в 36 регионах России.
- 10 многопрофильных центров в 10 регионах.
⠀⠀⠀⠀⠀⠀⠀⠀⠀⠀
Запись по телефону в Ростове-на-Дону: (863) 333-03-93
www.mrtexpert.ru
rostov_admin@mrtexpert.ru
⏰ПН-ВС: 7:00-22:00
Ростов-на-Дону, ул. Красноармейская, д.262/122, пом.1
Лицензия: ЛО-61-01-006908</t>
  </si>
  <si>
    <t>18:22</t>
  </si>
  <si>
    <t>МРТ С ГАРАНТИЕЙ</t>
  </si>
  <si>
    <t>Наташа Михайлова</t>
  </si>
  <si>
    <t>Данное открытие было сделано 27 июля 1921 года. В этот день физиолог из Канады по имени Фредерик Бантинг открыл инсулин. Он же впоследствии внедрил данный препарат в практику лечения диабета и был удостоен Нобелевской премии за свои достижения. Стоит отметить, что на момент получения премии Бантингу исполнился всего 31 год. Скрыть
27 июля: Трагическая история открытия инсулина - МедПросвита
medprosvita.com.ua
27 июля: Трагическая история открытия инсулина - МедПросвита
medprosvita.com.ua › 1i27…a…insulina/
27 июля 1921 года физиолог из Канады Фредерик Бантинг открыл инсулин и внедрил его в практику лечения диабета. Читать ещё
27 Июля был открыт инсулин — смотрите картинки
Яндекс.Картинки
zen.yandex.by
suckhoedoisong.vn
pustunchik.ua
ok.ru
plus-one.ru
media.awesomestories.com
www.blogboard.net
mitropolija.com
www.pinterest.ru
multiurok.ru
Ещё картинки
Мир узнал об инсулине 99 лет назад — Рамблер/доктор
doctor.rambler.ru › news…ob-insuline…
16 часов назад
27 июля 1921 года канадский физиолог Фредерик Грант Бантинг выступил с докладом о получении инсулина. Читать ещё
27 июля был открыт инсулин
Яндекс.Видео
День в истории. Гибель Лермонтова...
05:36 · wap.vesti.ru
05:57
Гибель Лермонтова, день гамбургера...
youtube.com
вчера
День в истории. Гибель Лермонтова...
static.vesti.ru
12 часов
03:22
Турагентства предрекают...
m24.ru
11 часов
05:36
День в истории. Гибель Лермонтова...
vera.vesti.ru
12 часов
00:34
Любители метеорологии в Верхошижемье...
yandex.ru/efir
01:13 dHD
Как будут работать торговые центры «Мега» после...
yandex.ru/efir
21 июл
00:21
В МИД России допустили открытие границ с Европой...
yandex.ru/efir
03:58 HD
Чувствительность клеток к инсулину.
youtube.com
05:23
инсулин | инсулин в бодибилдинге и при похудении
yandex.ru/efir
Ещё видео
Сейчас в СМИ
День в истории: 99 лет назад создали инсулин
moi-goda.ru
9 часов назад
Мир узнал об инсулине 99 лет назад
yandex.ru/news
1:49 сегодня
Впервые получен Инсулин - Знаменательное событие
ruspekh.ru › events/vpervye…insulin
Впервые получен Инсулин. Фредерик Бантинг сообщил о получении нового препарата «айлетина» 27 июля 1921 года. После множества успешных... Читать ещё
27 июля был открыт инсулин — статьи, проверенные врачами
Яндекс.Здоровье
Канадский физиолог Фредерик Грант Бантинг родился 14 ноября 1891 года. Отучившись в школе, послужив военным хирургом в Англии и Франции во время Первой мировой войны, поработав хирургом в детской больнице, он занял должность… Читать полностью
Мир узнал об инсулине 99 лет назад - Парламентская газета
pnp.ru › social/mir-uznal…insuline…
16 часов назад
27 июля 1921 года канадский физиолог Фредерик Грант Бантинг выступил с докладом о получении инсулина.
Сахарный диабет: как работает инсулин. История научного открытия. История инсулина...
2 фото 
7ya.ru › article…insulin…otkrytiya…
История открытия инсулина. Лечение сахарного диабета инсулином: как это происходит. Читать ещё
Белок, спасающий от смерти: 27 июля 1921 г. канадский физиолог Фредерик Бантинг...
nowbibl.ru › …07…27-iyulya…g…insulin/
1 час назад
27 Июль 2020. 93 года назад, в январе ... Он был первым, кого спас инсулин. ... В 1930 году в Торонто был открыт... Читать ещё
Белок, спасающий от смерти: 27 июля 1921 г. канадский физиолог Фредерик Бантинг...
2 фото 
minzdrav.gospmr.org › …ot…27-iyulya…
Инсулин, наряду с другими гормонами, вырабатывается в ... И вот наступил долгожданный день триумфа – 27 июля 1921 года. Читать ещё
Продать всё – спасти миллионы. Как был открыт инсулин
mrtexpert.ru › articles/661
Как был открыт инсулин. ... 27 июля 1921 года вошло в историю медицины. Собаке с удалённой железой, в... Читать ещё
Фредерик Грант Бантинг выступил с докладом о получении инсулина...
redday.ru › event/Frederik…s…insulina
Вы знали, что 27 июля в истории еще. ... Открыт Волго-Донской судоходный канал. ... С 27 июля по 3 августа в Москве проходил XII Всемирный... Читать ещё
Показать ещё</t>
  </si>
  <si>
    <t>Adel Gamane</t>
  </si>
  <si>
    <t>Волгоградская область</t>
  </si>
  <si>
    <t>Волгоград</t>
  </si>
  <si>
    <t>https://scontent-hel2-1.xx.fbcdn.net/v/t1.0-0/p526x296/116155721_3293397504017111_4056937535662434215_o.jpg?_nc_cat=109&amp;_nc_sid=730e14&amp;_nc_ohc=ye2gO8N8gpMAX8vgy0S&amp;_nc_oc=AQnW2545DVEcWoSM3bNapIKdYBMBTdF9EBiIItwhEPY_sDAIwQ7x06Fdb_AHgQgo_-2MBpOxwzWR0XKL3o7x3Bd3&amp;_nc_ht=scontent-hel2-1.xx&amp;_nc_tp=6&amp;oh=cafb80def82ad59a3635cd4acc1d569a&amp;oe=5F47C39A</t>
  </si>
  <si>
    <t>16:48</t>
  </si>
  <si>
    <t>#DentalExtraction #AskTheDentist #DubaiDentist
Having a tooth pulled in adulthood is sometimes necessary. Although permanent teeth were meant to last a lifetime, there are a number of reasons why tooth extraction may be needed. A very common reason involves a tooth that is too badly damaged, from trauma or decay, to be repaired.
Missing teeth can have serious effects on the way you look, chew and speak. Leaving an empty space in your mouth after losing a tooth can cause your other teeth to shift and trigger other problems like jawbone deterioration.
Pearl Dental clinic expert dentist, Dr. Shoukath Ali explains the best way to avoid complications associated with dental extraction and missing teeth.
________________________
Schedule a callback with us to learn more :
Call:+97144270710
Whatsapp:+971555630659
https://pearldentalclinic.ae/online-appointment/
#DentalVeneers #HollywoodSmile #SmileDubai #Dentist #IndianDentist #Dentalclinic #BusinessBay #PearlDentalClinic #SmileMakeover #Extraction #Dentures #Implants #Straumann #DubaiSmile
☹️</t>
  </si>
  <si>
    <t>Pearl Dental Clinic - Dubai</t>
  </si>
  <si>
    <t>Объединённые Арабские Эмираты</t>
  </si>
  <si>
    <t>Дубай</t>
  </si>
  <si>
    <t>15:48</t>
  </si>
  <si>
    <t>Ангина у ребёнка. С таким диагнозом наверняка сталкивались многие родители. А знаете ли вы, что такое фарингит?
Рассказывает врач-отоларинголог «Клиника Эксперт» Воронеж Инна Чирскова: https://www.mrtexpert.ru/articles/1078
#ГКЭксперт #мртэксперт #КлиникаЭксперт #КлиникаЭкспертВоронеж #фарингит</t>
  </si>
  <si>
    <t>15:46</t>
  </si>
  <si>
    <t>Ангина у ребёнка. С таким диагнозом наверняка сталкивались многие родители. А знаете ли вы, что такое фарингит?
Рассказывает врач-отоларинголог «Клиника Эксперт» Воронеж Инна Чирскова: https://www.mrtexpert.ru/articles/1078
#ГКЭксперт #мртэксперт #КлиникаЭксперт #КлиникаЭкспертВоронеж #фарингит
Не только ангина. Говорим о фарингите у детей
У вашего ребёнка разболелось горло. «Неужели ангина?» – подумали вы? Возможно, это так, однако есть и другие болезни, при которых может болеть горло. Одна из них – фарингит.
https://www.mrtexpert.ru/articles/1078</t>
  </si>
  <si>
    <t>15:38</t>
  </si>
  <si>
    <t>МРТ ИЛИ КТ В ДИАГНОСТИКЕ КИСТ И КИСТОЗНЫХ ОБРАЗОВАНИЙ ПОДЖЕЛУДОЧНОЙ ЖЕЛЕЗЫ?</t>
  </si>
  <si>
    <t>Несколько лет назад побывал впервые в жизни в Астане. Ощущение от города — современный Чикаго времён 1980-х Советского Союза. Поясню: вроде бы тенденция к новому и ультра, а дух — «наш», родной, «юношеский», привычный, с молодости, с 80-х. Вроде бы и построен новый город будущего, а чувствуешь в нём себя в Советском Союзе (да простят меня те, кто думает иначе, но меня не покидало ощущение во время нашей встречи с казахскими друзьями на их научно-практической конференции, что сижу я на зачёте по научному коммунизму на 6-м курсе института и вспоминаю содержание нетленных творений дорогого Леонида Ильича. В этом нет ничего плохого, мы все такие, какие мы есть — кто сказал, что иначе — это лучше).
Я ехал к друзьям, надеюсь, они правильно расценят эти строки, если прочтут, а я им благодарен за возможность вернуться в молодость — в Москве стало слишком всё по-западному, а там ещё сохранился дух советского братства. Но это ностальгия. А по сути — за 20 минут нужно было «пробежаться» по проблеме диагностики разновидностей кистозных образований поджелудочной железы. Скажу лишь, что за последнее время к хорошо известному добавились возможности диффузионно-взвешенных изображений.
Всё-таки карты исчисляемого коэффициента диффузии работают, и где темно — там и ищи озлокачествление. МРТ «тоньше» выявляет нюансы строения стенок и перегородок. КТ более чувствительна к кальцию. Врачи по-прежнему забывают, что не всё то, что полость в поджелудочной железе — это постнекротическая киста, и класть панкреатоеюноанастомозы всем подряд не следует, иногда следует вспомнить о возможности наличия муцинозной цистаденомы, которая в анастомозе уж точно переродится в цистаденокарциному. Многие почему-то думают, что нейроэндокринные опухоли обязательно продуцируют гормоны. А они могут быть и «немыми» (чуть ли не 40%).
Растут себе потихоньку, кистозно трансформируются, а заодно и озлокачествляются. Солидно-псевдопапиллярные опухоли — «в начале своего жизненного пути» и не «псевдопапиллярные» вовсе, а плохо контрастируемые, солидные, и их путают с чем угодно, в том числе с протоковой аденокарциномой. Но, «молодые» и маленькие — они ещё доброкачественные, а большие и кистозные, да ещё с обызвествлениями (по периферии), — чаще злокачественные. А ещё есть целый ряд других, ну, очень редких опухолей, которые надо выявить, понаблюдать за ними и обязательно решить, что делать дальше. Грамотный подход обеспечит нормальную жизнь пациенту.
И вообще, следует помнить: большие опухоли обеспечивают хорошие показатели диагностики, но от этого уже никому не легче. «Лучше меньше, да лучше» — сказал вождь мирового пролетариата. И, как всегда, он был прав: меньше размеры опухоли поджелудочной железы — лучше результаты её лечения. Здесь, как нигде более, работает весьма популярный на Западе принцип: «Размер имеет значение»! (а я бы добавил: и структура опухоли). Не надо считать все кистозные образования поджелудочной железы постнекротическими кистами. Разложите их на группы, и поверьте: «пасьянс» выискивания сверхмалых симптомов и различий — ну очень увлекательный процесс. Главное понимать: ваши усилия будут не напрасными, кому-то вы сохраните Жизнь.
Автор: Кармазановский Григорий
#медицина, #болезни, #мрт эксперт, #гк эксперт, #клиника эксперт</t>
  </si>
  <si>
    <t>В этот день канадский врач и физиолог, лауреат Нобелевской премии Фредерик Грант Бантинг выступил с докладом о получении вещества, условно разделившего историю сахарного диабета на эпоху “до” и “после”.
Продать всё – спасти миллионы. Как был открыт инсулин?: https://www.mrtexpert.ru/articles/661
#ГКЭксперт #мртэксперт #КлиникаЭксперт #великиеврачи #фредерикбантинг</t>
  </si>
  <si>
    <t>В этот день канадский врач и физиолог, лауреат Нобелевской премии Фредерик Грант Бантинг выступил с докладом о получении вещества, условно разделившего историю сахарного диабета на эпоху “до” и “после”.
Продать всё – спасти миллионы. Как был открыт инсулин?: https://www.mrtexpert.ru/articles/661
#ГКЭксперт #мртэксперт #КлиникаЭксперт #великиеврачи #фредерикбантинг</t>
  </si>
  <si>
    <t>"I am so thankful for you and all of you who share your journey. I have felt so alone, judged by so many, and lost so much of my life due to my active Epstein-Barr virus diagnosis, complications from my gastric bypass, more doctors than I ever want to see again, and twice truly wanting to no longer live. This group is amazing. I can’t say enough how thankful I am." - Mayo Clinic Connect online community member. Find your support.
Mayo Clinic Connect
Mayo Clinic Connect is an online community where you can share your experiences and find support from people like you. You can also read Mayo Clinic expert blogs and take part in educational events.
https://mayocl.in/2OZwwlD</t>
  </si>
  <si>
    <t>Нью-Йорк</t>
  </si>
  <si>
    <t>14:28</t>
  </si>
  <si>
    <t>Ольга, здравствуйте! Благодарим за тёплый отзыв, мы рады, что Вам у нас было уютно. Ваши слова обязательно передадим нашей коллеге.
Ждать результаты в клинике или приезжать повторно не обязательно. Мы можем отправить описание и снимок на электронный адрес, указанный в договоре, либо дать QR-код, по которому Вы получите нужные данные. Также есть возможность получить консультацию у наших врачей прямо из дома. Для этого зайдите на сайт telemedex.ru либо скачайте приложение на Андроид или Айфон, зарегистрируйтесь и выберите доктора. В назначенное время он с вами свяжется. Надеемся, так будет удобнее пользоваться нашей медицинской помощью. Желаем добра и благополучия. 
С уважением, исполнительный директор ООО «МРТ Эксперт Томск», Дугаров Жаргал Баян-дылгырович.</t>
  </si>
  <si>
    <t>Томск</t>
  </si>
  <si>
    <t>14:10</t>
  </si>
  <si>
    <t>ASK THE DENTIST: Can dental extraction create any permanent damages ?</t>
  </si>
  <si>
    <t>ASK THE DENTIST: Can dental extraction create any permanent damages ?
#DentalExtraction #AskTheDentist #DubaiDentist
Having a tooth pulled in adulthood is sometimes necessary. Although permanent teeth were meant to last a lifetime, there are a number of reasons why tooth extraction may be needed. A very common reason involves a tooth that is too badly damaged, from trauma or decay, to be repaired.
Missing teeth can have serious effects on the way you look, chew and speak. Leaving an empty space in your mouth after losing a tooth can cause your other teeth to shift and trigger other problems like jawbone deterioration.
Pearl Dental clinic expert dentist, Dr. Shoukath Ali explains the best way to avoid complications associated with dental extraction and missing teeth.
________________________
Schedule a callback with us to learn more :
Call:+97144270710
Whatsapp:+971555630659
https://pearldentalclinic.ae/online-appointment/
#DentalVeneers #HollywoodSmile #SmileDubai #Dentist #IndianDentist #Dentalclinic #BusinessBay #PearlDentalClinic #SmileMakeover #Extraction #Dentures #Implants #Straumann #DubaiSmile</t>
  </si>
  <si>
    <t>Pearl Dental Clinic Dubai</t>
  </si>
  <si>
    <t>14:08</t>
  </si>
  <si>
    <t>Анон.Где в Туле качественно делают МРТ?</t>
  </si>
  <si>
    <t>Эксперт</t>
  </si>
  <si>
    <t>Юлия Прыткова</t>
  </si>
  <si>
    <t>Беременные и мамы Новомосковска,Тулы,области</t>
  </si>
  <si>
    <t>Самара</t>
  </si>
  <si>
    <t>14:03</t>
  </si>
  <si>
    <t>Избавьтесь от варикоза и сосудистых звездочек - в Клинике Эксперт Ставрополь!
⠀⠀⠀⠀⠀⠀⠀⠀⠀
Только 27 и 28 июля приём ведет Алексей Станиславович Фефилов, ведущий флеболог-лимфолог, сосудистый хирург из Краснодара.
⠀⠀⠀⠀⠀⠀⠀⠀⠀
Алексей Станиславович ведет диагностику и лечение:
- венозной и лимфатической системы
- варикозной болезни вен
- лечение флебитов, тромбозов и трофических язв
⠀⠀⠀⠀⠀⠀⠀⠀⠀
Приём стоит всего 1 900 рублей!
⠀⠀⠀⠀⠀⠀⠀⠀⠀
Запись по телефону в Ставрополе: (8652) 33-44-22
www.mrtexpert.ru
Ставрополь, ул Доваторцев, 39А
Лицензия: ЛО-26-01-005183</t>
  </si>
  <si>
    <t>Ravi Shekhar</t>
  </si>
  <si>
    <t>Не работает :( в МРТ эксперт звонил - там только МРТ. Только ЦРБ вариант ну или ждать окно на Летной, 34</t>
  </si>
  <si>
    <t>А на Летной почему рентген не сделал? Там как только слышат,  что хочешь платно сделать, ведут в рентген-кабинет без очереди</t>
  </si>
  <si>
    <t>Дмитрий</t>
  </si>
  <si>
    <t>Мытищи бегут, едут, плывут, лыжат, ходят</t>
  </si>
  <si>
    <t>12:51</t>
  </si>
  <si>
    <t>На рождественской 7 есть рентген</t>
  </si>
  <si>
    <t>Андрей Баратынский</t>
  </si>
  <si>
    <t>Про техпроблемы продолжают писать, но при этом все загрузилось</t>
  </si>
  <si>
    <t>Посмотри мрт эксперт на Новомытищинском</t>
  </si>
  <si>
    <t>Валентин Нечаев</t>
  </si>
  <si>
    <t>УЗИ ПОЧЕК
требует большей подготовки, чем большинство исследований других органов.
⠀
Что нужно сделать перед диагностикой?
⠀
✔в течение 3 суток до УЗИ необходимо соблюдать диету, ограничивающую продукты, которые повышают газообразование;
✔ужин накануне процедуры должен быть легким и не позднее 19.00;
✔при проблемах с кишечником перед УЗИ почек нужно сделать очистительную клизму или принять слабительное;
✔за 1-2 часа до исследования необходимо наполнить мочевой пузырь, выпив около 1 литра воды;
✔ультразвуковое исследование делается на голодный желудок;
✔если процедура будет выполняться после обеда, исследуемому человеку разрешается легкий завтрак;
✔за 1-2 дня до обследования принимайте медикаменты, удаляющие их организма лишние газы.
⠀
Пройти УЗИ-исследование почек можно в «Клинике Эксперт»
⠀
Стоимость диагностики почек, надпочечников и забрюшинного пространства - 700₽
⠀
Для записи:
⠀
☎ 8(865) 297-95-68
www.mrtexpert.ru
aevoronova@mrtexpert.ru
⏰ПН-ПТ: 7:00-23:00
⏰СБ: 8:00-20:00
Ставрополь, ул. Доваторцев, 39А
Лицензия: Л01-01-000027</t>
  </si>
  <si>
    <t>Екатерина Белоусова</t>
  </si>
  <si>
    <t>МРТ С ГАРАНТИЕЙ
www.mrtexpert.ru
На Щукинской
Диагностический центр МРТ цены в Москва в федеральной сети медицинских центров "МРТ Эксперт"
http://www.mrtexpert.ru/</t>
  </si>
  <si>
    <t>11:08</t>
  </si>
  <si>
    <t>Ajeet Prasad</t>
  </si>
  <si>
    <t>Западная Бенгалия</t>
  </si>
  <si>
    <t>Siliguri</t>
  </si>
  <si>
    <t>10:31</t>
  </si>
  <si>
    <t>, эксперт</t>
  </si>
  <si>
    <t>Александра Архипцова</t>
  </si>
  <si>
    <t>07:04</t>
  </si>
  <si>
    <t>проблема со спиной..подскажите где хорошо делают МРТ и не дорого</t>
  </si>
  <si>
    <t>Делала несколько раз в Мрт эксперт.</t>
  </si>
  <si>
    <t>Юлия Садовникова</t>
  </si>
  <si>
    <t>Плохая Покупка | Город Орел</t>
  </si>
  <si>
    <t>Орловская область</t>
  </si>
  <si>
    <t>Мценск</t>
  </si>
  <si>
    <t>05:14</t>
  </si>
  <si>
    <t>Isnt the virus 120 nanometers ? Is it as efficient to wear a sock ?</t>
  </si>
  <si>
    <t>Bertrand Majorik</t>
  </si>
  <si>
    <t>Ive been donating convalescent plasma since March with no decrease in antibodies to date.</t>
  </si>
  <si>
    <t>Angela B</t>
  </si>
  <si>
    <t>26.07.2020</t>
  </si>
  <si>
    <t>23:30</t>
  </si>
  <si>
    <t>Teller Report</t>
  </si>
  <si>
    <t>The anti-epidemic nurse was in a coma for many days and was not recognized as a work injury professional
Say goodbye to machinery, let work-related injuries be deemed "live" Reading tips Recently, an anti-epidemic nurse in Wuhan who was in a coma for many days was not recognized as a work injury, which caused heated discussions. It is understood that in the prevention and control of the epidemic, she is not the only medical worker who has a sudden illness and is difficult to identify a work i...Say goodbye to machinery, let work-related injuries be deemed "live"Reading tips
Recently, an anti-epidemic nurse in Wuhan who was in a coma for many days was not recognized as a work injury, which caused heated discussions. It is understood that in the prevention and control of the epidemic, she is not the only medical worker who has a sudden illness and is difficult to identify a work injury.
Since it was not during working hours, sudden illness or death at work or ineffective rescue within 48 hours, their road to work injury identification was not smooth. In this regard, professionals believe that it is necessary to comprehensively consider the work cause as a key element in the special period of anti-epidemic, and implement the principle of presumption of work cause.
After being in a coma for more than 100 days, Shen Bei, a nurse in charge of the Second Health Service Center of Yangyuan Street Community, Wuhan Wuchang Hospital and the head nurse of the Department of Traditional Chinese Medicine, was not recognized as a work injury.
On March 7, Shen Bei was in a coma during a break at the hotel arranged by his unit and has not been able to recover. In response to his work-related injury application, the Wuhan Municipal Bureau of Human Resources and Social Security stated that work-related injuries could not be recognized due to non-compliance during working hours, death from sudden illness at work, or death within 48 hours.
In fact, in the prevention and control of the epidemic, Shen Bei's experience is not an isolated case. In March this year, Liu Wenxiong, a doctor from the Sanfutan Town Health Center in Xiantao City, Hubei Province, died suddenly at home during the fight against the epidemic. The process from never being identified as a work injury to the final identification of a work injury has also caused widespread social concern.Work injury not recognizedIn the early morning of February 13, Liu Wenxiong developed chest pain, asthma and other symptoms, and unfortunately passed away after the first aid failed. The cause of death was acute myocardial infarction.
In fact, the Xiantao City Health Commission issued a notice on January 22, requiring all medical and health units to "fully activate the wartime duty preparation mechanism, all personnel cancel the Spring Festival holiday, work normally according to work and rest hours, and strictly implement the 24-hour on-duty system.".
Sanfutan Township Health Center believes that Liu Wenxiong died during the epidemic prevention and control period and should not mechanically identify working hours and locations. His illness and death were caused by overtime and overloaded work and should be regarded as a work injury.
However, the "Decision Not to Recognize Work Injury" issued by the Human Resources and Social Security Bureau of Xiantao City gave different conclusions.
The Human Resources and Social Security Bureau of Xiantao City pointed out that Liu Wenxiong had not undertaken front-line epidemic prevention duties for a period of time before his death. His working hours were relatively fixed and his commute was regular. Liu Wenxiong’s sudden illness was in the early morning and his location was at home. In the workplace, accidental injuries due to work should be recognized as work-related injuries; in addition, myocardial infarction does not belong to the category of occupational diseases. Therefore, Liu Wenxiong's death does not apply to the provisions of the Work Injury Insurance Regulations.
"Although Liu Wenxiong, as a medical staff, is the most beautiful retrograde person in the epidemic, his unfortunate death is also sad. But as an administrative agency, administration according to law is the responsibility of the law, because his death does not meet the above-mentioned legal conditions that should be recognized as a work injury Based on this, the decision not to recognize the work injury was made.” Xiantao Human Resources and Social Security Bureau believes.
On February 27, Sanfutan Town Health Center applied to Xiantao City Government for reconsideration."Working hours and jobs should not be defined mechanically"With the administrative reconsideration, Liu Wenxiong’s anti-epidemic work during his lifetime also surfaced: On January 24, Sanfutan Town Health Center established a fever clinic expert guidance group, with Liu Wenxiong as the deputy team leader, and participated in the diagnosis and treatment of fever patients in addition to his own work.. From January 12 to February 12, he treated a total of 3,506 patients. During the epidemic prevention period, the hospital also announced the phone number of Liu Wenxiong, who had accepted patient consultations during the break.
It is worth noting that Xiantao City also confirmed the fact that Liu Wenxiong went to work with an illness, and believed that he participated in epidemic prevention during major public health emergencies, and his work during the epidemic should be considered comprehensively, and his death could be determined during working hours., The situation of sudden illness at work and death after rescue is ineffective shall be deemed as a work-related injury.
"Liu Wenxiong's work injury determination should not mechanically define working hours and job positions." The Xiantao city government revoked the previous "Decision Not to Recognize Work Injury" and ordered a new decision. On March 7, the Human Resources and Social Security Bureau of Xiantao City made a decision that Liu Wenxiong's death from a sudden illness in the course of epidemic prevention and preparation was deemed (or deemed) a work injury.
Professor Yang Sibin, director of the Institute of Social Security of the China Institute of Labor Relations, believes that the focus of the controversy surrounding the identification of employee injuries of anti-epidemic medical staff is mainly the standard for identification of work injuries. The "Social Insurance Law" and "Work Injury Insurance Regulations" have established the standard system for the identification of work-related injuries, that is, typical work-related injuries, deemed work-related injuries and non-recognized work-related injuries.
Liu Wenxiong died suddenly at home, and the typical work-related injury clauses of “injury by accident during working hours and workplaces” cannot be applied. However, Yang Sibin believes that “working hours and jobs” should not be understood narrowly, but should be considered in a comprehensive manner during the special period of anti-epidemic, when doctors’ working hours are extended and there is no longer a clear boundary with rest periods, and the work positions are expanded and they are at home. The "home" in the standby state has become an extension of the workplace, and "standby and telephone consultation" means performing job duties at the workplace.
Therefore, he believes that the determination of work-related injuries complies with legal provisions and legislative purposes, and demonstrates the fairness and justice of the law.
It is recommended to increase the determination clause of death due to work
In response to the "48-hour work injury" clause that caused Shen Bei's family to question, that is, during working hours and at work, death from a sudden illness or death within 48 hours after rescue is deemed to be a work injury. Yang Sibin told reporters, “Since the promulgation of the Work Injury Insurance Regulations, it has always been a controversial clause in the determination of work injury.”
When an employee has a sudden illness, the family members are eager to save others and give up the rescue after 48 hours, so the work injury cannot be recognized. In Yang Sibin's view, this undoubtedly challenges the bottom line of social morality. In addition, with the advancement of medical technology, the confirmation of death standards and the way of rescue have also brought confusion about the application of the law.
At present, most countries do not define sudden illness deaths in the workplace as work-related injuries. Yang Sibin said that the "48-hour work injury" clause has been added to the "Work Injury Insurance Regulations", which actually extends the scope of coverage to cases of sudden illnesses during working hours and jobs, reflecting the superiority of my country's work injury insurance system.
However, in practice, there has also been a dilemma of not being recognized for more than 48 hours. Yang Sibin believes that the "48-hour work-related injury" clause needs to be improved, adding a comprehensive clause for the identification of work-related injuries that cause deaths due to work.
Soon after the outbreak, the state clearly stated that medical staff and related staff who were infected with the new type of coronary pneumonia or died due to infection due to the performance of their work duties should be recognized as work injuries. In Yang Sibin’s view, this regulation emphasizes the work reason “due to the performance of work responsibilities”, while the requirements for work place and working hours are reduced, which is in line with the development trend of the work-related injury insurance system and reflects the “maximum protection of workers injured at work”. The purpose of work-related injury insurance legislation.
According to the "Work-related Injury Insurance Regulations", employees who are injured during rescue and disaster relief activities to safeguard national and public interests are regarded as work-related injuries. In fact, the scope of application of this regulation can be appropriately expanded to more workers.
The identification of typical work-related injuries emphasizes the "three-work" element, that is, only those who are injured by accidents due to work during working hours and workplaces can be recognized as work-related injuries, and strict requirements are imposed. However, with the advancement of science and technology in modern society, people's working methods, working hours and workplaces have undergone great changes. Yang Sibin believes that the understanding of the "three elements" of work-related injury identification should not be mechanized and cannot stick to its narrow language. Meaning, it should take "work reason" as the key element and implement the principle of presumption of work reason.</t>
  </si>
  <si>
    <t>The Limited Times</t>
  </si>
  <si>
    <t>limnews.com</t>
  </si>
  <si>
    <t>Вьетнам</t>
  </si>
  <si>
    <t>19:49</t>
  </si>
  <si>
    <t>แนะนำโปรแกรมรักษาหลุมสิว Scar Free</t>
  </si>
  <si>
    <t>แนะนำโปรแกรมรักษาหลุมสิว Scar Free
หลุมสิวรักษาได้ด้วยโปรแกรม Scar Free จากนารดาคลินิก  ด้วยเทคโนโลยี fractoratm Fractional (แฟรกทอร่า แฟรกชั่นนอล) ซึ่งเป็นการรักษาโดยใช้คลื่นความถี่วิทยุแบบfractional ในการรักษาปัญหาที่เกี่ยวกับโครงสร้างของผิว เช่น หลุมสิว หรือรอยแผลเป็น  รวมถึงช่วยกระชับรูขุมขน ช่วยฟื้นฟูความแข็งแรงของโครงสร้างผิวจากภายในสู่ภายนอกให้ผิวมีสุขภาพดีขึ้นด้วยค่ะ
ราคารายครั้ง 3,500 บาท
คอร์ส 5 ครั้ง 11,900 บาท
คอร์ส 10  ครั้ง 19,900 บาท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t>
  </si>
  <si>
    <t>19:39</t>
  </si>
  <si>
    <t>Привет. Я из Выксы. У моего мальчишки стала часто болеть голова, и тошнит, скажите, пожалуйста, адрес клиники, где</t>
  </si>
  <si>
    <t>МРТ эксперт Владимир, в Муроме точно нечего делать, деньги на ветер и диагноз вечно под вопросом, расшифровывать не умеют у нас...</t>
  </si>
  <si>
    <t>Ирина Енотова</t>
  </si>
  <si>
    <t>Говорит Муром</t>
  </si>
  <si>
    <t>Муром</t>
  </si>
  <si>
    <t>اظن انه لا يحتاج مني ان اعلق... متابعة ممتعة 
.
.
.
.
#استشارة #استشارة_نفسية #دكتور_نفسي #احتراف #تخصص #متخصص #دكتور #مستشفى #مريض #مرض #دكتور #علاج #صحة #صحة_نفسية #الكويت #كويت#عقل#عيادة
#psychology#Psychologist#heal #mental_health #mind #mental #brain 
#clinic #expert #professional #mental #disorders #wellness #help</t>
  </si>
  <si>
    <t>Избавьтесь от боли в спине в день обращения с помощью лечебной блокады!
Вновь в Ростов-на-Дону приезжает ведущий московский невролог, нейрохирург Валерий Николаевич Нагорный!
Приём - в Клинике Эксперт Ростов на Красноармейской, 262.
Даты - только 28 и 29 июля
(863) 333-03-93
www.mrtexpert.ru
rostov_admin@mrtexpert.ru
Лицензия: ЛО-61-01-006908</t>
  </si>
  <si>
    <t>Избавьтесь от боли в спине в день обращения с помощью лечебной блокады!
Вновь в Ростов-на-Дону приезжает ведущий московский невролог, нейрохирург Валерий Николаевич Нагорный!
Приём - в Клинике Эксперт Ростов на Красноармейской, 262.
Даты - только 28 и 29 июля
(863) 333-03-93
www.mrtexpert.ru
rostov_admin@mrtexpert.ru
Лицензия: ЛО-61-01-006908</t>
  </si>
  <si>
    <t>МОЖНО ЛИ ДЕЛАТЬ МРТ И КТ ПОСЛЕ ОПЕРАЦИИ?</t>
  </si>
  <si>
    <t>Основной формой использования достижений современной томографической диагностики является дооперационная диагностика. Тем не менее, послеоперационные исследования все чаще применяются в клинической практике, особенно там, где принципиально решаются задачи выбора тактики – консервативная или активная хирургическая.
МРТ или МСКТ: что лучше?
При МСКТ можно быстро и надежно законтрастировать желудочно-кишечный тракт и увидеть перемещение контрастного вещества по нему. При МРТ это исследование не информативно.
При проведении мультиспиральной компьютерной томографии возможно изотропное реформирование изображений, и это постпроцессорная функция работы с изображением. При МР-томографии изображения, не аналогичные аксиальным, необходимо получить в процессе исследования.
Фазы контрастного усиления при динамическом сканировании при МСКТ четче. При МРТ не всегда артериальная фаза сопоставима с артериальной фазой при МСКТ.
МКСТ позволяет делать трехмерные реконструкции, самые разные и с большим эффектом, чем при МРТ, при которой это весьма ограниченная пока сфера применения – возможно лишь трехмерное сканирование (то есть первичный сбор «объемных данных»). А при МСКТ реформирование делают постпроцессорное, по желанию и необходимости.
МСКТ выигрывает и при оценке длительности исследования.
Недостаток МРТ – это «интерпозиция» жидкостных структур при построении изображений МРПХГ (магнитно-резонансной холангиопанкреатографии). В то же время, этот фактор не имеет никакого значения при КТ.
Ангиография дистального русла и исследования всего тела – преимущество (пока) за КТ. В то же время, при МРТ имеются дополнительные возможности – например, применение диффузионно-взвешенных изображений. При магнитно-резонансной томографии можно получить изображения бесконтрастной ангиографии, а при КТ – нет.⠀
По сути, на вопросы послеоперационных обследований требуются почти такие же ответы как и в предоперационном периоде. Разница в том, что в послеоперационном периоде на КТ остаточная опухолевая ткань, например, в печени, может не дифференцироваться от зоны воспаления (а при МРТ такая дифференциация возможна).
#мрт эксперт  #гк эксперт  #клиника эксперт 
#мрт или кт #мрт после операции #кт после операции 
#медицина, #здоровье, #мрт эксперт, #гк эксперт, #клиника эксперт</t>
  </si>
  <si>
    <t>17:59</t>
  </si>
  <si>
    <t>Where are the guidelines for discarding these masks? and who's going to pay for them? Ohhhh that's right...  we have to pay! But our lovely government says it's mandatory, so fuching start handing them out then!</t>
  </si>
  <si>
    <t>Moe Hop</t>
  </si>
  <si>
    <t>Лада Малина</t>
  </si>
  <si>
    <t>Перенесли приём сначала на 45 минут, попросив прийти за 10 минут до приёма, а потом ещё оформляли документы минут 25. В итоге на исследование я попала после 20:00.
По соотношению цена/качество норм. 
Но, пожалуйста, научите свою медсестру делать уколы в вену. Она явно делает их плохо. Купите ей фонарик, чтобы она вены находила. Научите её делать уколы безболезненно и аккуратно. Сейчас - это не дело. У меня после укола с контрастом, который сделала ваша медсестра, синяк огромный на руке и сама рука болит. Я также ранее несколько раз делала мрт с контрастом в других клиниках и никогда синяков после введения контраста не было.</t>
  </si>
  <si>
    <t>Dududud Dudixiicicicd</t>
  </si>
  <si>
    <t>14:02</t>
  </si>
  <si>
    <t>13:42</t>
  </si>
  <si>
    <t>Started new job at «МРТ Эксперт» и «Клиника Эксперт»</t>
  </si>
  <si>
    <t>Julija Sipicina-Buhgolca  есть и 3 и 7 тесла. Но они используются больше для научных целей !</t>
  </si>
  <si>
    <t>Tatiana Latysheva</t>
  </si>
  <si>
    <t>12:31</t>
  </si>
  <si>
    <t>«МРТ Детям»
⠀
❓Часто задаваемый вопрос:
⠀
С какого возраста детям можно проводить магнитно-резонансную томографию?
⠀
Ответ: С рождения
⠀
Основной момент:
⠀
Для исследования нужно неподвижно лежать. А маленькие дети не всегда на это способны. При этом даже небольшие движения вызывают артефакты исследования (помехи) и тогда оно становится просто бессмысленным.
⠀
Но если Ваш ребенок в том возрасте, что сможет неподвижно лежать, то никаких проблем не возникает.
⠀
❓Вы спросите: Могут ли магнитные волны при проведении МРТ-диагностики негативно влиять на организм ребенка?
⠀
И мы ответим: Нет.
⠀
Единственное, что шум внутри томографа может вызвать некоторое возбуждение. Однако, никакого отрицательного влияния он не оказывает. В связи с чем, нами был разработан протокол с пониженным уровнем шума!
⠀
Показания для проведения МРТ:
⠀
✅Систематическая головная боль
⠀
✅Головная боль, появляющаяся при перемене положения тела
⠀
✅ Головокружение
⠀
✅Отставание в развитии
⠀
✅Позднее появление речи
⠀
✅ Травмы
⠀
‍⚕️Для нас очень важно КАЧЕСТВО оказываемых услуг, поэтому делаем все обследования профессионально, а также с заботой о Ваших детях!
⠀
Каждый ребенок проходя исследование в нашем центре получает подарок!
⠀
Запись по телефону: 
☎8(862)444 04 03
⠀
⏰ Пн-сб: с 07:00 до 23:00,
 вс: с 09:00 до 17:00
⠀
Адрес: Сочи, Адлерский район, ул. Кирова, д.50
⠀
Лицензия: ЛО-23-01-0011827
 Сайт: http://www.mrtexpert.ru
#мртдетям#мртдетямсочи#мртсочи#мртадлер #мртабхазия</t>
  </si>
  <si>
    <t>❤️ПРИСТУП АРИТМИИ МОЖЕТ ВОЗНИКНУТЬ НЕОЖИДАННО
⠀
❓Как он начинается?
⠀
⚠️общая слабость и головокружение;
⚠️толчки и ощущение замирания в области сердца;
⚠️одышка;
⚠️ощущение изменения сердечного ритма (учащение либо замедление).
⠀
План действий при появлении симптомов:
⠀
✔️Открыть в комнате окна, чтобы обеспечить доступ свежего воздуха.
✔️Сесть в кресло, положив голову на высокую спинку или лечь.
✔️Закрыть глаза, сделать глубокий вдох и задержать дыхание на 2-3 секунды. Одновременно нужно надавливать на веки трижды в течение 10 секунд на протяжении минуты. Это может восстановить сердечный ритм.
✔️Можно принять какой-либо успокаивающий препарат (настойка, валерьяны или пустырника).
✔️Если состояние не улучшается, можно нормализовать работу сердца, спровоцировав рвотный рефлекс.
⠀
Если приступы повторяются систематически, а назначенное лечение не помогает - запишитесь к кардиологу в «Клинику Эксперт Ростов»!
⠀
☎ 8(863) 309-11-29
www.mrtexpert.ru
rostov_admin@mrtexpert.ru
⠀
⏰ПН-ВС: 7:00-22:00
Ростов-на-Дону, ул. Красноармейская, д.262/122, пом.1
Лицензия: ЛО-61-01-006908</t>
  </si>
  <si>
    <t>ПРОЙДИТЕ ТЕСТИРОВАНИЕ НА COVID-19
⠀
В период эпидемии важен каждый день: от своевременной диагностики зависит слишком многое. Нельзя беспечно относиться к своему здоровью. Сдать тест на COVID-19 теперь можно в центрах и клиниках ГК «Эксперт».
⠀
Тестирование проводится с помощью мазка методом ПЦР (полимеразной цепной реакции). Мазок на COVID-19 берут из носа и зева (горла). Необходимы именно клетки эпителия из верхних дыхательных путей, так как непосредственно в них происходит проникновение и размножение вирусных частиц.
⠀
Записаться на тестирование на COVID-19 можно, заказав звонок на сайте https://www.mrtexpert.ru
⠀
Обследование можно пройти как по направлению врача, так и по личной инициативе. Результаты будут готовы через 96 часов, их можно получить по электронной почте без дополнительного посещения медицинской организации.
⠀
Необходимые меры безопасности на территории подразделений ГК «Эксперт» приняты https://www.mrtexpert.ru/articles/1023 и их выполнение строго контролируется.
⠀
Подробную информацию о территориальной доступности и режиме работы подразделений можно узнать на сайте https://www.mrtexpert.ru/
⠀
Тесты на COVID-19 в подразделениях ГК «Эксперт» берут в следующих городах:
⠀
- Борисоглебск
- Владикавказ
- Воронеж
- Железногорск
- Курск
- Оренбург
- Ростов
- Смоленск
- Тверь
- Тула
- Липецк
- Владимир
- Майкоп (Ставрополь)
- Новосибирск
- Хабаровск
- Иркутск
- Пермь
- Уфа
⠀
Мы вместе сможем справиться с пандемией!
⠀
ВНИМАНИЕ! Услуга доступна не во всех городах</t>
  </si>
  <si>
    <t>Ильгиз Валинуров спасибо:):):)</t>
  </si>
  <si>
    <t>10:25</t>
  </si>
  <si>
    <t>Ильгиз Валинуров</t>
  </si>
  <si>
    <t>Brief details about our clinic expert!
.
.
.
#homoeopath #homoeopathyheals #homoeopathicmedicine #naturalmedicine #homoeopathytreatment #homoeopathicdoctor #homoeopathyforall #homoeopathicremedies #homoeopathicclinic</t>
  </si>
  <si>
    <t>Dr. Meera Homoeo Clinic</t>
  </si>
  <si>
    <t>Чандигарх</t>
  </si>
  <si>
    <t>09:35</t>
  </si>
  <si>
    <t>Девушки подскажите пожалуйста где можно мрт пройти, что бы аппарат хороший был.</t>
  </si>
  <si>
    <t>МРТ эксперт на Челюскинцев</t>
  </si>
  <si>
    <t>Валентина Соловьева</t>
  </si>
  <si>
    <t>Мамочки Мурманска</t>
  </si>
  <si>
    <t>What about treatment aspect. Do u suggest any medicine</t>
  </si>
  <si>
    <t>mallikamala Dr</t>
  </si>
  <si>
    <t>Наш доктор, невролог, специалист высокого уровня!
⠀
‍⚕️ЩЕРБАКОВ ПЕТР НИКОЛАЕВИЧ Кандидат медицинских наук. Врач высшей категории, невролог, нейрохирург.
⠀
⏰Стаж работы с 1980 г.
⠀
Возраст принимаемых  пациентов: с 14 лет
⠀
Образование:
⠀
✅Семипалатинский государственный медицинский институт. Врач по специальности "Лечебное дело". 1979 г.
⠀
✅Интернатура. Семипалатинский государственный медицинский институт по специальности «хирургия». 1980 г.
⠀
✅ Алма-Атинский Государственный институт усовершенствования врачей по специальности «нейрохирургия». 1983 г.
⠀
✅Диплом о присуждении ученой степени "Кандидата медицинских наук" №095098 от 16.05.2003 г.
⠀
✅ Интернатура. Омская государственная медицинская академия по специальности «Неврология». 2013 г.
⠀
✅ Новосибирский государственный медицинский университет. Повышение квалификации по специальности «Неврология». 144 часа. 2018 г.
⠀
Направление работы:
⠀
Лечение болевых синдромов различной этиологии
⠀
Запись к специалисту по телефону:
 ☎8(862)444 04 03
⠀
⏰ Пн-ср-пт с 11.00 до 14.30
⠀
Адрес: Сочи, Адлерский район, ул. Кирова, д.50
⠀
Лицензия: ЛО-23-01-0011827
Сайт: http://www.mrtexpert.ru
#неврология #неврологсочи#неврологадлер#головнаяболь#сочи#адлер</t>
  </si>
  <si>
    <t>08:07</t>
  </si>
  <si>
    <t>Любовь Смородина спасибо</t>
  </si>
  <si>
    <t>25.07.2020</t>
  </si>
  <si>
    <t>#facemasks 
https://newsnetwork.mayoclinic.org/discussion/covid-19-mayo-clinic-expert-answers-questions-about-masks-after-cdc-updates-its-recommendation/</t>
  </si>
  <si>
    <t>Robert Cuozzi</t>
  </si>
  <si>
    <t>22:26</t>
  </si>
  <si>
    <t>Свидание</t>
  </si>
  <si>
    <t>Надо же,  в разных сибирских филиалах одной сети цены сильно отличаются:
https://www.mrtexpert.ru/nsk/services/46  3800р.
и
https://www.mrtexpert.ru/oms/services/46   2400р.</t>
  </si>
  <si>
    <t>FarFoar</t>
  </si>
  <si>
    <t>pikabu.ru</t>
  </si>
  <si>
    <t>bmdrum</t>
  </si>
  <si>
    <t>https://herbsandhealth.co.za/products/erectile-dysfunction-pills-south-africa - An Overview</t>
  </si>
  <si>
    <t>July 25, 2020 | Leave a comment | Home https://herbsandhealth.co.za/products/erectile-dysfunction-pills-south-africa - An Overview 12 months ago my spouse suffered a great deal from Erectile Dysfunction also and he begun seeking anything you'll be able to picture to halt Erectile Dysfunction. the things which really do the job is:As well as a drop during the production of testosterone and nitric oxide, and a rise in the manufacture of cortisol.Graphs representing the color Doppler spectrum of your movement sample in the cavernous arteries in the erection phases. A: One-phase circulation with minimum or absent diastole when the penis is flaccid. B: Elevated systolic stream and reverse diastole twenty five min following injection of prostaglandin.[22]Ingesting plenty of drinking water can assist you burn off Body fat and raise your energy degrees. This web site explains exactly simply how much drinking water it is best to drink in on a daily basis.This commenting area is established and taken care of by a 3rd party, and imported on to this website page. You may be able to find more info on their Website. Ad - Keep on Looking at UnderneathIf you incorporate healthy foods such as salads, veggies, and fruit into your diet regime, you’ll be having wholesome. Protein is additionally advantageous to your health and fitness, mainly because it encourages the growth of one's muscle mass. TB is the leading underlying reason behind Loss of life in South Africa and governing administration aims to coordinate countrywide interventions from this ailment by improving upon its detection, therapy coverage and remedy accomplishment amount.Because of this, you can Ordinarily come across it tougher to have and preserve erections as you grow old. It’s just a reality of everyday living.A vacuum erection product will help attract blood into the penis by applying website unfavorable stress. This type of device is sometimes called penis pump and should be utilised just just before sexual intercourse. Many types of FDA authorised vacuum therapy equipment are available below prescription. When pharmacological solutions are unsuccessful, a goal-designed exterior vacuum pump can be employed to achieve erection, using a individual compression more info ring equipped to the base in the penis to take care of it.And that i wouldn't smoke or consume alcohol. Or not less than decrease Liquor consumption to some minimum. Permit’s acquire a more in-depth check out smoking cigarettes and consuming in the context of erectile dysfunction.This means: ED is when you can’t get an erection challenging sufficient for penetrative intercourse, or in case you lose the erection during intercourse.And psychological difficulties most likely trigger extra ED than most people are aware about. It's been approximated that these aspects could possibly be driving as numerous as 20% of all erectile dysfunction scenarios.. Herbsandhealth has the lowest Google pagerank and negative outcomes concerning Yandex topical citation index. We discovered that Herbsandhealth.co.za is improperly ‘socialized’ in respect to any social network. As outlined by Google Risk-free browsing analytics, Herbsandhealth.co.za is very a secure area with no visitor reviews.Consistent with the vision of your Nationwide Development Prepare (NDP) of making sure a long and healthier life for all South Africans, the Division focuses on sustainably increasing HIV and AIDS and tuberculosis (TB) procedure and prevention, revitalising community Health care facilities, and guaranteeing the provision of specialised tertiary clinic expert services. Leave a Reply Your email address will not be published. Required fields are marked * Name *</t>
  </si>
  <si>
    <t>charlieubysp.canariblogs.com</t>
  </si>
  <si>
    <t>21:04</t>
  </si>
  <si>
    <t>Everything about https://herbsandhealth.co.za/products/erectile-dysfunction-pills-south-africa</t>
  </si>
  <si>
    <t>July 25, 2020 | Leave a comment | Home Everything about https://herbsandhealth.co.za/products/erectile-dysfunction-pills-south-africa Erectile dysfunction is simple to diagnose, and in fact can typically be self diagnosed. Nonetheless, when erectile dysfunction begins to hamper everyday lifetime or lead to sexual complications or a very low self image, it is time to seek professional medical aid. ERECTILE DYSFUNCTION TREATMENTIf you would like defeat your ED, I might encourage you to be incredibly aware about stress. I'd specially attempt to lessen (or clear away) any Recurrent anxiety from a existence.Incidentally, it is super typical for being vitamin D deficient. Even in sunny locations like Australia and California. The key reason why for this might be that individuals shell out most of their time indoors.I am 18 a long time old and I've erectile dysfunction. It begun when I was 14, and now I can not get an erection. I also sense a lack of libido. I am actually apprehensive. Is that this condition generally reversible or curable? What should really I do, as I am frightened to speak*The many benefits of robotic surgical procedure can't be confirmed as operation is both of those client and process certain. Former surgical outcomes usually do not ensure potential results.Actuality: While ED is more common among the older Adult males, that doesn't indicate It really is something You should Are living with.The final results from your annual Bodily’s lab operate could trace that the erection is in peril. Two of the commonest tells? Higher cholesterol and large blood pressure.But these prescription drugs don’t lead to an erection by themselves. You’ll still need to have sexual stimulation, and then the remedies could make it simpler to get and continue to keep an erection.In case you suspect a prescribed medication is leading to ED, don’t stop getting it without your doctor’s acceptance. Instead, check with your medical doctor about reducing the dose or obtaining an alternate medication.Erectile dysfunction (ED) can be a issue wherein it’s hard to get or maintain a firm erection very long enough to get intercourse. However prevalence estimates differ, gurus agree that ED is a reasonably frequent dilemma.Think about seeing a mental wellness Experienced if ED is because of or is producing psychological problems like:In other words, if you enjoy porn and masturbate regularly, it is possible to numb yourself to sex, which may lead to erectile dysfunction.John R. Brinkley initiated a growth in male impotence cures during the U.S. within the twenties and 1930s. His radio applications recommended high priced goat gland implants and "mercurochrome" injections as The trail to restored male virility, including functions by surgeon Serge Voronoff.Consistent with the vision in the Countrywide Advancement Plan (NDP) of making sure a long and healthful daily life for all South Africans, the Section focuses on sustainably expanding HIV and AIDS and tuberculosis (TB) remedy and prevention, revitalising page public healthcare facilities, and making certain the provision of specialised tertiary clinic expert services. Leave a Reply Your email address will not be published. Required fields are marked * Name *</t>
  </si>
  <si>
    <t>httpsherbsandhealthcozapr98528.isblog.net</t>
  </si>
  <si>
    <t>Добровольное медицинское страхование – зачем оно?
ДМС - большие возможности в сохранении здоровья: https://www.mrtexpert.ru/articles/916
#ГКЭксперт #КлиникаЭксперт #мртэксперт #ЮридическаяСтраничкаПациента</t>
  </si>
  <si>
    <t>20:12</t>
  </si>
  <si>
    <t>Srinadh_ntr</t>
  </si>
  <si>
    <t>Телангана</t>
  </si>
  <si>
    <t>Greater Hyderabad Municipal Corporation</t>
  </si>
  <si>
    <t>18:53</t>
  </si>
  <si>
    <t>TOTAL BULLCRAP... listen to his choice of words and the actual facts about what is said... "common sense" will tell you MANDATORY WEARING OF MASK  is going to escalate the spread NOT reduce it due to people mishandling them and reusing them... ITS TOTALLY A POLITICAL SCAMDEMIC NOW... falsified infection numbers, FALSIFIED DEATH   COUNT... Covid sick  seniors purposely mandated BACK to nursing homes instead of hospitals without proper medical care elicited death numbers by at least 45%... ask yourself WHY...?? Who benefits the most from the spread of this virus and misinformation...?? Is this legitimately a Pandemic if the actual factual numbers are revealed and NOT the EXAGGERATED BULLSHEET fabricated information and accusations we've been TOLD...?? WHY LIE IN THE FIRST PLACE... follow the money</t>
  </si>
  <si>
    <t>Tim Burton</t>
  </si>
  <si>
    <t>18:00</t>
  </si>
  <si>
    <t>Вопросы и прочее: 1) Отзовитесь, может кто видел подожгли коляски детские, есть предположение, что преднамеренно. 2)</t>
  </si>
  <si>
    <t>7. Клиника "Вся медицина.МРТ ЭКСПЕРТ" (Каслинская,24А,Челябинск)</t>
  </si>
  <si>
    <t>Галина Зайцева</t>
  </si>
  <si>
    <t>Подслушано Копейск</t>
  </si>
  <si>
    <t>16:55</t>
  </si>
  <si>
    <t>YOU, SIR...ARE AN IDIOT.</t>
  </si>
  <si>
    <t>The Lockhart Perspective</t>
  </si>
  <si>
    <t>16:35</t>
  </si>
  <si>
    <t>Константин, очень хорошая клиника на Рылеева, МРТ эксперт.</t>
  </si>
  <si>
    <t>Татьяна Агафонова</t>
  </si>
  <si>
    <t>jitukumarchopra</t>
  </si>
  <si>
    <t>Карнатака</t>
  </si>
  <si>
    <t>Бангалор</t>
  </si>
  <si>
    <t>14:53</t>
  </si>
  <si>
    <t>Татьяна Латышева</t>
  </si>
  <si>
    <t>Жора Арутюнян</t>
  </si>
  <si>
    <t>14:01</t>
  </si>
  <si>
    <t>Филипп Мухин а то</t>
  </si>
  <si>
    <t>Георгий Арутюнян лично я в Москве удаленно:)</t>
  </si>
  <si>
    <t>Анна Загитова спасибо</t>
  </si>
  <si>
    <t>12:23</t>
  </si>
  <si>
    <t>Светлана Самара</t>
  </si>
  <si>
    <t>Julija Sipicina-Buhgolca 1,5 тесла, если не ошибаюсь</t>
  </si>
  <si>
    <t>СУЩЕСТВУЕТ ЛИ ПРИВИВКА ОТ СТРЕССА?
Стресс, стресс... В наши дни трудно найти человека, который не говорил бы о нём. Что на самом деле это такое? От чего зависит наша реакция на стресс? Действительно ли можно развить стрессоустойчивость или это заблуждение?
Читать далее: https://www.mrtexpert.ru/articles/660
#ГКЭксперт #мртэксперт #КлиникаЭксперт #психология</t>
  </si>
  <si>
    <t>СУЩЕСТВУЕТ ЛИ ПРИВИВКА ОТ СТРЕССА?
Стресс, стресс... В наши дни трудно найти человека, который не говорил бы о нём. Что на самом деле это такое? От чего зависит наша реакция на стресс? Действительно ли можно развить стрессоустойчивость или это заблуждение?
Читать далее: https://www.mrtexpert.ru/articles/660
#ГКЭксперт #мртэксперт #КлиникаЭксперт #психология</t>
  </si>
  <si>
    <t>Угадайте где я сегодня была? Правильно в гостя у коллег Мрт-Эксперт Сочи ❤️Дашуня, спасибо за радушный приём</t>
  </si>
  <si>
    <t>Дарья Володина жду в гости теперь тебя</t>
  </si>
  <si>
    <t>10:13</t>
  </si>
  <si>
    <t>Мы любим гостейспасибо что, в отпуске выделила пару часов заехав к намнаша компания, дает нам возможность совершенствоваться обмениваясь опытом регионов. У каждого из нас своя история и каждый может для себя взять что то новое, интересное</t>
  </si>
  <si>
    <t>Darya  Volodina</t>
  </si>
  <si>
    <t>09:01</t>
  </si>
  <si>
    <t>Добровольное медицинское страхование – зачем оно?
ДМС - большие возможности в сохранении здоровья: https://www.mrtexpert.ru/articles/916
#ГКЭксперт #КлиникаЭксперт #мртэксперт #ЮридическаяСтраничкаПациента</t>
  </si>
  <si>
    <t>МРТ – вопросы прикладной безопасности. Часть 1
(По опыту работы в «МРТ-Эксперт» г. Костромы)
МРТ - вопросы безопасности-5.doc
https://vk.com/doc71191578_560913662?hash=34e0dc00c27c73d74e&amp;dl=GI4TCMJUGU2DE:1596487529:f44db0a5e45acc28e4&amp;api=1&amp;no_preview=1</t>
  </si>
  <si>
    <t>08:16</t>
  </si>
  <si>
    <t>Была я там в августе 2018 года..Всё прошло хорошо,потом была еще в январе 2019.Персонал отзывчивый.Но у меня один вопрос,почему когда делают контраст просят встать и подождать?Врач сказала что это могло исказить результат исследования,после я делала в других местах мрт,контраст вводили когда я лежала на выдвижной кушетке.Вопрос,это сильно могло ведь повлиять на результат.</t>
  </si>
  <si>
    <t>Евгения Безяева</t>
  </si>
  <si>
    <t>08:13</t>
  </si>
  <si>
    <t>МРТ Эксперт, диагностический центр</t>
  </si>
  <si>
    <t>Добрый день! Мое знакомство можно назвать несостоявшимся, но... Начнем с того, что мне не перезвонили и не напомнили о времени визита, как это делают все клиники, но уверяют, что звонили, и что звонок не отвечен. Странно, учитывая отсутствие входящих звонков у меня в телефоне. Как результат, время упустила. Но здесь ладно, сама перепутала дни. Перезаписалась на ближайшее время - в этот же день, на 22.20. Казалось бы, удобно, поздний вечер, должно быть свободно. Приехала за полчаса раньше, чтобы бумажки успеть оформить без спешки. В 22.00 подъехал ещё пациент, как оказалось, на более раннее время, на 22.05. Пока администратор с ним оформлялись, его время уже наступило. Оформились, человек присел рядом ожидать приглашения. Все это время администратор находилась на месте, лаборант ходил из кабинета и обратно. Ждём. Тишина. Никто не предупреждает о задержке, никакой информации. Уже наступает моё время, но человек до меня всё ещё сидит ждёт, когда пригласят его. В 22.35, наконец, его приглашают. Мне снова ни слова, что нужно подождать. После меня ещё приехала пациентка, на 22.35, но перед ней, получается ещё двое, хотя она приехала по времени. Мне пришлось уехать, так и не попав на процедуру, т.к. время уже позднее, и дети дома сходят с ума, где мама. Делаю вывод: задержка по времени для этого центра - норма. Это странно, учитывая, что услуга платная, не из дешёвых. Я потратила почти час времени на то, чтобы посидеть на диванчике, с болью в позвоночнике, и посмотреть телевизор. Пожелание к руководству - обратите пристальное внимание на работу своих сотрудников. Мало того, что задержка по времени не выдерживает никакой критики, так и сотрудники неприветливые. Для чего делать режим работы до 23.00, если люди к концу дня уже "ни петь, ни рисовать". П.С. Пока сидела в ожидании, почитала отзывы предыдущие об этом центре. Уважаемое руководство, не плюйте на мнение своих пациентов! На протяжении долгого времени ничего не меняется! Сделайте, наконец, выводы и исправьте организацию работы!</t>
  </si>
  <si>
    <t>Yulia Trukhina</t>
  </si>
  <si>
    <t>Красноярск</t>
  </si>
  <si>
    <t>00:24</t>
  </si>
  <si>
    <t>What utter rubbish...are covid19 particles the same as carbon dioxide or oxygen if so then both so particles go through your mask  won’t the virus as well?</t>
  </si>
  <si>
    <t>LIVE FOR TRUTH OR DIE FOR LIE</t>
  </si>
  <si>
    <t>00:04</t>
  </si>
  <si>
    <t>Анонимно. Не по теме, но может быть кто-то подскажет. Можно ли где-то в А-К районе сделать МРТ коленного сустава.</t>
  </si>
  <si>
    <t>Плюсую за МРТ эксперт,  быстро делают. Можете с собой флешку взять. Вежливые специалисты. Да, через час результаты выдают на руки</t>
  </si>
  <si>
    <t>Галочка Рыжук</t>
  </si>
  <si>
    <t>Подслушано в роддомах Кировска и Мурманской обла</t>
  </si>
  <si>
    <t>район Куркино</t>
  </si>
  <si>
    <t>24.07.2020</t>
  </si>
  <si>
    <t>23:53</t>
  </si>
  <si>
    <t>Наталя, https://www.mrtexpert.ru/mur</t>
  </si>
  <si>
    <t>Ника Талых</t>
  </si>
  <si>
    <t>Апатиты</t>
  </si>
  <si>
    <t>Мурманск мрт эксперт 
В Кандалакше плохо делают</t>
  </si>
  <si>
    <t>Любашка Вавакина</t>
  </si>
  <si>
    <t>Полярные Зори</t>
  </si>
  <si>
    <t>Думаю, что настало время поделиться, админ переболел короной) Многих эта тема волнует, пусть это жуткий оффтоп в</t>
  </si>
  <si>
    <t>Виталий, это не просто последствия. Сделай КТ (к сожалению просто так не назначат, а платно - 4700 в МРТ Эксперт) и поймёшь, что все не так легко прошло..</t>
  </si>
  <si>
    <t>Евгений Рытиков</t>
  </si>
  <si>
    <t>Погода в Мурманске</t>
  </si>
  <si>
    <t>18:14</t>
  </si>
  <si>
    <t>Вот это pivot to the future</t>
  </si>
  <si>
    <t>Philipp Mukhin</t>
  </si>
  <si>
    <t>О возможностях МРТ-диагностики для выявления патологий позвоночника и спинного мозга рассказывает врач-рентгенолог «Клиника Эксперт» Омск Вадим Черкасов: https://www.mrtexpert.ru/articles/914
#ГКЭксперт #мртэксперт #КлиникаЭксперт #КлиникаЭкспертОмск #мртпозвоночника</t>
  </si>
  <si>
    <t>О возможностях МРТ-диагностики для выявления патологий позвоночника и спинного мозга рассказывает врач-рентгенолог «Клиника Эксперт» Омск Вадим Черкасов: https://www.mrtexpert.ru/articles/914
#ГКЭксперт #мртэксперт #КлиникаЭксперт #КлиникаЭкспертОмск #мртпозвоночника</t>
  </si>
  <si>
    <t>Haslet Veterinary Clinic</t>
  </si>
  <si>
    <t>Expert and kind. Good people.</t>
  </si>
  <si>
    <t>Jerry McAdams</t>
  </si>
  <si>
    <t>Haslet</t>
  </si>
  <si>
    <t>17:11</t>
  </si>
  <si>
    <t>Здравствуйте. Пропустите срочно пожалуйста  Амалицкая-невролог. По-мимо клиники на Речном где принемает ещё? Может у</t>
  </si>
  <si>
    <t>Амалицкая принимает в новой клинике "Эксперт мрт" 32 55 55, станке димитрова 28.Позвоните уточните.</t>
  </si>
  <si>
    <t>ЖенСовет Брянск</t>
  </si>
  <si>
    <t>COVID-19: Will social distancing be the new normal? A Mayo Clinic expert discusses the future</t>
  </si>
  <si>
    <t>How can people date and get to know new people. This is unacceptable.  People need human contact to survive.  This is just monstrous what they are asking people to deal with.</t>
  </si>
  <si>
    <t>Katie B</t>
  </si>
  <si>
    <t>Где сделать МРТ в Новосибирске?
Перед вами своеобразный путеводитель по тем медучреждениям Новосибирска, где можно пройти МРТ-исследование. Все перечисленные ниже учреждения предоставляют обслуживание и в рамках системы медицинского страхования, в некоторых из них предусмотрены скидки.
Читать далее: https://www.mrtexpert.ru/articles/1073
#ГКЭксперт #КлиникаЭксперт #мртэксперт #мртэкспертновосибирск #мртновосибирск</t>
  </si>
  <si>
    <t>Где сделать МРТ в Новосибирске?
Перед вами своеобразный путеводитель по тем медучреждениям Новосибирска, где можно пройти МРТ-исследование. Все перечисленные ниже учреждения предоставляют обслуживание и в рамках системы медицинского страхования, в некоторых из них предусмотрены скидки.
Читать далее: https://www.mrtexpert.ru/articles/1073
#ГКЭксперт #КлиникаЭксперт #мртэксперт #мртэкспертновосибирск #мртновосибирск
Где сделать МРТ в Новосибирске?
Перед вами своеобразный путеводитель по тем медучреждениям Новосибирска, где можно пройти МРТ-исследование.
https://www.mrtexpert.ru/articles/1073</t>
  </si>
  <si>
    <t>15:18</t>
  </si>
  <si>
    <t>Центр МРТ Эксперт СНОВА продлевает скидку 20%Для Всех❗
☝Предложение действует до 31.07.2020 
☝Наш адрес: г. Рязань, ул. Профессора Никулина 3а 
☎8(930)8803992. 
☎+7(4912)92-39-92 
➡Наш сайт: http://cmrtexpert.ru 
#МРТРязань #МРТ#МРТЦены#МРТРязань#МРТ#Эксперт#Обследование#Здоровье#Москва#Луховицы#Озеры#Шатура#Коломна#Праздник
@mrt_expert_62</t>
  </si>
  <si>
    <t>#Promotion 50% กำจัดขนถาวร !!!
เลเซอร์ Long Pulse ND YAG
    หยุดยั้งเซลล์ขนได้หมดจด
เครื่องมือมาตรฐานจากอเมริกา
✔️ เคราคาง         
✔️   รักแร้        
 ✔️  หนวด 
✔️ เคราแก้ม      
✔️  ทั่วใบหน้า    
✔️   หน้าแข้ง 
#อย่าปล่อยให้ขนกวนใจคุณ 
♥️ให้นารดาคลินิก กำจัดขนให้คุณถึงรากถึงโคน!!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
รูปภาพจากโพสต์ของ Narada Clinic คลินิกความงามเชียงใหม่
https://www.facebook.com/568390943273818/posts/3011069945672560/</t>
  </si>
  <si>
    <t>14:34</t>
  </si>
  <si>
    <t>Центр МРТ Эксперт СНОВА продлевает скидку 20%Для Всех❗
☝Предложение действует до 31.07.2020г.
☝Наш адрес: г. Рязань, ул. Профессора Никулина 3а
☎8(930)8803992.
☎+7(4912)92-39-92
➡Наш сайт: http://cmrtexpert.ru
#МРТРязань #МРТ#МРТЦены#МРТРязань#МРТ#Эксперт#Обследование#Здоровье#Москва#Луховицы#Озеры#Шатура#Коломна#Праздник
http://cmrtexpert.ru</t>
  </si>
  <si>
    <t>14:30</t>
  </si>
  <si>
    <t>Why they don't take swab sample from cow's throat as droplet visibility from cows mouth is more or from its running nose to test cows mucus sample. I think there might be lot of corona sample inside cows gastrointestinal tract which consumes tonne of plastics.</t>
  </si>
  <si>
    <t>Rocky Trance</t>
  </si>
  <si>
    <t>В каком городе?</t>
  </si>
  <si>
    <t>https://scontent-hel2-1.xx.fbcdn.net/v/t1.0-0/p526x296/115912581_168361201413013_5124223487653990218_o.jpg?_nc_cat=107&amp;_nc_sid=9267fe&amp;_nc_ohc=W1zx_SV63pUAX9im5Ii&amp;_nc_oc=AQn4jsaZhad8KIwXmr4RLDq7aWN8axauTrF3X7UKVXNW-gBBjmlb6Yg9yAjgG6GNzhGTbgavaQuQbG3RH4ar1U6x&amp;_nc_ht=scontent-hel2-1.xx&amp;_nc_tp=6&amp;oh=3111bdadb5e9599a502d7d625cd64eea&amp;oe=5F3FF112</t>
  </si>
  <si>
    <t>Удачи! :-)</t>
  </si>
  <si>
    <t>Анна Загитова</t>
  </si>
  <si>
    <t>Лето –чудесное время года и его наступления все мы ждём с нетерпением.
⠀
Но для сердечников лето-часто это период испытаний для здоровья. Ведь жгучее солнце может навредить даже здоровым людям. Как защитить сердце и сосуды в летнюю жару? О каких мерах предосторожности следует помнить и что делать, если в жару болит, давит или колет сердце?
⠀
Наш врач-кардиолог Анна Валериевна Дементьева подробна ответила на эти вопросы в нашей статье.
Читайте по ссылке в шапке профиля: https://www.mrtexpert.ru/articles/1075
⠀
Записаться на приём к кардиологу: 700 006
Наш адрес: Тула, ул.Болдина, 74
⠀
#КлиникаЭкспертТула #клиникаэксперт
#эксперттула #тулаврач #врач #здоровье #кардиолог #кардиологтула
#консультациякардиолога #сердце #аритмия</t>
  </si>
  <si>
    <t>Круто)))</t>
  </si>
  <si>
    <t>Svetlana Samara</t>
  </si>
  <si>
    <t>⚠️ БОЛЬ - ЭТО ПРОБЛЕМА ДЛЯ ЛЕЧЕНИЯ.
⠀
Ведь невозможно выявлять и лечить причину, если вы чувствуете нестерпимый дискомфорт, особенно когда это касается суставов и позвоночника.
⠀
В «Клинике Эксперт Ростов» помогаем справится с болью при помощи лечебных блокад.
⠀
Этот метод основан на введении лекарственных средств в патологический очаг, который ответственен за болевой синдром.
⠀
Основной механизм лечебного эффекта - это специфическое свойство анестетика временно подавлять возбудимость рецепторов и проведения импульсов по нервам.
⠀
Проводят лечебную блокаду при заболеваниях позвоночника и суставов:
⠀
остеохондрозе;
радикулите;
невралгии;
боли в поясничной области;
боли в области суставов и в шейной области;
межпозвонковых грыжах и мигрени.
⠀
Преимущества этого метода:
⠀
✔️быстрый обезболивающий эффект;
✔️низкий риск побочных эффектов;
✔️возможность снять сосудистый и мышечный спазм;
✔️возможность многократного применения;
✔️уменьшение напряжения мышц, спазма сосудов и отёка в очаге патологии.
⠀
⚠️Процедура назначается строго по показаниям и проводится нейрохирургом.
⠀
Не терпите боль! Запишитесь на консультацию!
⠀
☎ 8(863) 309-11-29
www.mrtexpert.ru
rostov_admin@mrtexpert.ru
⠀
⏰ПН-ВС: 7:00-22:00
Ростов-на-Дону, ул. Красноармейская, д.262/122, пом.1
Лицензия: ЛО-61-01-006908</t>
  </si>
  <si>
    <t>поздравляю!! какой самый высокочастотный?</t>
  </si>
  <si>
    <t>Julija Sipicina-Buhgolca</t>
  </si>
  <si>
    <t>Испания</t>
  </si>
  <si>
    <t>Балеарские острова</t>
  </si>
  <si>
    <t>Пальма</t>
  </si>
  <si>
    <t>10:54</t>
  </si>
  <si>
    <t>Андрей Войнов спасибо</t>
  </si>
  <si>
    <t>Андрей Войнов</t>
  </si>
  <si>
    <t>10:09</t>
  </si>
  <si>
    <t>Почти 2К км за неделю - тренировка перед отпуском вышла знатная!
Мотались с Кристиной в Орел на аппаратное лечение. Утром туда, 2 занятия, прогулка, вечером обратно, день перерыв. Короновирус открыл окошко после операции январской, и мы воспользовались.
В Туле что, нет аппаратов, спросите вы? ЕСТЬ! Конечно есть. НО - нет врачей, кто может провести нужное нам лечение, и кто бы хотя бы ПОПЫТАЛСЯ это освоить. Зачем? Вот вам Красноярск, Нижний Новгород, Орел - ездите!
Или ситуация еще круче: ты приходишь к доктору с выпиской после операции, где четко указано по какой схеме нам надо провести лечение на Синоптофоре. Спрашиваю - вы ТАК можете? Конечно!
Ок. Платишь практически 10К, чтобы по факту узнать что сия звезда офтальмологии тупо делала не то, а то что она делать нужное не умеет - сказать же не посчитала видимо нужным пациенту.
Спасибо что не сделала хуже. И при этом это местная звезда, Журавлева! Что уж говорить еще. Да-да, уважаемая клиника @clinic_expert_tula, это про вашего доктора. В моей картине мира так поступать нельзя. Не умеешь - не берись. Точка.
Факты сухо: январская операция убрала угол косоглазия с 20 до 4 градусов, занятиями дома и мотанием в Орел бинокулярное зрение появилось, она старается, она молодец. Ей тяжело, 2 раза она плакала после занятий. Но потом говорила - я хочу вылечить, я продолжу. Вот мне бы такой характер в 6 лет!
И для сравнения: результат после 9 занятий в Орле куда заметнее и сильнее, чем после 20 у Журавлевой. Как говорится, почувствуйте разницу и не тратьте время.
В сентябре по плану еще операция, надо убрать остатки. Верю что все сложится, что в Орле разрешат госпитализацию иногородних, поэтому уже записалась на 21 сентября.
P.S. А еще на одном занятии в качестве теста узнали что я теста на бинокулярное зрение не прохожу :) Но как то живу все эти годы, ну и ок. Буду дальше жить с этим интересным фактом.
#косоглазие #лечениекосоглазия</t>
  </si>
  <si>
    <t>Супранович Юлия Тула</t>
  </si>
  <si>
    <t>10:06</t>
  </si>
  <si>
    <t>08:10</t>
  </si>
  <si>
    <t>Расстройство кровообращения в головном мозге занимает первую строчку в списках смертельных заболеваниях.
Поэтому очень важно предотвратить физиологические и ментальные факторы заболевания. Психосоматика инсульта связана со стрессом и негативными эмоциями, потому важно решить внутренние проблемы, оказывающие на здоровье такое же влияние, как и внешние факторы.
Инсульт – это острое поражение сосудов головного мозга, при котором участок мозга остается без кровоснабжения
Инсульт у молодых сегодня встречается намного чаще, чем десятилетие назад. Причина такого феномена пока неизвестна. Пусковым механизмом опасного заболевания могут служить черепно-мозговые травмы, прием анаболиков и оральных контрацептивов, нездоровое питание и привычки. Играет свою роль и генетическая предрасположенность к сосудистой дистонии. Инвалидами становятся 50–60% перенесших ОНМК молодых людей, 25% из них нуждаются в постоянном уходе.
#реабилитация
#болезньсердца
#каринахункерова #ставрополь;#здороваяспина
@s.s_a.m_ @k31_clinic @mrtpyatigorsk @klinika.doctor.kit @clinic_expert_ @dr.burdinskiy @ivm_rudn @inimed07</t>
  </si>
  <si>
    <t>Карина Хункерова.</t>
  </si>
  <si>
    <t>07:33</t>
  </si>
  <si>
    <t>@Raging2022 You may also want to read this https://newsnetwork.mayoclinic.org/discussion/covid-19-mayo-clinic-expert-answers-questions-about-masks-after-cdc-updates-its-recommendation/ According to the Mayo Clinic N95s can block particles that are even smaller than that of Covid 19. "So the coronavirus is about 0.12 microns in diameter and N95 (masks) protect down to 0.1 microns, with 95% efficiency." 8/?</t>
  </si>
  <si>
    <t>jurassic</t>
  </si>
  <si>
    <t>#มาฟื้นฟูผิวระดับลึกด้วยPRP Therapy
หรือ Meso Vampire กันนะคะ
.
.
PRP Therapy (Platelet Pich Plasms)
หรือที่ทางคลินิกของเราเรียกว่า Meso Vampire 
เป็นการนำเลือดของตัวเองออกมาปั่นเพื่อแยกชั้นของพลาสมา
ที่มีความเข้มข้นของเกล็ดเลือดสูงที่สุดออกมา 
แล้วฉีดกลับเข้าไปยังจุดต่างๆบนใบหน้า
.
.
#PRPช่วยเรื่องไหนบ้างน๊าาา??
✅ช่วยฟื้นฟู กระตุ้น ซ่อมแซมเซลล์ผิวที่เสื่อมสภาพ 
และเสริมสร้างผิวจากภายในในระดับลึก ทำให้หน้าดูอ่อนเยาว์
✅เนื่องจากการทำ PRP  Therapyหรือ Meso Vampire  
ทำให้เกิดการผลัดเซลล์ผิวใหม่  กระตุ้นการสร้างคอลลาเจน 
อีลาสติน ที่เกี่ยวข้องกับความยืดหยุ่นให้กับผิว 
และสร้างหลอดเลือดภายในผิวขึ้นมาใหม่  
หน้าดูเปล่งปลั่งสุขภาพดีมากยิ่งขึ้น
✅ช่วยรักษาสิว ฝ้ากระ จุดด่างดำ รอยดำจากสิว 
ช่วยให้ขนาดรูขุมขนเล็กลง ไม่เพียงเท่านั้น
ยังลดความหมองคล้ำบนใบหน้าได้ด้วย
✅ช่วยรักษาหลุมสิว หรือรอยแผลเป็นให้มีขนาดเล็กลง 
และรอยดูจางลงด้วยค่ะ
รายละเอียดโปรโมชั่น..
https://bit.ly/3hqN7Lw
ติดตามสาระที่เป็นประโยชน์เกี่ยวกับPRP ได้ที่..
https://bit.ly/2ZTiLeG
ข้อควรปฏิบัติก่อน - หลังทำPRP
https://bit.ly/3hsGOqH
https://bit.ly/3fT2Y5l
===========================================
Narada Clinic : Expert Beauty Center 
นารดาคลินิก ศูนย์ความเป็นเลิศด้านความงามภาคเหนือ 
Call Center : 053-215447 
Line :@naradaclinic(อย่าลืมใส่@ด้วยนะคะ) 
Website :www.naradaclinic.com 
IG :naradaclinic 
Youtube : Narada Clinic Channel
มาฟื้นฟูผิวด้วยโปรแกรม Meso Vampire กันค่ะ
https://www.facebook.com/NaradaTeam/videos/710225279769435/</t>
  </si>
  <si>
    <t>23.07.2020</t>
  </si>
  <si>
    <t>22:05</t>
  </si>
  <si>
    <t>@Navigator504 @ereh_eman @gribblet @momztweet @BellaDonna_5 @misspiperwood All you ever wanted to know about aerosols: https://www.cdc.gov/niosh/topics/aerosols/default.html
0.12 microns
https://newsnetwork.mayoclinic.org/discussion/covid-19-mayo-clinic-expert-answers-questions-about-masks-after-cdc-updates-its-recommendation/
Anything else I can clear up for you?</t>
  </si>
  <si>
    <t>Donald Never_Had_A_Garbanzo_Bean_On_My_Face Trump</t>
  </si>
  <si>
    <t>Англия</t>
  </si>
  <si>
    <t>St Helens</t>
  </si>
  <si>
    <t>21:32</t>
  </si>
  <si>
    <t>https://newsnetwork.mayoclinic.org/discussion/covid-19-mayo-clinic-expert-answers-questions-about-masks-after-cdc-updates-its-recommendation/</t>
  </si>
  <si>
    <t>John</t>
  </si>
  <si>
    <t>Лондон</t>
  </si>
  <si>
    <t>20:50</t>
  </si>
  <si>
    <t>моя любимая процедура #plazma #meaplasma + #vampirefacial у @dr_svetlana_panova#clinic_expert_kursk @clinic_expert_kursk</t>
  </si>
  <si>
    <t>Наталья Залозных</t>
  </si>
  <si>
    <t>19:00</t>
  </si>
  <si>
    <t>18:56</t>
  </si>
  <si>
    <t>Может кому то будет полезным. Делали МРТ крестцово-поясничного отдела в центре сакара. Отдали 3300 руб. Попросила</t>
  </si>
  <si>
    <t>В Диксионе 0,3 Тесла ,в Сакаре 1,5 разницу чувствуете? Но мне нравится где ЖД больница  МРТ Эксперт там 1 Тесла ,но настройка аппарата не уступает Сакаре и в ЖД врач на приёме, который описывает,а в Сакаре пишут не из центра, а удаленно.</t>
  </si>
  <si>
    <t>Юлия Баранчикова</t>
  </si>
  <si>
    <t>Мамы Орёл</t>
  </si>
  <si>
    <t>18:32</t>
  </si>
  <si>
    <t>@jackiemooon2 @mjwmangan @willrorajr @WCCO Wow. That escalated quickly. 
Here's a transcript from a Dr at mayo answering questions about masks. Outta very useful.
https://newsnetwork.mayoclinic.org/discussion/covid-19-mayo-clinic-expert-answers-questions-about-masks-after-cdc-updates-its-recommendation/</t>
  </si>
  <si>
    <t>Eric Barnard</t>
  </si>
  <si>
    <t>Maple Grove</t>
  </si>
  <si>
    <t>УЗИ (УЛЬТРАЗВУКОВОЕ ИССЛЕДОВАНИЕ): ЧТО ЭТО?</t>
  </si>
  <si>
    <t>В федеральной сети медицинских центров и клиник “Клиника Эксперт” Вы можете пройти обследование УЗИ всех областей человеческого организма.
Метод Ультразвукового исследования (УЗИ) широко распространен благодаря простоте и безопасности исследования, а также высокой информативности результата.
Метод УЗИ используют для диагностики:
- паренхиматозных заболеваний;
- полых органов (придаточных пазух носа, печени, щитовидной железы, желчного пузыря, поджелудочной железы, желудка, селезенки, почек, простаты, мочевого пузыря, яичек, матки, придатков, семенных пузырьков);
- подкожных образований;
- офтальмологической патологии.
Для исследования УЗИ доступны все области человеческого тела, кроме головного мозга, конечностей, костей и полых органов - желудка, кишечника.
Метод позволяет выявить:
- объемные образования (кисты, гематомы, абсцессы, опухоли);
- травмы;
- беременность;
- наличие камней и инородных тел;
- расширения полостей;
- скопления жидкости;
- аномалий развития;
- определить размеры органов и изучить гемодинамику.
Почитайте подробнее о:
Гинекологическое УЗИ: показания к назначению и подготовка
УЗИ молочных желёз: особенности проведения
УЗИ брюшной полости: подготовка и особенности проведения
Диагностика УЗИ не требует специальной подготовки, за исключением исследований органов брюшной полости (см. статьи выше), которые необходимо проводить натощак, а также исследований женских половых органов, мочевого пузыря и предстательной железы, которые проводят при наполненном мочевом пузыре.
Диагностика УЗИ, как правило, используется как базовое исследование, для определения наличия отклонений. При обнаружении таковых требуется детальное дообследование методом компьютерной томографии или МРТ.
Обследования в медицинских центрах и клиниках “Эксперт” проводят высококвалифицированные специалисты с использованием новейшего оборудования для УЗИ-диагностики, позволяющими получать четкое изображение на глубине до 30 см в организме человека, а также строить в реальном времени 3D и 4D модели органов.
#гк эксперт #мртэксперт #клиника эксперт #узи #узи диагностика 
https://www.mrtexpert.ru/articles/512
https://www.mrtexpert.ru/articles/418
https://www.mrtexpert.ru/articles/405</t>
  </si>
  <si>
    <t>16:04</t>
  </si>
  <si>
    <t>Register for the webinar!
  Lips for kisses
July 28 
Speaker: MD, PhD Oksana Pashovskaya
Dermatologist, CEO of the Face Zone clinic, expert at theInternational Anti-Aging Medicine Association.
Doctor Pashkovskaya
⏰ Online streaming begins 
9:00 a.m. - London
10:00 a.m. - Berlin
11:00 a.m. - Ankara
Doctors only!
Register here: https://go.mywebinar.com/zlwn-ezmr-dxcj-wbtk
This webinar informs about:
• Lips morphology and how to analyze faces 
• Key features of attractive lips 
• Mastering techniques for difficult lips 
• Anatomy of the lips
• Avoiding side effects of lips injections 
• The process of lips aging 
  BONUS PART: Demonstration of injection techniques for different lip types
#workshops #institutehyalual #filler #lips #injection #lipsinjection #hyalual</t>
  </si>
  <si>
    <t>Institute Hyalual</t>
  </si>
  <si>
    <t>Швейцария</t>
  </si>
  <si>
    <t>Цуг</t>
  </si>
  <si>
    <t>Rotkreuz</t>
  </si>
  <si>
    <t>This is all BS Hello agenda 21 RIP USA</t>
  </si>
  <si>
    <t>Doc Faustus</t>
  </si>
  <si>
    <t>А меня вот что интересует!!! После того как в городе поналепили лежачих везде где только можно, плюс несколько</t>
  </si>
  <si>
    <t>Виктор, МРТ эксперт на 3 Курской.</t>
  </si>
  <si>
    <t>Алексей Марфин</t>
  </si>
  <si>
    <t>Подслушано Мценск</t>
  </si>
  <si>
    <t>14:45</t>
  </si>
  <si>
    <t>На фото губки в канюльной технике препаратом на основе гиалуроновой кислоты 1 мл
_______________________________________
Реабилитация после контурной пластики 2 недели 
Рекомендации по уходу после
Руками к месту инъекций не дотрагиваться, не массировать(если доктор не сказал вам этого).
Исключить посещение бани, сауны,солярия, фитнес клуба и бассейна на 2 недели
Лицом в подушку не спать
Не принимать аспиринсодержащих препаратов.☝️кстати применение антибиотиков и гормональных средств приводит к быстрому рассасыванию геля‍♀️
Наносить «Траумель» или «Стопсиняк» на гематомы, если есть.
Протирать места инъекций водным раствором хлоргексидина 4-5 раз в день в течении 3 дней.
Назначение антигистаминных и противовирусных препаратов индивидуально, после консультации
Запись на процедуры в @clinic_expert_kursk  по тел. 40-01-71
#косметологкурск #косметологиякурск #губыкурск #госсетологвкурске #контурнаяпластикагубкурск #клнтурнаяпластикакурск #ботокскурск #релатокскурск #лазернаяэпиляциякурск #врачкосметологкурск</t>
  </si>
  <si>
    <t>14:41</t>
  </si>
  <si>
    <t>Периодическое посещение гинеколога является неотъемлемой частью жизни любой женщины.
Первое посещение должно состояться ещё до начала половой жизни в 13-14лет. После этого посещать гинеколога нужно 1раз в год.
На прием к гинекологу нужно приходить сразу после менструации,с 5-11 день менструального цикла(цикл считается с 1го дня менструации).
Не забудьте взять с собой менструальный календарик или приложение на телефоне- доктор будет задавать вопросы по поводу менструального цикла.
В начале приема врач собирает анамнез: спрашивает жалобы, перенесенные заболевания, с какого возраста началась менструация, сколько беременностей было, операции, аллергические реакции..
☝️Вся информация строго конфидициальна , поэтому на воросы нужно отвечать откровенно- это нужно для ващей истории болезни ,которую составляет врач и установления точного диагноза.
После этого доктор проводит осмотр молочных желез, наружных половых органов, осмотр в зеркалах , затем идет пальпация ( прощупывание).
Даже при отсутсвии жалоб раз в год нужно сдавать анализы: ❤мазок на флору - оценивает общее состояние влагалища, выявляет воспаления , нарушение микрофлоры ❤мазок на онкоцитологию - это мазок для исключения рака шейки матки, ❤кольпоскопию - осмотр шейки матки в микроскоп, ❤УЗИ органов малго таза- для исключения различных новообразований( полипов, кист и т.д) и ❤УЗИ молочных желез - для исключения опухолей молочной железы.
☝️Дорогие мои девочки , всегда лучше предотвратить заболевание либо выявить его на раннеей стадии!
А как часто вы посещаете гинеколога?
#clinic_expert_kursk #клиникаэксперткурск #медецина #здоровье #клиники #курск #курскаяобласть</t>
  </si>
  <si>
    <t>13:58</t>
  </si>
  <si>
    <t>Опереди Болезнь! МРТ с Гарантией... #петрозаводск #карелия #мрт #karelia #боль</t>
  </si>
  <si>
    <t>❓НУЖНА ПОМОЩЬ ЭКСПЕРТА?
Обращайтесь в клинику, где вашу проблему могут решить одни из лучших врачей России!
⠀
«Клиника Эксперт Ростов» - это крупнейшая федеральная сеть медицинских центров.
⠀
Уже 12 лет мы помогаем выявить и справиться со сложными заболеваниями!
⠀
36 диагностических центров в 36 регионах России.
10 многопрофильных центров в 10 регионах.
Институт повышения квалификации медицинских кадров «Эксперт».
Собственная инженерная служба.
Научно-исследовательский отдел с телемедицинской сетью.
⠀
✔️Все центры связаны между собой.
✔️Не нужно хранить справки и обходить множество кабинетов: ваша история болезни отобразится в любом центре нашей сети.
✔️Записываем данные на электронный носитель, чтобы легко консультироваться с любыми специалистами.
⠀
❓Как записаться?
⠀
☎ 8(863) 309-11-29
www.mrtexpert.ru
rostov_admin@mrtexpert.ru
⠀
⏰ПН-ВС: 7:00-22:00
Ростов-на-Дону, ул. Красноармейская, д.262/122, пом.1
Лицензия: ЛО-61-01-006908</t>
  </si>
  <si>
    <t>❓СКОЛЬКО ДЛИТСЯ МРТ-ДИАГНОСТИКА?
⠀
Этот вопрос задают докторам «Клиники Эксперт» чаще всего.
⠀
Отвечаем:
⠀
Время проведения диагностики зависит от того, какого именно органа или системы организма проходит исследование.
⠀
✔️МРТ головного мозга длится 15-20 минут.
✔️Обследование позвоночника, а также спинного мозга - до 25 минут.
✔️МРТ диагностика суставов занимает 30-45 минут.
✔️На обследование внутренних органов уходит порядка 1 часа времени.
✔️МРТ органов малого таза - около 45 минут.
⠀
⚠️Комплексная диагностика проводит исследование нескольких областей и органов, поэтому время проведения процедуры значительно увеличится.
⠀
В «Клинике Эксперт» МРТ-диагностика проходит комфортно!
Исследование проходит в томографе полуоткрытого типа.
Во время процедуры можно слушать музыку.
⠀
Для записи:
⠀
☎ 8(865) 297-95-68
www.mrtexpert.ru
aevoronova@mrtexpert.ru
⏰ПН-ПТ: 7:00-23:00
⏰СБ: 8:00-20:00
Ставрополь, ул. Доваторцев, 39А
Лицензия: Л01-01-000027</t>
  </si>
  <si>
    <t>Порок сердца. Столкнувшись с таким диагнозом у детей, родители могут испытывать растерянность.
О пороках сердца у детей рассказывает детский кардиолог «Клиники Эксперт» Смоленск Татьяна Фролова: https://www.mrtexpert.ru/articles/913
#ГКЭксперт #мртэксперт #КлиникаЭксперт #КлиникаЭкспертСмоленск #порокисердца</t>
  </si>
  <si>
    <t>Порок сердца. Столкнувшись с таким диагнозом у детей, родители могут испытывать растерянность.
О пороках сердца у детей рассказывает детский кардиолог «Клиники Эксперт» Смоленск Татьяна Фролова: https://www.mrtexpert.ru/articles/913
#ГКЭксперт #мртэксперт #КлиникаЭксперт #КлиникаЭкспертСмоленск #порокисердца</t>
  </si>
  <si>
    <t>Mind &amp; Mood Clinic</t>
  </si>
  <si>
    <t>Expert clinician and patient therapist.</t>
  </si>
  <si>
    <t>Dr Bhakti Murkey</t>
  </si>
  <si>
    <t>Нагпур</t>
  </si>
  <si>
    <t>@FourWinds_ @sam_m54 @latimes https://newsnetwork.mayoclinic.org/discussion/covid-19-mayo-clinic-expert-answers-questions-about-masks-after-cdc-updates-its-recommendation/</t>
  </si>
  <si>
    <t>Lisa Alkema</t>
  </si>
  <si>
    <t>08:23</t>
  </si>
  <si>
    <t>Поздравляю Орешонкову Наталью Александровну @oreshonkovanatalia и коллектив "Клиники Эксперт Смоленск" @clinic_expert_smolensk с днем рождения компании и заслуженной почётной грамотой от уполномоченного по защите прав предпринимателей в Смоленской области Ефременкова Алексея Владимировича @smolombudsman ✨.
#клиникаэксперт
#КлиникеЭкспертСмоленск
#уполномоченныйпозащитеправпредпринимателей
#главнаятемасмоленск</t>
  </si>
  <si>
    <t>Елена Бегунова</t>
  </si>
  <si>
    <t>07:15</t>
  </si>
  <si>
    <t>Expert Cancer Homoeo Clinic Offering Homoeopathic Treatment for Cancer and Kidney Diseases</t>
  </si>
  <si>
    <t>While answering a query about the treatments offered at Expert Cancer Homoeo Clinic, the spokesperson commented, "We at Expert Cancer Homoeo clinic
have always been concerned about the wellness of our patients and provide effective homoeopathic cures to those residing in far off places. This is the reason we offer treatments both offline and online. We have patients not only in India but all over the globe. Patients first have to sign up for our online treatment via email and then can share their medical reports and everything else required with our doctors. After analysing the reports, our physicians dispatch medicines for their respective addresses."
Allopathic treatments do suppress and eliminate cancers but these treatments are too painstaking and expensive and have extreme side effects too. On the other hand, homoeopathic treatments are known to treat dreadful and fatal diseases like cancer without causing any side effects. Those looking for cancer specialist doctor in Delhi that can provide such reliable and effective homoeopathic treatments, Expert Cancer Homoeo Clinic can be an ideal choice. One can get homoeopathic treatments for all types of cancer, including lung cancer, stomach cancer, cervical cancer, breast cancer, kidney cancer, uterus cancer, throat cancer, bile duct cancer, ovarian cancer, colon cancer and gall bladder cancer.
The spokesperson added, "Dr. Devendra Singh, our founder, is a top homoeopathic doctor in Delhi providing reliable treatments for cancer. Excruciating pain is something that cancer patients complain about and allopathic treatments do provide pain relief for some time but also cause other side effects. However, homoeopathic medicines don't cause any side effects and provide relief from pain. They help improve a patient's general well being and vitality and also help patients to keep up their better mental health."
Expert Cancer Homoeo Clinic offers treatments for over 100 diseases but is more popular for providing cancer treatments. This is because the founder and his son have cured many cancer patients successfully with their classical homoeopathic approach. To book an appointment, people can contact Expert Cancer Homoeo Clinic today.
About Expert Cancer Homoeo Clinic
Expert Cancer Homoeo Clinic is a provider of exceptional homoeopathic treatments. Those looking for kidney specialist in Delhi that can provide effective homoeopathic treatment for kidney issues can contact Expert Cancer Homoeo Clinic for getting the ideal treatment. The medicines offered help strengthen patient's immune system and enhance overall health, which, in turn, reverse symptoms, such as loss of appetite, nausea, pedal oedema and increased creatinine levels.
For more information on this press release visit: http://www.sbwire.com/press-releases/expert-cancer-homoeo-clinic-offering-homoeopathic-treatment-for-cancer-and-kidney-diseases-1297978.htm
Media Relations Contact
Expert Cancer Homoeo Clinic
Telephone: 096163 85385
Email: Click to Email Expert Cancer Homoeo Clinic
Web: https://cancerhomoeoclinic.co.in/</t>
  </si>
  <si>
    <t>Digital Journal</t>
  </si>
  <si>
    <t>digitaljournal.com</t>
  </si>
  <si>
    <t>07:01</t>
  </si>
  <si>
    <t>Mumbai, India -- ( SBWIRE ) -- 07/22/2020 -- Expert Cancer Homoeo Clinic is well-recognized and appreciated for its high-quality and effective homoeopathic treatments.
Established in the year 1979 by Dr. Devendra Singh, the clinic today has multiple branches and a team comprising seasoned and dedicated physicians. They all specialize in providing unmatched care and cure to patients suffering from various diseases, such as cancer, high blood pressure, PCOD, migraine, kidney diseases, anaemia, etc. Homoeopathic treatments offered by this distinguished clinic are more effective than conventional homoeopathic treatments. This is simply because of the profound research that goes into making every medicine.
While answering a query about the treatments offered at Expert Cancer Homoeo Clinic, the spokesperson commented, "We at Expert Cancer Homoeo clinic have always been concerned about the wellness of our patients and provide effective homoeopathic cures to those residing in far off places. This is the reason we offer treatments both offline and online. We have patients not only in India but all over the globe. Patients first have to sign up for our online treatment via email and then can share their medical reports and everything else required with our doctors. After analysing the reports, our physicians dispatch medicines for their respective addresses."
Allopathic treatments do suppress and eliminate cancers but these treatments are too painstaking and expensive and have extreme side effects too. On the other hand, homoeopathic treatments are known to treat dreadful and fatal diseases like cancer without causing any side effects. Those looking for cancer specialist doctor in Delhi that can provide such reliable and effective homoeopathic treatments, Expert Cancer Homoeo Clinic can be an ideal choice. One can get homoeopathic treatments for all types of cancer, including lung cancer, stomach cancer, cervical cancer, breast cancer, kidney cancer, uterus cancer, throat cancer, bile duct cancer, ovarian cancer, colon cancer and gall bladder cancer.
The spokesperson added, "Dr. Devendra Singh, our founder, is a top homoeopathic doctor in Delhi providing reliable treatments for cancer. Excruciating pain is something that cancer patients complain about and allopathic treatments do provide pain relief for some time but also cause other side effects. However, homoeopathic medicines don't cause any side effects and provide relief from pain. They help improve a patient's general well being and vitality and also help patients to keep up their better mental health."
Expert Cancer Homoeo Clinic offers treatments for over 100 diseases but is more popular for providing cancer treatments. This is because the founder and his son have cured many cancer patients successfully with their classical homoeopathic approach. To book an appointment, people can contact Expert Cancer Homoeo Clinic today.
About Expert Cancer Homoeo Clinic
Expert Cancer Homoeo Clinic is a provider of exceptional homoeopathic treatments. Those looking for kidney specialist in Delhi that can provide effective homoeopathic treatment for kidney issues can contact Expert Cancer Homoeo Clinic for getting the ideal treatment. The medicines offered help strengthen patient's immune system and enhance overall health, which, in turn, reverse symptoms, such as loss of appetite, nausea, pedal oedema and increased creatinine levels.</t>
  </si>
  <si>
    <t>SBWire Acquires ReleaseWire</t>
  </si>
  <si>
    <t>releasewire.com</t>
  </si>
  <si>
    <t>#หลังทำPRP Therapy (PLATELET  RICH  PLASMA) 
มีข้อควรปฏิบัติดังต่อไปนี้ค่ะ
✅ #งดล้างหน้า 4-6 ชั่วโมงแรกหลังการทำ PRP
✅ #หลีกเลี่ยงแสงแดดประมาณ 2- 3 วัน
✅ #งดการดื่มเครื่องดื่มแอลกอฮอลล์
✅ #งดการออกกำลังกายอย่างหนัก
✅ #ทาครีมบำรุงผิวได้ตามปกติ  
แต่ให้หลีกเลี่ยงการทาครีมที่มีส่วนผสมของ 
AHA หรือสาร Whitening
✅ #ควรพักหน้า โดยงดแต่งหน้าอย่างน้อย 1 วัน
✅ #หลีกเลี่ยงการรับประทานยาประเภทแอสไพริน(Aspirin)
และไอบูโพรเฟ่น(Ibuprofen) ประมาณ 2-3 วัน
‍⚕️ที่นารดาคลินิก
เรามีโปรแกรมฟื้นฟูสภาพผิวจากภายในด้วยเกล็ดเลือด
ช่วยกระตุ้นการสร้างคอลลาเจน
‍⚕️รักษาสิวฝ้ากระจุดด่างดำ
รอยดำรอยแดงที่เกิดจากสิว
ที่สำคัญสามารถคืนความอ่อนเยาว์ให้กับผิวด้วยนะคะ
  ติดตามสาระความรู้ที่เป็นประโยชน์เกี่ยวกับ PRP
ได้ที่...https://bit.ly/2ZLZYlp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ข้อควรปฏิบัติหลังทำ PRP Therapy |Narada Podcast
https://www.facebook.com/NaradaTeam/videos/291323378646232/</t>
  </si>
  <si>
    <t>Mumbai, India -- ( SBWIRE ) -- 07/22/2020 -- Expert Cancer Homoeo Clinic is well-recognized and appreciated for its high-quality and effective homoeopathic treatments. Established in the year 1979 by Dr. Devendra Singh, the clinic today has multiple branches and a team comprising seasoned and dedicated physicians. They all specialize in providing unmatched care and cure to patients suffering from various diseases, such as cancer, high blood pressure, PCOD, migraine, kidney diseases, anaemia, etc. Homoeopathic treatments offered by this distinguished clinic are more effective than conventional homoeopathic treatments. This is simply because of the profound research that goes into making every medicine.
 While answering a query about the treatments offered at Expert Cancer Homoeo Clinic, the spokesperson commented, "We at Expert Cancer Homoeo clinic have always been concerned about the wellness of our patients and provide effective homoeopathic cures to those residing in far off places. This is the reason we offer treatments both offline and online. We have patients not only in India but all over the globe. Patients first have to sign up for our online treatment via email and then can share their medical reports and everything else required with our doctors. After analysing the reports, our physicians dispatch medicines for their respective addresses."
 Allopathic treatments do suppress and eliminate cancers but these treatments are too painstaking and expensive and have extreme side effects too. On the other hand, homoeopathic treatments are known to treat dreadful and fatal diseases like cancer without causing any side effects. Those looking for cancer specialist doctor in Delhi that can provide such reliable and effective homoeopathic treatments, Expert Cancer Homoeo Clinic can be an ideal choice. One can get homoeopathic treatments for all types of cancer, including lung cancer, stomach cancer, cervical cancer, breast cancer, kidney cancer, uterus cancer, throat cancer, bile duct cancer, ovarian cancer, colon cancer and gall bladder cancer.
 The spokesperson added, "Dr. Devendra Singh, our founder, is a top homoeopathic doctor in Delhi providing reliable treatments for cancer. Excruciating pain is something that cancer patients complain about and allopathic treatments do provide pain relief for some time but also cause other side effects. However, homoeopathic medicines don't cause any side effects and provide relief from pain. They help improve a patient's general well being and vitality and also help patients to keep up their better mental health."
 Expert Cancer Homoeo Clinic offers treatments for over 100 diseases but is more popular for providing cancer treatments. This is because the founder and his son have cured many cancer patients successfully with their classical homoeopathic approach. To book an appointment, people can contact Expert Cancer Homoeo Clinic today.
 About Expert Cancer Homoeo Clinic
 Expert Cancer Homoeo Clinic is a provider of exceptional homoeopathic treatments. Those looking for kidney specialist in Delhi that can provide effective homoeopathic treatment for kidney issues can contact Expert Cancer Homoeo Clinic for getting the ideal treatment. The medicines offered help strengthen patient's immune system and enhance overall health, which, in turn, reverse symptoms, such as loss of appetite, nausea, pedal oedema and increased creatinine levels.</t>
  </si>
  <si>
    <t>sbwire.com</t>
  </si>
  <si>
    <t>03:03</t>
  </si>
  <si>
    <t>@catlady7711 @RealJamesWoods https://newsnetwork.mayoclinic.org/discussion/covid-19-mayo-clinic-expert-answers-questions-about-masks-after-cdc-updates-its-recommendation/
https://www.youtube.com/watch?v=gaka1vqYFNs&amp;feature=share</t>
  </si>
  <si>
    <t>Stewart Griffin</t>
  </si>
  <si>
    <t>22.07.2020</t>
  </si>
  <si>
    <t>23:23</t>
  </si>
  <si>
    <t>Поздравляю Наталью Александровну @oreshonkovanatalia и коллектив "Клиники Эксперт Смоленск" @clinic_expert_smolensk с днем рождения компании и заслуженной благодарностью от уполномоченного по защите прав предпринимателей в Смоленской области Ефременкова Алексея Владимировича @smolombudsman ✨.
#клиникаэксперт
#КлиникеЭкспертСмоленск
#уполномоченныйпозащитеправпредпринимателей
#АлексейЕфременков
#главнаятемасмоленск</t>
  </si>
  <si>
    <t>23:15</t>
  </si>
  <si>
    <t>Поздравляю Орешонкову Наталью Александровну @oreshonkovanatalia и коллектив "Клиники Эксперт Смоленск" @clinic_expert_smolensk с днем рождения компании и заслуженной благодарностью от уполномоченного по защите прав предпринимателей в Смоленской области Ефременкова Алексея Владимировича @smolombudsman ✨.
#клиникаэксперт
#КлиникеЭкспертСмоленск
#уполномоченныйпозащитеправпредпринимателей
#АлексейЕфременков
#главнаятемасмоленск
@oreshonkovanatalia @smolombudsman</t>
  </si>
  <si>
    <t>Елена Бегунова✨ ✨</t>
  </si>
  <si>
    <t>22:57</t>
  </si>
  <si>
    <t>MiloMac</t>
  </si>
  <si>
    <t>22:47</t>
  </si>
  <si>
    <t>Still didn't explain How it stop it.</t>
  </si>
  <si>
    <t>Chad Kristoff</t>
  </si>
  <si>
    <t>22:27</t>
  </si>
  <si>
    <t>No real science mentioned, just fearful controlling opinion</t>
  </si>
  <si>
    <t>Derek B</t>
  </si>
  <si>
    <t>20:03</t>
  </si>
  <si>
    <t>جرعة صغيرة من الاهتمام ستجلب العجائب للروح وللأشخاص من حولك 
.
.
.
.
#استشارة #استشارة_نفسية #دكتور_نفسي #احتراف #تخصص #متخصص #دكتور #مستشفى #مريض #مرض #دكتور #علاج #صحة #صحة_نفسية #الكويت #كويت#عقل#عيادة
#psychology#Psychologist#heal #mental_health #mind #mental #brain 
#clinic #expert #professional #mental #disorders #wellness #help</t>
  </si>
  <si>
    <t>20:02</t>
  </si>
  <si>
    <t>7-21-20 no proof mask work,,,,why is this..8 months later.....if we ask China they would say mask don't work.. hospital workers getting covid19 while wearing a mask..</t>
  </si>
  <si>
    <t>Dirty DoughBoy</t>
  </si>
  <si>
    <t>Только 19 июля а в Клинике Эксперт Ростов приём будет вести Андрей Сергеевич Лычагин, кандидат медицинских наук, врач уролог-андролог с 12-летним стажем.
⠀⠀⠀⠀⠀⠀⠀⠀⠀
Доктор имеет большой опыт в лечении мужского бесплодия, а также заболеваний с урологической патологией - простатиты, циститы, пиелонефриты и другое. Андрей Сергеевич владеет современными методами диагностики и лечения мужчин, а также широко использует физиотерапевтические методики в лечении хронических заболеваний мочеполовой сферы.
⠀⠀⠀⠀⠀⠀⠀⠀⠀
Кроме того, московский врач проводит лечение преждевременной эякуляции у мужчин за один день.
⠀⠀⠀⠀⠀⠀⠀⠀⠀
Обязательна предварительная запись по телефону - (863) 333-03-93
⠀⠀⠀⠀⠀⠀⠀⠀⠀
www.mrtexpert.ru
rostov_admin@mrtexpert.ru
Лицензия: ЛО-61-01-006908</t>
  </si>
  <si>
    <t>Желтоватый оттенок кожи, пожелтевшие склеры и слизистые оболочки – эти признаки могут свидетельствовать о развитии желтухи. Что же это такое – самостоятельная болезнь или синдром, сопровождающий другие патологии?: https://www.mrtexpert.ru/articles/912
#ГКЭксперт #КлиникаЭксперт #мртэксперт #желтуха</t>
  </si>
  <si>
    <t>Желтоватый оттенок кожи, пожелтевшие склеры и слизистые оболочки – эти признаки могут свидетельствовать о развитии желтухи. Что же это такое – самостоятельная болезнь или синдром, сопровождающий другие патологии?: https://www.mrtexpert.ru/articles/912
#ГКЭксперт #КлиникаЭксперт #мртэксперт #желтуха</t>
  </si>
  <si>
    <t>17:18</t>
  </si>
  <si>
    <t>@CBRhino1 @Alyssa_Milano Oof.
https://newsnetwork.mayoclinic.org/discussion/covid-19-mayo-clinic-expert-answers-questions-about-masks-after-cdc-updates-its-recommendation/
Wear a mask.</t>
  </si>
  <si>
    <t>Mr. Mask Cult</t>
  </si>
  <si>
    <t>УЗИ экспертного класса во время беременности
Что показывает?
В чем отличие от обычного?
Когда делать?
Как отражается на малыше?
Рассказывают и отвечают на ваши вопросы завтра в ЧТ 23 июля в 14.00 врач УЗИ Людмила Викторовна Белкина @uzi_belkina и доула Екатерина @doula_perm
Подписывайтесь на наш аккаунт в Инстаграм https://www.instagram.com/clinic_expert_perm/ и присылайте вопросы в директ 
#узипермь #беременностьпермь #врачпермь #гинекологпермь #родыпермь #доулапермь #клиникаэкспертпермь #клиникаэксперт #медицинскийцентрпермь
Клиника Эксперт Instagram
С возвращением в Instagram! Войдите, чтобы увидеть снимки и записи, сделанные вашими друзьями, родственниками и интересными вам людьми по всему миру.
https://www.instagram.com/clinic_expert_perm/</t>
  </si>
  <si>
    <t>Каким бывает пульс? От чего зависят его значения? Всегда ли пульс равен частоте сердечных сокращений?
На эти и другие вопросы нам помогала искать ответы врач-терапевт, кардиолог «Клиника Эксперт Воронеж» Калинина Ангелина Анатольевна.
Читать далее: https://www.mrtexpert.ru/articles/657
#ГКЭксперт #мртэксперт #КлиникаЭксперт #КлиникаЭкспертВоронеж
#КлиникаЭксперткардиология #кардиология</t>
  </si>
  <si>
    <t>https://scontent-hel2-1.xx.fbcdn.net/v/t1.0-9/s960x960/116130937_3206864719379983_1835123591616434768_o.jpg?_nc_cat=102&amp;_nc_sid=9267fe&amp;_nc_ohc=fmTc7liDQXYAX-0ePdc&amp;_nc_oc=AQkdPqCASL86IKW65-FXw5_bZi5FgF5jZLEir1wWBtmxMzeJk_qV2SidX8vm17_a15hEWcSyayZyeAI1tZVEfpyf&amp;_nc_ht=scontent-hel2-1.xx&amp;_nc_tp=7&amp;oh=5e0c5dee651fe0040c736dcaa5939212&amp;oe=5F41F3DD</t>
  </si>
  <si>
    <t>Каким бывает пульс? От чего зависят его значения? Всегда ли пульс равен частоте сердечных сокращений?
На эти и другие вопросы нам помогала искать ответы врач-терапевт, кардиолог «Клиника Эксперт Воронеж» Калинина Ангелина Анатольевна.
Читать далее: https://www.mrtexpert.ru/articles/657
#ГКЭксперт #мртэксперт #КлиникаЭксперт #КлиникаЭкспертВоронеж
#КлиникаЭксперткардиология #кардиология</t>
  </si>
  <si>
    <t>"เคยทำจมูกมาเมื่อประมาณ 7ปีแล้วนะครับ
มีปัญหาคือทรงยังไม่ถูกใจ
อยากให้มันโด่งขึ้นอีกนิดนึง
ซึ่งเมื่อก่อนเป็นซิลิโคนธรรมดา 
ก็เลยอยากเปลี่ยนเป็นแบบอัพเกรดขึ้น
แล้วอีกปัญหาที่บอลกังวลมากที่สุด
ก็จะเป็นคางครับ นี่เพิ่งทำมาเมื่อปีที่แล้ว
แต่มันไม่รับกับใบหน้า มันยาวเกินไป
เพื่อนๆก็ทัก หลายคนก็ทัก
ก็เริ่มไม่มั่นใจ..
ก็เลยอยากมาสร้างความมั่นใจที่นารดาคลินิก"
.
.
➡️ คุณบอลเล่าให้เราฟังว่า ได้ติดตามแฟนเพจ
ของนารดาคลินิกมาเป็นเวลาหลายปี
เมื่อได้เห็นรีวิวจากลูกค้าที่มาทำ
ก็เลยตัดสินใจเข้ามาพบคุณหมอ
เพื่อขอคำแนะนำก่อนทำการแก้ไข
ทั้งจมูกและคางค่ะ
.
.
"เห็นรีวิวแต่ละเคส
ก็เห็นว่าคุณหมอพิถีพิถันมากครับ
หลังจากขอรับคำปรึกษาจากคุณหมอ
ก็เลยวางใจว่า ที่นี่แหล่ะ..
ที่จะเปลี่ยนแปลงตัวเราให้ดูดีขึ้น.."
.
.
➡️ คุณหมอได้แก้ไขทรงจมูกของคุณบอล
ด้วยเทคนิค Semi Open
รองปลายด้วยกระดูกอ่อนหลังหู
พร้อมแก้คางให้มีความยาวที่พอดีรับกับใบหน้า
ทำให้หน้าของคุณบอลดูละมุนมากขึ้นค่ะ
.
.
“หลังจากที่ทำไปแล้ว เวลาไปไหน
เพื่อนก็จะทักว่าหน้าดูละมุนขึ้น
ทรงจมูกสวยขึ้น คางก็ได้รูปสมส่วนขึ้น
มันเข้ากันดีทั้งหน้า
เวลาใครถามว่าไปทำที่ไหนมา..
ก็จะบอกว่า ไปทำที่นารดาคลินิกครับ..”
 ติดตามชมคลิปเต็มได้ที่..
https://youtu.be/GHvBxexqsng
 ชมรีวิวอื่นๆเพิ่มเติม ได้ที่
https://bit.ly/2CWMlXS
 ชมรีวิวก่อนและหลังทำใต้คอมเม้นท์นะคะ
#ยินดีให้คำปรึกษาทั้งก่อนและหลังทำโดยแพทย์ทุกเคส
#พร้อมทั้งติดตามผลอย่างใกล้ชิด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ไม่สามารถดูเนื้อหานี้ได้ในขณะนี้
เหตุการณ์นี้มักจะเกิดขึ้นเนื่องจากเจ้าของแชร์เนื้อหากับคนกลุ่มเล็กๆ เท่านั้น หรือเปลี่ยนกลุ่มคนที่สามารถดูได้ หรือเนื้อหาถูกลบไปแล้ว</t>
  </si>
  <si>
    <t>14:25</t>
  </si>
  <si>
    <t>Как жара влияет на сердце? И как ему помочь в жаркую погоду?
Читать далее: https://www.mrtexpert.ru/articles/1075
#ГКЭксперт #КлиникаЭксперт #КлиникаЭкспертТула #мртэксперт #кардиология</t>
  </si>
  <si>
    <t>14:24</t>
  </si>
  <si>
    <t>Как жара влияет на сердце? И как ему помочь в жаркую погоду?
Читать далее: https://www.mrtexpert.ru/articles/1075
#ГКЭксперт #КлиникаЭксперт #КлиникаЭкспертТула #мртэксперт #кардиология
Как жара влияет на сердце?
Лето – прекрасное время года. Его наступления большинство людей ждёт с нетерпением. Всё вокруг цветёт и зеленеет, многие отправляются в отпуск. Но как защитить сердце и сосуды в летнюю жару? Ведь жгучее солнце может навредить даже здоровым людям. О ...
https://www.mrtexpert.ru/articles/1075</t>
  </si>
  <si>
    <t>Такого ещё не было!
Друзья, у нас розыгрыш!
13 победителей!
Условия просты:
1. Лайк на публикацию ❤️
2. Подписка на ВСЕХ спонсоров
3. Репост в сторис 
4. Отметь подругу/друга в комментариях. Количество не ограничено. Коммерческие аккаунты не участвуют. Ваш профиль должен быть открыт.
Подарки:
1 место- участие в проекте Преображения Super Woman от основателя проекта @annacatinova 
2 место- 2 недели правильного питания от @formula_ptz 
3 место - большой сладкий бокс с алкоголем от @darim.prazdnik 
4 место - сертификат на 3000 р на мрт-исследование от @mrt.expert.petrozavodsk 
5 место - шикарный букет цветов от @katyshkas90 
6 место - фотосессия от @tanya.protas 
7 место- макияж от меня @ann_matikainen 
8 место - причёска от @marina_vokulova ‍♀️
9 место- коррекция, окрашивание, ламинирование и ботокс бровей, полный комплекс по уходу за бровями от меня
10 место - макияж от @arizona.ptz 
11 место - маникюр с покрытием гель-лак от @anna_torozerova 
12 место- абонемент на 8 занятий в @poledance_catsptz 
13 место- вкуснейший набор роллов от @sushihouse_ptz 
Участвуйте и побеждайте, шансы очень велики!
Мы  старались для вас!❤️
Итоги подведём 5.08 в прямом эфире с помощью #lizaonair!
P.S- только для жителей г. Петрозаводска!
Ну что, погнали?! 
Удачи!</t>
  </si>
  <si>
    <t>Макияж Брови ПМ Курсы</t>
  </si>
  <si>
    <t>Акция «Узнай причину боли в животе» 
Если Вас беспокоят:
✅Боли в левом или правом подреберье
✅Горечь во рту
✅Связь болей с приемом пищи
✅Тошнота и возможно рвота
✅Снижение веса, снижение аппетита
✅Пожелтение кожи
✅Боли в животе и пояснице
✅	Ощущение дискомфорта в брюшной полости
✅Болезненные ощущения при мочеиспускании
✅Чувство тяжести в животе
✅Расстройство мочеиспускания
o	
✅Тошнота и снижение аппетита, снижение веса
В данное комплексное исследование входят исследования:
✔МР холангиопанкреатография
✔3Д МР урография
	✔МРТ Брюшной полости
✔МРТ забрюшинного пространства
‼️К данному исследованию требуется специальная подготовка!‼️
Запись к специалисту по телефону: 
☎8(862)444 04 03
⏰ Пн-сб: с 07:00 до 23:00, 
вс: с 09:00 до 17:00
Адрес : Сочи, Адлерский район, ул. Кирова, д.50 
Лицензия: ЛО-23-01-0011827
Сайт : http://www.mrtexpert.ru
#мртживота#мртсочи#мртадлер</t>
  </si>
  <si>
    <t>Около 20% от общего числа случаев инфаркта миокарда занимают атипичные формы. О том, какими они могут быть и какие при этом наблюдаются симптомы, рассказывает врач-кардиолог Ангелина Калинина.
Непохожий на себя: 6 атипичных форм инфаркта
Статья
https://m.vk.com/@clinic_expert_vrn-nepohozhii-na-sebya-6-atipichnyh-form-infarkta</t>
  </si>
  <si>
    <t>Клиника Эксперт Воронеж</t>
  </si>
  <si>
    <t>Воронеж</t>
  </si>
  <si>
    <t>12:37</t>
  </si>
  <si>
    <t>Болле подробно познакомим Вас с нашими докторами- неврологами!
‍⚕️ГОРОДОВСКИЙ ЕВГЕНИЙ ВЛАДИМИРОВИЧ
‼️Врач невролог (паркинсонолог). Психотерапевт. 
Доктор Европейской ассоциации врачей‼️
⏰
Стаж работы с 2006 г.
✅Возраст пациентов: с 14 лет
Образование:
	⭕Военно-медицинская академия имени С.М. Кирова Министерства Обороны РФ (г. Санкт-Петербург). Специализация - "Лечебное дело". 2006 г. 
⭕Государственный институт усовершенствования врачей Министерства Обороны РФ (г. Москва). 
⭕Профессиональная переподготовка по специальности «психотерапия». 2009 г.
⭕Федеральное государственное учреждение «Центральная государственная медицинская академия» Управление делами Президента РФ (г. Москва). Клиническая ординатура по специальности «неврология». 2010 г.
⭕Первый Московский государственный медицинский университет им. И.М. Сеченова, кафедра неврологии. Повышение квалификации по программе «Болевые синдромы». 2012 г.
	⭕Аттестационная комиссия при Департаменте здравоохранения города Москвы. Аттестация на присвоение второй квалификационной категории по специальности «неврология». 2016 г.
Направление работы:
Головная боль
Лицевая боль
Болезнь Паркинсона
Деменция
Радикулит
Энцефалопатия
Депрессия
Запись к специалисту по телефону: 
☎8(862)444 04 03
⏰ Пн-сб: с 07:00 до 23:00, 
  вс: с 09:00 до 17:00
Адрес : Сочи, Адлерский район, ул. Кирова, д.50 
Лицензия: ЛО-23-01-0011827
Сайт : http://www.mrtexpert.ru
#сочи#врачисочи#неврологисочи#неврологадлер#неврологиадлер</t>
  </si>
  <si>
    <t>КОСМЕТОЛОГОВ МНОГО
Практически в каждом салоне вам готовы провести любую процедуру, чтобы вернуть молодость или избавить от несовершенств.
⠀
❓Но можно ли доверять таким специалистам?
⠀
Конечно, хороший косметолог может быть в любом заведении, где оказываются услуги красоты, но все дело в подходе.
⠀
⚠️Косметология - это медицинская специальность.
⠀
❓Чего может не быть в салоне красоты?
⠀
❌Специалиста с МЕДИЦИНСКИМ образованием.
❌Абсолютной стерильности.
❌Консультации с точным подбором процедур.
❌Индивидуального подхода к вашей коже и организму.
❌Ответственности за результат
⠀
В «Клинике Эксперт Ростов» процедуры по уходу за кожей проводит ВРАЧ-косметолог.
⠀
Подбор процедур индивидуален.
При необходимости назначается сдача анализов и консультации узких докторов.
Все процедуры абсолютно стерильны.
⠀
❓Как записаться на консультацию?
⠀
☎ 8(863) 309-11-29
www.mrtexpert.ru
rostov_admin@mrtexpert.ru
⠀
⏰ПН-ВС: 7:00-22:00
Ростов-на-Дону, ул. Красноармейская, д.262/122, пом.1
Лицензия: ЛО-61-01-006908</t>
  </si>
  <si>
    <t>УЗИ МАЛОГО ТАЗА
⠀
Без него крайне сложно определить, почему возникли:
⠀
✔️нарушения цикла.
✔️сложности с планированием беременности.
✔️проблемы с мочеполовой системой.
⠀
❓Что определяет УЗИ?
⠀
⚠размеры и эхогенность органов;
⚠состояние матки и яичников;
⚠заболевания моче- и желчевыводящих путей;
⚠наличие фолликулов, а также образований в матке или придатках;
⚠размер мочевого пузыря и его положение;
⚠наличие камней в почках и мочевом пузыре;
⚠определяется беременность на ранних сроках.
⠀
Диагностика может обнаружить такие заболевания, как:
⠀
✔миому матки;
✔эндометриоз, гиперплазию, эндометрию;
✔дисфункцию при воспалении яичников;
✔кисты и опухоли яичников.
⠀
Пройдите УЗИ-исследование, если заподозрили неладное!
⠀
Стоимость - от 700₽
⠀
Для записи в нашу клинику:
⠀
☎ 8(865) 297-95-68
www.mrtexpert.ru
aevoronova@mrtexpert.ru
⏰ПН-ПТ: 7:00-23:00
⏰СБ: 8:00-20:00
Ставрополь, ул. Доваторцев, 39А
Лицензия: Л01-01-000027</t>
  </si>
  <si>
    <t>Expert Cancer Homoeo Clinic Offering Advanced Care and Homoeopathic Treatment for Cancer</t>
  </si>
  <si>
    <t>Expert Cancer Homoeo Clinic is specialising in delivering the highest quality oncology care and homoeopathic treatment in a secondary and humane environment to all its cancer patients.
freePRnow.com, 7/22/2020 - Since the year 1979, Expert Cancer Homoeo Clinic has been providing homoeopathic treatment for multiple dreaded diseases, including kidney failure and cancer. The clinic has highly experienced homoeopathy experts that include the top doctors in the world, trained in prestigious medical schools and research institutes by renowned cancer specialists. These doctors have even treated patients who were left with no hope. For more than 40 years, the clinic has come across 500,000 plus patients that include over 25,000 treated cases of cancer alone.
At a freshly held online event, the spokesperson of Expert Cancer Homoeo Clinic shared, “We help cancer patients live a longer, free and fuller life. We not only treat them symptomatically, but we also believe in adopting a holistic approach in our treatment. This helps our patients in regaining complete wellness and health. We have our clinics in Lucknow, Mumbai and Delhi as well, so that the cancer patients can reach us at their nearby location. Our doctors there can help them by giving case-based homoeopathic treatment.”
For the patients searching for oncologist in Mumbai, Expert Cancer Homoeo Clinic offers all treatment under one roof. The clinic focuses on gaining excellence in clinical and basic research, as well as cancer treatment over a multidisciplinary combination with surgical and dispersal oncology specialists, along with psychosocial specialists and volunteer faculty. Patients undergo examination and evaluation in multimodality clinics by a team of specialists in each malignancy. Then, these specialists sit together and discuss the plan of treatment. They make treatment decisions in integrative tumour boards.
Further, the spokesperson asserted, “We use cutting-edge technologies to provide the most progressive cancer treatment at all stages. We treat our patients in a setting where they can be close to home and fenced by their family and friends. At our clinics, homoeopathic treatment is available for all types of cancer, such as that of bladder, breast, colon, bile duct, gallbladder, kidney, cervical, blood, and liver. We also treat stomach, uterus, lung, ovary, thyroid, pancreas and throat cancers.”
People get cancer when cells within their bodies isolate without restriction or order. Cells keep dividing even when the new cells are not needed. Normally, heredity makes sure that cells grow and reproduce in a formal and controlled way. If the system fails for any reason, the constant result is that the cell dies. Rarely, the system goes wrong in a way that concedes a cell to keep on dividing until a swelling called tumour is formed. Expert Cancer Homoeo Clinic has developed varied treatment programmes for all such kinds of tumour formations.
About Expert Cancer Homoeo Clinic:
Expert Cancer Homoeo Clinic is a homoeopathy clinic that treats a variety of chronic illnesses and diseases. The clinic specialises in the homoeopathic treatment of different forms of cancer and kidney disease. For the patients trying to find best cancer specialist doctor in Mumbai, Expert Cancer Homoeo Clinic has top oncologists that focus on the understanding, prevention, diagnosis and homoeopathic treatment of cancer at any stage, including the most advanced level.</t>
  </si>
  <si>
    <t>freePRnow.com</t>
  </si>
  <si>
    <t>freeprnow.com</t>
  </si>
  <si>
    <t>แนะนำโปรแกรม Meso Vampire (PRP Therapy)</t>
  </si>
  <si>
    <t>แนะนำโปรแกรม Meso Vampire (PRP Therapy)
นารดาคลินิกขอแนะนำโปรแกรมการฟื้นฟูสภาพผิวจากภายในอย่างล้ำลึก PRP Therapy หรือที่ทางคลินิกของเราเรียกว่า Meso Vampire ซึ่งเป็นการนำเลือดของตัวเองออกมาปั่นเพื่อแยกชั้นของพลาสมาที่มีความเข้มข้นของเกล็ดเลือดสูงที่สุดออกมา แล้วฉีดกลับเข้าไปยังจุดต่างๆบนใบหน้า ช่วยฟื้นฟู กระตุ้น ซ่อมแซมเซลล์ผิวที่เสื่อมสภาพ และเสริมสร้างผิวจากภายในในระดับลึก ทำให้หน้าดูอ่อนเยาว์ ,เนื่องจากการทำ PRP  Therapyหรือ Meso Vampire  ทำให้เกิดการผลัดเซลล์ผิวใหม่  กระตุ้นการสร้างคอลลาเจน อีลาสติน ที่เกี่ยวข้องกับความยืดหยุ่นให้กับผิว และสร้างหลอดเลือดภายในผิวขึ้นมาใหม่  หน้าดูเปล่งปลั่งสุขภาพดีมากยิ่งขึ้น ,ช่วยรักษาสิว ฝ้ากระ จุดด่างดำ รอยดำจากสิว ช่วยให้ขนาดรูขุมขนเล็กลง ไม่เพียงเท่านั้นยังลดความหมองคล้ำบนใบหน้าได้ด้วย  พร้อมทั้งช่วยรักษาหลุมสิว หรือรอยแผลเป็นให้มีขนาดเล็กลง และรอยดูจางลงด้วยค่ะ
=====================================================
Narada Clinic : Expert Beauty Center 
นารดาคลินิก ศูนย์ความเป็นเลิศด้านความงามภาคเหนือ 
Call Center 053-215447 
Line :@naradaclinic(อย่าลืมใส่@ด้วยนะคะ) 
Website : www.naradaclinic.com 
IG :naradaclinic 
Youtube :Narada Clinic Channel</t>
  </si>
  <si>
    <t>07:36</t>
  </si>
  <si>
    <t>ПРИМЕНЕНИЕ МЕТОДА МАГНИТНО-РЕЗОНАНСНОЙ ТОМОГРАФИИ В ДИАГНОСТИКЕ ЗАБОЛЕВАНИЙ СУСТАВОВ
⠀
Магнитно-резонансная томография (МРТ) является лучшим способом получения детальных снимков органов и тканей организма путем воздействия на пациента радиоволн в сильном магнитном поле. Изображение анализируют с помощью компьютера, на мониторе которого появляются двух- или трехмерные изображения. МРТ суставов проводится без рентгеновского облучения. Чаще всего проводят МРТ позвоночника, МРТ колена и плечевого сустава. Также успешно выполняется исследования тазобедренного, голеностопного, лучезапястного и других суставов. Процедура часто используется для диагностики спортивных и профессиональных травм.
⠀
 Врач может порекомендовать МРТ суставов в следующих случаях:
⠀
 для обнаружения причин кровотечения, отека или боли в костях и мышцах;
 для идентификации небольших разрывов мышц, связок, сухожилий;
 чтобы представить четкую картину дегенеративных заболеваний, таких как артрит;
 для идентификации опухолей и инфекций в костях, суставах, окружающих мягких тканях.
⠀
 Как проводится МРТ суставов
⠀
Пациенту будет предложено лечь на спину. Устройство под названием «катушка» размещается в области сканирования. Различные катушки предназначены для разных частей тела и соответствуют их форме. Никакого дискомфорта от катушки пациент не испытывает.
⠀
Иногда, для лучшей визуализации, МРТ суставов выполняется с инъекцией контраста – «красителя». Процедура называется MР-артрография. Информация, полученная при MР-артрографии суставов, имеет неоценимое значение для врача при планировании лечения или определении типа операции.
⠀
 Преимущества МРТ суставов
⠀
МРТ суставов позволяет подтвердить диагноз почти во всех случаях. В частности, проведение данного диагностического теста дает возможность обнаружить сочетанные повреждения, которые иначе трудно найти. Обращение в клинику «МРТ-Эксперт» – гарантия профессионального проведения МРТ суставов и грамотной расшифровки снимков. Клиника «Эксперт», г. Владикавказ ул. Барбашова, 64А.
Тел.: ☎ 8 (8672) 33-39-33 #клиникавладикавказ #лучшиеврачивладикавказ #врачигрозный #</t>
  </si>
  <si>
    <t>КЛИНИКА ЭКСПЕРТ  - Владикавказ</t>
  </si>
  <si>
    <t>07:35</t>
  </si>
  <si>
    <t>Клиника Эксперт Владикавказ</t>
  </si>
  <si>
    <t>#ข้อควรปฏิบัติก่อนทำPRP Therapy
(Meso Vampire)
#ฟื้นฟูสภาพผิวด้วยเกล็ดเลือดของตัวคุณเอง
ก่อนทำ PRP Therapy
✅  นอนพักผ่อนให้เพียงพออย่างน้อย 8 ชั่วโมง
✅  ห้ามทานยาต้านการอักเสบหรือการแข็งตัวของเลือด
✅  งดอาหารที่มีไขมันสูง
✅ ดื่มน้ำสะอาดมากๆ
✅ งดดื่มเครื่องดื่มแอลกอฮอลล์อย่างน้อย 2-3 วัน
#นารดาคลินิกให้บริการฟื้นฟูสภาพผิว
#กระตุ้นคอลลาเจนจากชั้นใต้ผิว
ด้วยโปรแกรม Meso Vampire
#พร้อมให้คำแนะนำและติดตามผลทุกเคสค่ะ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ข้อควรปฏิบัติก่อนทำ PRP | Narada Podcast
https://www.facebook.com/NaradaTeam/videos/4678452138847813/</t>
  </si>
  <si>
    <t>03:36</t>
  </si>
  <si>
    <t>Анон Посоветуйте,где сделать мрт с сосудами и по цене и по обследованию чтобы нормально было Заранее спасибо</t>
  </si>
  <si>
    <t>В МРТ-эксперт хорошо делают  и в госпитале вов</t>
  </si>
  <si>
    <t>Татьяна Забродина</t>
  </si>
  <si>
    <t>Помоги | Красноярск</t>
  </si>
  <si>
    <t>London Vision Clinic</t>
  </si>
  <si>
    <t>Expert service and exceptional results!
The London Vision Clinic provides both excellent healthcare and excellent customer service. The staff are friendly and really make you feel comfortable - they are happy to answer all your questions about the process, even silly ones! The procedure itself was so easy, quick and painless I can't believe I didn't do it sooner! Huge thanks to Dr Carp for his excellent and personalised care.</t>
  </si>
  <si>
    <t>Rachel</t>
  </si>
  <si>
    <t>uk.trustpilot.com</t>
  </si>
  <si>
    <t>...осталось 3 дня и отпуск и только самые лучшие моменты#сказать, что  я устала ?
Да,но это приятная усталость,когда все сидели на самоизоляции и мечтали о работе ,у нас была одна задача, во что бы то ни стало,работать в режиме многозадачности и помочь каждому.
Эта насыщенность не давала думать о проблемах,которые постоянно показывали в НОВОСТЯХ(а их достаточно было на работе)
Говорят будет вторая волна...но мы всегда готовы @clinic_expert_kursk  с индивидуальным подходом принять всех с заботой о Вашем здоровье .
Поэтому нужно успеть сходить в отпуск #фото #клиника #клиникаэксперт#забота</t>
  </si>
  <si>
    <t>Svetlana</t>
  </si>
  <si>
    <t>21.07.2020</t>
  </si>
  <si>
    <t>МРТ С Гарантией! Мы с радостью ответим на Ваши вопросы. #мрт #петрозаводск #карелия #finland #дети</t>
  </si>
  <si>
    <t>19:18</t>
  </si>
  <si>
    <t>@esharp73 @thatbergguy @GovMikeDeWine no, that's incorrect. here's more info.
https://newsnetwork.mayoclinic.org/discussion/covid-19-mayo-clinic-expert-answers-questions-about-masks-after-cdc-updates-its-recommendation/</t>
  </si>
  <si>
    <t>Jacob Knapp</t>
  </si>
  <si>
    <t>@letskickcarbon @Slumonica @MayoClinicHS That is false information. 
https://newsnetwork.mayoclinic.org/discussion/covid-19-mayo-clinic-expert-answers-questions-about-masks-after-cdc-updates-its-recommendation/</t>
  </si>
  <si>
    <t>Michelle Marie</t>
  </si>
  <si>
    <t>Повышенное внутричерепное давление - что на самом деле означает это понятие? Как внутричерепное давление соотносится с артериальным?
На эти и другие вопросы мы искали ответы с врачом-неврологом «Клиника Эксперт» Тула Рощупкиной Юлией Владимировной: https://www.mrtexpert.ru/articles/656
#ГКЭксперт #мртэксперт #КлиникаЭксперт #КлиникаЭкспертТула #Туланеврология</t>
  </si>
  <si>
    <t>Повышенное внутричерепное давление - что на самом деле означает это понятие? Как внутричерепное давление соотносится с артериальным?
На эти и другие вопросы мы искали ответы с врачом-неврологом «Клиника Эксперт» Тула Рощупкиной Юлией Владимировной: https://www.mrtexpert.ru/articles/656
#ГКЭксперт #мртэксперт #КлиникаЭксперт #КлиникаЭкспертТула #Туланеврология</t>
  </si>
  <si>
    <t>#เซลล์จากเกล็ดเลือดช่วยฟื้นฟูผิวหน้าได้อย่างไร
ในการทำ PRP (PLATELET  RICH  PLASMA) 
ก็คือ การนำเลือดของตัวเองมาปั่น
เพื่อแยกชั้นของพลาสมา(Plasma)
ซึ่งมีลักษณะเป็นสีเหลืองใสออกมา 
.
.
แพทย์จะสกัดเอาเกล็ดเลือดจากชั้นที่มีความเข้มข้นสูงสุด
มาใช้ในการบำบัดและฟื้นฟูสภาพเซลล์ผิว 
เพราะในเกล็ดเลือดชั้นนี้ประกอบด้วยสารต่างๆ
ที่ช่วยในการแข็งตัวของเลือด 
สามารถกระตุ้น Growth Factor 
.
.
มีส่วนช่วยกระตุ้นการสร้างเนื้อเยื่อและคอลลาเจน 
ช่วยฟื้นฟูและซ่อมแซมผิว 
พร้อมทั้งช่วยสมานแผลให้หายเร็วขึ้นด้วย 
.
.
นารดาคลินิก พร้อมให้บริการฟื้นฟูสภาพผิวของคุณ
ด้วยโปรแกรม Meso Vampire 
หรือPRP Therapy นั่นเองค่ะ
#PRPช่วยเรื่องไหนบ้าง
ช่วยฟื้นฟู กระตุ้น ซ่อมแซมเซลล์ผิวที่เสื่อมสภาพ 
ทำให้เกิดการผลัดเซลล์ผิวใหม่  
กระตุ้นการสร้างคอลลาเจน 
ทำให้หน้าดูเปล่งปลั่งสุขภาพดีมากยิ่งขึ้น
ช่วยรักษาสิว ฝ้ากระ จุดด่างดำ รอยดำจากสิว 
ช่วยรักษาหลุมสิว หรือรอยแผลเป็นที่มีขนาดเล็กลง
#ยินดีให้คำปรึกษาและพร้อมติดตามผลทุกเคสนะคะ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#เซลล์จากเกล็ดเลือดช่วยฟื้นฟูผิวหน้าได้อย่างไร
ในการทำ PRP (PLATELET  RICH  PLASMA) 
ก็คือ การนำเลือดของตัวเองมาปั่น
เพื่อแยกชั้นของพลาสมา(Plasma)
ซึ่งมีลักษณะเป็นสีเหลืองใสออกมา 
.
.
แพทย์จะสกัดเอาเกล็ดเลือดจากชั้นที่มีความเข้มข้นสูงสุด
มาใช้ในการบำบัดและฟื้นฟูสภาพเซลล์ผิว 
เพราะในเกล็ดเลือดชั้นนี้ประกอบด้วยสารต่างๆ
ที่ช่วยในการแข็งตัวของเลือด 
สามารถกระตุ้น Growth Factor 
.
.
มีส่วนช่วยกระตุ้นการสร้างเนื้อเยื่อและคอลลาเจน 
ช่วยฟื้นฟูและซ่อมแซมผิว 
พร้อมทั้งช่วยสมานแผลให้หายเร็วขึ้นด้วย 
.
.
นารดาคลินิก พร้อมให้บริการฟื้นฟูสภาพผิวของคุณ
ด้วยโปรแกรม Meso Vampire 
หรือPRP Therapy นั่นเองค่ะ
#PRPช่วยเรื่องไหนบ้าง
ช่วยฟื้นฟู กระตุ้น ซ่อมแซมเซลล์ผิวที่เสื่อมสภาพ 
ทำให้เกิดการผลัดเซลล์ผิวใหม่  
กระตุ้นการสร้างคอลลาเจน 
ทำให้หน้าดูเปล่งปลั่งสุขภาพดีมากยิ่งขึ้น
ช่วยรักษาสิว ฝ้ากระ จุดด่างดำ รอยดำจากสิว 
ช่วยรักษาหลุมสิว หรือรอยแผลเป็นที่มีขนาดเล็กลง
#ยินดีให้คำปรึกษาและพร้อมติดตามผลทุกเคสนะคะ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https://www.facebook.com/NaradaTeam/photos/a.568393426606903/2995041943942027/?type=3</t>
  </si>
  <si>
    <t>Стало труднее просыпаться по утрам и идти на работу? Чувствуете истощение, быстро утомляетесь? Потеряли веру в свои силы? Эти, а также целый ряд других проявлений могут свидетельствовать об эмоциональном выгорании. О том, что это за недуг, читайте в нашей статье: https://www.mrtexpert.ru/articles/899
#ГКЭксперт #КлиникаЭксперт #мртэксперт #эмоциональноевыгорание #занимательнаямедицина</t>
  </si>
  <si>
    <t>Стало труднее просыпаться по утрам и идти на работу? Чувствуете истощение, быстро утомляетесь? Потеряли веру в свои силы? Эти, а также целый ряд других проявлений могут свидетельствовать об эмоциональном выгорании. О том, что это за недуг, читайте в нашей статье: https://www.mrtexpert.ru/articles/899
#ГКЭксперт #КлиникаЭксперт #мртэксперт #эмоциональноевыгорание #занимательнаямедицина</t>
  </si>
  <si>
    <t>«В группе риска люди от 30 до 40 лет»: невролог рассказала о том, как предупредить заболевания мозга</t>
  </si>
  <si>
    <t>К неврологу обращаются люди не только пенсионного возраста   Фото: Тимофей Калмаков   Головной мозг является главным органом центральной нервной системы человека. Именно он руководит работой всех органов, и любой сбой моментально сказывается на жизнедеятельности. Чтобы повысить внимание людей к своему здоровью, Всемирная Федерация неврологии учредила 22 июля Всемирным днём мозга. В честь этой даты невролог клиники «Эксперт» Наталья Богданова рассказала о том, как предупредить болезни головного мозга и когда необходимо обращаться к врачу.
    — Какие сейчас распространены заболевания нервной системы? 
   — Более половины пациентов в моей практике обращаются с болевыми синдромами в области головы, тела или конечностей. Многие приходят с плохим настроением: страхами, повышенной тревогой, нарушением сна.
   —  Кто больше всего подвержен заболеваниям головного мозга? 
   — К неврологу обращаются люди не только пенсионного возраста, но и много молодых офисных работников. Это связано с тем, что большинство людей, которые живут в городе, находятся в условиях постоянного стресса и неблагоприятной экологической обстановки. В моей практике увеличилось количество пациентов трудоспособного возраста 30–40 лет, которые живут в мегаполисах.
   —  Какие симптомы у болезней головного мозга? 
   — Если рассматривать опухоль головного мозга, то симптомом могут служить головные боли. Но им подвержены 99% населения. Обратиться к неврологу стоит, если они изменили свой характер, стали более сильные, нетипичные, не снимаются приёмами обезболивающих препаратов.
   Если рассматривать болезнь Альцгеймера и другие дегенеративные заболевания, то их прежде всего замечают родственники. Так, изменяется психика человека, возможно появление асимметрии лица, частые жалобы на головные боли, головокружения, слабость в конечностях, онемение, потеря сознания.
    — В чем может быть причина заболеваний? 
   — Чаще всего причина болевых синдромов — физические нагрузки. Это могут быть какие-либо эмоциональные перенапряжения, длительная работа в неудобной позе, резкие наклоны, падения. Такие симптомы связаны с болями в позвоночнике.
   Что же касается головных болей, наиболее частый процент происходит из-за напряжения либо перенапряжения мышц головы при чрезмерной работе, когда идет несоблюдение режима труда и отдыха.
    — Головные боли — основная причина обращений к неврологу или есть и другие? 
   — К неврологу следует обратиться при головных болях, головокружениях, когда появилась асимметрия лица, болях в шее, грудной клетке, поясничном отделе позвоночника, обмороках, слабостях и онемениях конечностей. А также когда возникают страхи и тревоги, при нарушении сна.
    — Какие есть способы лечения болезней нервной системы? 
   — Методы лечения у невролога, как и у любого другого врача, медикаментозные (таблетки, уколы) и немедикаментозные (физиотерапия, массаж, ЛФК, иглорефлексотерапия, кинезиотейпирование). Метод лечения выбирается лечащим врачом исходя из поставленного диагноза. Все эти услуги мы предоставляем в клинике «Эксперт».
    — Как записаться к неврологу? Что нужно при себе иметь? Какие анализы предварительно сдать? 
   — Записаться можно по телефону: +7(342) 225-09-40. В клинике «Эксперт», помимо меня, работает еще один специалист — Елена Разумова. Мы всегда готовы вас проконсультировать. Если состояние острое или возникло впервые, дополнительные обследования проводить не нужно. Мы проведем первичную диагностику, соберем анамнез, выслушаем жалобы и после этого сможем назначить минимальный набор исследований, необходимых для правильной постановки диагноза. Если состояние хроническое или возникло обострение, необходимо принести всю информацию по этому заболеванию.
   —  В каких случаях нужно делать МРТ головного мозга? 
   — Прежде всего МРТ делают, когда непонятны причины головных болей или головокружений. Также ее назначат при ухудшении слуха и зрения, если патологии со стороны лора и офтальмолога исключены. Кроме того, МРТ показана при обмороках, эпилептических припадках, травмах головы, инфекциях, инсультах.
   Кстати, сейчас в социальных сетях клиники проходит конкурс, где можно выиграть бесплатное прохождение МРТ головного мозга .
   Также напоминаем, до 31 июля действует специальный летний прайс на МРТ головного мозга или отдела позвоночника (шейного/грудного/поясничного на выбор) — 2400 рублей за один отдел.
    — Что вы можете посоветовать для профилактики заболеваний нервной системы? 
   — Многие проблемы можно предупредить, если относиться к своему здоровью с вниманием, контролировать артериальное давление, уровень сахара и холестерина в крови, регулярно заниматься спортом, соблюдать режим труда и отдыха. Не забывать, что во время работы на компьютере каждый час нужно делать перерыв.
   Федеральная сеть медицинских центров Группы компаний «Эксперт» основана в 2007 году, на данный момент представлена в 37 регионах России: 40 диагностическими центрами, 11 многопрофильными медицинскими центрами. В Перми прием ведут 2 центра: на ул. Подлесной, 6 — МРТ-диагностика, ул. Монастырская, 42а — диагностический центр (МРТ, КТ, маммография с томосинтезом, рентген), поликлиника — 30 медицинских направлений, эндоскопия, УЗИ, анализы.
   Клиника «Эксперт»,  
 +7(342) 225-09-40;  
 Mrtexpert   .   ru ; 
  Vk.com/clinic_expert_perm ; 
  Instagram.com/clinic_expert_perm   .</t>
  </si>
  <si>
    <t>59.ru</t>
  </si>
  <si>
    <t>День начался с приятностей
Ещё один отзыв от наших партнёров.
Спасибо @clinic_expert_rnd за оказанное доверие и добрые слова!!!
#перевозчик161 #такелаж #такелажныеработы #такелажники #такелажростов #перевозкаоборудования #погрузоразгрузочныеработы #перевозчик161_такелажныеработы #перевозчик161_отзывы</t>
  </si>
  <si>
    <t>Перевозчик 161</t>
  </si>
  <si>
    <t>Подскажите,пожалуйста,классного платного гинеколога в Курске . Заранее спасибо . Анонимно</t>
  </si>
  <si>
    <t>Рыбкина Т. Н. - МРТ эксперт на К. Либкнехта</t>
  </si>
  <si>
    <t>Nadya Kuznetsova</t>
  </si>
  <si>
    <t>Валентина Дегтярева</t>
  </si>
  <si>
    <t>Многие из Вас уже записаны на процедуру лазерной эпиляции, а многие  только собираются
Поэтому считаю необходимостью разместить у себя ИНФОРМАЦИЮ ПО ПОДГОТОВКЕ К ПРОЦЕДУРЕ ЛАЗЕРНОЙ ЭПИЛЯЦИИ:
В день процедуры очищаем кожу обрабатываемого участка от кремов, масел, не наносим дезодоранты и косметику
За день до эпиляции сбриваем волосы в выбранной зоне (на лице можно подстричь маникюрными ножницами или воспользоваться триммером)
За 3 дня исключаем посещение бани, бассейна и сауны
За 1 неделю исключаем скрабирование, не проводим агрессивные пилинги в выбранной зоне эпиляции
За 14 дней не принимаем антибиотики тетрациклиновой группы
За 2 недели исключить активное солнце (солярий и тд) и не наносить автозагар
За 4 недели исключить любые способы удаления волос (воск, шугаринг, депиляция). Предпочтительно использование только бритвы или крема для депиляции
За месяц до проведения процедуры лазерной эпиляции на лице исключаем любые виды инъекционных методик 
Предварительная запись на процедуру по тел. @clinic_expert_kursk 40-01-71 #косметологкурск #косметологиякурск #косметологвкурске #эпиляциякурск #лазернаяэпиляциякурск #лазеркурск</t>
  </si>
  <si>
    <t>09:29</t>
  </si>
  <si>
    <t>How far back can the anti body test go back   
I was really sick in January with all the symptoms of COVID-19  but never been tested at that time 
I did the anti body test in may but it was negative.  
Please advise</t>
  </si>
  <si>
    <t>Freepalestine Gimzo 1948</t>
  </si>
  <si>
    <t>punish the tax cattle steel what little wealth they have left there will be little resistance when the next phase of thinning the herd begins. allready lost my step mom and father in-law not from covid. wake the F up!</t>
  </si>
  <si>
    <t>elmcchino</t>
  </si>
  <si>
    <t>08:17</t>
  </si>
  <si>
    <t>mind control BS wake up this makes body snatchers look like disney movie</t>
  </si>
  <si>
    <t>"ผมไว้ใจให้นารดาคลินิก
ดูแลปัญหาผิวหน้า และปรับลุ๊คใหม่
ให้ดูดีขึ้นครับ"
                   (คุณนัท)
.
.
‍⚕️ รักษาผิวหน้าด้วยโปรแกรมรักษาสิว
แบบบูรณาการ Acne Sure
.
.
‍⚕️ เสริมจมูก
ด้วยเทคนิคการเสริมจมูกเฉพาะตัว..
 เปิดจมูกแบบ Semi Open
 ใส่ซิลิโคน เกรดพรีเมี่ยม USA
 ดึงปลายขึ้น แล้วเย็บปลายให้เชิดสูง
 ตะไบกระดูดฮั้มที่สูงๆลงมา ทำให้หน้ามีมิติ
‍⚕️ แก้ปัญหาชั้นตาไม่เท่ากัน
โดย...
 ใช้ชั้นตาเดิม แต่ตัดหนังและไขมันส่วนเกินออก
 ชั้นตาดูเป็นธรรมชาติ และชัดขึ้น
=====================================
Narada Clinic : Expert Beauty Center
นารดาคลินิก ศูนย์ความเป็นเลิศด้านความงามภาคเหนือ
Call center : 053-215447
Line: @naradaclinic(อย่าลืมใส่@ด้วยนะคะ)
Website: www.naradaclinic. com
IG:naradaclinic
Youtube:Narada clinic Channel
"ผมไว้ใจให้นารดาคลินิก
ดูแลปัญหาผิวหน้า และปรับลุ๊คใหม่
ให้ดูดีขึ้นครับ"
                   (คุณนัท)
.
.
‍⚕️ รักษาผิวหน้าด้วยโปรแกรมรักษาสิว
แบบบูรณาการ Acne Sure
.
.
‍⚕️ เสริมจมูก
ด้วยเทคนิคการเสริมจมูกเฉพาะตัว..
 เปิดจมูกแบบ Semi Open
 ใส่ซิลิโคน เกรดพรีเมี่ยม USA
 ดึงปลายขึ้น แล้วเย็บปลายให้เชิดสูง
 ตะไบกระดูดฮั้มที่สูงๆลงมา ทำให้หน้ามีมิติ
‍⚕️ แก้ปัญหาชั้นตาไม่เท่ากัน
โดย...
 ใช้ชั้นตาเดิม แต่ตัดหนังและไขมันส่วนเกินออก
 ชั้นตาดูเป็นธรรมชาติ และชัดขึ้น
=====================================
Narada Clinic : Expert Beauty Center
นารดาคลินิก ศูนย์ความเป็นเลิศด้านความงามภาคเหนือ
Call center : 053-215447
Line: @naradaclinic(อย่าลืมใส่@ด้วยนะคะ)
Website: www.naradaclinic. com
IG:naradaclinic
Youtube:Narada clinic Channel
https://www.facebook.com/NaradaTeam/photos/a.568393426606903/2995024773943744/?type=3</t>
  </si>
  <si>
    <t>20.07.2020</t>
  </si>
  <si>
    <t>22:51</t>
  </si>
  <si>
    <t>Alexei Ivigin</t>
  </si>
  <si>
    <t>22:45</t>
  </si>
  <si>
    <t>Clinicexpert</t>
  </si>
  <si>
    <t>1,5 yıl önce kuzenimle beraber sac ekimi için Clinic Expert saç ekim merkezine gittik saçımızı kontrol ettiler bize saç ekiminden sonra saclarınız çok sık olacak ve fön cekebileceksiniz dendi hatta bana 2 seans saç ekimi uygulanırsa daha sık saçların olacağını söylediler ve 5500 kök saç ekimi uygulandı ve bana saçların tam çıkması icin 1 sene beklemem gerektigi söylendi 1 sene sonra saçlarımda dedikleri gibi sıklık olmadı ve gittim prp yapılması gerektigi söylendi 4 seans prp yapıldı suan saç ektireli 1,5 yıl oldu benim ve kuzenimin saçları ekilen bölgeler hala çok seyrek bize söylenildigi gibi olmadı ve hic memnun degiliz kesinlikle tavsiye etmiyorum.</t>
  </si>
  <si>
    <t>yunus emre Oymak</t>
  </si>
  <si>
    <t>Турция</t>
  </si>
  <si>
    <t>Стамбул</t>
  </si>
  <si>
    <t>Фатих</t>
  </si>
  <si>
    <t>22:28</t>
  </si>
  <si>
    <t>Анонимно.подскажите пожалуйста.где в орле делают МРТ головного мозга и по цене как?</t>
  </si>
  <si>
    <t>МРТ эксперт возле ЖД больницы</t>
  </si>
  <si>
    <t>Екатерина Ветрова</t>
  </si>
  <si>
    <t>Орёл</t>
  </si>
  <si>
    <t>A behavioral reminder that there is a pandemic and ONLY THE VACCINE WILL SAVE YOU.</t>
  </si>
  <si>
    <t>Nathaniel Doromal</t>
  </si>
  <si>
    <t>Подскажите, в каком из МЦ сделать МРТ сосудов головного мозга?</t>
  </si>
  <si>
    <t>МРТ-ЭКСПЕРТ можно сделать со скидкой 500р. Грамотное описание.</t>
  </si>
  <si>
    <t>Виктория Колесниченко</t>
  </si>
  <si>
    <t>18:49</t>
  </si>
  <si>
    <t>Можно анонимно. Подскажите, пожалуйста, где лучше сделать МРТ позвоночника (всех отделов). И желательно в этом же центре</t>
  </si>
  <si>
    <t>МРТ-ЭКСПЕРТ, весь позвоночник 5900р. Там же приём невролога Котляр Лев Борисович по средам и субботам.</t>
  </si>
  <si>
    <t>बिना किसी एक्सर्साइज़ के अपना वजन कम करें ।।
Follow Diet clinic expert team और सबसे अच्छा Diet plan प्राप्त करें !
संपर्क करें-8010888222
www.dietclinic.in
Monday morning motivation, your hardwork does get visible but , persistency is the key . Varinderjit our client from Canada , has been taking diet from us since few months and has lost 18 Kgs with us which is amazing. #lifestyle#weightlossjourney  Call us at 8010888222 #diet 
#Healthydiet #weightloss #healthiswealth #healthyfood  #instadietician #dietician #life #challenge #dietclinic #lifestyle #healthylifestyle  #instadiet #fitdiet #dietfoods #healthyactivelifestyle #healtylifestyle  #lifestylebrand #juicediet #diet #coachinglifestyle #notadiet #flexiblediet #sustainablelifestyle
बिना किसी एक्सर्साइज़ के अपना वजन कम करें ।।
Follow Diet clinic expert team और सबसे अच्छा Diet plan प्राप्त करें !
संपर्क करें-8010888222
www.dietclinic.in
Monday morning motivation, your hardwork does get visible but , persistency is the key . Varinderjit our client from Canada , has been taking diet from us since few months and has lost 18 Kgs with us which is amazing. #lifestyle#weightlossjourney  Call us at 8010888222 #diet 
#Healthydiet #weightloss #healthiswealth #healthyfood  #instadietician #dietician #life #challenge #dietclinic #lifestyle #healthylifestyle  #instadiet #fitdiet #dietfoods #healthyactivelifestyle #healtylifestyle  #lifestylebrand #juicediet #diet #coachinglifestyle #notadiet #flexiblediet #sustainablelifestyle
https://www.facebook.com/DieticianSheelaSeharawat/photos/a.374375479349174/3080509902069038/?type=3</t>
  </si>
  <si>
    <t>Dietician Sheela Seharawat</t>
  </si>
  <si>
    <t>Харьяна</t>
  </si>
  <si>
    <t>गुरुग्राम</t>
  </si>
  <si>
    <t>18:03</t>
  </si>
  <si>
    <t>Покупки в магазине Твое/Обзор ЖК "Лето" и прилегающей территории/Впервые смотрим земельные участки</t>
  </si>
  <si>
    <t>ребята всем привет мы что у нас новый день сегодня виталя выходной но он сегодня с нами не едет мы сейчас поедем с бабушкой в магазин твое она хотела бы там купить себе футболки однотонные и посмотрим что она там себя выберет и потом поедем на рынок на рынке хотели бы взять щавеля чтобы сварить борщ и так что вот такие на сегодня планы на день мы приедем и потом с виталий поедем делать осмотр территории возле же калета который строится на улице автомобильной в общем у нас такие планы ребят сегодня очень тепло сегодня 27 градусов на улице ну вы раздайте вообще прям чувствуется что выходной день и все рванули на море те рванули куда данных шальную еще мы едем сейчас в магазин твою который находится в меге там вроде бы он самый и побольше там еще есть в эпицентре возле рынка на там он поменьше вот это которые возле который которых мегион побольше и выбор побольше посмотрим так что так вот он короче поедем с вами на рынок на рынок такси кстати тоже вызываешь и ждешь 8-10 минут ну то есть быстрая быстрых машин прим нет даже вызвало с третьего раза он там писал нет свободных машин думаю что происходит как нет дождем здесь не он сейчас приедет вам надо с до размер s вот это да вот выбирайте цвета с есть с есть вот в бордо черно не вот в бордо есть с вот это а тут уже это тоже с к для вот такая . нужно другого качества это ведь и как резина не читая качество это как вот такое можно разные взять померить это круглое блюдо круглое а это вот тут-то можно купить давайте померить и так вот возьмем теперь вот есть тебя синяя такого тёмно-синяя съемная сеть скрывает ну давали какую-то майли намерен так чё ещё есть посмотрим то вниз бабушка пошла мире футболки часы нам покажется взять закусить одно хорошо светлым как и булочки выкройку решили взять три футболки бордо розовая и синяя такие однотонные покажу вам дома уже бабушка мне говорить надо полагать померяю так у класса по мере по мере может быть эту знаете так просто во дворе ходить-то пройтись летом вкусно сейчас по мере ребят ну вот не знаю но такое знаете как бы я думаю может вот эту дату штуку снять на повседнев ходить там там магазин там знать это так то так это масло во плоти так не ношу конечно так можно до думаю в магазин и к этому меня конечно то что то смущает эта штука да короче наверное возьми возьму и не так буду гонять нравится что и не оттягивайте как-то так нормально флорида твою ну мне нравится если белый воротник сделать будет хорошо бы так платьев приличная конечно очень приличная если сюда белгородскую ну давайте принесут размер побольше немножко а ну давайте вот я щас вам за не сучка зайцев пакете на и принесу вам на размерчик побольше а вы стойте [музыка] же пойдет [музыка] океанским это мы сейчас возле торгово-развлекательного центра эпицентр [музыка] и вот уже с мясом справа будет рыться хорошо пою рамки я [музыка] вот 13 какие дэш посмотри вот бабушка если такие колготки взяла по 99 рублей видишь 99 рублей то шапку взяла тоже на подарок 2 2 пары колгот так вот это это платье короче это платье такое на бегать в этот спортзал такое знаешь вот футболочка такие вот такие шортики она по мере мир стала домашней такой наряд вы же дома ходить свеженькое она день ну а день мы посмотрим ну хорош хорошая больше не надо было футболочку это элька шутере в плечах живешь поправился она слушай поправился это ель купе я взяла слушай астаны до что что отличненько дома ходить что дома ходить вообще отличненько но вы все теперь ходить свеженькая нужно было друзья ну что мы свято ли отправляешься затем ждите налево отправляемся вам показать же калета которая строится на улице автомобильной и тот же к должен сдаться в 2022 году но мы посмотрим что там уже построили и посмотрим рядышком вообще район инфраструктуру что там есть в общем все он покажем от нас ехать сколько 10 километров это получается мой район московский московский район ребят вот сейчас мы едем по улице баш каждый через 300 метров мы повернем направо на улицу автомобильную вот это джеко летом как раз должен быть автомобилей устроиться и здесь вы видите вот такой райончик здесь малоэтажные дома эту сторону до трех этажный старый тамада чеботарь подождите контракт все равно 1000 с вами поворачиваем на улицу автомобильную вот впереди mk5 видим там уже застройку вы со тогда вот домов в общем тогда мы осталось уже 400 метров буквально и мы доедем до нашего места назначения через сверните налево гостей за даже не летнее кафе устроили нас да ты тоже вот даже по акацуки раз когда они тут не облагородить песок во рту да кстати бордюра книг не стоит поверните направо так жутко затем поверните налево при допеть заправка и мы решили то рвануться у виктории потому что же коле то скорее всего это вот тут мы видим его где-то зубик раны да она где-то за виктории так что мы сейчас здесь парка немца сегодня выходной да и пойдем короче исследовать территорию что он покажем ребят но вот мы вышли рядом с виктории много здесь тоже магазинчика всяких разных фейерверк табаско это кафе данная на табаско для деток да ребят смотрите вот даже есть сразу billboard квартиры от застройщика жилой комплекс лето не за горами и телефон три семерки 150 и вот так он выглядит будет да будет выглядеть когда построится вам видно очень томаты по 79 виктории пойдемте посмотрим прилегающую территорию что здесь вообще есть напротив видеть мы тоже уже построенные дома для тебя не взяли с собой за грудь грубость или да там как-то каким-то образом нужно стать не пройдем сразу за викторию забор хотя бы вам сейчас покажем да по заглядываем через забор я обычно камеру всегда просуну раз там посмотришь той и давайте я вам все покажу из керамического кирпича монолитный керамический кирпич это наверное сейчас тут виктории до территория и следующий забор мы сейчас обойдём может это они же должна быть такая штука где что они строят сейчас мы обойдем вам покажем так ребят но что по стоимости что по стоимости по стоимость 1 комнатная квартира в этом же к 36 квадратов будет стоить от двух миллионов 74 тысячи рублей двухкомнатная от двух миллионов восемьсот это 2 комплекс эти от 49 квадратов небольшие и трехкомнатная от 80 одного квадрата 4 миллиона 200 тысяч рублей принципе чудом да сразу магазин большой все вышел стеной да тут такая площадочка много магазинчиков там всяких разных мойка сразу все что нужно на заправочку здесь есть дозаправка ну да рядом не знают что от города нара стой стороны db-1 попробуем каким-то невероятным образом это все обойти они ну вот тут тоже не войду там тоже забор пойдем заглянем это мне кажется тоже забудут автомойка и он сразу там заправка виднеется такие тут домики все мы еще с вами ребята викторию зайдем посмотрим что в этой виктории ногти насколько она большая ничтожно разные white моллюски а бывает прям здоровые пойдем ты обойдем потому что в любом случае есть какое-то начало начало этой стройки не только до рядовой сейчас мы тут все это рядышком с этим же к находится который вы увидите еще много до построенных домов много всяких здесь вам пивных магазинчиков дальше куча здесь маленьких магазинов если честно пятна такой район не вторую сам нефть интересно там вот уже не понять тоже забор да ребят на заборах понаставили то школа друзья так вот уж и рядышком сразу и магазин семья как хорошо что мы сюда прошлись прыгать справа еще одна автомойка вообще только в том мальчик начало их аптека все как положено удивительно да и семья рядом такая большая причем не маленькая и большая большая виктория еще как тебе райончик использую обычный спальный район до печёнкин там сидят продают уже [музыка] почему кабачком только бачок продает ребят ну вот смотрите надувные о росте orchid это вкусно этих двух вкусная шаурма шаверма конёк бекер да есть пожалуйста ну так они тут что к такой зелень даже меньше нормально рубрика для малых ребят ну вот мы попадаем на озеро летние дедушка будут все мы сейчас обойдём с этой стороны вообще про дразнилок новых будут к озеру заполучить но некоторых не во всех да вообще да ребята вера летние смотрите какие хорошо как немножечко вокруг возле озера пройдет сегодня отличная погода поэтому если вышли погулять утюг руку и хорошим культовой сервером красавчик просто у ребят на замечательное место для прогулок посмотрите какие то же деревья в только зелень и овощи много и вот вообще только потому что будет усиленно да да и вот все гуляют есть лавочке такая прям возле по возле этого как он называть озеро такая территория облагорожена озеро больше до озера очень большой ну не знаю мне конечно получить да вот уже к ребят если будете брать вот в этом доме минуту возможно окна будут выходить вообще прекрасный вида и вы видите как тут зелено и ну как вот хорошая дорога до бетонная все аккуратненько на передать ему домом уже вряд ли что-то построив потому что здесь выпадет знаете что здесь же не бегать можно смотреть его он площадкам почва торт площадка для грузчиков до горки я хочу сказать это конечно минус но не сильно близко ну да мы же там сейчас пройдем тоже сможем как-то пройти немножко неплохо друзья но вот вот же к там вдалеке там все короче малые курят стоят и вот у нас получается мостик какая-то речка но запаха нет груди милую не вонючка просто здесь за это какая-то речка очевидно потом местные жители будут ходить к этому озеру здесь прогуливаться и вот смотрите там тоже же какая-то а для собак внутри тем сухов ну да похоже такая территория на свобод у ребят но неплохо да скажите неплохо труди ехали как-то мне не очень нравилась мы когда приехали я думаю ну как то вот знаете зелени нет стоит эти домики как-то вот непонятно вообще какие-то магазины как то как то странно все выглядело сейчас приехали когда вот прошлись немножко я скажу что принципе нормальный нормальный нормальный нормальный район ты вышел из дома реально дай и все это большой гуляла вот нужно собаками погуляла тренировать их кстати там сути тренажер сам вышел прогулялся до все как бы чисто аккуратно и но не маленькое то все больших размеров да и везде можно хорошенько хорошенько пройтись витязь и гулять ну какая красота ой там даже смотрите ступенечки есть там дальше можно зависнуть посиди чьих на буду куда да я вам скажу вообще прекрасно ничуть не чуть не хуже чем кубка мы уже видно да это тепло велосипедные тот отдельно отдельно пешеходная но как бы знаете ребят в общем за такие деньги да но одна комната на 2 миллиона это в принципе в принципе как и не знаю обычно джека который там везде да такие вот которые не ну если здесь работать в этом районе я очень рада кстати что мы сюда приехали и посмотрели именно этот район вокруг потому что да вот друзья центральная поликлиника здесь пожалуйста тогда все вот это здание до да ребят вот странная кличка больница прямо рядышком пожалуйста очень удобно мрт эксперт здесь же вообще прекрасно то есть наверное тут их в этом будешь доме жить бланк раны вы видите стоят да и вот пожалуйста уже больница тоже тихо в принципе если кому то откуда мы ехали там еще такое какое-то движение надо учесть что сегодня в субботу да да да да погода хорошая все рванули на море но здесь спокойней ну если бы мы здесь жили мы вы точно ходили гулять к этому озеру и то что рядом и семья и виктория большая огромный плюс правда же неплохо что свяжу 0 до оригинально недавно сделали ремонте все аккуратненько туалет должны пока закрыть их там любить не театр поживите все аккуратно можно здесь сидеть через и наволочки привет весь вид вон у кого-то на верхних этажах окрас будет открываться такой прелестный вид на озеро и на кинотеатре на парк да можно будет посмотрим да друзья могут мы пошли в общем там вокруг прилегающую территорию строящегося жака и мы на удивление кстати вообще прям приятно были удивлены на самом деле потому что я чет ожидала похоже увидите честно скажу так вообще хорошо сейчас с вами зайдем еще викторию посмотрим вообще насколько большая эта виктория ну и вы видите то есть получается что вот это да вот этот дом на обочине большой дом он будет полностью выходить на озеро летние то есть если в нем покупать квартиру то круто пойдемте посмотрим викторию как раз мы там чуть-чуть затаримся себе продуктами и посмотрим что здесь магазинчики есть друзья магазин тупо просто здесь есть сухофруктов чем может быть совет баночка возьми нам ли мальчик наверно нужно черешня кстати 219 здесь неплохая что-нибудь магазин что-нибудь покушать до [музыка] барни по 49 войдем в армии по 39 маленькие по 39 ага [музыка] ну [музыка] нам ребят нужно лимончики подули мальчика возьму это будет отдала такой была чем мы разве приберись но ведь и даже какие-то пончики есть пончики режимов 20 лет рублей буквально думаю шоколадку не хочу на какой-то зефирчик вкусненький возьму я думаю может взять шарм эль шарм или сто процентов будет вкусный самый конечно вкусный шаурмой шоколаде но 249 рублей любят это очень дорого тут войну по формуле возьмем диппер чеканка не будет такой сладкий и он со скидкой по 88 рублей о нашем магазине продуктовый и научил поручил нормальный магазин есть под домом вообще прекрасно пишите ребят в комментариях как вам этот райончик повёл себя не понравился как ваше вообще впечатления кто может быть более знающие может быть знать чего тут еще тонкие подробности подробности да что там может быть тут не так нам пока все видится вообще в таких templar мой нормальных красках ребята вообще хорошо друзья пока мира заняться наведением красоты мы решили прокатиться в поселок орловка в общем я просто рандомно выбрал этот поселок посмотреть хочется сам поселок и земельные участки о чем и как вообще дорога туда и думаю пора изучать уже окрестности как бы уже определяться какому-то варианту подходить общем что то решать жильем да с какими-то планами в общем надо исследовать местность в общем я еду вы со мной друзья только мы проехали вот леруа мерлен да вот буквально год поворот вот уже орловка я думал это подальше конечно находится но рядышком это орловка вот все уже указатель орловка это даже не знаю что это за замок тут такой кафешка не намекает вот много много продается всего так ну подожди дают прокатимся посмотрим что это такое так друзья но вот мы приехали в поселок дорожно это улица лесная я понимаю она наверное центральная здесь асфальт зелено в принципе неплохо неплохие домики вокруг цветочки но все ухоженно я сейчас попробую найти но примерно место где продается участок посмотреть что вокруг здесь везде асфальт везде асфальт везде бы нормально не колхоз там крыша виднеется неплохие дома большие вот тут много объявлений магазин продукты участке продают так мне поселочек понравился люди строятся потихоньку вот тоже дома продают вообще многое здесь продают и много строят хорошие домики асфальт и недалеко от калининграда так сейчас нам нужно проехать ж-д и повернуть налево и и я включить вам покажу хотя бы примерно в общем друзья по ценам я не сказал по ценам в поселке дорожные цены так скажем очень разнятся есть участки из за миллион и больше я нашел место но тоже там агентство насколько я понял это чистое поле но это планируется то есть там уже размежевание прошло свет есть но планируется у дорог нет еще в общем такой чисто поле там от 22000 сотках но надо понимать что 22000 сейчас это чистое поле но так принципе поселок мне кажется довольно таки неплохой и место мне понравилось недалеко от калининграда не знаю первый поселок в которые мы поехали нормально не понравится я думаю может я ещё поговорю там с какими люди риэлторами может мы с риелтором проедемся он покажет тому что умах координат туда добавив с вами съездим посмотрим что же сферой поэтому тут дорожка такая вот не очень удобен и хорошие выезжаем на центральный улица лесная асфальт хорошим не знаю когда сделали но неплохой тут тихо прям вообще тихо нравится тихо хорошо домики здесь неплохие строят из прям вообще огромные просто пособники на двух хозяев много домов вот они построены и видно что там не живут может на продажу строит я не знаю вот елок столько тротуары есть школы школы здесь нет школа в орловке насколько я понимаю объявление здесь школы нет и вот я выехал из дорожного и повернул не сторону калининграда в обратную еще один поселок медведка буквально тут проехал 500 метров тоже кто-то из бревна строится отличная дорога то на его еще немецкое потому что деревья вдоль дороги ребята вот доехали мы до малиновки я свернул с главной дороги в общем то посмотрел по карте жирненькую и свернул это малиновка это мы уже доехали я думаю дальше я уже не поеду этому тогда море доедем вот у них тут есть мини-маркет какой то матросов ска и лесничество здесь асфальт но он похуже тоже много домиков так сотовая связь тут есть кто-то вход сделал такой прикольный знаю так а высокоскоростной интернет тут есть да вижу оптика проходит так сейчас проедусь посмотрю интересна та же линия высоковольтная проходит прямо через поселок кого-то солнечные панели есть непонятно это асфальт или не асфальт это элита крошка асфальтная так и дальше там лес уже давайте сюда повернем да дальше уже лес повернем здесь проедемся чуть-чуть ямки тут по засыпали в принципе нормальная грунтовая дорога тоже неплохие домики можете покажите посмотрите может ли raw стоит вам кусочек карты так это улица тупиковая за их давайте уже доедем до тупика до ореховая 6 сейчас посмотрим обычный поселок обычным поселок обычные домики все в розочках очень зелено кто-то строится неплохие домики улица ореховая [музыка] тихо тихо и гласности лично кому что это твои дела или не выделяет не выйдем то всегда тупиковая улица может там дальше конечно есть но я думаю лучше развернуться то есть вот смотрите вот калининград вот уже зеленоградск и мы где-то посрединке между зеленоградском и калининградом чему так получается малиновка вот дорожно где мы были вот медведка а вот орловка воровки самые дорогие участке получаются мы поедем уже поедем назад думаю на сегодня хватит может лера уже там закончила в общем так в эту сторону я хотел прокатиться потому что новую то в сторону моря и можно если хочешь на море а то можно в пробках не стоять до в калининграде а сразу выскочить на море можно съездить еще туда московский район посмотреть там поселке этом луговой окажется что такое что за то малое луговое или большой луговой что-то про луговое можно там посмотреть еще ну так для разнообразия я думаю периодически на выходных буду выезжать и смотреть вот что как будем прицеливаться с вами смотреть о чем земля как как вообще что где как но с этих поселков придется ездить в магазин конечно в калининград то есть покупать в больших объемах продукты до если ты каждый день ездишь калининград на работу друзья она все же вечер мы решили свято ли пройдите в общем уже поняли что мы хотели бы себе купить землю то и начать строительство ну это первая была вылазка виталина сегодня но мы еще как бы на этом не остановимся и уже теперь более серьезно к этому вопросу подойдем и будем изучать можно поюзать посмотри чтобы было с чем сравнить да-да-да картину нарисовала дамы чита решили остановиться вот пока на строительстве небольшого домика но те узнаете все будет на канале все впереди так что вот друзья ну что будем заканчивать это видео я думаю как всегда вам она понравилась была насыщенная и и дальше будем для вас стараться снимать нашу жизнь посмотрим что у нас калининграде как будет обустроимся калининграде дальше ну вы все уже увидите тебя спасибо кто поддерживать нас огромнейшее вам спасибо видишь на следующих видео давайте пока пока пока</t>
  </si>
  <si>
    <t>Валерия VlogLife</t>
  </si>
  <si>
    <t>17:48</t>
  </si>
  <si>
    <t>Tenax Therapeutics Expands Board of Directors with the Appointment of Two New Directors, Steven Boyd and Keith Maher, MD</t>
  </si>
  <si>
    <t>MORRISVILLE, N.C.–(BUSINESS WIRE)–Tenax Therapeutics, Inc. (Nasdaq: TENX), a specialty pharmaceutical company focused on identifying, developing
and commercializing products that address cardiovascular and pulmonary diseases with high unmet medical need, today announced the expansion of its Board of Directors with the appointment of Steven Boyd and Keith Maher, M.D. Both Directors are from Armistice Capital, LLC, which recently purchased the Company's equity securities for aggregate gross proceeds of approximately $8.0 million in a registered direct offering and concurrent private placement.
 Anthony DiTonno, Chief Executive Officer of Tenax Therapeutics remarked, “We are pleased to welcome Steven and Keith to our Board. Steve has an outstanding reputation as a healthcare investor and brings a wealth of experience advising and investing in specialty pharmaceutical companies like Tenax. We believe his experience and insights will serve the Company well as we continue to build upon our recently reported positive Phase 2 results for levosimendan for the treatment of patients with pulmonary hypertension and heart failure with preserved ejection fraction (PH-HFpEF). We also believe Keith's background will be invaluable to Tenax as the Company engages with the FDA and finalizes its Phase 3 program for levosimendan in PH-HFpEF patients. We look forward to working with Steve and Keith as our newest Board members as we seek to grow our product portfolio and expand the Company's development and commercial capabilities.”
 Mr. Boyd stated, “I am honored to join the Board of Directors of Tenax. Levosimendan represents a pipeline within a product and we look forward to working with Ron and Tony to expeditiously realize its tremendous value for patients and shareholders.”
 Mr. (Read more…) Boyd has served since 2012 as the chief investment officer of Armistice Capital, LLC (“Armistice”), a long-short equity hedge fund focused on the health care and consumer sectors. From 2005 to 2012, Mr. Boyd was a research analyst at Senator Investment Group, York Capital and SAB Capital Management, where he focused on health care. Mr. Boyd began his career as an analyst at McKinsey &amp; Company. Mr. Boyd currently serves as a member of the boards of directors of Tetraphase Pharmaceuticals Inc., Aytu BioScience, Inc., Cerecor Inc., EyeGate Pharmaceuticals, Inc. and Vaxart, Inc. Mr. Boyd received a B.S. in economics and a B.A. in political science from The Wharton School of the University of Pennsylvania.
 Dr. Maher has served as a managing director at Armistice since 2019. From 2007 to 2018, Dr. Maher held senior roles at Schroder Investment Management, Omega Advisors and Gracie Capital. Dr. Maher joined Gracie from Valesco Healthcare Partners, a global healthcare fund he founded in partnership with Paramount Bio Capital. Prior to starting Valesco, Dr. Maher was a managing director at Weiss, Peck &amp; Greer Investments (“WPG”). He joined WPG from Lehman Brothers, where he worked as an equity research analyst covering medical device and technology companies. Dr. Maher currently serves on the boards of directors of Tetraphase Pharmaceuticals Inc., EyeGate Pharmaceuticals, Inc. and Vaxart, Inc. Dr. Maher received a B.A. in biology from Boston University, an M.B.A. from Northwestern University's Kellogg Graduate School of Management and an M.D. from Albany Medical College. Dr. Maher completed his clinical training at the Mount Sinai Medical Center in the Department of Medicine.
 About Tenax Therapeutics Tenax Therapeutics, Inc., is a specialty pharmaceutical company focused on identifying, developing, and commercializing products that address cardiovascular and pulmonary diseases with high unmet medical need. The Company has a world-class scientific advisory team including recognized global experts in pulmonary hypertension. The Company owns North American rights to develop and commercialize levosimendan and has reported positive results from its Phase 2 clinical trial for the use of levosimendan in the treatment of Pulmonary Hypertension associated with Heart Failure and preserved Ejection Fraction (PH-HFpEF). For more information, visit www.tenaxthera.com
 About Levosimendan Levosimendan is a calcium sensitizer that works through a unique triple mechanism of action. It initially was developed for intravenous use in hospitalized patients with acutely decompensated heart failure. It was discovered and developed by Orion Pharma, Orion Corporation of Espoo Finland, and is currently approved in over 60 countries for this indication and not available in the United States. Tenax Therapeutics acquired North American rights to develop and commercialize levosimendan from Phyxius Pharma, Inc.
 Caution Regarding Forward-Looking Statements This news release contains certain forward-looking statements by the Company that involve risks and uncertainties and reflect the Company's judgment as of the date of this release. The forward-looking statements are subject to a number of risks and uncertainties, including, but not limited to matters beyond the Company's control that could lead to delays in the clinical study, new product introductions and customer acceptance of these new products; matters beyond the Company's control that could impact the Company's continued compliance with Nasdaq listing requirements; the impact of management changes on the Company's business and unanticipated charges, costs and expenditures not currently contemplated that may occur as a result of management changes; and other risks and uncertainties as described in the Company's filings with the Securities and Exchange Commission, including in its annual report on Form 10-K filed on March 30, 2020, and its quarterly report of Form 10-Q filed on May 15, 2020, as well as its other filings with the SEC. The Company disclaims any intent or obligation to update these forward-looking statements beyond the date of this release. Statements in this press release regarding management's future expectations, beliefs, goals, plans or prospects constitute forward-looking statements within the meaning of the Private Securities Litigation Reform Act of 1995.
 Contacts
 Investor Contact:
 ICR
 Stephanie Carrington, 646-277-1282
 Stephanie.carrington@icrinc.com
 Share this:
 Click to share on Twitter (Opens in new window)
 Click to share on Facebook (Opens in new window)
 Click to email this to a friend (Opens in new window)
 Click to share on LinkedIn (Opens in new window)
 Related
 Tenax Announces the Addition of Mayo Clinic Expert, Dr. Barry Borlaug, to Scientific Advisory Board
 MORRISVILLE, N.C.--(BUSINESS WIRE)--Tenax Therapeutics, Inc. (Nasdaq: TENX), a specialty pharmaceutical company focused on identifying, developing and commercializing products that address cardiovascular and pulmonary diseases with high unmet medical need, today announced that Dr. Barry Borlaug, Chair for Research, Division of Circulatory Failure, Department of Cardiovascular Medicine at the Mayo Clinic…
 February 21, 2020
 In "news"
 Tenax Therapeutics Provides Update on Phase 2 Pulmonary Hypertension Clinical Trial
 15 patients have been randomized 83% initial response rate to qualify for randomization Pulmonary capillary wedge pressure (PCWP) was reduced , on average, by 8 mmHg during exercise following the initial levosimendan infusion No serious drug-related adverse events have been reported to date MORRISVILLE, N.C.--(BUSINESS WIRE)--Tenax Therapeutics, Inc. (Nasdaq: TENX),…
 October 31, 2019
 In "news"
 Tenax Therapeutics Announces $8.0 Million Registered Direct and PIPE Offerings Priced At-the-Market Under Nasdaq Rules
 Tenax Therapeutics in $8 million registered direct and pipe offerings priced at the market under Nasdaq rules
 July 7, 2020
 In "news"</t>
  </si>
  <si>
    <t>ThemeGrill</t>
  </si>
  <si>
    <t>pharmaceuticaldaily.com</t>
  </si>
  <si>
    <t>17:32</t>
  </si>
  <si>
    <t>МРТ Эксперт Завенягина 1/2 позвоните, невролог Котляр там принимает.</t>
  </si>
  <si>
    <t>Выделения из половых путей, зуд и жжение при мочеиспускании, дискомфорт или болезненность во время полового акта… Этими и некоторыми другими симптомами может проявляться такое заболевание, как трихомониаз. О нём мы побеседовали с врачом-дерматовенерологом «Клиники Эксперт» Смоленск Таисией Войтенковой: https://www.mrtexpert.ru/articles/1074 
#ГКЭксперт #мртэксперт #КлиникаЭксперт #КлиникаЭкспертСмоленск #трихомониаз</t>
  </si>
  <si>
    <t>16:39</t>
  </si>
  <si>
    <t>Выделения из половых путей, зуд и жжение при мочеиспускании, дискомфорт или болезненность во время полового акта… Этими и некоторыми другими симптомами может проявляться такое заболевание, как трихомониаз. О нём мы побеседовали с врачом-дерматовенерологом «Клиники Эксперт» Смоленск Таисией Войтенковой: https://www.mrtexpert.ru/articles/1074
#ГКЭксперт #мртэксперт #КлиникаЭксперт #КлиникаЭкспертСмоленск #трихомониаз
Позиций не сдаёт. Говорим о трихомониазе
По данным Всемирной организации здравоохранения этим венерическим заболеванием страдает около 10 % населения всего мира. В 9 случаях из 10 оно сочетается с другими венерическими болезнями и часто имеет бессимптомное течение. Как выявляют и чем лечат трихомониаз? Каковы осложнения ...
https://www.mrtexpert.ru/articles/1074</t>
  </si>
  <si>
    <t>16:32</t>
  </si>
  <si>
    <t>Добрый вечер, Артем! Благодарим за отзыв. Нам искренне жаль, что Ваше впечатление от обращения в наш диагностический центр отличается от положительного.
Изначально приём пациентки, которую Вы сопровождали, был назначен на 15:30, но Вас не оказалось в это время в клинике. Наш оператор позвонил пациентке по указанному при записи номеру телефона, чтобы уточнить ситуацию. Ей было предложено пройти исследование в 19:00, когда наше расписание позволяло провести необходимую диагностику, от чего пациентка отказалась, так как уже находились в пути. Для того чтобы решить данный вопрос, мы специально освободили «резервное окно в записи» на 17:45, в которое надеялись Вас принять. При этом оператор перенёс приём следующих пациентов на более раннее время.
К сожалению, окна для диагностики не хватило, в связи с чем мы Вам и предложили провести исследование позже. В клинике плотный график, мы по мере возможности стараемся идти навстречу пациентам и принимать их даже без предварительной записи. Но не всегда возможно перераспределить время, т.к. к нам приходят другие люди, которые ждут приёма.
Спасибо за понимание, желаем здоровья Вам и Вашим близким! 
С уважением, исполнительный директор ООО «МРТ Эксперт Сочи», Володина Дарья Игоревна.</t>
  </si>
  <si>
    <t>"ก้าวออกมาค่ะ..
กุ้งเชื่อว่าความสวยสามารถเปลี่ยน
โลกทัศน์มุมมองต่อผู้อื่นได้
แล้วก็เปลี่ยนแปลงตัวเอง
ไปในทางที่ดีขึ้นได้ค่ะ.."
- คุณสุพัตรวี อยู่แพทย์ - 
  (แม่หลวงกุ้ง)
#แล้วความสวยจะเปลี่ยนแปลงคุณ
#สวยอย่างมีคุณค่าในแบบของคุณ
ที่นารดา คลินิก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"ก้าวออกมาค่ะ..
กุ้งเชื่อว่าความสวยสามารถเปลี่ยน
โลกทัศน์มุมมองต่อผู้อื่นได้
แล้วก็เปลี่ยนแปลงตัวเอง
ไปในทางที่ดีขึ้นได้ค่ะ.."
- คุณสุพัตรวี อยู่แพทย์ - 
  (แม่หลวงกุ้ง)
#แล้วความสวยจะเปลี่ยนแปลงคุณ
#สวยอย่างมีคุณค่าในแบบของคุณ
ที่นารดา คลินิก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https://www.facebook.com/NaradaTeam/photos/a.568393426606903/2995011963945025/?type=3</t>
  </si>
  <si>
    <t>14:21</t>
  </si>
  <si>
    <t>Хороший Центр,уютная атмосфера,цена приятная, доступная, отличный санузел и есть поручни! Единственный минус,немного долгое ожидание результата, особенно когда самочувствие плохое и проживаешь далеко, еще раз приезжать, неудобно. Спасибо врачу-рентгенологу Новиковой М.Ю. за профессионализм!</t>
  </si>
  <si>
    <t>Olga Posrednikova</t>
  </si>
  <si>
    <t>Как сохранить здоровье спортсменов? О применении мануальной терапии в спорте
Некоторое время назад мы писали о мануальной терапии и ее применении в медицине. А может ли она быть полезна у здоровых людей, более того - у спортсменов? И если да, то в каких ситуациях? Чем в таком случае ее ...
https://www.mrtexpert.ru/articles/452</t>
  </si>
  <si>
    <t>Спортивная медицина и реабилитация.))</t>
  </si>
  <si>
    <t>We've teamed up with @wellbeingofwomen (WOW) to bring our talkhealth community an online clinic about ovarian cancer! 
WOW is one of the only charities dedicated to finding cures and treatments for various female reproductive health issues, gynaecological cancers and menopause.
We're being joined by Professor of Gynaecological Oncology, Ahmed Ahmed. He'll be answering any questions on prevention, symptoms and treatment options. 
Questions will be answered on Thursday 23 July but the clinic is open NOW for you to post your questions in advance. 
Click the link in our bio to post your question - enjoy ! ❤️ 
#womenshealth #ovariancancer #ovaries #women #woman #health #support #online #clinic #expert
@wellbeingofwomen</t>
  </si>
  <si>
    <t>talkhealth community</t>
  </si>
  <si>
    <t>13:47</t>
  </si>
  <si>
    <t>Конкурсы и акции Магнитогорск</t>
  </si>
  <si>
    <t>ИНСУЛЬТ В ЦИФРАХ И ФАКТАХ.
МРТ С ГАРАНТИЕЙ
БЕЗ ПЕРЕРЫВА И ВЫХОДНЫХ
ул.Челюскинцев 4
ул.Коминтерна 5
тел. 655-193
#мурманск #мртмурманск #мрт51 #диагностика51 #инсульт #мртэксперт</t>
  </si>
  <si>
    <t>12:22</t>
  </si>
  <si>
    <t>बिना किसी एक्सर्साइज़ के अपना वजन कम करें ।।
Follow Diet clinic expert team और सबसे अच्छा Diet plan प्राप्त करें !
संपर्क करें-8010888222
बिना किसी एक्सर्साइज़ के अपना वजन कम करें ।।
Follow Diet clinic expert team और सबसे अच्छा Diet plan प्राप्त करें !
संपर्क करें-8010888222
https://www.facebook.com/DieticianSheelaSeharawat/photos/a.374375479349174/3079775448809150/?type=3</t>
  </si>
  <si>
    <t>ПОЧЕМУ НЕ ПОЛУЧАЕТСЯ ЗАБЕРЕМЕНЕТЬ?
⠀
Такой вопрос часто задают пары, у которых было огромное количество попыток зачать малыша, но даже после нескольких месяцев и лет ничего не получается.
⠀
❓В чем причины?
⠀
✔️Отсутствие контроля за собственным здоровьем. Часто супруги, планируя беременность, не проходят предварительное обследование, чтобы выявить или исключить патологии в организме.
✔️Стресс. Когда не получается забеременеть в течение нескольких месяцев, женщина впадает в отчаяние, испытывает депрессию – изменяется гормональный фон и забеременеть становится еще сложнее.
✔️Слишком частый и ли редкий секс. Оптимальная периодичность составляет 2-3 раза в неделю. В остальных случаях сперматозоиды не являются полноценными и не готовы к оплодотворению яйцеклетки.
✔️Ошибки в расчетах. Незнание дня собственной овуляции приводит к тому, что вероятность забеременеть становиться минимальной. Нужно точно знать, в какой период зачатие может быть максимально вероятным.
✔️Вредные привычки. Задолго до планирования беременности необходимо отказаться от всех вредных привычек, включая курение, злоупотребление спиртным.
✔️Правильное питание. Полезная пища с высоким содержанием витаминов и микроэлементов позволяет создать благоприятную почву для последующей беременности и гармоничного развития плода.
⠀
Не тратьте годы на попытки! Начните путь к счастливому материнству в «Клинике Эксперт Ростов»!
⠀
Запишитесь на консультацию к гинекологу: ⠀ ☎ 8(863) 309-11-29 www.mrtexpert.ru rostov_admin@mrtexpert.ru ⠀ ⏰ПН-ВС: 7:00-22:00 Ростов-на-Дону, ул. Красноармейская, д.262/122, пом.1 Лицензия: ЛО-61-01-006908</t>
  </si>
  <si>
    <t>ПОЧЕМУ НЕ ПОЛУЧАЕТСЯ ЗАБЕРЕМЕНЕТЬ?
⠀
Такой вопрос часто задают пары, у которых было огромное количество попыток зачать малыша, но даже после нескольких месяцев и лет ничего не получается.
⠀
❓В чем причины?
⠀
✔️Отсутствие контроля за собственным здоровьем. Часто супруги, планируя беременность, не проходят предварительное обследование, чтобы выявить или исключить патологии в организме.
✔️Стресс. Когда не получается забеременеть в течение нескольких месяцев, женщина впадает в отчаяние, испытывает депрессию – изменяется гормональный фон и забеременеть становится еще сложнее.
✔️Слишком частый и ли редкий секс. Оптимальная периодичность составляет 2-3 раза в неделю. В остальных случаях сперматозоиды не являются полноценными и не готовы к оплодотворению яйцеклетки.
✔️Ошибки в расчетах. Незнание дня собственной овуляции приводит к тому, что вероятность забеременеть становиться минимальной. Нужно точно знать, в какой период зачатие может быть максимально вероятным.
✔️Вредные привычки. Задолго до планирования беременности необходимо отказаться от всех вредных привычек, включая курение, злоупотребление спиртным.
✔️Правильное питание. Полезная пища с высоким содержанием витаминов и микроэлементов позволяет создать благоприятную почву для последующей беременности и гармоничного развития плода.
⠀
Не тратьте годы на попытки! Начните путь к счастливому материнству в «Клинике Эксперт Ростов»!
⠀
Запишитесь на консультацию к гинекологу:�⠀ ☎ 8(863) 309-11-29 www.mrtexpert.ru rostov_admin@mrtexpert.ru�⠀ ⏰ПН-ВС: 7:00-22:00 Ростов-на-Дону, ул. Красноармейская, д.262/122, пом.1�Лицензия: ЛО-61-01-006908</t>
  </si>
  <si>
    <t>11:58</t>
  </si>
  <si>
    <t>@jennrighter @Monica_Drake @DrainoMyBraino @IwriteOK @psuedofolio https://newsnetwork.mayoclinic.org/discussion/covid-19-mayo-clinic-expert-answers-questions-about-masks-after-cdc-updates-its-recommendation/</t>
  </si>
  <si>
    <t>Pr@viπ</t>
  </si>
  <si>
    <t>Dweeb</t>
  </si>
  <si>
    <t>M.C. Rice</t>
  </si>
  <si>
    <t>Виргинские острова (США)</t>
  </si>
  <si>
    <t>10:38</t>
  </si>
  <si>
    <t>Уважаемые медики, просим помочь советом и рекомендациями подписчику: Кто-то может подсказать?</t>
  </si>
  <si>
    <t>Удаление миниска, факт. У меня похожее было. Тот же МРТ эксперт</t>
  </si>
  <si>
    <t>Надежда Новикова</t>
  </si>
  <si>
    <t>Медицина GIF</t>
  </si>
  <si>
    <t>09:57</t>
  </si>
  <si>
    <t>МРТ – РС: снова о теории мифологии. Часть 6
По опыту работы в «МРТ-Эксперт» г. Костромы.
https://vrachirf.ru/blogs/kopenkin/topics/76598</t>
  </si>
  <si>
    <t>Богдан Величко</t>
  </si>
  <si>
    <t>#ตำแหน่งไหนที่ควรฉีดฟิลเลอร์บ้าง
Narada Expert Talk วันนี้
เราได้นำเคล็ดลับดีๆ
จากคุณหมอแซมมี่มาฝากกันค่ะ
.
.
แท้จริงแล้วฟิลเลอร์สามารถเติมได้
เกือบทุกตำแหน่งบริเวณใบหน้า
แต่ความเสี่ยงมาก-น้อยแตกต่างกัน
เนื่องจากในบางตำแหน่งมีเส้นเลือดค่อนข้างมาก
ก็อาจจะทำให้การฉีดฟิลเลอร์
มีความเสี่ยงมากขึ้น
เช่นบริเวณจมูก หรือหว่างคิ้ว
ซึ่งจะมีเส้นเลือดค่อนข้างมาก
ซึ่งไม่แนะนำให้ฉีด
.
.
โดยทั่วไปในการฉีดเราจะใช้เทคนิคเข็มทู่
ซึ่งจะช่วยลดความเสี่ยงนี้ไปได้ค่อนข้างมาก
ส่วนบริเวณอื่นที่นิยมฉีดก็อย่างเช่น
ใต้ตา เพื่อแก้ปัญหาร่องใต้ตาลึก
หรือใต้ตาหมองคล้ำ
.
.
การฉีดร่องแก้ม เพื่อแก้ปัญหาร่องแก้มลึก
การฉีดเสริมแก้ม
เพื่อให้เป็นลูกส้ม ทำให้หน้าดูเด็กลง
.
.
บางท่านก็ใช้ฉีดเสริมคาง
เพื่อให้หน้าดูเรียวขึ้น ยาวขึ้นนั่นเองค่ะ
#นารดาคลินิกให้บริการฉีดฟิลเลอร์
#เพื่อเติมเต็มร่องลึกบนใบหน้าคุณ
#ให้กลับมาอ่อนวัยได้อีกครั้ง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ตำแหน่งที่ควรฉีดฟิลเลอร์ |คุณหมอแซมมี่
https://www.facebook.com/NaradaTeam/videos/2665013486931680/</t>
  </si>
  <si>
    <t>06:37</t>
  </si>
  <si>
    <t>Clinic_expert_rnd at Taplink
Клиника Эксперт Ростов
https://taplink.cc/clinic_expert_rnd</t>
  </si>
  <si>
    <t>Елена Волохова</t>
  </si>
  <si>
    <t>https://scontent-hel2-1.xx.fbcdn.net/v/t45.1600-4/cp0/q75/spS444/c0.126.526.274a/p526x296/103091304_6193369638361_1894112928520343357_n.jpg?_nc_cat=104&amp;_nc_sid=67cdda&amp;_nc_ohc=o-RYX1VXnhEAX-7wKCz&amp;_nc_ht=scontent-hel2-1.xx&amp;oh=a993717c7578782cc3d820ec09c250a7&amp;oe=5F3C4152</t>
  </si>
  <si>
    <t>06:30</t>
  </si>
  <si>
    <t>@somemuija @Inevitable_ET @bocavista2016 @ScottAdamsSays https://newsnetwork.mayoclinic.org/discussion/covid-19-mayo-clinic-expert-answers-questions-about-masks-after-cdc-updates-its-recommendation/</t>
  </si>
  <si>
    <t>EclipDigo</t>
  </si>
  <si>
    <t>Айова</t>
  </si>
  <si>
    <t>Я не эксперт МРТ, но по моему это дыня.</t>
  </si>
  <si>
    <t>Екатерина Мартын</t>
  </si>
  <si>
    <t>Тюменская область</t>
  </si>
  <si>
    <t>Тюмень</t>
  </si>
  <si>
    <t>01:50</t>
  </si>
  <si>
    <t>@tfw64 @Inevitable_ET @ScottAdamsSays Does not help either direction. Not a cloth mask. N95 can trap it but not recommended. Read with open mind.
https://newsnetwork.mayoclinic.org/discussion/covid-19-mayo-clinic-expert-answers-questions-about-masks-after-cdc-updates-its-recommendation/</t>
  </si>
  <si>
    <t>ChattaDude</t>
  </si>
  <si>
    <t>01:47</t>
  </si>
  <si>
    <t>@Inevitable_ET @ScottAdamsSays https://newsnetwork.mayoclinic.org/discussion/covid-19-mayo-clinic-expert-answers-questions-about-masks-after-cdc-updates-its-recommendation/</t>
  </si>
  <si>
    <t>19.07.2020</t>
  </si>
  <si>
    <t>22:34</t>
  </si>
  <si>
    <t>Вы побывали на приёме у невролога, и для уточнения и детализации диагноза он направил вас на УЗИ сосудов головного мозга.
Об этом методе диагностики мы побеседовали с врачом-неврологом, ведущим специалистом отделения неврологии «Клиника Эксперт Курск» Умеренковой Натальей Владимировной: https://www.mrtexpert.ru/articles/655
#ГКЭксперт #мртэксперт #КлиникаЭксперт #КлиникаЭкспертКурск
#КлиникаЭкспертузи #Курскузи #узиголовногомозга</t>
  </si>
  <si>
    <t>What a moron! Aerosols arent stopped by cloth masks or even surgical masks. He should know that! It’s simple physics! Secondly people touch that humid face burka many times to reseat I and then touch people and surfaces, spreading other viruses and bacteria more rapidly!!! I’ve seen this in restaurants happen all the time and it grossed me out!
And then people don’t know how to clean those masks (most don’t even do it frequently enough) and breath in all sorts of fungi and yeasts and bacteria that have developed on the surface possibly causing other illnesses.</t>
  </si>
  <si>
    <t>Raymond Doetjes</t>
  </si>
  <si>
    <t>19:48</t>
  </si>
  <si>
    <t>نحن كبشر بإمكاننا فعل المستحيل ! نعم !
 اي شيء على هيئة طاقة نستطيع ان نعمل على تحويله ! كن مع الله ولا تبالي وعش طاقتك السلبية الى حد تحويلها الى طاقة ايجابية ، كل شي ممكن مع الممارسة
.
.
.
.
#استشارة #استشارة_نفسية #دكتور_نفسي #احتراف #تخصص #متخصص #دكتور #مستشفى #مريض #مرض #دكتور #علاج #صحة #صحة_نفسية #الكويت #كويت#عقل#عيادة
‏#psychology#Psychologist#heal #mental_health #mind #mental #brain 
‏#clinic #expert #professional #mental #disorders #wellness #help</t>
  </si>
  <si>
    <t>18:24</t>
  </si>
  <si>
    <t>Диагностический центр «МРТ Эксперт Магнитогорск»</t>
  </si>
  <si>
    <t>А как фамилия детского невролога?</t>
  </si>
  <si>
    <t>Андрей Соломоник</t>
  </si>
  <si>
    <t>17:35</t>
  </si>
  <si>
    <t>ЧТО ТАКОЕ КОМПЬЮТЕРНАЯ ТОМОГРАФИЯ И ГДЕ ЕЁ МОЖНО СДЕЛАТЬ?</t>
  </si>
  <si>
    <t>Что такое КТ? Это быстрый и точный способ диагностики, основанный на использовании рентгеновского излучения с минимальной лучевой нагрузкой. Метод компьютерной томографии (КТ) позволяет получать послойное изображение любой области тканей человеческого тела толщиной среза от 0,5 мм до 10 мм, всего за несколько минут.
Диагностика доступна в Воронеже, Иркутске, Курске, Мурманске, Перми, Ростове-на-Дону, Твери, Туле, Хабаровске. Пациентам в других городах мы проводим МРТ и другие методы лучевой диагностики.
Метод КТ широко применяется в медицине и позволяет проводить качественные исследования практически всего человеческого тела. Особая уникальность метода компьютерной томографии (КТ) состоит в возможности исследования полых органов - например, легких, желудка и кишечника. Также при проведении компьютерной диагностики прекрасно видны костные структуры. Это – одно из главных отличий КТ от МРТ и УЗИ.
С помощью мультиспиральной компьютерной томографии можно оценить локализацию и распространенность патологического процесса у пациента, находящегося даже в крайне тяжелом состоянии, что позволяет доктору оперативно принять правильное решение в считанные минуты. В экстренных ситуациях метод компьютерной томографии приоритетнее, чем ультразвуковая диагностика или магнитно-резонансная томография.
Для диагностики органов брюшной полости, почек, надпочечников, малого таза, мягких тканей, а также антиографии (исследование сосудов), сердца, для лучшей визуализации КТ проводят с вводом внутривенного контраста.
Ограничением к введению контрастного вещества является наличие почечной и печеночной недостаточности у пациента, а также обязательно учитываются результаты биохимического анализа крови (креатин, мочевина, АЛТ, АСТ).
Единственными противопоказаниями к проведению компьютерной томографии (КТ) грудной клетки и других частей тела из-за лучевой нагрузки является беременность и младший детский возраст.
Компьютерная томография в многофункциональных медицинских центрах «Клиника Эксперт» выполняется по предварительной записи, на шестнадцатисрезовом компьютерном томографе компании Philips, с 30% сниженной лучевой нагрузкой на пациента. Будем рады вам помочь!
#мрт эксперт #клиника эксперт #компьютерная томография #кт #диагностика</t>
  </si>
  <si>
    <t>17:21</t>
  </si>
  <si>
    <t>В выходные дни сотрудники МРТ-Эксперт снова собрались вместе. Спасибо Дарье Игоревне за организацию мероприятия и душевные сюрпризы))) и Наталье Чагиной за прекрасную атмосферу, знания и опыт, которыми она с нами поделилась. ☀️♥️</t>
  </si>
  <si>
    <t>16:58</t>
  </si>
  <si>
    <t>Здравствуйте, подскажите пожалуйста, в какой клинике лучше сделать МРТ плечевого сустава? Что бы цена соответствовала</t>
  </si>
  <si>
    <t>Мрт эксперт на Л.Чайкиной</t>
  </si>
  <si>
    <t>Ольга Терентьева</t>
  </si>
  <si>
    <t>Омск ВК | - Жизнь города - Новости - ЧП - ДТП</t>
  </si>
  <si>
    <t>Омская область</t>
  </si>
  <si>
    <t>Омск</t>
  </si>
  <si>
    <t>Знали ли вы, что повышенное артериальное давление – это не всегда гипертоническая болезнь? Что ещё может скрываться за повышенным артериальным давлением?
С врачом-кардиологом «Клиника Эксперт» Воронеж Ниной Полынцовой мы беседуем о симптоматической артериальной гипертензии: https://www.mrtexpert.ru/articles/910
#ГКЭксперт #КлиникаЭксперт #мртэксперт #КлиникаЭкспертВоронеж #гипертония</t>
  </si>
  <si>
    <t>Знали ли вы, что повышенное артериальное давление – это не всегда гипертоническая болезнь? Что ещё может скрываться за повышенным артериальным давлением?
С врачом-кардиологом «Клиника Эксперт» Воронеж Ниной Полынцовой мы беседуем о симптоматической артериальной гипертензии: https://www.mrtexpert.ru/articles/910
#ГКЭксперт #КлиникаЭксперт #мртэксперт #КлиникаЭкспертВоронеж #гипертония</t>
  </si>
  <si>
    <t>#เปิดทุกองศาของความดูดีในแบบของคุณ
Narada Change  You
 ตา 2 ชั้น  Charming Eyes
เพิ่มความกลมโตให้ดวงตา
แถมยังมีเสน่ห์มากขึ้นด้วยนะคะ
 แก้จมูกทรงฮันบก
เทคนิค Semi Open
ใช้กระดูกอ่อนหลังหูรองปลายจมูก
ทำให้หน้าหวานละมุนมากขึ้น
 ตัดปีกจมูก 
 ดูดไขมันเหนียง
ด้วยเทคโนโลยี Lipolock Liposuction
#ยินดีให้คำปรึกษาทั้งก่อนและหลังทำทุกเคสโดยแพทย์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#เปิดทุกองศาของความดูดีในแบบของคุณ
Narada Change  You
 ตา 2 ชั้น  Charming Eyes
เพิ่มความกลมโตให้ดวงตา
แถมยังมีเสน่ห์มากขึ้นด้วยนะคะ
 แก้จมูกทรงฮันบก
เทคนิค Semi Open
ใช้กระดูกอ่อนหลังหูรองปลายจมูก
ทำให้หน้าหวานละมุนมากขึ้น
 ตัดปีกจมูก 
 ดูดไขมันเหนียง
ด้วยเทคโนโลยี Lipolock Liposuction
#ยินดีให้คำปรึกษาทั้งก่อนและหลังทำทุกเคสโดยแพทย์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https://www.facebook.com/NaradaTeam/photos/a.568393426606903/2994967540616134/?type=3</t>
  </si>
  <si>
    <t>5 ПРИЗНАКОВ «ПОДОЗРИТЕЛЬНЫХ» РОДИНОК:
⠀
⚠Асимметрия.
Это означает, что подозрение должна вызывать родинка, имеющая неправильную, ассиметричную форму. Обычные родинки имеют круглую или овальную форму.
⠀
⚠Границы образования.
У обычной родинки граница обычно ровная, четкая и плавная, без резких зигзагов, а у злокачественной – нечеткая, изрезанная и размытая.
⠀
⚠Цвет.
Нормальные родинки окрашены равномерно, их цвет обычно темно-коричневый. У подозрительных родинок могут встречаться черные, синие, красные пятна. Также злокачественные родинки болят и могут появиться кровавые образование.
⠀
⚠Размер.
Все родинки больше 5 мм в диаметре должны настораживать. А вот меланома может достигать и больших размеров.
⠀
⚠Скорость увеличения образования.
Для злокачественных родинок характерен быстрый рост. А вот доброкачественные, один раз появившись, больше уже не растут.
⠀
Если у вас есть «подозрительные» родинки, приходите на консультацию к дерматологу в «Клинику Эксперт Ростов»
⠀
Для записи:
⠀
☎ 8(863) 309-11-29
www.mrtexpert.ru
rostov_admin@mrtexpert.ru
⠀
⏰ПН-ВС: 7:00-22:00
Ростов-на-Дону, ул. Красноармейская, д.262/122, пом.1
Лицензия: ЛО-61-01-006908</t>
  </si>
  <si>
    <t>❓НУЖНА ПОМОЩЬ ЭКСПЕРТА?
Обращайтесь в клинику, где вашу проблему могут решить одни из лучших врачей России!
⠀
«Клиника Эксперт Ставрополь» - это крупнейшая федеральная сеть медицинских центров.
⠀
Уже 12 лет мы помогаем выявить и справиться со сложными заболеваниями!
⠀
36 диагностических центров в 36 регионах России.
10 многопрофильных центров в 10 регионах.
Институт повышения квалификации медицинских кадров «Эксперт».
Собственная инженерная служба.
Научно-исследовательский отдел с телемедицинской сетью.
⠀
✔️Все центры связаны между собой.
✔️Не нужно хранить справки и обходить множество кабинетов: ваша история болезни отобразится в любом центре нашей сети.
✔️Записываем данные на электронный носитель, чтобы легко консультироваться с любыми специалистами.
⠀
❓Как записаться?
⠀
☎ +7 (865) 297-95-68
www.mrtexpert.ru
Ставрополь, ул Доваторцев, 39А
Лицензия: ЛО-26-01-005183</t>
  </si>
  <si>
    <t>Вы побывали на приёме у невролога, и для уточнения и детализации диагноза он направил вас на УЗИ сосудов головного мозга.
Об этом методе диагностики мы побеседовали с врачом-неврологом, ведущим специалистом отделения неврологии «Клиника Эксперт Курск» Умеренковой Натальей Владимировной: https://www.mrtexpert.ru/articles/655
#ГКЭксперт #мртэксперт #КлиникаЭксперт #КлиникаЭкспертКурск
#КлиникаЭкспертузи #Курскузи #узиголовногомозга</t>
  </si>
  <si>
    <t>10:33</t>
  </si>
  <si>
    <t>The world's food supply is being messed with. Soros A-21 in full swing people. Pay attention.</t>
  </si>
  <si>
    <t>JC S</t>
  </si>
  <si>
    <t>09:36</t>
  </si>
  <si>
    <t>МРТ: Рассеянный склероз - снова о теории мифологии. Часть 6.
По опыту работы в «МРТ-Эксперт» г. Костромы
МРТ-РС снова о теории мифологии. Часть 6.doc
https://vk.com/doc71191578_560135466?hash=ee4a27f8ebe077dc26&amp;dl=GI4TCMJUGU2DE:1596487529:0b9616db41f3806c8a&amp;api=1&amp;no_preview=1</t>
  </si>
  <si>
    <t>МРТ – РС: снова о теории мифологии. Часть 6</t>
  </si>
  <si>
    <t>Литература: «Демиелинизирующие заболевания ЦНС», «МРТ в диагностике демиелинизирующих заболеваний ЦНС», «Дифференциальный диагноз РС» МРТ-Эксперт 2011 – 2012г, «Критерии МРТ-диагностики рассеянного склероза» Пронин И.Н.
В продолжение темы: выводы и основные практические вопросы, из разряда риторических: 
Начиная с последнего пункта в предыдущей статье – этиология РС неясна, а попытки привлечь в этом плане или «завиноватить» вирус кори, вирус герпеса, опоясывающего лишая, РС или респираторно-синцитиальный вирус, возбудитель мононуклеоза (из вышеупомянутых научных работ) и далее; никак не срабатывают – нет эпидемиологической корреляции. Соответственно, этиотропная или превентивная терапия РС, хотя бы по типу вакцинации, по-прежнему невозможна – а что же мы тогда лечим, по факту и существу дела?
Классификации и описания РС существуют и регулярно пересматриваются с 1830-х годов: сначала французским патологоанатомом Ж-Б. Крювелье («пятнистый склероз спинного мозга»), затем Ж-М. Шарко (триада Шарко), затем его учениками (провозгласившими инфекционную природу РС) плюс отдельные классификации в начале 20-го века. Затем, уже в наше время, критерии Позера в 1983 году: «достоверный РС – недостоверный РС, предполагаемый РС, лабораторно-подтверждённый РС, клинически-подтверждённый РС», и что-то ещё в духе подобной дипломатии. Затем по хронологии критерии Paty D.W. от 1988 года, плюс Fazekas F. от 1988 года, затем Barkhof. F и Tintore. M от 1997—2000х годов соответственно, затем критерии Мак-Дональда во всех редакциях 2001 – 2005 – 2010х годов. Вероятно, я ещё не всё вспомнил, но такое чувство, что речь идёт о разных заболеваниях – либо РС активно мутирует и прогрессирует все эти годы, подобно вирусу ВИЧ? Если его так революционно пересматривают уже почти два века, каждые несколько лет?
Заметьте, однако, что каждая из этих классификаций – это не просто гипотеза в диагностике, но целая научная школа и направление, с авторами, соавторами (латинская приставка et al. после фамилии – см. скрин №01) и наверняка массой диссертаций на эту тему. И только г-н Позер как-то одиноко красуется со своим предполагаемым - достоверным - недостоверным - почти достоверным РС, и прочей дипломатией в жанре одесско-еврейского юмора... Поневоле вспомнишь ещё раз M.Булгакова: "Свежесть бывает первая, она же и последняя", а мы тут на десятки лет увязли в одних и тех же классификациях. Ах да, совсем забыл: МРТ тогда ещё не была изобретена, поэтому и шутили кто как мог, без особых возможностей для манёвра! Например, очередным каламбуром можно считать различие между классификациями Barkhof - Tintore 2000 года и Мак-Дональда 2005 года: несложно заметить, что основная разница между ними чисто лингвистическая – в первой перивентрикулярные очаги, во второй – паравентрикулярные, см. скрины №01– 02. Собственно, что в лоб, что по лбу разницы никакой; но здесь этот каламбур, по-видимому, знаменует собой развитие МРТ-науки за целых 5 лет – вкупе с диссертациями и научными работами на данную тему – а потому всё это очень серьёзно, правда?
По факту, применяются эти критерии весьма произвольно и с чисто конъюнктурными целями – чтобы поскорее поставить этот диагноз и не ударяться в лишнюю дифф.диагностику: «Трансформация в КДРС фиксировалась по критериям Мак-Дональда в редакции 2010 года, в диагностически сложных случаях – по критериям редакции 2005 года, при наличии второго клинического обострения или по прогрессированию МРТ-изменений… в результате чего появилась возможность поставить диагноз достоверного РС уже при наличии одного клинического обострения и одного снимка МРТ с контрастным усилением». То есть, сначала в диагностике необходимая диссеминация по времени занимала 3 месяца, затем 30 дней, сейчас же можно ставить РС ускоренно и ex tempora, практически наугад. Понятно, что терапия ПИТРС стоит немалых денег, а потому угадайте, кому это выгодно – естественно, не считая самих МРТ-логов – и кто лоббирует подобные пересмотры?
По-прежнему неизбежным камнем преткновения для МРТ-логов является не только наличие или отсутствие очагов, но и их количество и расположение: «Еще раз подчеркивают, что само наличие очагов демиелинизации не означает факта наличия у пациента РС… Или наоборот: таким образом, отсутствие изменений на МРТ головного и спинного мозга почти наверняка исключает диагноз РС». То есть те многократно упомянутые 25% пациентов с нормальной МР-картиной по-прежнему относятся либо к официальным сомнениям в этом диагнозе (либо к официальной головной боли) – это с одной точки зрения; пациенты с клинически-подтверждённым РС – это уже совсем другая ипостась диагностики. А пациенты с выявленными очагами глиоза, но без клиники и анамнеза (которых может быть до 2/3 из общего числа, как отмечено выше) – это уже третья ипостась, зато самая многочисленная. Разумеется, не считая всех возможных вариаций между ними, с количеством контрастируемых очагов от 1 до 9 в разных критериях, и прочих тонкостей, типа диссеминации во времени и пространстве, возрастающих в сумме уже в геометрической прогрессии. А учитывая тезис из последнего пересмотра 2010 года: «На сегодняшний день не существует какого-либо единственного теста или лабораторного исследования, который мог бы подтвердить или опровергнуть диагноз достоверного РС», мы все с этой диагностикой РС находимся в некоей виртуальной реальности, где всё можно только предполагать, но ничего нельзя исключить. Очень удобно, правда?
Все вопросы перехода упомянутых форм друг в друга до сих пор неясны; часть больных (до 25%, по разным данным) с якобы установленным диагнозом РС вообще не имеют его морфологических признаков, или имеют другие заболевания. При этом: прогностические лабораторные и МРТ-критерии ещё только разрабатываются, а данные МРТ явно переоцениваются: т.к. она «оказывается малоэффективной для прогнозирования развития заболевания, в том числе у больных с КИС». Но при этом везде подчёркивается «неоценимая роль МРТ в диагностике демиелинизирующих заболеваний ЦНС»; а у вас действительно не возникает ощущения некоей продолженной – как сейчас говорят, или виртуальной реальности – от подобных выводов? Или нам просто навяливают эту виртуальность, чтобы не задумывались особенно о её конечных результатах, которые я пытаюсь здесь озвучить?
При этом: лечение разных форм РС, зачастую назначаемое по одной только МРТ, имеет крайне много побочных эффектов. А тем более если вспомнить, что терапия по стандарту ПИТРС не признаётся в России и потому фактически является партизанщиной чистой воды: "в России, асимптомные находки типичных очагов демиелинизации на МРТ, рассматриваемые как РИС, не подлежат лечению ПИТРС".
И это в лучшем случае, если допустить, что лечат именно РС, а не любую из похожих упомянутых ранее нозологий, с очаговой патологией головного мозга (или те самые «НЯО – неопознанные яркие объекты», выражаясь языком классиков жанра). Напомню, что это не единичные случаи, а в общем и целом до 2/3 пациентов из числа всех случаев очагов демиелинизации – или те самые «немые» очаги, никак не проявляющие себя клинически. Плюс, разумеется, около десятка упомянутых ранее нозологий с очаговой патологией ГМ – см. скрин №03 – дифференцировать которые даже друг от друга весьма затруднительно, а скорее всего попросту невозможно.
Продолжение следует...
А. Копёнкин, врач-маммолог-рентгенолог, заведующий рентгенслужбой Окружного гарнизонного госпиталя (г. Кострома) – филиал №3 ФГКУ «422 ВГ» Минобороны России</t>
  </si>
  <si>
    <t>07:11</t>
  </si>
  <si>
    <t>Mask are good to remind Dumb people who forgot about the last 3-4 months..
Those dumb people are trusted wear it correctly, handle it properly. clean it daily.
Skeptical here 
Different types of materials make a difference on effectiveness. Makes sense. However studies of all mask with all types of materials unlikely. I assume 
Little to stop the spread.</t>
  </si>
  <si>
    <t>Rich</t>
  </si>
  <si>
    <t>06:14</t>
  </si>
  <si>
    <t>Светлана Коротенко</t>
  </si>
  <si>
    <t>04:09</t>
  </si>
  <si>
    <t>https://rasyog.com
Free online Ayurveda counselling, phone counselling and treatment at Rasyog clinic. Expert from Ayurveda specialist doctor at Rasyog Ayurveda in Mumbai, India</t>
  </si>
  <si>
    <t>Dr amol bamane</t>
  </si>
  <si>
    <t>Мумбаи</t>
  </si>
  <si>
    <t>04:04</t>
  </si>
  <si>
    <t>@momofwjmj @snarkygolfer @AlexBerenson @Mizanur_TX You are cherry picking out of context. Read the article. For example, “Early reports suggest that up to 30% of hospitalized coronavirus patients develop moderate to severe kidney injury.” It’s obvious that DT’s are seeing disturbing issues with patients https://newsnetwork.mayoclinic.org/discussion/mayo-clinic-expert-discusses-potential-neurological-effects-of-covid-19/</t>
  </si>
  <si>
    <t>Mamacita</t>
  </si>
  <si>
    <t>18.07.2020</t>
  </si>
  <si>
    <t>Yes use any cloth and cover your face so you can reduce your o2 / immune system, then we'll have sick people for our drugs/vaccines</t>
  </si>
  <si>
    <t>James Johnson</t>
  </si>
  <si>
    <t>Суперский центр, цены приемлемые</t>
  </si>
  <si>
    <t>Дина Харисова</t>
  </si>
  <si>
    <t>Хороший центр. Адекватные цены</t>
  </si>
  <si>
    <t>Татьяна Игнатова</t>
  </si>
  <si>
    <t>ОБЩЕСТВЕННЫЙ ТУАЛЕТ И COVID -19: ЧТО УЗНАЛИ УЧЁНЫЕ?
Общественные туалеты могут стать источником коронавирусной инфекции. К такому выводу пришли исследователи, с помощью компьютерной симуляции изучив процесс слива воды в унитазе.
Новое исследование, опубликованное в научном журнале Physics of Fluids, показало, что при спуске воды в воздухе может возникать аэрозольное облако высотой до метра. Когда вода льётся со значительной скоростью, образуются завихрения, перемещающие воздух в унитазе. Поднимающиеся потоки, созданные центробежной силой, выбрасывают множество капель и аэрозольных частиц. Выше поверхности сидения может подниматься до 60 % образовавшегося аэрозоля. Исследователи обращают внимание на то, что коронавирус SARS-CoV-2 может передаваться фекально-оральным путём, и рекомендуют при посещении туалета придерживаться элементарных профилактических правил.
Во-первых, следует обязательно закрывать крышку унитаза перед тем, как использовать кнопку смыва. Во-вторых, необходимо регулярно чистить унитаз, потому что вирусы могут какое-то время находиться на его поверхности. И третье правило: после посещения туалета всегда надо мыть руки.
#ГКЭксперт #КлиникаЭксперт #мртэксперт #новостимедицины
Фото из хроники
ОБЩЕСТВЕННЫЙ ТУАЛЕТ И COVID -19: ЧТО УЗНАЛИ УЧЁНЫЕ?
Общественные туалеты могут стать источником коронавирусной инфекции. К такому выводу пришли исследователи, с помощью компьютерной симуляции изучив процесс слива воды в унитазе.
Новое исследование, опубликованное в научном журнале Physics of Fluids, показало, что при спуске воды в воздухе может возникать аэрозольное облако высотой до метра. Когда вода льётся со значительной скоростью, образуются завихрения, перемещающие воздух в унитазе. Поднимающиеся потоки, созданные центробежной силой, выбрасывают множество капель и аэрозольных частиц. Выше поверхности сидения может подниматься до 60 % образовавшегося аэрозоля. Исследователи обращают внимание на то, что коронавирус SARS-CoV-2 может передаваться фекально-оральным путём, и рекомендуют при посещении туалета придерживаться элементарных профилактических правил.
Во-первых, следует обязательно закрывать крышку унитаза перед тем, как использовать кнопку смыва. Во-вторых, необходимо регулярно чистить унитаз, потому что вирусы могут какое-то время находиться на его поверхности. И третье правило: после посещения туалета всегда надо мыть руки.
#ГКЭксперт #КлиникаЭксперт #мртэксперт #новостимедицины
https://www.facebook.com/mriexpert/photos/a.902990326434112/3196139943785794/?type=3</t>
  </si>
  <si>
    <t>17:26</t>
  </si>
  <si>
    <t>Отличный центр сам ходили</t>
  </si>
  <si>
    <t>Ольга Аверина</t>
  </si>
  <si>
    <t>16:41</t>
  </si>
  <si>
    <t>16:36</t>
  </si>
  <si>
    <t>16:14</t>
  </si>
  <si>
    <t>@wnyblo @news4buffalo This must be “fake news” from Mayo Clinic right?
https://newsnetwork.mayoclinic.org/discussion/covid-19-mayo-clinic-expert-answers-questions-about-masks-after-cdc-updates-its-recommendation/</t>
  </si>
  <si>
    <t>Nicholas Calato</t>
  </si>
  <si>
    <t>Анонимно. Подскажите, пожалуйста, где лучше пройти МРТ коленного сустава? В Миассе или Челябинске? Хорошо ли делают в</t>
  </si>
  <si>
    <t>В Челябинске "мрт эксперт" могу посоветовать</t>
  </si>
  <si>
    <t>Любовь Ковалёва</t>
  </si>
  <si>
    <t>Миасс Выбирает</t>
  </si>
  <si>
    <t>Миасс</t>
  </si>
  <si>
    <t>Сегодня был на мрт. Здесь это называют MRI. Делали мрт шеи и головы. Отличие от Москвы: поговорили, спросили как почки, есть ли железо и т.п. , потом лёг в томограф. Он показался старее чем у нас на Чистых прудах, вставили катетер для контраста сразу, в п</t>
  </si>
  <si>
    <t>Добрый!!я раньше делала на Пироговке,потом в Эксперт мрт, сейчас в Патеро клиник- первый раз где делали с вибрацией))</t>
  </si>
  <si>
    <t>Anna Savchuk</t>
  </si>
  <si>
    <t>Рассеянный склероз - rskleroz.ru</t>
  </si>
  <si>
    <t>หลายท่านอาจกำลังสงสัยว่า..
ในการทำตา 2 ชั้น
#เทคนิคกรีดสั้น #เทคนิคกรีดยาว
แตกต่างกันยังไง?
.
.
Narada Expert Talk
เรามาไขข้อข้องใจกับคุณหมอเป็นต่อ แพทย์ประจำนารดาคลินิกค่ะ
.
.
 เทคนิคกรีดสั้น 
✅  กรีดที่เปลือกตา 3-5 มิลลิเมตร
✅  เหมาะกับคนอายุน้อยที่หนังตาตกลงมาไม่มาก
✅  มีไขมันที่เปลือกตาไม่หนามาก
#ข้อดีของเทคนิคกรีดสั้น
 พักฟื้นเร็ว
 หายไว
 แผลเล็ด
#ข้อจำกัดของเทคนิคกรีดสั้น
ไม่สามารถเก็บหนังตากับไขมันส่วนเกินออกได้หมด
 เทคนิคกรีดยาว 
✅  กรีดตั้งแต่เกือบหัวตาไปจนถึงหางตา
✅  มักทำร่วมกับการตัดหนังตาส่วนเกินออก
✅  เหมาะสำหรับคนที่มีหนังตาตกลงมามาก
หรือมีชั้นตาหนาจากการที่มีไขมันบนเปลือกตามาก
#ข้อดีของเทคนิคกรีดยาว 
 สามารถกำหนดแนวชั้นตาได้ตามต้องการ
 สามารถผ่าตัดหนังตา&amp;ไขมันส่วนเกินได้เป็นอย่างดี
#ข้อจำกัดของเทคนิคกรีดยาว 
 บวมนานกว่า
 เห็นรอยแผลยาวกว่า
แต่ทั้งนี้ทั้งนั้น ก่อนตัดสินใจทำตา 2 ชั้น
นารดาคลินิกขอแนะนำให้ท่านปรึกษาแพทย์ก่อน
เพื่อประเมินและกำหนดรูปร่างชั้นตา
เพื่อผลลัพธ์ที่ออกมา
จะสร้างความพึงพอใจให้ทั้งแพทย์และลูกค้าค่าาา
#นารดาคลินิกยินดีให้คำปรึกษาทั้งก่อนและหลังทำ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ทำตา 2 ชั้นเทคนิคกรีดสั้น - กรีดยาว |Narada Expert Talk
https://www.facebook.com/NaradaTeam/videos/3638064366222232/</t>
  </si>
  <si>
    <t>МРТ Эксперт, Завенягина 1/2, там сейчас и невролог приём ведёт.</t>
  </si>
  <si>
    <t>When it comes to permanently removing large areas of stubborn fat, liposuction can be a fantastic option as it gives patients the ability to also shape and contour their chosen areas.
What to know when considering liposuction: 
Liposuction is a cosmetic surgery procedure suitable for both men and women that permanently removes stubborn excess fat while sculpting and adding definition in specific areas
The ideal patient for liposuction is one that has stubborn areas of excess fat that they have struggled to loose with diet and exercise
We offer a variety of different liposuction options which your doctor will discuss with you to suit your body and goals including: surgical liposuction (pictured), minimally-invasive Vaser lipo, Vaser hi-def (for muscle definition) and Vaser mid-def
Treatable areas include: chin/neck, arms, back, male chest (to treat gynecomastia), stomach, flanks, hips, buttocks, inner and outer thighs, knees 
Recommended downtime is 10 days relaxing and taking it easy
Can also be used to alleviate and treat Lipoedema
☎️ To book a consultation or treatment with us call 0330 0574 458, Monday-Friday 9am-6pm
Liposuction London, Lipoplasty UK- Body Fat Removal Surgery | Laser Liposuction
Get rid of unwanted fatty deposits with surgical Liposuction/ Lipoplasty by The Private Clinic expert plastic surgeons UK. Abdomen, hips, buttocks, thighs, chin, upper arms, breasts or knees are common areas treated with Liposuction treatment.
https://www.theprivateclinic.co.uk/treatments/plastic-surgery/liposuction</t>
  </si>
  <si>
    <t>The Private Clinic of Harley Street</t>
  </si>
  <si>
    <t>НЕТ ВОЗМОЖНОСТИ ПРИЕХАТЬ В КЛИНИКУ, НО НУЖНО СДАТЬ АНАЛИЗЫ?
⠀
Лаборатория приедет к вам!
⠀
В «Клинике Эксперт Ростов» можно сдать анализы на дому, а получить результат по электронной почте!
⠀
Кому лучше сдать анализы дома?
⠀
✔️Маленьким детям.
Дети намного меньше боятся сдавать анализы крови на дому, в привычной обстановке.
⠀
✔️Пациентам с ограниченными возможностями.
Больным с нарушениями зрения, передвигающимся на костылях или коляске, крайне сложно приехать в медучреждение.
⠀
✔️Тяжелобольным пациентам.
Ожидание в очередях и передвижение на транспорте вызывают приступы заболевания и могут привести к тяжелым последствиям.
⠀
✔️Лежачим больным и пожилым пациентам.
 Вызов лаборанта для сдачи анализов на дом – единственный способ получить полноценное лабораторное обследование.
⠀
✔️Больным со слабой иммунной системой.
Для них контакт с больными гриппом или ОРВИ крайне опасен, а забор биоматериала в домашних условиях принесёт только пользу.
⠀
✔️Занятым людям.
У них просто нет времени на походы в поликлинику и ожидание в очередях.
⠀
Узнайте, какие анализы можно сдать не выходя из дома:
⠀
☎ 8(863) 309-11-29
www.mrtexpert.ru
rostov_admin@mrtexpert.ru
⠀
⏰ПН-ВС: 7:00-22:00
Ростов-на-Дону, ул. Красноармейская, д.262/122, пом.1
Лицензия: ЛО-61-01-006908</t>
  </si>
  <si>
    <t>11:09</t>
  </si>
  <si>
    <t>... ПОМОЩЬ ТОРОПЫЖКАМ ...
.
Привет всем. Наконец то я нашла время и могу рассказать о чудесных людях, которые помогают деткам!
.
С чего же начать?! Да, наверное, с самого главного!!! Я познакомилась с героями нашего города с клубом @club28petel_tula
.
В преддверии праздника "День защиты детей" ген.директор @clinic_expert_tula @marina_iliana_petrovna пригласила в гости замечательную фею-рукодельницу @dianapokatilova .
Диана помогает клубу @club28petel_tula .
Это люди, знакомством с которыми я ГОРЖУСЬ! Девочки рукодельницы вяжут для детишек родившихся раньше времени.
.
@marina_iliana_petrovna организовала встречу Дианы и сотрудников клиники, на которой мы все вместе вязали игрушки, носочки и многое другое.
.
А мне хочется сказать БОЛЬШОЕ ЧЕЛОВЕЧЕСКОЕ СПАСИБО @marina_iliana_petrovna и коллективу @clinic_expert_tula за Вашу помощь деткам.
.
Всегда Ваша Makosh ♥️
#makosh_hm
#помощьдетям
#28петельтула
#торопыжки</t>
  </si>
  <si>
    <t>Мастерская "Наш верный экодруг"29</t>
  </si>
  <si>
    <t>https://rasyog.com
Free online Ayurveda counselling, phone counselling and treatment at Rasyog clinic. Expert from Ayurveda specialist doctor at Rasyog Ayurveda in Mumbai, India #ayurvedatreatment #ayurveda #homeremedies</t>
  </si>
  <si>
    <t>evara</t>
  </si>
  <si>
    <t>Dr Shukla's Skin &amp; Hair Clinic</t>
  </si>
  <si>
    <t>Expert dermatologist, well maintained premises, well behaved staff.</t>
  </si>
  <si>
    <t>Janak Singh</t>
  </si>
  <si>
    <t>Чхаттисгарх</t>
  </si>
  <si>
    <t>Райпур</t>
  </si>
  <si>
    <t>#เพื่อการฟื้นฟูเซลล์ผิวในระดับลึก
#พร้อมกระตุ้นคอลลาเจน
#รักษาสิวฝ้ากระจุดด่างดำทำให้หน้าอ่อนเยาว์
เราขอแนะนำโปรแกรม Meso Vampire
หรือที่รู้จักกันว่า PRP Therapy
(PLATELET RICH PLASMA)
.
.
นี่เป็นข้อควรปฏิบัติทั้งก่อนและหลังทำ
ที่นารดาคลินิกนำมาฝากกันค่ะ
ก่อนทำ PRP Therapy
✅  นอนพักผ่อนให้เพียงพออย่างน้อย 8 ชั่วโมง
✅  ห้ามทานยาต้านการอักเสบหรือการแข็งตัวของเลือด
✅  งดอาหารที่มีไขมันสูง
✅ ดื่มน้ำสะอาดมากๆ
✅ งดดื่มเครื่องดื่มแอลกอฮอลล์อย่างน้อย 2-3 วัน
หลังทำ PRP Therapy 
✅  งดล้างหน้า 4-6 ชั่วโมงแรกหลังทำ PRP
✅ หลีกเลี่ยงแสงแดด 2-3 วัน
✅  งดการดื่มเครื่องดื่มแอลกอฮอลล์
✅  หลีกเลี่ยงการทาครีมที่มีส่วนผสมของAHA
หรือสารไวเทนนิ่ง(Whitening)
✅  ควรพักหน้าโดยการงดแต่งหน้าอย่างน้อย 1 วัน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การเตรียมตัวก่อน - หลังทำ PRP Therapy |Narada Podcast
https://www.facebook.com/NaradaTeam/videos/362251354745352/</t>
  </si>
  <si>
    <t>00:07</t>
  </si>
  <si>
    <t>Who guessed the 2nd Civil War boogaloo would be over masks?...</t>
  </si>
  <si>
    <t>Obverse Singularity</t>
  </si>
  <si>
    <t>17.07.2020</t>
  </si>
  <si>
    <t>21:14</t>
  </si>
  <si>
    <t>i recall fauci, on live tv, poking and adjusting his mask. 
most of the recommendations in this video simply are not practical in the real world and are at best a placebo. but i appreciate his honesty in admitting wearing a mask is in large part social engineering.</t>
  </si>
  <si>
    <t>Ecosse57</t>
  </si>
  <si>
    <t>21:06</t>
  </si>
  <si>
    <t>@joshtpm @gabrielmalor #MaskMandate ROTFLMAO anyone that thinks any mask short of N95 or better is going to stop a #coronavirus is an idiot. Mask are a behavioral reminder not to put our hands in our eyes nose or mouth until we've washed our hands. https://newsnetwork.mayoclinic.org/discussion/covid-19-mayo-clinic-expert-answers-questions-about-masks-after-cdc-updates-its-recommendation/</t>
  </si>
  <si>
    <t>mfletch0011</t>
  </si>
  <si>
    <t>Мэриленд</t>
  </si>
  <si>
    <t>20:58</t>
  </si>
  <si>
    <t>МРТ: Рассеянный склероз - снова о теории мифологии. Часть 5.
По опыту работы в «МРТ-Эксперт» г. Костромы
МРТ-РС снова о теории мифологии. Часть 5.doc
https://vk.com/doc71191578_559974522?hash=ac3513fc7abe81800b&amp;dl=GI4TCMJUGU2DE:1596487529:b78aa841ed94081661&amp;api=1&amp;no_preview=1</t>
  </si>
  <si>
    <t>@gketwin @gimomma65 @GovRonDeSantis @floridachannel Not true. N95 protect down to .1 microns. https://newsnetwork.mayoclinic.org/discussion/covid-19-mayo-clinic-expert-answers-questions-about-masks-after-cdc-updates-its-recommendation/</t>
  </si>
  <si>
    <t>@gketwin @gimomma65 @GovRonDeSantis @floridachannel N95 protects down to .1 microns.
https://newsnetwork.mayoclinic.org/discussion/covid-19-mayo-clinic-expert-answers-questions-about-masks-after-cdc-updates-its-recommendation/</t>
  </si>
  <si>
    <t>МРТ – РС: снова о теории мифологии. Часть 5</t>
  </si>
  <si>
    <t>Литература: «Демиелинизирующие заболевания ЦНС», «МРТ в диагностике демиелинизирующих заболеваний ЦНС», «Дифференциальный диагноз РС» МРТ-Эксперт 2011 – 2012г, «Критерии МРТ-диагностики рассеянного склероза» Пронин И.Н.
В продолжение темы – корреляция МРТ-картины и клинических данных у пациентов с КИС. Как мы поняли из предыдущей статьи, от половины до 2/3 всех случаев очагов демиелинизации – это «немые» очаги, никак не проявляющие себя клинически. Цитата: «Таким образом, распространенность асимптомного демиелинизирующего поражения ЦНС может быть равной, или даже превышать распространенность клинически «звучащего» процесса. Возможно, не более трети всех случаев РИС на протяжении жизни конвертируют в КИС или достоверный РС и для определения тактики ведения лиц с РИС требуются дальнейшие исследования…»
То есть, предварительный вывод: в реальности мы диагностируем и лечим не более 1/3 из всех пациентов с очаговой патологией головного мозга, остальные 2/3 – это фактически те самые пациенты с НЯО (или «неопознанными яркими объектами» по типу глиоза, выражаясь языком профессора П. Ринкка из книги «Магнитный резонанс в медицине»). Которые благополучно и бессимптомно живут с ними всю жизнь и не нуждаются ни в каком лечении. Получается, что имеется только часть пациентов, которым просто «не повезло» попасть в наше поле зрения, оттого их и пытаются десятки лет хоть как-то описать, причесать, классифицировать, внедрить в науку и попытаться понять, что же с ними делать дальше? Далее идут варианты этих попыток, зачастую анекдотически противоречащие даже друг другу.
По поводу классификаций (ибо их много, но пересмотров – ещё больше!) и атипичности очагов: «При выполнении первичного МРТ-исследования выявлены различные варианты: типичные множественные очаги (соответствующие критериям F.Barkhof) отмечены у 102 пациентов; атипичные множественные очаги демиелинизации (не соответствующие критериям F.Barkhof) у 10 пациентов; один очаг демиелинизации зафиксирован у 11 больных, два очага демиелинизации – у 1 пациента, сливные очаги демиелинизации – у 1 больного; отсутствие очагов демиелинизации выявлено у 7 пациентов. Трансформация в КДРС фиксировалась по критериям Мак-Дональда в редакции 2010 года, в диагностически сложных случаях – по критериям редакции 2005 года, при наличии второго клинического обострения или по прогрессированию МРТ-изменений (увеличение количества очагов, появление очагов, накапливающих контраст)»
К вопросу об умении применить нужный пересмотр в каждом конкретном случае, (или зачем вообщем нужны эти очаги, в итоге?): «Трансформация в КДРС фиксировалась по критериям Мак-Дональда в редакции 2010 года, в диагностически сложных случаях – по критериям редакции 2005 года, при наличии второго клинического обострения или по прогрессированию МРТ-изменений (увеличение количества очагов, появление очагов, накапливающих контраст). Полученные результаты совпадают с результатами других исследователей, объясняют существование РИС, «случайных» находок очагов демиелинизации на аутопсии и еще раз подчеркивают, что само наличие очагов демиелинизации не означает факта наличия у пациента РС…»
Конкретно о группах и множественном несоответствии критериям (или как лучше сосчитать всех и сразу): «При оценке влияния данных МРТ на дальнейшее течение болезни результаты были классифицированы в 6 групп: с типичными множественными демиелинизирующими очагами по критериям F.Barkhof (102 человека); с 1 очагом демиелинизации (11 больных); с 2 очагами демиелинизации (1 человек); со сливными очагами, не поддающимися подсчету (1 пациент); со множественными очагами, не соответствующими критериям F.Barkhof (10 человек); без очагов демиелинизации в головном и спинном мозге (7 пациентов)…. Отдельно необходимо отметить роль МРТ в диагностике демиелинизирующих заболеваний ЦНС. Неоценимая роль МРТ в диагностике демиелинизирующих заболеваний ЦНС, и прежде всего РС, определяется тем, что чувствительность МРТ при РС оценивается в 95 – 99%, и таким образом, отсутствие изменений на МРТ головного и спинного мозга почти наверняка исключает диагноз РС».
Немного статистики вкупе с высшей математикой, или снова о прогнозах и их достоверности: «С другой стороны, математически рассчитанная достоверность влияния характера изменений МРТ на трансформацию КИС в КДРС, составила 23,39118%, что существенно превышает пороговое значение 5%, и не позволяет считать влияние фактора на развитие КДРС из КИС достоверным. Таким образом, само наличие очагов демиелинизации, даже полностью соответствующих классическим критериям Barkhof et al., 1997 года, не означает факта наличия у пациента РС.… Этот факт еще раз подчеркивает, что в настоящее время не существует клинических, инструментальных, лабораторных предикторов, способных достоверно спрогнозировать трансформацию КИС в КДРС. В настоящее время не существует ни одного метода обследования, с помощью которого можно было бы с высокой степенью точности предсказать трансформацию КИС в КДРС. МРТ с чувствительностью метода, оцениваемой в 95 – 97%, является ключевым инструментом при постановке диагноза и наблюдении за течением РС, но оказывается малоэффективной для прогнозирования развития заболевания у больных с КИС…»
Ещё немного истории, для поклонников и фанатов: «МРТ-критерии диагностики РС были сформулированы уже в одной из первых работ по клиническому применению метода МРТ. В 1997 были разработаны критерии F. Barkhof et al., которые стали классическими и в дальнейшем легли в основу диагностических критериев Мак-Дональда 2000, 2005 и 2010 годов. МРТ-критерии диссеминации во времени уточнялись в каждой новой редакции диагностических критериев. В критериях Мак-Дональда 2001 г. диссеминацию во времени подтверждали только через 3 месяца после клинического обострения или негативного результата по данным МРТ. Модифицированные диагностические критерии Мак-Дональда 2005 г. предоставляли возможность подтверждать диссеминацию во времени уже через 30 дней после клинической атаки и раньше поставить диагноз. В критериях Мак-Дональда 2010 г. диссеминацию во времени можно подтвердить сразу, не ожидая 30 дней или 3 месяцев, при выявлении новых очагов...»
Выводы и сомнения по этому поводу: В настоящее время не существует ни одного метода обследования, с помощью которого можно было бы с высокой степенью точности предсказать трансформацию КИС в КДРС. МРТ с чувствительностью метода, оцениваемой в 95-97%, является ключевым инструментом при постановке диагноза и наблюдении за течением РС, но оказывается малоэффективной для прогнозирования развития заболевания у больных с КИС».
«Таким образом, само наличие очагов демиелинизации, даже полностью соответствующих классическим критериям Barkhof et al., 1997 года, не означает факта наличия у пациента РС. Аналогичные результаты получены рядом других исследователей. Этот факт еще раз подчеркивает, что в настоящее время не существует клинических, инструментальных, лабораторных предикторов, способных достоверно спрогнозировать трансформацию КИС в КДРС.
О неправильных интерпретациях и новых «правильных» пересмотрах: «Благодаря критериям Мак-Дональда (2001), в которых более широко, чем в критериях Позера, использовались данные дополнительного обследования, появилась возможность достоверно диагностировать РС, не дожидаясь развития второй клинической атаки. Однако пятилетний опыт применения критериев Мак-Дональда (2001) показал, что они не всегда правильно интерпретируются, что послужило основанием для их пересмотра в 2005 году. В 2010 году группой экспертов осуществлен новый пересмотр критериев Мак-Дональда, опубликованный в феврале 2011 года в журнале Annals of Neurology, в которых предлагается в еще большей степени опираться на первоначальные, часто единственные, данные МРТ при постановке диагноза РС…»
Снова очередной пересмотр критериев (ну уж этот-то точно правильный и последний!), или как поскорее поставить диагноз РС – видимо, к вящему удовольствию МРТ-логов, и иже с ними: «В феврале 2011 года в журнале Annals of Neurology был опубликован очередной пересмотр диагностических критериев Мак-Дональда. Основные нововведения в критериях Мак-Дональда (2010) сводятся к совершенствованию ранней диагностики РС. В этом пересмотре критериев основное внимание, в сравнении с редакцией 2005 года, уделено первому эпизоду заболевания (КИС) и предлагается еще в большей степени опираться на первые и часто единственные данные МРТ в постановке диагноза достоверного РС. В этом пересмотре критериев авторами предложено доказывать диссеминацию демиелинизирующего процесса во времени наличием на МРТ очагов различной давности, как накапливающих, так и не накапливающих контраст, в результате чего появилась возможность поставить диагноз достоверного РС уже при наличии одного клинического обострения и одного снимка МРТ с контрастным усилением».
И снова огромная ложка дёгтя в итоге: «В новом пересмотре критериев Мак-Дональда 2010 года по-прежнему подчеркивается, что на сегодняшний день не существует какого-либо единственного теста или лабораторного исследования, который мог бы подтвердить или опровергнуть диагноз достоверного РС, в связи с чем необходима комплексная оценка клинической картины заболевания и результатов параклинических обследований, в том числе анализе характерных изменений МРТ, лабораторном исследовании спинномозговой жидкости, а иногда и вызванных потенциалов…»
Немного об этиологии РС – кто виноват и что делать (или очередное однако и очередной «дискутабельный» вопрос для диссертаций): «Одним из самых изученных инициаторов РС является вирус кори. Действительно он удовлетворяет многим требованиям к этиологическому фактору РС: повышенные уровни антител к этому вирусу у больных РС; возможность персистирования в ЦНС; индуцирование постинфекционного демиелинизирующего заболевания; влияние на иммунную систему. Однако эпидемиология кори не коррелирует с эпидемиологией РС, а широко применяемая в развитых странах вакцинация против кори не привела к снижению заболеваемости РС, как это произошло с подострым склерозирующим панэнцефалитом (Adams J.M., 1997)… Однако пока не обнаружено каких-либо вирусов или их частиц, которые встречались бы постоянно и только при рассеянном склерозе, вопрос об инфекционной природе рассеянного склероза будет оставаться дискутабельным…»
Продолжение следует....
А. Копёнкин, врач-маммолог-рентгенолог, заведующий рентгенслужбой Окружного гарнизонного госпиталя (г. Кострома) – филиал №3 ФГКУ «422 ВГ» Минобороны России</t>
  </si>
  <si>
    <t>20:00</t>
  </si>
  <si>
    <t>Этот анализ назначают реже других. Однако в некоторых случаях без него не обойтись. Анализ кала: почему он важен и как правильно к нему подготовиться? Рассказывает врач-гастроэнтеролог «Клиники Эксперт» Смоленск Юлия Оковитая: https://www.mrtexpert.ru/articles/907
#ГКЭксперт #мртэксперт #КлиникаЭксперт #КлиникаЭкспертСмоленск</t>
  </si>
  <si>
    <t>Этот анализ назначают реже других. Однако в некоторых случаях без него не обойтись. Анализ кала: почему он важен и как правильно к нему подготовиться? Рассказывает врач-гастроэнтеролог «Клиники Эксперт» Смоленск Юлия Оковитая: https://www.mrtexpert.ru/articles/907
#ГКЭксперт #мртэксперт #КлиникаЭксперт #КлиникаЭкспертСмоленск</t>
  </si>
  <si>
    <t>19:59</t>
  </si>
  <si>
    <t>Do you know any kids who have had COVID?</t>
  </si>
  <si>
    <t>Anonymous wrote:
				Anonymous wrote:DD is 6 and she had a few days of fever/fatigue.
 DS is 10 and he had terrible GI pain and upper and lower GI symptoms, bad headache. Horrible week, then a week of coughing.
 Adult woman here, and never tested, but doc thinks I had it in early March. Interesting to hear about the GI pain. I started with dizziness and a headache (never get them) for two days. Bad fatigue. Respiratory tract felt inflamed but nose remained clear. Dry cough for a week and a 1/2. Towards the end of the illness, my stomach was killing me! I chocked it up to nerves. Maybe not, now hearing your son’s symptoms. 
 GI pain (and other GI symptoms) are somewhat common with Covid. 1/3 of Covid patients have GI symptoms. You are quoting me above and our son's ped said that from what he and colleagues are seeing, kids especially have the GI. Some have GI only.
 http://med.stanford.edu/news/all-news/2020/04/stomach-complaints-common-in-covid-19-patients.html
 https://www.webmd.com/lung/covid19-digestive-symptoms#1
 https://newsnetwork.mayoclinic.org/discussion/mayo-clinic-expert-explains-gastrointestinal-symptoms-related-to-covid-19/</t>
  </si>
  <si>
    <t>Anonymous</t>
  </si>
  <si>
    <t>dcurbanmom.com</t>
  </si>
  <si>
    <t>Health and Medicine</t>
  </si>
  <si>
    <t>19:38</t>
  </si>
  <si>
    <t>اذا مات شخص نقول مات بسلام، لماذا لا نعيش بسلام؟ لماذا لا ننشر الحب بدون مقدمات وبدون شرط؟ 
يقال انه اذا خضت حرباً مع احدهم فخضها بهداوة، فربما تسقط الراء..
.
.
.
.
#استشارة #استشارة_نفسية #دكتور_نفسي #احتراف #تخصص #متخصص #دكتور #مستشفى #مريض #مرض #دكتور #علاج #صحة #صحة_نفسية #الكويت #كويت#عقل#عيادة
#psychology#Psychologist#heal #mental_health #mind #mental #brain 
#clinic #expert #professional #mental #disorders #wellness #help</t>
  </si>
  <si>
    <t>18:12</t>
  </si>
  <si>
    <t>Пиелонефрит: почему он возникает и как его лечить?</t>
  </si>
  <si>
    <t>Боль в поясничной области – один из классических признаков пиелонефрита. Какие могут быть последствия, если вовремя не начать лечение? Что вызывает пиелонефрит и как его обнаружить? На эти и другие вопросы отвечает врач-уролог, андролог, хирург, врач УЗ-диагностики «Клиники Эксперт» Иркутск Степан Петрович Сидоров.
— Степан Петрович, расскажите, что это за болезнь – пиелонефрит?
— Это специфическое или неспецифическое воспаление почки, которое заключается в основном в поражении чашечно-лоханочной системы и паренхимы почек. Пиелонефрит бывает первичный (когда воспаление возникает непосредственно в самой почке), и вторичный (когда почки поражаются на фоне какого-то основного воспалительного заболевания).
— Каковы причины развития пиелонефрита?
— Это может быть гематогенный занос инфекции в почку (через кровь). На фоне общего воспалительного процесса микроэмболы попадают в паренхиму почки и вызывают там воспаление.
Также возможен восходящий путь инфицирования. Как это понять? Это когда имеется инфекция нижних отделов мочевыделительной системы (например, мочевого пузыря). Эти болезнетворные микроорганизмы поднимаются по мочеточникам и попадают в почку, в результате чего поражается чашечно-лоханочная система.
Кроме того, известен лимфогенный путь проникновения инфекции в почку, то есть с лимфой.
— Давайте поговорим о симптомах. Расскажите, как проявляется пиелонефрит?
— Классические симптомы – это боль в поясничной области, повышение температуры тела, общая слабость, озноб, помутнение мочи, нарушение мочеиспускания (т. е. мочеиспускание частое и болезненное). Иногда пиелонефрит может происходить без ярко выраженной симптоматики: без температуры, без помутнения мочи.
— Как проводится диагностика пиелонефрита? Какие анализы, иные исследования назначаются пациентам при подозрении на пиелонефрит?
— Во-первых, это сбор жалоб и анамнеза, осмотр пациента. Плюс назначают общий анализ крови и мочи, биохимическое исследование крови. Также проводится ультразвуковое сканирование почек, мочевого пузыря. Здесь необходимо сделать пометку, что по стандартам выполняется ещё и рентгенография грудной клетки. Это делается потому, что иногда проблемы с лёгкими (в частности, пневмонии) могут по своим симптомам, скажем так, имитировать пиелонефрит. Также проводится компьютерная томография мочевыделительной системы с внутривенным контрастированием по показаниям.
— А как лечат пиелонефрит?
— Лечение пиелонефрита заключается в комплексном подходе. Наряду с антибиотиками используются препараты, которые влияют на стадии воспаления, т. е. противовоспалительные средства. Также применяются лекарственные препараты, улучшающие кровообращение, помогающие в регенерации, и фитопрепараты.
— Фитопрепараты? То есть при пиелонефрите может помочь лечение народными средствами (травяные отвары, чаи)?
— Народные средства широко используются наряду со стандартной антибактериальной терапией. Никто, скажем так, не отменял из назначений урологические сборы трав, фитопрепараты. Они очень хорошо помогают, т. к. обладают и противовоспалительным эффектом, и мочегонным, что крайне важно при лечении пиелонефрита. Но, разумеется, назначать их должен только врач.
— Степан Петрович, какие осложнения могут возникнуть, если вовремя не начать лечение пиелонефрита?
— Самое грозное осложнение – это гнойный пиелонефрит. Вовремя непролеченный пиелонефрит приводит к тому, что гнойно-воспалительный процесс поражает саму паренхиму почки. В некоторых случаях это наносит непоправимый урон почке: необходимость оперативных вмешательств, декапсуляции почки, а иногда и её удаления.
— О чём нужно знать, чтобы не допустить развития болезни?
— Трудно сказать, о чём нужно знать. Здесь ведь мы идём от противного. К пиелонефритам приводят хронические циститы, заболевания ротоглотки, хронический тонзиллит. Поэтому, призываю следить за своим здоровьем, потреблять достаточный объём жидкости. Важно частое мочеиспускание, по требованию, т. е. нельзя терпеть, когда хочется помочиться.
#гк эксперт #мрт эксперт #почки #заболевания почек</t>
  </si>
  <si>
    <t>"เราผ่าตัดมา 10 ครั้ง
เรารู้ว่าจะต้องเจอกับอะไร
บางครั้งมันมากเกินไป
บางครั้งตรงนี้โด่งเกินไป
บางครั้งตรงนี้ต่ำเกินไป
บางครั้งตรงนี้แหลมเกินไป
จนจะทะลุอะไรอย่างนี้.."
นี่คือการผ่าตัดแก้จมูกครั้งที่ 11 ของคุณโหน่ง
ที่นารดาคลินิกค่ะ
ปัญหาของจมูกทรงปัจจุบันคือ..
จมูกลอย  บริเวณโคนจมูกขยับได้
ปลายจมูกไหลลงมา
ทรงจมูกแข็งทื่อ
รูจมูกไม่เท่ากันเลยสักครั้ง
เคยฉีดสารเหลวบริเวณสันจมูก
วันนี้คุณโหน่งไว้วางใจให้นารดาคลินิก
ดูแลในการปรับรูปทรงจมูกใหม่
ช่วยให้หน้าเธอดดูเฉี่ยวแต่หวานขึ้นมาได้อย่างลงตัวค่ะ
"พอดีได้ยินชื่อเสียงจากคนรอบข้างของเรา
ไม่ว่าจะเป็นช่างแต่งหน้าทำผม นางแบบนายแบบ
รวมถึงเซเลปที่เรารู้จัก เขาก็มาทำที่นี่
แล้วออกมาสวยเป็นธรรมชาติ
พี่ก็เลยมาคุยกับคุณหมอ แล้วก็ขอดูรีวิว
พอดูแล้วก็รู้สึกชอบทรงจมูกมากๆ
เพราะเป็นทรงที่อยากได้"
‍⚕️คุณหมอเป็นต่อ แพทย์ประจำนารดาคลินิก
ได้ให้คำแนะนำ พร้อมแก้ไขจมูกให้คุณโหน่งใหม่
ตามแบบที่ต้องการ..
"จากปัญหาที่ทำมา10ครั้ง
ทำให้โครงสร้างภายในมีพังผืด
และมีความเสียหายบางส่วน
วันนี้หมอใช้เทคนิคแบบOPEN
ใช้กระดูกอ่อนหลังหูรองปลาย
ทำให้จมูกดูยาวและงอนขึ้น
มีการฝังซิลิโคนให้ลึกกว่าเดิม
จะทำให้โครงสร้างข้างบนแน่นขึ้นครับ"
.
.
‍⚕️นอกจากนั้นคุณหมอยังได้เลาะซิลิโคนเหลวออก
มีการตะไบฮั้มของฐานเดิม  เพื่อลดความโด่ง
และทำให้ซิลิโคนแนบกับจมูกมากขึ้นด้วย
.
.
"คุณหมอมีประสบการณ์
แล้วเราก็มองดู ไม่ว่าจะเป็นห้องผ่าตัด
อุปกรณ์การแพทย์ เครื่องมือต่างๆ
รวมถึงการดูแลทั้งก่อนและหลังผ่าตัด
ก็รู้สึกว่าดีเยี่ยมเลยค่ะ"
นี่คือหนึ่งในเสียงตอบรับจากลูกค้า
ที่ทำให้เรามุ่งมั่นที่จะคัดสรรสิ่งดี
พร้อมให้บริการอย่างสุดหัวใจ
ไม่เพียงความสวยที่คุณจะได้รับกลับไป
แต่คือความประทับใจที่ไม่รู้ลืม
#ยินดีให้คำแนะนำทั้งก่อนและหลังทำโดยแพทย์ทุกเคส
ชมคลิปเต็มได้ที่..
 https://youtu.be/llxrzCtlw5U
ชมรีวิวในคอมเม้นท์นะคร้าาา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แก้จมูกรอบที่ 11 | คุณโหน่ง
https://www.facebook.com/NaradaTeam/videos/282847262786828/</t>
  </si>
  <si>
    <t>12:54</t>
  </si>
  <si>
    <t>Just think! By this point i dont bolive that there was 1 person left in the U.K. that hasnt be in contact with the virus. Mask or not. Would you leave it alone already. If this masks that dont work by the way were such a good idea. Why didnt they force them from the day one ?!? Would save 40k of lives not? Why introduce it when pandemic is going down? And who is making money on them? All know that this blue paper ones most common ones are made in chine. No? And sold world wide. Is that the way world wide governments are paying tax to China government for serving us with pandemic? Or a forward payment for next treat they have got instore for us?</t>
  </si>
  <si>
    <t>Matthew Liedke</t>
  </si>
  <si>
    <t>Центр МРТ Эксперт СНОВА продлевает скидку 20%Для Всех❗
☝Предложение действует только до 22.07.2020
☝Наш адрес: г. Рязань, ул. Профессора Никулина 3а
☎8(930)8803992.
☎+7(4912)92-39-92
➡Наш сайт: http://cmrtexpert.ru
#МРТРязань #МРТ#МРТЦены#МРТРязань#МРТ#Эксперт#Обследование#Здоровье#Москва#Луховицы#Озеры#Шатура#Коломна#Праздник</t>
  </si>
  <si>
    <t>5 ПРИЧИН БОЛИ В ГОРЛЕ
⠀
1️⃣ОРВИ
Самая распространенная причина боли в горле. Характерно чувство сухости, першения и боли в горле.
⠀
2️⃣Ангина
Характеризуется очень сильной болью в горле, красной, воспалённой гортанью. Миндалины воспалены и покрыты белым налетом.
⠀
3️⃣Фарингит
Отличительными признаками являются сухость в горле, першение, колющая боль в гортани. Слизистые оболочки горла красные и воспаленные, может отмечаться налет или выделение гноя.
⠀
4️⃣Ларингит
Воспаление гортани и голосовых связок. Основной признак — хриплый осипший голос или его полное исчезновение. Ларингит часто сопровождается ощущением царапающей боли в горле.
⠀
5️⃣Тонзиллит
Под этим названием скрывается воспаление небных миндалин. Острая боль в горле, жар, увеличение миндалин и гнойный налет на них являются основными симптомами.
⠀
⚠При сильной боли в горле необходимо немедленно обратиться к терапевту!
⠀
Стоимость консультации - 1000₽
⠀
Для записи:
⠀
☎ 8(865) 297-95-68
www.mrtexpert.ru
aevoronova@mrtexpert.ru
⏰ПН-ПТ: 7:00-23:00
⏰СБ: 8:00-20:00
Ставрополь, ул. Доваторцев, 39А
Лицензия: Л01-01-000027</t>
  </si>
  <si>
    <t>Сегодня у нас «сказочный» день. Для мам и пап сказка про глазки, компьютер и телевизор: https://www.mrtexpert.ru/articles/1071
Берегите зрение ваших детей!
#ГКЭксперт #мртэксперт #КлиникаЭксперт #педиатрия #сказкиИгоряЧичинова</t>
  </si>
  <si>
    <t>Сегодня у нас «сказочный» день. Для мам и пап сказка про глазки, компьютер и телевизор: https://www.mrtexpert.ru/articles/1071
Берегите зрение ваших детей!
#ГКЭксперт #мртэксперт #КлиникаЭксперт #педиатрия #сказкиИгоряЧичинова</t>
  </si>
  <si>
    <t>นารดาคลินิกขอแจ้งวันหยุดในวันพรุ่งนี้
(เสาร์ที่ 18 กรกฎาคม 2020) 
เนื่องจากมีการจัดอบรมพัฒนาบุคลากร 
.
.
ท่านสามารถสอบถาม/สำรองคิวได้ที่
Line : @naradaclinic 
ขออภัยในความไม่สะดวกค่ะ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นารดาคลินิกขอแจ้งวันหยุดในวันพรุ่งนี้
(เสาร์ที่ 18 กรกฎาคม 2020) 
เนื่องจากมีการจัดอบรมพัฒนาบุคลากร 
.
.
ท่านสามารถสอบถาม/สำรองคิวได้ที่
Line : @naradaclinic 
ขออภัยในความไม่สะดวกค่ะ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https://www.facebook.com/NaradaTeam/photos/a.568393426606903/2994909327288622/?type=3</t>
  </si>
  <si>
    <t>10:21</t>
  </si>
  <si>
    <t>Центр МРТ Эксперт Благодарит Всех пациентов за то, что остаётесь с нами долгое время и продлевает скидку 20%Для Всех❗
☝Предложение действует до 22.07.2020 
☝Наш адрес: г. Рязань, ул. Профессора Никулина 3а 
☎8(930)8803992. 
☎+7(4912)92-39-92 
➡Наш сайт: http://cmrtexpert.ru 
#МРТРязань #МРТ#МРТЦены#МРТРязань#МРТ#Эксперт#Обследование#Здоровье#Москва#Луховицы#Озеры#Шатура#Коломна#Праздник
@mrt_expert_62</t>
  </si>
  <si>
    <t>Шампунь R.T.H. Hair Clinic Expert Линия "Основной уход"</t>
  </si>
  <si>
    <t>Пусть у всех так блестят волосы, как у меня после этого шампуня) Отлично увлажняет, облегчает расчесывание, делает их мягкими, струящимися и послушными.
Достоинства: Идеален для сухих кончиков и жирных корней, Легкое расчесывание, Не спутывает волосы, Не сушит, Отлично увлажняет волосы, Придает мягкость и блеск, Приятный аромат, Хорошо промывает
Недостатки: Нет
Опыт использования:месяц или более
Стоимость:300 рублей
Здравствуйте!Сейчас лето, ярко светит солнце. Мне очень хочется, чтобы волосы блестели красиво. Но и чтобы на них не было сухости в этот период, как это часто бывает. Недавно я купила этот шампунь, и осталась им довольна.    
    СТОИМОСТЬ 300 рублей МЕСТО ПОКУПКИМагазин косметики моего города. УПАКОВКА И ИНФОРМАЦИЯ НА НЕЙУпаковка у шампуня удобная и симпатичная. Средство хранится в бутылке из белого пластика.    
    С разных сторон на ней можно увидеть информацию о продукте.    
    Вся она легко читаема и понятна.    
    Бутылка закрывается при помощи крышки. Чтобы начать пользоваться шампунем, нужно откинуть ее верхнюю часть. Это происходит быстро, без проблем.    
    ХАРАКТЕРИСТИКИ ШАМПУНЯНе могу сказать, что шампунь очень жидкий.    
    Он легко подается из бутылки, не заставляет себя ждать, но и не растекается слишком быстро. Пахнет приятно, аромат у него косметический. Оттенок у средства теплый, янтарный.В ПРОЦЕССЕ ИСПОЛЬЗОВАНИЯШампунь дает пену во время мытья, ее получается не мало. Для одной процедуры требуется немного продукта как раз по этой причине. Пенится он хорошо. По волосам распределяется ровно, не путается в них, быстро вымывается теплой водой.После себя оставляет легкий аромат.РЕЗУЛЬТАТЫ ИСПОЛЬЗОВАНИЯБаночка шампуня у меня уже на исходе, и я сформировала мнение о нем. Результатом я очень довольна. Я вижу, что он улучшил состояние и внешний вид моих волос.    
    После месяца использования✔️Волосы стали блестящими и красивыми. Они выглядят ухоженными.✔️Шампунь не утяжеляет. Наоборот, делает волосы легкими, струящимися и послушными.✔️Он не затрудняет расчесывание. Наоборот, он проходит легко даже без бальзама.    
    После месяца использования✔️Средство увлажняет волосы. На них нет сухости, хоть я и не всегда прячу их от солнца.    
    После месяца использования✔️На ощупь волосы мягкие и гладкие. Нет никакой жесткости.    
    После месяца использования✔️Кроме этого, я заметила, что мои корни, склонные к жирности, с ним дольше сохраняют свежесть даже в жаркую погоду.МОИ ВПЕЧАТЛЕНИЯ ОТ ШАМПУНЯЯ рада, что остановилась на нем во время покупки. Буду повторять еще. Минусов не нашла.Плюсы:✔️Удобная упаковка✔️Адекватная цена✔️Приятная текстура и аромат✔️Хорошо пенится✔️Низкий расход✔️Легко найти в продаже✔️Ухаживает за волосами. Увлажняет, придает блеск, смягчает, облегчает расчесывание. К покупке рекомендую!Спасибо за внимание!</t>
  </si>
  <si>
    <t>AnyBannyPanda</t>
  </si>
  <si>
    <t>irecommend.ru</t>
  </si>
  <si>
    <t>@SoundMi30765612 @lizardlm2 @ElijahSchaffer https://newsnetwork.mayoclinic.org/discussion/covid-19-mayo-clinic-expert-answers-questions-about-masks-after-cdc-updates-its-recommendation/</t>
  </si>
  <si>
    <t>emmubirb</t>
  </si>
  <si>
    <t>Граубюнден (Гризон)</t>
  </si>
  <si>
    <t>Cama</t>
  </si>
  <si>
    <t>09:50</t>
  </si>
  <si>
    <t>@AirgunB @SoundMi30765612 @lizardlm2 @ElijahSchaffer cool but being in the health field maybe puts me past a 90's middle school bio class https://newsnetwork.mayoclinic.org/discussion/covid-19-mayo-clinic-expert-answers-questions-about-masks-after-cdc-updates-its-recommendation/</t>
  </si>
  <si>
    <t>Мучительный страх, потеря контроля над ситуацией... Панические атаки отравляют жизнь. Но с ними можно бороться. О панических атаках мы побеседовали с ведущим специалистом отделения неврологии «Клиники Эксперт» Курск Натальей Умеренковой: https://www.mrtexpert.ru/articles/909
#ГКЭксперт #мртэксперт #КлиникаЭксперт #КлиникаЭкспертКурск</t>
  </si>
  <si>
    <t>07:34</t>
  </si>
  <si>
    <t>WATCH: City Official Cancels Meeting Because Crowd Refuses To Wear Masks (VIDEO)</t>
  </si>
  <si>
    <t>"  I have not seen a study demonstrating any efficacy agains viruses."
Then you are a very poor researcher, have not even looked, are talking out your butt, or are purposely misleading.
Here's the Mayo Clinic to disprove your obviously inadequate research."not seen any study" I found in less than 15 seconds.
"So the coronavirus is about 0.12 microns in diameter and N95 (masks) protect down to 0.1 microns, with 95% efficiency, which is where it gets its name."
https://newsnetwork.mayoclinic.Org/discussion/covid-19-mayo-clinic-expert-answers-questions-about-masks-after-cdc-updates-its-recommendation/
The N95 has been shown in other studies by NIH, 3M and others to filter even smaller than that.
I'm so tired of arguing points I Know to be fact. Do some real research on N95s. Pore size is Not the only criteria for filtering efficiency. Due to turbulence, electrostatic charges and other attributes they filter to the Sub micron level.
But you're right. The crap people are using is useless. And I am not advocating mask use especially forced use of masks.</t>
  </si>
  <si>
    <t>Jack</t>
  </si>
  <si>
    <t>thegatewaypundit.com</t>
  </si>
  <si>
    <t>The Gateway Pundit</t>
  </si>
  <si>
    <t>Meso White Gold
#บำรุงฟื้นฟูผิวให้มีออร่า
#ผสมผสานเทคโนโลยีที่เข้าสู่ผิวได้ลึก20เท่า
.
.
‍⚕️ทรีทเม้นท์มหัศจรรย์แห่งทองคำ
เพื่อผิวกระจ่างใสแบบไม่ง้อเข็ม
‍⚕️ลดเลือนฝ้ากระจุดด่างดำ
‍⚕️แก้ปัญหาความหมองคล้ำบนใบหน้า
.
.
#ขั้นตอนสู่ผิวสุขภาพดี
 คลีนซิ่งทำความสะอาดใบหน้า
 ลงเจลวิตามินบำรุงผิวสูตรเฉพาะของนารดา
 ผลักวิตามินเข้าสู่ผิวด้วยเทคโนโลยี
Needle - Free Mesotherapy
 มาส์คทองคำเพื่อผิวกระจ่างใส
#ยินดีให้คำปรึกษาปัญหาผิวพรรณ
#ยินดีให้คำแนะนำทุกโปรแกรมค่ะ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รูปภาพจากโพสต์ของ Narada Clinic คลินิกความงามเชียงใหม่
https://www.facebook.com/568390943273818/posts/2992221330890755/</t>
  </si>
  <si>
    <t>06:58</t>
  </si>
  <si>
    <t>And we went to the moon. How many idiots wearing masks wear the same mask since this started?</t>
  </si>
  <si>
    <t>Holi Phuc</t>
  </si>
  <si>
    <t>Анонимно. Подскажите,где можно подешевле сделать МРТ тазобедренных суставов. В Нутриции дорого, один сустав стоит 4000</t>
  </si>
  <si>
    <t>МРТ-эксперт Зеленоград.</t>
  </si>
  <si>
    <t>Галина Галина</t>
  </si>
  <si>
    <t>Подслушано у девочек • Истра (18+)</t>
  </si>
  <si>
    <t>@ImJohnOHurley From the Mayo Clinic/CDC, took 1 google search and im sure i could find you more indepth research with some actual effort
In the future, you could atleast attempt to research before claiming you are correct.
https://newsnetwork.mayoclinic.org/discussion/covid-19-mayo-clinic-expert-answers-questions-about-masks-after-cdc-updates-its-recommendation/</t>
  </si>
  <si>
    <t>anthony</t>
  </si>
  <si>
    <t>03:17</t>
  </si>
  <si>
    <t>@Cameron14054836 @817jab @GavinNewsom https://newsnetwork.mayoclinic.org/discussion/covid-19-mayo-clinic-expert-answers-questions-about-masks-after-cdc-updates-its-recommendation/</t>
  </si>
  <si>
    <t>AmericaFirst</t>
  </si>
  <si>
    <t>16.07.2020</t>
  </si>
  <si>
    <t>21:18</t>
  </si>
  <si>
    <t>«МРТ Эксперт» и «Клиника Эксперт»,понятно, спасибо. А что может предложить оператор, либо тканевая маска либо вообще без неё. Тканевая маска это бесполезно. Если до меня был в томографе больной короновирусом, тканевая маска не поможет.</t>
  </si>
  <si>
    <t>Elena Vyatkova</t>
  </si>
  <si>
    <t>20:46</t>
  </si>
  <si>
    <t>Здравствуйте,хочу пройти МРТ головного мозга ,мучают боли ,в определенном месте только пульсирующая боль возникает</t>
  </si>
  <si>
    <t>Советую МЦ МРТ Эксперт на Рылеева в Челябинске. Работаю до 11.00, удобно съездить после работы.</t>
  </si>
  <si>
    <t>Олеся Дацко</t>
  </si>
  <si>
    <t>Мамины секреты г. Учалы</t>
  </si>
  <si>
    <t>Кыштым</t>
  </si>
  <si>
    <t>Предрак. Что это такое? Нужно ли бояться этого состояния или можно его проигнорировать?
Разобраться в проблеме предрака нам помогла врач общей практики, гастроэнтеролог «Клиника Эксперт Смоленск» Оковитая Юлия Николаевна: https://www.mrtexpert.ru/articles/653
#ГКЭксперт #мртэксперт #КлиникаЭксперт #КлиникаЭкспертСмоленск #КлиникаЭкспертонкология #предраковыесостояния</t>
  </si>
  <si>
    <t>Предрак. Что это такое? Нужно ли бояться этого состояния или можно его проигнорировать?
Разобраться в проблеме предрака нам помогла врач общей практики, гастроэнтеролог «Клиника Эксперт Смоленск» Оковитая Юлия Николаевна: https://www.mrtexpert.ru/articles/653
#ГКЭксперт #мртэксперт #КлиникаЭксперт #КлиникаЭкспертСмоленск #КлиникаЭкспертонкология #предраковыесостояния</t>
  </si>
  <si>
    <t>16:45</t>
  </si>
  <si>
    <t>5 СОВЕТОВ ПЕРЕД МРТ:
⠀
✅Снимите все металлосодержащие предметы - ювелирные изделия, шпильки, часы, цепочки, крестики и т.д.;
⠀
✅Наденьте удобную одежду или возьмите с собой футболку с коротким рукавом;
⠀
✅Перед процедурой сходите в туалет. Особенно, если у вас бывают проблемы с животом от волнения;
⠀
✅Вы можете воспользоваться успокоительными средствами перед процедурой;
⠀
✅Приходите заранее, минут за 20 до назначенного времени. Так вы успеете спокойно подготовиться к процедуре.
⠀
В «Клинике Эксперт Ростов» проводим диагностику по всем направлениям.
⠀
Запишитесь на консультацию:
⠀
☎ 8(863) 309-11-29
www.mrtexpert.ru
rostov_admin@mrtexpert.ru
⠀
⏰ПН-ВС: 7:00-22:00
Ростов-на-Дону, ул. Красноармейская, д.262/122, пом.1
Лицензия: ЛО-61-01-006908</t>
  </si>
  <si>
    <t>Гоча Русадзе</t>
  </si>
  <si>
    <t>Apollo Clinic</t>
  </si>
  <si>
    <t>Expert doctors within reach even during pandemic</t>
  </si>
  <si>
    <t>Ambarish Bhattacharya</t>
  </si>
  <si>
    <t>New Town</t>
  </si>
  <si>
    <t>15:58</t>
  </si>
  <si>
    <t>15:05</t>
  </si>
  <si>
    <t>Мучительный страх, потеря контроля над ситуацией... Панические атаки отравляют жизнь. Но с ними можно бороться. О панических атаках мы побеседовали с ведущим специалистом отделения неврологии «Клиники Эксперт» Курск Натальей Умеренковой: https://www.mrtexpert.ru/articles/909
#ГКЭксперт #мртэксперт #КлиникаЭксперт #КлиникаЭкспертКурск</t>
  </si>
  <si>
    <t>#ปรับดวงตาให้หน้าดูเด็กลง
#เทคนิคเฉพาะตัวที่จะเปลี่ยนคุณให้โดดเด่นขึ้น
#มีเสน่ห์แบบCharmingEyes
.
.
 แก้ชั้นตาใหม่
 ชั้นตาดูเล็กลง ขนตางอนขึ้น
 ลืมตาได้สบายขึ้น หน้าดูเด็กลง
 ตาดูสดใสขึ้น
 ตัดไขมันส่วนเกิน
 ดึงกล้ามเนื้อตาลีเวเตอร์
.
.
#ยินดีให้คำปรึกษาทั้งก่อนและหลังทำทุกเคสโดยแพทย์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รูปภาพจากโพสต์ของ Narada Clinic คลินิกความงามเชียงใหม่
https://www.facebook.com/568390943273818/posts/2989646757814879/</t>
  </si>
  <si>
    <t>12:29</t>
  </si>
  <si>
    <t>@mrt.expert.2018 Болезненные ощущения в локтевом суставе редко заставляют человека обращаться к врачу, особенно, если неприятные ощущения проходят быстро и беспокоят только после физических нагрузок. Но при сильном болевом синдроме, который сохраняется длительное время, необходимо обратиться за медицинской помощью. 
Чтобы избавиться от боли, нужно выявить ее причину.
Магнитно-резонансная томография — выявляет дегенеративные процессы, опухоли, травмы, очаги инфекций и воспалений.
По результатам диагностики узким специалистом  назначается лечение, которое устраняет причину боли в локте и облегчает состояние пациента.
Получить консультацию по цене записи на прием Вы можете прямо здесь обратившись к нам в личные сообщения.
#мртлоктевогосустава
#мртлоктевыхсуставов #мртбалаково #мртвбалаково #340-304 #89270510303
@mrt.expert.2018</t>
  </si>
  <si>
    <t>ГИППОКРАТ</t>
  </si>
  <si>
    <t>Саратовская область</t>
  </si>
  <si>
    <t>Балаково</t>
  </si>
  <si>
    <t>Болезненные ощущения в локтевом суставе редко заставляют человека обращаться к врачу, особенно, если неприятные ощущения проходят быстро и беспокоят только после физических нагрузок. Но при сильном болевом синдроме, который сохраняется длительное время, необходимо обратиться за медицинской помощью. 
Чтобы избавиться от боли, нужно выявить ее причину.
Магнитно-резонансная томография — выявляет дегенеративные процессы, опухоли, травмы, очаги инфекций и воспалений.
По результатам диагностики узким специалистом  назначается лечение, которое устраняет причину боли в локте и облегчает состояние пациента.
Получить консультацию по цене записи на прием Вы можете прямо здесь обратившись к нам в личные сообщения.
#мртлоктевогосустава
#мртлоктевыхсуставов #мртбалаково #мртвбалаково #340-304 #89270510303
@mrt.expert.2018</t>
  </si>
  <si>
    <t>mrt.expert.2018</t>
  </si>
  <si>
    <t>Masks: Finally found an answer as to why the push for them</t>
  </si>
  <si>
    <t>And finally we know the real reason to wear a costume made up of a hankerchief around our faces that does absolutely nothing.
It’s a control thing nothing more.
They want to remind us of how shitty our lives our.
Wonder why?
Hmm perhaps to take our anger out the current Orange occupant of the WH?!?!
F these people.
quote:
Q. Why is the CDC recommending that people wear cloth masks in public?
 A. The reason to do this, even though they're not quite the same efficacy as medical masks, is that they do have some level of efficacy. They are not only a way of decreasing breathing in the virus, primarily through large respiratory droplets, but also a behavioral reminder that there's a pandemic and life is not the same right now ? and a reminder not to put our hands in our eyes nose or mouth until we've washed our hands.
 Mayo Clinic  https://newsnetwork.mayoclinic.org/discussion/covid-19-mayo-clinic-expert-answers-questions-about-masks-after-cdc-updates-its-recommendation/ 
ETA- Asymptomatic transmitters is bull shite as well.
Are you telling me that if I have the virus and I have no symptoms that my viral load is high enough to escape in my normal course of breathing to adversely effect someone else?!?!  Horse shite.
If the viral load is not enough to make me sick than how the frick am I going to expel a high enough load to someone else?
This post was edited on 7/16 at 7:49 am</t>
  </si>
  <si>
    <t>Covingtontiger77</t>
  </si>
  <si>
    <t>tigerdroppings.com</t>
  </si>
  <si>
    <t>Political Talk</t>
  </si>
  <si>
    <t>09:42</t>
  </si>
  <si>
    <t>@angryyoungman55 @tirangawasi @sarkaaridoc @amasaesle @iam_Bhavya Needs to be considered for small particles which defines the smaller the particle the more the vibrations and movement hence making it more susceptible to being captured by N95 masks. 
https://newsnetwork.mayoclinic.org/discussion/covid-19-mayo-clinic-expert-answers-questions-about-masks-after-cdc-updates-its-recommendation/</t>
  </si>
  <si>
    <t>Shiblu</t>
  </si>
  <si>
    <t>09:37</t>
  </si>
  <si>
    <t>Как сохранить здоровье желудочно-кишечного тракта</t>
  </si>
  <si>
    <t>Специалисты пермской клиники «Эксперт» в студии Радио «Комсомльская правда»-Пермь». Фото: Ирина Аверкина.   Вам также может понравиться   Мужчина сбросил почти 100 кг и раскрыл секрет похудения :: Здоровье и красота :: Гродненская правда   Кожемяко вручил ключи от новых машин скорой помощи врачам Приморья | ЗДОРОВЬЕ   К 13 июля на Ставрополье скончался ещё один пациент с коронавирусом | ЗДОРОВЬЕ:Обстановка | ЗДОРОВЬЕ   В прямой эфир радио «Комсомольская правда»-Пермь» (96.6 FM) пришли врачи пермской клиники «Эксперт»: профессор хирургии, врач-эндоскопист  Валерий Новиков  , хирург, колопроктолог  Татьяна Шварева  , сердечно-сосудистый хирург, кандидат медицинских наук, зам.главного врача по амбулаторно-поликлинической работе  Виктор Кашин  .    «Заправлять» организм нужно правильной пищей    Речь в программе шла о здоровье желудочно-кишечного тракта. Специалисты рассказали об основных правилах приема пищи и перечислили те симптомы, на которые нужно обратить внимание, чтобы оставаться здоровым долгие годы.   — Болезни желудочно-кишечного тракта, конечно же, связаны с той пищей, которую мы принимаем, — объяснил  Валерий Новиков  . – Очень важна и регулярность приема пищи. Кушать нужно часто и понемногу и избегать агрессивных продуктов: маринованных помидоров, огурцов и жирной пищи и т.д..   Но не только сбалансированное питание поможет человеку уберечь себя от заболеваний ЖКТ. Также на состояние желудочно-кишечного тракта могут негативно влиять стрессы, которых у современных людей предостаточно, вирусные инфекции и агрессивная городская среда. Кстати, маски, которые мы сейчас носим, чтобы уберечься от коронавируса, помогают человеку защитить себя и от агрессивной городской пыли.   Врачи дали несколько советов, как правильно питаться, чтобы сохранить здоровье в частности, желательно кушать в одно и то же время, тогда ферментные системы всегда будут готовы к приему пищи.   — Также не нужно делать большие перерывы в приеме пищи и переедать, — поясняет  Татьяна Шварева  . – Объем принимаемой пищи должен составлять 200-250 граммов. И обязательно важно кушать больше клетчатки, чтобы кишка лучше дренировала все, что вы съели.    Симптомы, после появления которых необходимо не затягивать поход к врачу    На какие симптомы стоит обратить внимание человеку, чтобы его заболевание не перешло в хроническое форму? Если человек отмечает у себя неоднократную изжогу, как реакцию на разные продукты питания, любые боли в верхней, средней или нижней области живота или расстройства, такие, как выброс пищи через рот или кишечник. В этих случаях стоит максимально быстро обратиться к врачу за медицинской помощью.   — и если вы увидели в своих выделениях кровь или слизь с багровым оттенком, то тоже нужно срочно обратиться к врачу, — добавила Татьяна Шварева.   Отметим, что клиника «Эксперт» предоставляет своим клиентам весь спектр услуг по диагностике желудочно-кишечного тракта. Пациентам, которые входят в «группу риска», показанопроводение эндоскопического исследования. В России эта услуга очень востребована, но нередко пациенты боятся боли и дискомфорта, которыми сопровождается такое процедура.   — Во многих западных странах эти исследования проводятся под местным обезболиванием, — объяснили гости радиостудии. — В нашей клинике тоже все инвазивные эндоскопические вмешательства выполняются с обезболиванием. Во-первых, есть ряд препаратов, которые помогут пройти обследование комфортно. Во-вторых, у нас есть специалисты-анестезиологи, которые отвечают за безопасное и быстрое введение обезболивающих препаратов, и за контроль состояния пациента при проведении манипуляций.   Почему важно проходить подобные обследования? Нередко у человека в организме существуют так называемые полипы, которые со временем – через шесть – восемь лет могут перерасти в злокачественные образования. Специалисты во время обследования могут просто убрать полип, и проблема исчезнет. Тянуть с обследованием не стоит: если начались боли или появились метастазы, помочь пациенту будет уже гораздо сложнее.    Гости студии ответили на вопросы радиослушателей    —  Мой шестилетний ребенок плохо ест, мы прошли обследование, у нас ничего не выявили. Врачи рекомендуют кормить его супами  , — поделилась с гостями эфира радиослушательница.   — Питание детей – это больное место. Здесь важны те же самые принципы: регулярность питания, отсутствие агрессивной пищи и фаст-фудов.   —  У меня вопрос к проктологу: насколько опасно кровотечение из геморроидальных узлов?  – позвонила в студию Светлана.   — Это действительно очень опасно. Любое кровотечение – это признак обострения болезни и повод немедленно обратиться к врачу! Однако бывает, что люди по нескольку лет ходят и «кровят». Думают, что причина – геморрой, а на самом деле это может быть опухоль прямой кишки. В данном случае важно понять, откуда кровотечение и сделать это может только специалист, который назначит обследование, поставит диагноз, а потом начнет лечить.   Обращаясь в клинику «Эксперт» пациенты могут быть уверенны в том, что весь персонал клиники заботиться об их безапасности. По всей территория здания нанесена разметка, которая позволяет сохранять социальную дистанцию, термомомитрия каждого работника перед началом смены и каждого пациента позволяют минимизировать риск контакта с вирусным больным, ну и, конечно, наши администраторы при необходимости, обеспечат каждого посетителя средствами индивидуальной защиты.    В Перми прием ведут два центра:    ул. Подлесная, 6 (МРТ-диагностика);   ул. Монастырская, 42А (диагностический центр (МРТ, КТ, маммография с томосинтезом, рентген), поликлиника 30 медицинских направлений, эндоскопия, УЗИ, анализы).   Сайт: https://www.mrtexpert.ru/prm   Группа клиники ВКонтакте: vk.com/clinic_expert_perm   Группа клиники в Instagram: instagram.com/clinic_expert_perm/    ДЛЯ СПРАВКИ:    Федеральная сеть медицинских центров Группы компаний «Эксперт» основана в 2007 году, на данный момент представлена в 37 регионах России: 40 диагностическими центрами, 11 многопрофильными медицинскими центрами.    ИМЕЮТСЯ ПРОТИВОПОКАЗАНИЯ, НЕОБХОДИМА КОНСУЛЬТАЦИЯ СПЕЦИАЛИСТА!   
 Источник  Теги: врач год клиника новиков Пермь Пища приём Специалист эксперт</t>
  </si>
  <si>
    <t>Оперативно!</t>
  </si>
  <si>
    <t>operativno.net</t>
  </si>
  <si>
    <t>#หน้าจะใสแบบไม่มีอัลไลมาขวางกั้น
#กับโปรรักษาสิวสุดปังจากนารดา
#สิวผด #สิวอักเสบ #สิวเรื้อรังมาทางนี้..
.
.
โปรรักษาสิว Acne Sure
ราคารายครั้ง 1,200 บาท
คอร์ส 5 ครั้ง 5,900 บาท
คอร์ส 10 ครั้ง 9,900 บาท
.
.
โปรแกรม Acne Sure + Meso Acne
ราคารายครั้ง 2,900 บาท
คอร์ส 5 ครั้ง 11,900 บาท
คอร์ส 10 ครั้ง 19,900 บาท
.
.
โปรแกรม Acne Sure + UPL Laser
ราคารายครั้ง 2,900 บาท
คอร์ส 5 ครั้ง 11,900 บาท
คอร์ส 10 ครั้ง 19,900 บาท
.
.
โปรแกรม Acne Sure + UPL Laser + Meso Acne
ราคารายครั้ง 3,900 บาท
คอร์ส 5 ครั้ง 16,900 บาท
คอร์ส 10 ครั้ง 29,900 บาท
#ถ้าเรื่องสิวไม่ใช่แค่เรื่องสิวๆสำหรับคุณ
#มาหาเรานะคะ
#ยินดีให้คำแนะนำทั้งก่อนและหลังการรักษา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โปรแกรมรักษาสิว |นารดาคลินิก
https://www.facebook.com/NaradaTeam/videos/278023360168894/</t>
  </si>
  <si>
    <t>04:34</t>
  </si>
  <si>
    <t>@jcho710 https://newsnetwork.mayoclinic.org/discussion/covid-19-mayo-clinic-expert-answers-questions-about-masks-after-cdc-updates-its-recommendation/</t>
  </si>
  <si>
    <t>paul stimmler</t>
  </si>
  <si>
    <t>Миннеаполис</t>
  </si>
  <si>
    <t>15.07.2020</t>
  </si>
  <si>
    <t>20:49</t>
  </si>
  <si>
    <t>«МРТ Эксперт» и «Клиника Эксперт», Мурманск. То есть с алюминиевой полоской в респираторе можно на МРТ?</t>
  </si>
  <si>
    <t>Доброго дня. Где в Орле хорошо делают мрт сосудов головного мозга? и что по ценам?</t>
  </si>
  <si>
    <t>МРТ ЭКСПЕРТ номер один, Бурденко в мск принимает снимки этой сети без проблем, это федеральная сеть центров которая всегда входит в топ 15 диагностических центров, тот же Шураев выходец из МРТ Эксперт</t>
  </si>
  <si>
    <t>Демир Чеховской</t>
  </si>
  <si>
    <t>Дагестан</t>
  </si>
  <si>
    <t>Каспийск</t>
  </si>
  <si>
    <t>عدم استصغار هذه المسألة واخذها بعين الاعتبار، كونها مؤثرة بشكل مباشر على سلوكياتنا وتجاربنا الشخصية، اتمنى من كل قلبي الالتفات الى ما يؤثر على حياتنا بالسلب من هذه العادات. نراها صغيرة في وقتنا الحالي وهي كبيرة بشكل مرعب في المستقبل 
.
.
.
.
#استشارة #استشارة_نفسية #دكتور_نفسي #احتراف #تخصص #متخصص #دكتور #مستشفى #مريض #مرض #دكتور #علاج #صحة #صحة_نفسية #الكويت #كويت#عقل#عيادة
#psychology#Psychologist#heal #mental_health #mind #mental #brain 
#clinic #expert #professional #mental #disorders #wellness #help</t>
  </si>
  <si>
    <t>Peter Navarro: Dr. Anthony Fauci Was Wrong During Coronavirus Fight</t>
  </si>
  <si>
    <t>A Mayo Clinic expert, "The idea behind an N95 mask is it has a filtering ability down to, and actually below, the size of SARS-CoV-2, the virus that causes COVID-19. So the coronavirus is about 0.12 microns in diameter and N95 (masks) protect down to 0.1 microns, with 95% efficiency, which is where it gets its name."</t>
  </si>
  <si>
    <t>DisqusID</t>
  </si>
  <si>
    <t>Yes you said it so well, “...a behavioral reminder...” enemies of the people</t>
  </si>
  <si>
    <t>Yossi Mahler</t>
  </si>
  <si>
    <t>18:23</t>
  </si>
  <si>
    <t>Конченная контора, записаны были на 17:45, а по факту ждали пока человек который зашёл перед нами закончит. По итогу нам предложили перезаписаться на 19:00. Нам больше делать нечего как ждать.</t>
  </si>
  <si>
    <t>артем нерсесов</t>
  </si>
  <si>
    <t>МРТ: Рассеянный склероз - снова о теории мифологии. Часть 4
По опыту работы в «МРТ-Эксперт» г. Костромы
МРТ-РС снова о теории мифологии. Часть 4.doc
https://vk.com/doc71191578_559678908?hash=50e6f82c9ff4ac5519&amp;dl=GI4TCMJUGU2DE:1596487529:5d554f47fd3e3c0219&amp;api=1&amp;no_preview=1</t>
  </si>
  <si>
    <t>Много ли проблем со здоровьем, которые могут явно беспокоить человека, но при этом деликатны настолько, что некоторые необоснованно откладывают визит к врачу?
С врачом-проктологом «Клиника Эксперт Тула» Коноваловой Галиной Анатольевной говорим о геморрое: https://www.mrtexpert.ru/articles/652
#ГКЭксперт #мртэксперт #КлиникаЭксперт #КлиникаЭкспертТула
#колопроктология #заболеваниякишечника</t>
  </si>
  <si>
    <t>Много ли проблем со здоровьем, которые могут явно беспокоить человека, но при этом деликатны настолько, что некоторые необоснованно откладывают визит к врачу?
С врачом-проктологом «Клиника Эксперт Тула» Коноваловой Галиной Анатольевной говорим о геморрое: https://www.mrtexpert.ru/articles/652
#ГКЭксперт #мртэксперт #КлиникаЭксперт #КлиникаЭкспертТула
#колопроктология #заболеваниякишечника</t>
  </si>
  <si>
    <t>16:24</t>
  </si>
  <si>
    <t>"МРТ Эксперт" Новосибирск</t>
  </si>
  <si>
    <t>"МРТ Эксперт" Новосибирск
Грамотные специалисты, высокоточное оборудование и индивидуальный подход! Все это ждет вас в "МРТ Эксперт" Новосибирск.
В нашем центре вы можете пройти МРТ исследования головы и сосудов, молочных желез, позвоночника, малого таза, мягких тканей и средостения. Также вы можете записаться на УЗИ выделительной системы, мягких тканей, сердца и сосудов, желез и органов малого таза. 
Чтобы записаться на приём к одному из наших квалифицированных специалистов, позвоните по телефону:
+7 (383) 312-06-74</t>
  </si>
  <si>
    <t>грамотные специалисты высокоточное оборудование индивидуальный подход мрт эксперт 319 1551</t>
  </si>
  <si>
    <t>16:06</t>
  </si>
  <si>
    <t>МРТ – РС: снова о теории мифологии. Часть 4</t>
  </si>
  <si>
    <t>Литература: «Демиелинизирующие заболевания ЦНС», «МРТ в диагностике демиелинизирующих заболеваний ЦНС», 
«Дифференциальный диагноз РС» МРТ-Эксперт 2011 – 2012г, «Критерии МРТ-диагностики рассеянного склероза» Пронин И.Н.
В продолжение темы – ещё по поводу классификаций РС: видимо, пути господни неисповедимы, равно как и мысли отцов МРТ-логов по этому поводу, поэтому вдобавок ко всем классификациям с 1988 – 2010 годов, отражённым в таблице ниже, появляются ещё два дополнительных синдрома – КИС и РИС (то есть соответственно клинический и радиологический изолированные синдромы). Как шутят клиницисты, «хорошее дело синдромом не назовут», поэтому вполне понятно, что появляются они весьма искусственно, и только для того, чтобы сгладить эти упомянутые ранее диагностические неувязки.
Однако из них именно РИС заслуживает наибольшего внимания, и вот почему – см. скрин №01: практически в первом же пункте описывают, по сути, классификацию РС по Barkhof и соавторов от 1997 года: « T2-гиперинтенсивные очаги более 3мм. соответствующие критериям Barkhof (не менее 3 из 4 пунктов), не связанные с сосудистыми изменениями». По сути, именно эти критерии, принятые на международном совещании в начале 2000-х годов, вошли во все более поздние классификации, включая и McDonald W.I.от 2005 года. Но обратите внимание, что здесь эти критерии стали не основой диагностики РС, а всего лишь синдромом, а потому при любых сомнениях или спорных моментах всегда можно сказать: так мы же вам не РС описываем, а только его изолированный синдром! По-моему, всё очень продуманно и дипломатично, и пусть лечащий врач радуется, что этих синдромом только два, а затем интерпретирует их, сколько хочет – это уже его проблема.
А если прибавить к этому дальнейшее описание РИС – см. скрин №02--03: «нет указаний на признаки неврологической дисфункции; изменения в социальной и общественной деятельности, не связанные с очагами на МРТ (а кто сказал, что они не связаны?); не связанные с прямыми физиологическими воздействиями (наркомания, отравления и др.), или медицинскими причинами (а кто решил, что они не связаны?); или не могут быть объяснены другими известными заболеваниями». То есть не надо объяснять лишний раз, даже при всей дипломатии, что этот РИС становится очередной чёрной дырой в МРТ-диагностике, куда можно свалить практически всё, не связанное с известными анамнестическими причинами. Даже если врач-диагност ничего не знает про них, либо не может объяснить «другими известными заболеваниями», исходя из своего опыта и квалификации. Проще решить, что они не связаны – и поставить на этом точку.
Интересно решается вопрос и с КИС – клинически-изолированным синдромом – см. скрины №04—05: «Острый или подострый период неврологической дисфункции, являющийся объективным признаком очагового поражения ЦНС». Ранее я уже останавливался на этом моменте в плане дифф.диагностики, сколько демиелинизирующих заболеваний могут давать подобную симптоматику и картину на МРТ, а потому смысл вычленения подобного синдрома мне тем более непонятен.
Выводы из этих КИС и РИС сделать несложно:
Первый вывод – если есть какие-то непонятные очаги, но нет клиники, все классификации очередной раз устарели (или активно модифицируются в данный момент), а потому навялить клиницисту диагноз РС затруднительно – ввиду того, что он будет сомневаться и задавать вопросы – то надо ставить именно РИС, радиологически-изолированный синдром. А тем более, если пациент темнит и уходит перед врачом МРТ в глубокую «несознанку», не желая признаваться в своей наркомании/токсикомании, или других изменениях в своей личной и социальной/профессиональной/общественной деятельности; либо сам врач-диагност решает, что хватит с него уже этой дифф.диагностики – то постановка синдрома РИС здесь самое то, что нужно. И потому более всего меня умиляет последний, 6-ой пункт в описании РИС: «МРТ изменения ЦНС не могут быть объяснены другими известными заболеваниями». Не могут – и точка, врачу же на МРТ виднее-))
Второй вывод: если есть некие эпизоды неврологической дисфункции пациента, но нет типичной картинки на МРТ, подходящей под существующие классификации (либо они очередной раз устарели и активно модифицируются в данный момент); но очень хочется поставить РС и поскорее сплавить пациента неврологу, то диагноз КИС здесь просто незаменим. И кстати заметьте по картинкам: те симптомы КИС, которые до 85% (то есть с очень высокой степенью вероятности) якобы являются дебютом РС, всё равно остаются этим изолированным синдромом, а не предполагаемым диагнозом. То есть дипломатия снова превыше всего, а лечащий врач пусть снова интерпретирует, сколько захочет – это же снова его проблема! Возвращаясь немного назад, можно заметить, что только у 33% пациентов с РИС отмечается появление неврологической симптоматики, с переходом в КИС или КДРС (то есть клинический дебют рассеянного склероза) – см. снова скрин №03 – но, как видно, этого вполне хватает для теоретического оправдания существования обоих этих синдромов.
То есть в теории отцов-основателей МРТ есть стройная картина изменений, как говорится, на все случаи жизни: РИС переходит в КИС, КИС переходит в КДРС, КДРС в сам рассеянный склероз (подобно библейским сказаниям, Авраам родил Каина, Каин родил Исаака – как-то так, вроде бы? – то есть кто из ветхозаветных героев-мужчин кого родил, и в какое время). Поэтому, будучи атеистом, мне всегда очень сложно воспринимать подобную мифологию, даже с той излюбленной мантрой в конце, что «Данное заключение не является диагнозом...», и далее по тексту их стандартного шаблона.
А что же на практике, в нашей реальной жизни? Вот несколько цитат из научных работ и диссертаций, наиболее показательные по своей сути – работы в приложении к посту. 
Коллеги-клиницисты, просто прочитайте ещё раз и вдумайтесь, что пишут по этому поводу настоящие учёные, а не чьи-то местные теоретики (на уровне «экспертовских» доцентов с кандидатами):
Работа №1:
КЛИНИКО-ИММУНОЛОГИЧЕСКИЕ СОПОСТАВЛЕНИЯ В ДЕБЮТЕ ДЕМИЕЛИНИЗИРУЮЩИХ ЗАБОЛЕВАНИЙ ЦЕНТРАЛЬНОЙ НЕРВНОЙ СИСТЕМЫ.  Диссертация на соискание ученой степени кандидата медицинских наук – СПБ, 2017 год.
Работа №2:
КЛИНИКО-ИНСТРУМЕНТАЛЬНЫЕ КОРРЕЛЯТЫ КЛИНИЧЕСКИ ИЗОЛИРОВАННОГО СИНДРОМА.  А.В. Захаров, Г.Т. Долгих, Т.А. Долгих, ГУЗ «Самарская областная клиническая больница им. М.И. Калинина» – Медицинский альманах, 2011 год.
Работа №3:
ПЕРВАЯ АТАКА ДЕМИЕЛИНИЗИРУЮЩЕГО ПРОЦЕССА  (КЛИНИЧЕСКИ ИЗОЛИРОВАННЫЙ СИНДРОМ) В ПОПУЛЯЦИИ РОСТОВСКОЙ ОБЛАСТИ. Диссертация на соискание ученой степени кандидата медицинских наук – Москва, 2014 год.
По поводу перехода различных форм РС друг в друга, дегенерации ЦНС и иммунном ответе (хотя вопрос очень дискуссионный, как отмечено ниже): «Основанием для проведения диссертационной работы послужили результаты научных исследований и открытий в области изучения механизма развития РС, а также связи развития демиелинизирующего процесса с инфекционным фактором, этиология которого еще до конца не ясна…Также пока остаются дискуссионными предикторы конверсии клинически и радиологически изолированного синдрома в КДРС и течения хронического демиелинизирующего процесса. Требуют уточнения механизмы иммунного ответа и его особенности при воспалении и дегенерации ЦНС, что в дальнейшем поможет в усовершенствовании подходов к патогенетическому лечению, как на этапе дебюта, так и клинически развернутого заболевания...»
По поводу трудностей диагностики, сроках, ошибках и других заболеваниях (а кому сейчас легко?): «Диагностика РС, особенно на ранних стадиях заболевания, представляет значительные трудности. Сложность постановки диагноза РС подтверждается данными разных исследований, свидетельствующих, что до 10% больных с диагнозом достоверный РС при аутопсии не имеют морфологических признаков РС. По данным отечественных авторов точный диагноз РС ставится в среднем через 2-3 года после появления первых симптомов, а около половины больных к моменту установления диагноза больны по крайней мере 5 лет; 9-12% больных диагноз РС ставится ошибочно, и наоборот в 4-5% случаев больным с РС вначале ставится другой диагноз… По данным A.Siva, около 20% пациентов с диагнозом достоверный РС имеют другие заболевания, а также существует так называемое доброкачественное течение РС с редкими обострениями, отсутствием признаков инвалидизации таких пациентов на протяжении десятилетий».
По поводу сравнения различных методов параклиники (специально для фанатов и поклонников МРТ): «Опыт применения диагностических критериев Мак-Дональда в редакции 2001 года показал, что существующие критерии не всегда правильно интерпретируются, недооценивая клиническую картину заболевания и переоценивая возможности МРТ... В новом пересмотре критериев Мак-Дональда 2010 года по-прежнему подчеркивается, что на сегодняшний день не существует какого-либо единственного теста или лабораторного исследования, который мог бы подтвердить или опровергнуть диагноз достоверного РС, в связи с чем необходима комплексная оценка клинической картины заболевания и результатов параклинических обследований, в том числе анализе характерных изменений МРТ, лабораторном исследовании спинномозговой жидкости, а иногда и вызванных потенциалов…»
По поводу диссеминаций очагов в пространстве и времени (ну прямо новая теория относительности, не иначе! – А.К.): «Таким образом, для КИС характерна моно­фокальность неврологических проявлений. Мультифокальные проявления неврологических симптомов не могут быть отнесены к КИС, но в ряде случаев они все еще находятся на стадии, предшествующей развитию КДРС. При мультифокальном проявлении первой атаки РС уже имеют­ся признаки критерия «диссеминации в пространстве», однако отсутствует признак «диссеминации во времени», что не дает оснований для постановки диагноза КДРС. При мультифокальном проявлении первой атаки РС уже имеют­ся признаки критерия «диссеминации в пространстве», однако отсутствует признак «диссеминации во времени», что не дает оснований для постановки диагноза КДРС…
Об отсутствии чётких указаний, как обычно бывает в жизни: «В дан­ной ситуации осуществляется наблюдательная тактика веде­ния пациента, заключающаяся в повторных осмотрах и про­ведении МРТ с целью выявления повторной атаки или кри­терия «диссеминации во времени». К настоящему момен­ту отсутствуют четкие указания по лечебной тактике у данных пациентов, а также на необходимость проведения превен­тивной терапии препаратами, изменяющими течение рассе­янного склероза (ПИТРС)»
По поводу проблемы предсказаний (надеюсь, всё-таки в научном смысле этого слова): «При этом остается проблемой предсказание дальнейшей диссеминации в случае клинически изолированного синдрома (КИС) или радиологически изолированного синдрома (РИС). В связи с этим разрабатываются клинические, лабораторные и МРТ-критерии, позволяющие достоверно прогнозировать трансформацию КИС в клинически достоверный РС (КДРС) (Nazarov V. D. et al., 2015; Zivadinov R. et al., 2013).»
По поводу пресловутой терапии ПИТРС (или что именно мы лечим?): «Клинические проявления в рамках КИС тем более важны, что в ряде стран, в том числе и в России, асимптомные находки типичных очагов демиелинизации на МРТ, рассматриваемые как РИС, не подлежат лечению ПИТРС. Кроме того, терапия ПИТРС требует длительного, часто пожизненного, использования, в большинстве случаев – это инъекционные препараты с рядом побочных действий (липодистрофии, некрозы в местах инъекций, гриппоподобный синдром, депрессия, вегетативные пароксизмы и др.), все ПИТРС дорогостоящи и лечение ими требует больших финансовых вложений со стороны государства. Кроме того, до 10% больных с диагнозом достоверный РС при аутопсии не имеют морфологических признаков РС, по данным разных авторов 9-20% пациентов с диагнозом достоверный РС имеют другие заболевания...»
Выводы по поводу ПИТРС: «Таким образом, в мировой клинической практике использование ПИТРС на этапе первого клинического эпизода демиелинизации – клинически изолированного синдрома (КИС) – рассматривается для каждого конкретного пациента отдельно с учетом соотношения риска и пользы, директивных рекомендаций для ведения таких больных, в настоящее время, не существует. В России такие пациенты не подлежат терапии препаратами иммуномодулирующего ряда или получают их только в рамках клинических исследований…»
По поводу старинного врачебного принципа clinica – prima, или об истинной распространённости поражения ЦНС (опять вопрос - а что лечим!?):  «В 1996 году опубликованы результаты обследования 2783 пациентов частной психиатрической клиники США, которых направляли на МРТ головного мозга согласно стандартной процедуре обследования. У 23 пациентов (0,83%) на МРТ выявлены находки, типичные для РС, хотя очаговой неврологической симптоматики и клинических признаков демиелинизирующего заболевания ЦНС у этих людей не было… Таким образом, распространенность асимптомного демиелинизирующего поражения ЦНС может быть равной или даже превышать распространенность клинически «звучащего» процесса. Возможно, не более трети всех случаев РИС на протяжении жизни конвертируют в КИС или достоверный РС и для определения тактики ведения лиц с РИС требуются дальнейшие исследования…»
Продолжение следует....
А. Копёнкин, врач-маммолог-рентгенолог, заведующий рентгенслужбой Окружного гарнизонного госпиталя (г. Кострома) – филиал №3 ФГКУ «422 ВГ» Минобороны России</t>
  </si>
  <si>
    <t>16:05</t>
  </si>
  <si>
    <t>КОГДА МАТКА ВОСПАЛЕНА. ЭНДОМЕТРИТ: КАК ВЫЯВИТЬ И ВЫЛЕЧИТЬ</t>
  </si>
  <si>
    <t>На наши вопросы об эндометрите, его симптомах, диагностике и лечении ответила врач-гинеколог, онкогинеколог «Клиники Эксперт» Тула Александра Алексеевна Добренко.
Эндометрит – это болезнь женской репродуктивной системы, которая может привести к тому, что женщина в будущем не сможет иметь детей. 
— Александра Алексеевна, что такое эндометрит?
— Эндометрит – это воспаление эндометрия. Заболевание достаточно часто встречается у женщин детородного возраста.
— А каковы причины эндометрита? Почему он возникает?
— Как правило, причиной эндометрита, т. е. воспаления, является инфекционный агент. В роли инфекционного агента может выступать любой микроорганизм: бактериальный, грибковый или вирусный. Очень часто встречаются комбинированные причины эндометрита. Например, к бактериальной инфекции может присоединиться грибковый компонент.
Провоцирующим развитие эндометрита фактором может быть и травма эндометрия, например, вследствие выполнения аборта.
— Среди гинекологических болезней есть недуг, который известен как эндометриоз. Скажите, эндометрит и эндометриоз – это одно и то же?
— Нет, это два абсолютно разных заболевания. В чём разница между эндометритом и эндометриозом? Их различия начинаются с того, что причина эндометрита – инфекционный агент, а причина эндометриоза (по одной из нескольких теорий) – гормональный дисбаланс. Эти заболевания не стоит путать, они имеют абсолютно разные течения, клиническую картину и лечение.
Если подытожить: эндометрит – это воспаление эндометрия. Эндометриоз – атипичное расположение клеток эндометрия в других местах, т. е. дистопия эндометрия.
Подробнее об эндометриозе читайте в нашей статье: Эндометриоз: симптомы, диагностика и лечение
— Какой бывает эндометрит?
— Как и любая болезнь, эндометрит имеет свою классификацию в зависимости от разных факторов. Эндометрит бывает, например, хронический и острый. Течение двух этих форм заболевания имеет существенные различия. Симптоматика у хронической формы более смазанная. Чаще всего хроническое течение заболевание приобретает при недолеченном остром эндометрите.
Эндометрит классифицируют и по характеру возбудителя (специфический и неспецифический). К специфическим относят инфекционные (вирусные, хламидийные, бактериальные, протозойные, грибковые) и паразитарные эндометриты. Их могут провоцировать такие возбудители, как вирусы простого герпеса, хламидии, микобактерии туберкулёза и др. При неспецифическом характере эндометрита болезнетворная флора в матке не обнаруживается. Неспецифическая форма эндометрита может быть спровоцирована бактериальным вагинозом, ВИЧ-инфекцией, наличием внутриматочной спирали.
Возможно, вам будет интересно:
Вирусы и бактерии – в чём принципиальное отличие?
Герпес: как распознать и вылечить?
Меня не видно. А я есть! Скрытный враг – хламидиоз
Туберкулёз: болезнь, не знающая границ
— Расскажите, пожалуйста, о признаках этого заболевания. Как проявляется эндометрит?
— Клинические проявления эндометрита зависят от его формы и несколько отличаются. Но если суммировать общие клинические проявления, то к ним относятся:
дискомфорт внизу живота,
диспареуния (болезненность при половых контактах),
кровотечения из половых путей,
выделения из половых путей (гнойные с неприятным запахом либо кровянистые),
синдром хронической тазовой боли,
нерегулярные менструации.
· — Как проводится диагностика эндометрита?
· — При обращении женщины с вышеперечисленными жалобами врач может заподозрить эндометрит. Для того, чтобы поставить диагноз, требуется комплексное обследование: бимануальный осмотр, исследование влагалищной микрофлоры, УЗИ малого таза.
· Также доктор может предложить сделать гистероскопию, т. е. оптическое исследование полости матки. При помощи гистероскопа можно будет увидеть состояние эндометрия и оценить характер его патологических изменений. Кроме того, производится забор материала (биопсия эндометрия) на гистологическое исследование. По результату биопсии эндометрия врач-гистолог может поставить морфологический диагноз «эндометрит», и тогда врач-гинеколог, соответственно, сможет поставить диагноз пациентке.
· Читайте материалы по теме:
· Что покажет гинекологическое УЗИ?
Кому поможет гистероскопия?
Гистология: что это за анализ?
https://www.mrtexpert.ru/articles/559
https://www.mrtexpert.ru/articles/682
https://www.mrtexpert.ru/articles/556
https://www.mrtexpert.ru/articles/995
https://www.mrtexpert.ru/articles/541
https://www.mrtexpert.ru/articles/512
https://www.klinikaexpert.ru/articles/52
https://www.mrtexpert.ru/articles/977
#лекарства, #медицина, #здоровье, #болезни, #гинекология</t>
  </si>
  <si>
    <t>Здравствуйте скажите пожалуйста может кто знает где дешевле делают МРТ? Админу здоровья</t>
  </si>
  <si>
    <t>мрт эксперт на лизы Чайкиной. низкие цены, скидки бывают часто за комплексное обследование. отзывчивый персонал.</t>
  </si>
  <si>
    <t>Вероника Ранк-Штранекс</t>
  </si>
  <si>
    <t>Подслушано в Любино</t>
  </si>
  <si>
    <t>Любинский</t>
  </si>
  <si>
    <t>«МРТ Эксперт» и «Клиника Эксперт»,спасибо. Проволока есть и в маске медицинской. Проволока из алюминия - все равно нельзя (алюминий же не магнитится)?</t>
  </si>
  <si>
    <t>Беспокоит запор или диарея? А может они чередуются? И почему ваш кишечник начинает «волноваться», когда вам, например, предстоит важная встреча?
О синдроме раздражённого кишечника мы беседуем с врачом-гастроэнтерологом «Клиника Эксперт» Курск Василисой Ищенко: https://www.mrtexpert.ru/articles/908
#ГКЭксперт #мртэксперт #КлиникаЭксперт #КлиникаЭкспертКурск</t>
  </si>
  <si>
    <t>Беспокоит запор или диарея? А может они чередуются? И почему ваш кишечник начинает «волноваться», когда вам, например, предстоит важная встреча?
О синдроме раздражённого кишечника мы беседуем с врачом-гастроэнтерологом «Клиника Эксперт» Курск Василисой Ищенко: https://www.mrtexpert.ru/articles/908
#ГКЭксперт #мртэксперт #КлиникаЭксперт #КлиникаЭкспертКурск</t>
  </si>
  <si>
    <t>#ใช้คลีนซิ่งที่มีไมเซล่าเป็นส่วนผสมแล้ว
#ยังต้องล้างหน้าด้วยสบู่หรือโฟมล้างหน้าตามอยู่มั้ย?
 นารดาคลินิกมีคำตอบคร้าาา..
ถึงแม้ว่าไมเซล่า คลีนซิ่ง วอเตอร์
จะสามารถขจัดสิ่งสกปรกบนใบหน้าได้อย่างมีประสิทธิภาพ
แต่เพื่อเพิ่มระดับการทำความสะอาดที่ล้ำลึกมากยิ่งขึ้น 
ในส่วนที่เป็นเมคอัพหนาๆ 
แนะนำให้ใช้ Make Up Remover เช็ดออกก่อน  
.
.
หลังจากทำความสะอาดหน้าด้วยไมเซล่า คลีนซิ่ง วอเตอร์
แล้วควรล้างด้วยผลิตภัณฑ์ล้างหน้า
ที่เหมาะกับแต่ละสภาพผิวอีกครั้งหนึ่ง  
หน้าก็จะสะอาดคูณสามเข้าไปอีก 
ตามด้วยการเช็ดหน้าด้วยโทนเนอร์ 
และทาครีมบำรุงตามลำดับต่อไปค่ะ
.
.
นารดาคลินิก ภูมิใจนำเสนอ...
นาเดล ไมเซล่า คลีนซิ่ง วอเตอร์
ที่จะช่วยชำระล้างสิ่งสกปรกบนใบหน้าของคุณ
ให้สะอาดอย่างล้ำลึก
ลดการอุดตันของผิวที่เป็นสาเหตุของการเกิดสิวคร่าาา
 ติดตามสาระความรู้เกี่ยวกับไมเซล่า
ได้ที่ https://bit.ly/3j286pG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#ใช้คลีนซิ่งที่มีไมเซล่าเป็นส่วนผสมแล้ว
#ยังต้องล้างหน้าด้วยสบู่หรือโฟมล้างหน้าตามอยู่มั้ย?
 นารดาคลินิกมีคำตอบคร้าาา..
ถึงแม้ว่าไมเซล่า คลีนซิ่ง วอเตอร์
จะสามารถขจัดสิ่งสกปรกบนใบหน้าได้อย่างมีประสิทธิภาพ
แต่เพื่อเพิ่มระดับการทำความสะอาดที่ล้ำลึกมากยิ่งขึ้น 
ในส่วนที่เป็นเมคอัพหนาๆ 
แนะนำให้ใช้ Make Up Remover เช็ดออกก่อน  
.
.
หลังจากทำความสะอาดหน้าด้วยไมเซล่า คลีนซิ่ง วอเตอร์
แล้วควรล้างด้วยผลิตภัณฑ์ล้างหน้า
ที่เหมาะกับแต่ละสภาพผิวอีกครั้งหนึ่ง  
หน้าก็จะสะอาดคูณสามเข้าไปอีก 
ตามด้วยการเช็ดหน้าด้วยโทนเนอร์ 
และทาครีมบำรุงตามลำดับต่อไปค่ะ
.
.
นารดาคลินิก ภูมิใจนำเสนอ...
นาเดล ไมเซล่า คลีนซิ่ง วอเตอร์
ที่จะช่วยชำระล้างสิ่งสกปรกบนใบหน้าของคุณ
ให้สะอาดอย่างล้ำลึก
ลดการอุดตันของผิวที่เป็นสาเหตุของการเกิดสิวคร่าาา
 ติดตามสาระความรู้เกี่ยวกับไมเซล่า
ได้ที่ https://bit.ly/3j286pG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https://www.facebook.com/NaradaTeam/photos/a.568393426606903/2986594738120081/?type=3</t>
  </si>
  <si>
    <t>14:05</t>
  </si>
  <si>
    <t>Ирина Переродина</t>
  </si>
  <si>
    <t>13:52</t>
  </si>
  <si>
    <t>13:36</t>
  </si>
  <si>
    <t>13:19</t>
  </si>
  <si>
    <t>Rasyog Ayurveda</t>
  </si>
  <si>
    <t>Navi Mumbai</t>
  </si>
  <si>
    <t>12:49</t>
  </si>
  <si>
    <t>Админ выложи пожалуйста!) Добрый день! Кто то может знает где можно сделать МРТ спины, и сколько это стоит. За ране</t>
  </si>
  <si>
    <t>Муж делал на Мира, пояснично-крестцовую касть. (около белой церкви). МРТ-эксперт. Обошлось 4100р.</t>
  </si>
  <si>
    <t>Оксана Забродина</t>
  </si>
  <si>
    <t>Мытищи Онлайн</t>
  </si>
  <si>
    <t>Мытищи</t>
  </si>
  <si>
    <t>5 СИТУАЦИЙ, КОГДА ТРЕБУЕТСЯ МРТ ПОЗВОНОЧНИКА:
⠀
1️⃣Когда есть подозрения на ущемление нервного корешка, воспаление нерва, межпозвонковую грыжу, а также при острых, хронических болях в пояснице или грудном отделе.
2️⃣При онемении или болях в конечностях, которые не являются следствием сердечно-сосудистых или других заболеваний, не связанных с позвоночником.
3️⃣Если были травмы позвоночника и врачу необходимо убедиться, что никаких повреждений или последствий таких травм нет.
4️⃣Наличие частых головных болей острого и хронического характера, чтобы выяснить, не являются ли они следствием посттравматических изменений в позвоночнике.
5️⃣Если имеются подозрения на наличие опухолей спинномозгового канала, кистозных образований спинного мозга.
Процедура МРТ позвоночника абсолютно безопасна и практически не имеет противопоказаний.
⠀
Пройти такую диагностику можно в нашей клинике.
⠀
Запись:
☎ 8(865) 297-95-68�www.mrtexpert.ru�aevoronova@mrtexpert.ru�⏰ПН-ПТ: 7:00-23:00�⏰СБ: 8:00-20:00�Ставрополь, ул. Доваторцев, 39А�Лицензия: Л01-01-000027</t>
  </si>
  <si>
    <t>https://scontent-hel2-1.xx.fbcdn.net/v/t1.0-0/p180x540/108122788_165802561668877_2130182103530926937_n.jpg?_nc_cat=106&amp;_nc_sid=9267fe&amp;_nc_oc=AQkiVXroXhojUHDA--SQBLQJRqr31J4lKruXb0mTLqMWuyJNZOaqsmNyZ2YWjb-Rjv8eMl5BRBCb1C5Az7Quc8mk&amp;_nc_ht=scontent-hel2-1.xx&amp;_nc_tp=6&amp;oh=34c5bb5bceff4dc5d36f8782a193afc5&amp;oe=5F356976</t>
  </si>
  <si>
    <t>Про гайморит – воспаление верхнечелюстных пазух – наверняка слышали многие. А знаете ли вы, что такое фронтит?
Об этом недуге мы побеседовали с кандидатом медицинских наук, врачом-
отоларингологом «Клиники Эксперт» Тула Людмилой Вандышевой: https://www.mrtexpert.ru/articles/1072
#ГКЭксперт #мртэксперт #КлиникаЭксперт #КлиникаЭкспертТула #отоларингология #фронтит</t>
  </si>
  <si>
    <t>Про гайморит – воспаление верхнечелюстных пазух – наверняка слышали многие. А знаете ли вы, что такое фронтит?
Об этом недуге мы побеседовали с кандидатом медицинских наук, врачом-
отоларингологом «Клиники Эксперт» Тула Людмилой Вандышевой: https://www.mrtexpert.ru/articles/1072
#ГКЭксперт #мртэксперт #КлиникаЭксперт #КлиникаЭкспертТула #отоларингология #фронтит</t>
  </si>
  <si>
    <t>11:37</t>
  </si>
  <si>
    <t>#หน้าจะใสแบบไม่มีอัลไลมาขวางกั้น
#กับโปรรักษาสิวสุดปังจากนารดา
#สิวผด #สิวอักเสบ #สิวเรื้อรังมาทางนี้..
.
.
โปรรักษาสิว Acne Sure
ราคารายครั้ง 1,200 บาท
คอร์ส 5 ครั้ง 5,900 บาท
คอร์ส 10 ครั้ง 9,900 บาท 
.
.
โปรแกรม Acne Sure + Meso Acne
ราคารายครั้ง 2,900 บาท
คอร์ส 5 ครั้ง 11,900  บาท
คอร์ส 10 ครั้ง 19,900 บาท
.
.
โปรแกรม Acne Sure + UPL Laser
ราคารายครั้ง 2,900 บาท
คอร์ส 5 ครั้ง 11,900  บาท
คอร์ส 10 ครั้ง 19,900 บาท
.
.
โปรแกรม Acne Sure + UPL Laser + Meso Acne
ราคารายครั้ง 3,900  บาท
คอร์ส 5 ครั้ง 16,900  บาท
คอร์ส 10 ครั้ง 29,900 บาท
#ถ้าเรื่องสิวไม่ใช่แค่เรื่องสิวๆสำหรับคุณ
#มาหาเรานะคะ
#ยินดีให้คำแนะนำทั้งก่อนและหลังการรักษา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t>
  </si>
  <si>
    <t>МРТ  С ГАРАНТИЕЙ
Работаем без перерыва и выходных
ул. Челюскинцев 4 
ул. Коминтерна 5
тел. 655-193  70-80-22
#мурманск51  #мурманск #мрт51 #мртмурманск #диагностика51 #ктмурманск #мртэксперт51</t>
  </si>
  <si>
    <t>09:48</t>
  </si>
  <si>
    <t>МРТ Эксперт | Мурманск
Сеть диагностических центров «МРТ-Эксперт» предлагает Вам пройти МРТ диагностику у квалифицированных специалистов на современном оборудовании по доступной цене.
https://www.mrtexpert.ru/mur/categories/753</t>
  </si>
  <si>
    <t>09:22</t>
  </si>
  <si>
    <t>Реклама частного медцентра в Костроме призвала вместо клиентов штраф в 200 тысяч   По информации регионального</t>
  </si>
  <si>
    <t>Реклама частного медцентра в Костроме призвала вместо клиентов штраф в 200 тысяч  
По информации регионального управления УФАС, частный медцентр «МРТ-эксперт Кострома» вывесил на фасаде здания рекламу своих услуг, однако специалисты не вписали важную информацию о том, что имеются противопоказания и необходимо проконсультироваться с врачом.
В итоге суд решил, что рекламу необходимо снять, что и произошло, а организации назначил штраф в 200 тысяч рублей. Однако медцентр с решением не согласился и обжаловал его в арбитражном суде, но там приговор оставили без изменений.</t>
  </si>
  <si>
    <t>Кострома ЧП • ДТП • Новости • Жалобы •</t>
  </si>
  <si>
    <t>07:31</t>
  </si>
  <si>
    <t>Mayo...wow, discredited yourselves with this sort of stupidity on your channel.  Cloth masks being promoted as OK for virus particles 0.125 micrometers in size.  Wow....just, wow.....</t>
  </si>
  <si>
    <t>synetic</t>
  </si>
  <si>
    <t>07:09</t>
  </si>
  <si>
    <t>0:17 Dude subliminally and almost literally said that the reason for masks was to establish control over the masses. Thanks for confirming my and so many others thoughts.</t>
  </si>
  <si>
    <t>michaelmaccrazy</t>
  </si>
  <si>
    <t>04:14</t>
  </si>
  <si>
    <t>Odd.  I've never heard "update" as the word when someone says the exact opposite of what they said previously.  Flip flop is more fitting, perhaps?  
And why does flip flop have a negative connotation?  Oh, that's right, because it's typically politicians that do complete 180s on something they said previously for political expediency.  
I wear a mask to keep the harpies at bay, so calm yourself. I'm all about the theater.</t>
  </si>
  <si>
    <t>D Cloes</t>
  </si>
  <si>
    <t>03:38</t>
  </si>
  <si>
    <t>@charliekirk11
Here ya go @ValentineShow  @JohnCooper4Nash 
Covid-19  .12 microns
Tobacco Smoke  .3 to .5 microns
https://newsnetwork.mayoclinic.org/discussion/covid-19-mayo-clinic-expert-answers-questions-about-masks-after-cdc-updates-its-recommendation/
https://pubmed.ncbi.nlm.nih.gov/2751166/</t>
  </si>
  <si>
    <t>Jordan Pritchard</t>
  </si>
  <si>
    <t>03:37</t>
  </si>
  <si>
    <t>@chuckwoolery
Here ya go @ValentineShow  @JohnCooper4Nash 
Covid-19  .12 microns
Tobacco Smoke  .3 to .5 microns
https://newsnetwork.mayoclinic.org/discussion/covid-19-mayo-clinic-expert-answers-questions-about-masks-after-cdc-updates-its-recommendation/
https://pubmed.ncbi.nlm.nih.gov/2751166/</t>
  </si>
  <si>
    <t>03:30</t>
  </si>
  <si>
    <t>@WSMVNancyAmons
Here ya go @ValentineShow  @JohnCooper4Nash 
Covid-19  .12 microns
Tobacco Smoke  .3 to .5 microns
https://newsnetwork.mayoclinic.org/discussion/covid-19-mayo-clinic-expert-answers-questions-about-masks-after-cdc-updates-its-recommendation/
https://pubmed.ncbi.nlm.nih.gov/2751166/</t>
  </si>
  <si>
    <t>@Scotty_Evil @CVFutrell
Here ya go @ValentineShow  @JohnCooper4Nash 
Covid-19  .12 microns
Tobacco Smoke  .3 to .5 microns
https://newsnetwork.mayoclinic.org/discussion/covid-19-mayo-clinic-expert-answers-questions-about-masks-after-cdc-updates-its-recommendation/
https://pubmed.ncbi.nlm.nih.gov/2751166/</t>
  </si>
  <si>
    <t>@cjtweetsalot @JohnCooper4Nash
Here ya go @ValentineShow  @JohnCooper4Nash 
Covid-19  .12 microns
Tobacco Smoke  .3 to .5 microns
https://newsnetwork.mayoclinic.org/discussion/covid-19-mayo-clinic-expert-answers-questions-about-masks-after-cdc-updates-its-recommendation/
https://pubmed.ncbi.nlm.nih.gov/2751166/</t>
  </si>
  <si>
    <t>03:21</t>
  </si>
  <si>
    <t>@JohnCooper4Nash
Here ya go @ValentineShow  @JohnCooper4Nash 
Covid-19  .12 microns
Tobacco Smoke  .3 to .5 microns
https://newsnetwork.mayoclinic.org/discussion/covid-19-mayo-clinic-expert-answers-questions-about-masks-after-cdc-updates-its-recommendation/
https://pubmed.ncbi.nlm.nih.gov/2751166/</t>
  </si>
  <si>
    <t>02:51</t>
  </si>
  <si>
    <t>Here ya go @ValentineShow  @JohnCooper4Nash 
Covid-19  .12 microns
Tobacco Smoke  .3 to .5 microns
https://newsnetwork.mayoclinic.org/discussion/covid-19-mayo-clinic-expert-answers-questions-about-masks-after-cdc-updates-its-recommendation/
https://pubmed.ncbi.nlm.nih.gov/2751166/</t>
  </si>
  <si>
    <t>00:53</t>
  </si>
  <si>
    <t>Здравствуйте. Где в Брянске можно сделать кт без направления, платно? Спасибо</t>
  </si>
  <si>
    <t>Делала кт с контрастом на Красноармейской 91. Спектр диагностика! Цены пониже чем в новом "Эксперт Мрт"</t>
  </si>
  <si>
    <t>Елена Сердюкова</t>
  </si>
  <si>
    <t>00:49</t>
  </si>
  <si>
    <t>@JackCartee1 @realDAN_VAN @TB_Times Here you go dumbass: 
https://newsnetwork.mayoclinic.org/discussion/covid-19-mayo-clinic-expert-answers-questions-about-masks-after-cdc-updates-its-recommendation/</t>
  </si>
  <si>
    <t>Captain Common Sense</t>
  </si>
  <si>
    <t>Доска БЕСПЛАТНЫХ объявлений г. КОСТРОМА</t>
  </si>
  <si>
    <t>14.07.2020</t>
  </si>
  <si>
    <t>Реклама частного медцентра в Костроме призвала вместо клиентов штраф в 200 тысяч  
По информации регионального управления УФАС, частный медцентр «МРТ-эксперт Кострома» вывесил на фасаде здания рекламу своих услуг, однако специалисты не вписали важную информацию о том, что имеются противопоказания и необходимо проконсультироваться с врачом.
В итоге суд решил, что рекламу необходимо снять, что и произошло, а организации назначил штраф в 200 тысяч рублей. Однако медцентр с решением не согласился и</t>
  </si>
  <si>
    <t>KOSTROMA NEWS</t>
  </si>
  <si>
    <t>23:42</t>
  </si>
  <si>
    <t>Այս պահին տեղի է ունենում «Թոքերի ճառագայթային ախտորոշում համակարգչային շերտագրման միջոցով COVID-19-ի դեպքում» թեմայով վեբինար բժշկական գիտությունների պրոֆեսոր Գրիգորի Կարմազանովսկու հետ:
ՄՌՏ Էքսպերտ Գյումրի/MRT Expert Gyumri  Институт Эксперт  Gyumri Medical center Armenian Association of Radiologists</t>
  </si>
  <si>
    <t>David Minasyan</t>
  </si>
  <si>
    <t>Армения</t>
  </si>
  <si>
    <t>Ширакская область</t>
  </si>
  <si>
    <t>Гюмри</t>
  </si>
  <si>
    <t>23:00</t>
  </si>
  <si>
    <t>Colak Tosunyan</t>
  </si>
  <si>
    <t>22:06</t>
  </si>
  <si>
    <t>Здравствуйте! Девочки! Подскажите, пожалуйста, кто-нибудь делал МРТ коленного сустава на больничном городке? Аппарат там</t>
  </si>
  <si>
    <t>Ольга, знаю новый центр на станке димитрова открыли, эксперт мрт, 32 55 55</t>
  </si>
  <si>
    <t>21:15</t>
  </si>
  <si>
    <t>Armine Sargsyan</t>
  </si>
  <si>
    <t>Ереван</t>
  </si>
  <si>
    <t>Anahit  Harutyunyan</t>
  </si>
  <si>
    <t>20:44</t>
  </si>
  <si>
    <t>Anna  Simonyan</t>
  </si>
  <si>
    <t>https://scontent-hel2-1.xx.fbcdn.net/v/t15.13418-10/107718255_3109660389083815_8825691245568026571_n.jpg?_nc_cat=108&amp;_nc_sid=ad6a45&amp;_nc_oc=AQk-PmVkBdFuEX6A0l7q7Xp5X8s2mawFaIy_-hBL7VApyhVkowrwPJ_eeeTwzBb4ypfzY11dv1lD4YcZOLbdzWz9&amp;_nc_ht=scontent-hel2-1.xx&amp;oh=c3bbb57853639ce57afaa7d1f58efc7e&amp;oe=5F34D9DA</t>
  </si>
  <si>
    <t>Hasmik Karapetyan</t>
  </si>
  <si>
    <t>20:30</t>
  </si>
  <si>
    <t>Taya Martirossyan</t>
  </si>
  <si>
    <t>Британская Колумбия</t>
  </si>
  <si>
    <t>Ванкувер</t>
  </si>
  <si>
    <t>20:21</t>
  </si>
  <si>
    <t>Armen Isahakyan</t>
  </si>
  <si>
    <t>19:10</t>
  </si>
  <si>
    <t>Այսօր տեղի է ունենում «Թոքերի ճառագայթային ախտորոշում համակարգչային շերտագրման միջոցով COVID-19-ի դեպքում» թեմայով վեբինար բժշկական գիտությունների պրոֆեսոր Գրիգորի Կարմազանովսկու հետ:
ՄՌՏ Էքսպերտ Գյումրի/MRT Expert Gyumri  Институт Эксперт  @gyumrimedicalcenter Armenian Association of Radiologists
Այս պահին տեղի է ունենում «Թոքերի ճառագայթային ախտորոշում համակարգչային շերտագրման միջոցով COVID-19-ի դեպքում» թեմայով վեբինար բժշկական գիտությունների պրոֆեսոր Գրիգորի Կարմազանովսկու հետ:
ՄՌՏ Էքսպերտ Գյումրի/MRT Expert Gyumri  Институт Эксперт  Gyumri Medical center Armenian Association of Radiologists</t>
  </si>
  <si>
    <t>Gyumri Medical center</t>
  </si>
  <si>
    <t>https://scontent-hel2-1.xx.fbcdn.net/v/t15.13418-10/107718255_3109660389083815_8825691245568026571_n.jpg?_nc_cat=108&amp;_nc_sid=ad6a45&amp;_nc_oc=AQnfLe3bSVOMJnmSEblIGX_h6iscD83hMeuvZCd4c8iJ83Ki9EX6xAxXIf7m8fu1smYXON1f2_JeMiIwaGMEqFJc&amp;_nc_ht=scontent-hel2-1.xx&amp;oh=4a2b12097d9e83d383e97600f17d0452&amp;oe=5F34D9DA</t>
  </si>
  <si>
    <t>Aram Ofel</t>
  </si>
  <si>
    <t>18:28</t>
  </si>
  <si>
    <t>Rehan Eye Care Clinic</t>
  </si>
  <si>
    <t>Expert ophthalmologist with excellent patient care and treatment. Detailed knowledge with professional care. 
Latest equipment and best facilities in town.</t>
  </si>
  <si>
    <t>Tahir Yunus</t>
  </si>
  <si>
    <t>Пакистан</t>
  </si>
  <si>
    <t>Chung</t>
  </si>
  <si>
    <t>18:07</t>
  </si>
  <si>
    <t>Вихтор Копейченко , Посоветуйте клинику, где делают МРТ. Плохие и хорошие отзывы. Куда стоит идти, куда нет.</t>
  </si>
  <si>
    <t>Всем спасибо! Действительно, сложно найти хорошего специалиста. В сети большая часть отзывов именно о клинике «МРТ-Эксперт», плохие отзывы как раз о некомпетентности врачей, а хорошие о приветливом персонале и приятной обстановке.</t>
  </si>
  <si>
    <t>Вихтор Копейченко</t>
  </si>
  <si>
    <t>Объявления Липецк</t>
  </si>
  <si>
    <t>Елец</t>
  </si>
  <si>
    <t>К какому врачу обратиться, если болит поясница? Какие исследования могут вас ожидать?
С докторами «Клиника Эксперт» Тула мы собрали медицинский консилиум, на котором обсудили возможные причины поясничной боли: https://www.mrtexpert.ru/articles/651
#ГКЭксперт #мртэксперт #КлиникаЭксперт #медицинскийконсилиум</t>
  </si>
  <si>
    <t>К какому врачу обратиться, если болит поясница? Какие исследования могут вас ожидать?
С докторами «Клиника Эксперт» Тула мы собрали медицинский консилиум, на котором обсудили возможные причины поясничной боли: https://www.mrtexpert.ru/articles/651
#ГКЭксперт #мртэксперт #КлиникаЭксперт #медицинскийконсилиум</t>
  </si>
  <si>
    <t>Այս պահին տեղի է ունենում «Թոքերի ճառագայթային ախտորոշում համակարգչային շերտագրման միջոցով COVID-19-ի դեպքում» թեմայով վեբինար բժշկական գիտությունների պրոֆեսոր Գրիգորի Կարմազանովսկու հետ:
ՄՌՏ Էքսպերտ Գյումրի/MRT Expert Gyumri  Институт Эксперт  @gyumrimedicalcenter Armenian Association of Radiologists</t>
  </si>
  <si>
    <t>Աստղիկ Սայաթ Բրուտյաններ</t>
  </si>
  <si>
    <t>17:42</t>
  </si>
  <si>
    <t>Li Yan</t>
  </si>
  <si>
    <t>16:51</t>
  </si>
  <si>
    <t>Gegham  Khachatryan</t>
  </si>
  <si>
    <t>Араратская область</t>
  </si>
  <si>
    <t>Авшар</t>
  </si>
  <si>
    <t>16:46</t>
  </si>
  <si>
    <t>Armine  Babayan</t>
  </si>
  <si>
    <t>16:09</t>
  </si>
  <si>
    <t>Anna Isahakian</t>
  </si>
  <si>
    <t>Առողջապահության ազգային Ինստիտուտ/ National Institute of Health, Armenia</t>
  </si>
  <si>
    <t>https://scontent-hel2-1.xx.fbcdn.net/v/t15.13418-10/107718255_3109660389083815_8825691245568026571_n.jpg?_nc_cat=108&amp;_nc_sid=ad6a45&amp;_nc_oc=AQneDFXceDxhVaZz6QjaG3xkiV0GuWmgIZPXXrm-cIr51S_40SQBGZS6OB75OO3qkF_VqMtOrriDQBAi3GRRu_IP&amp;_nc_ht=scontent-hel2-1.xx&amp;oh=79353d7ae5c82ad631cefa54f1c20aa6&amp;oe=5F34D9DA</t>
  </si>
  <si>
    <t>Дыхание, движение, эмоции... Где в головном мозге находится материальная основа этих и других свойств организма?
Читать далее: https://www.mrtexpert.ru/articles/650
#ГКЭксперт #мртэксперт #КлиникаЭксперт #занимательнаямедицина #тайнытела #головноймозг</t>
  </si>
  <si>
    <t>Дыхание, движение, эмоции... Где в головном мозге находится материальная основа этих и других свойств организма?
Читать далее: https://www.mrtexpert.ru/articles/650
#ГКЭксперт #мртэксперт #КлиникаЭксперт #занимательнаямедицина #тайнытела #головноймозг</t>
  </si>
  <si>
    <t>New Step by Step Map For 1 mg xanax</t>
  </si>
  <si>
    <t>New Step by Step Map For 1 mg xanax New Step by Step Map For 1 mg xanax +[]+(!![])+!![]+!![])+(+!![]))/+((!+[]+(!![])+!![]+!![]+!![]+!![]+!![]+!![]+!![]+[])+(!+[]+(!![])+!![]+!![])+(!+[]+(!![])+!![])+(!+[]+(!![])+!![]+!![]+!![]+!![])+(!+[]+(!![])+!![]+!![]+!![]+!![]+!![]+!![]+!![])+(+!![])+(+!![])+(!+[]+(!![])+!![]+!![]+!![]+!![]+!![]+!![]+!![])+(+!![]))+((!+[]+(!![])+!![]+!![]+!![]+!![]+!![]+!![]+!![]+[])+(!+[]+(!![])-[])+(!+[]-(!![]))+(!+[]+(!![])+!![]+!![])+(+!![])+(!+[]+(!![])+!![]+!![]+!![]+!![]+!![]+!![]+!![])+(!+[]+(!![])+!![]+!![]+!![]+!![]+!![]+!![])+(!Alprazolam is excreted in breast milk and it could possibly impact nursing infants. Hence, Females that are mustn't choose alprazolam while breastfeeding.Xanax as well as other benzodiazepines act by enhancing the consequences of gamma-aminobutyric acid (GABA) in the brain. GABA is actually a neurotransmitter (a chemical that nerve cells use to talk to each other) that inhibits activity within the Mind.For the reason that Xanax generally slows Mind and spinal cord operate within the central anxious technique (CNS), an habit will cause a person to become extra apathetic and inactive greater than standard, which may be a sign that dependancy to Xanax has produced. With regards to the long term administration of finding off benzodiazepines, There are 2 Instructions it is possible to go. Exploration displays that almost all steady, healthier Grown ups will accomplish lengthy-expression abstinence following finishing a taper.bsolutely! Do not continue on your taper until you're feeling ready, nonetheless, make sure you will not have a phase backward by increasing your dose. So long as you are "holding" constant, you are still producing progress. Your system will Permit you are aware of when you should resume your taper.On the other hand, online pharmacies are not without the need of their own personal risks. Of specific problem will be the higher incidence of counterfeit or sub-optimum good quality pharmaceutical products marketed online, when compared to your Local community pharmacy. Usually, people are not able to recognize discrepancies in the appearance of medicine until eventually they really feel the results once the administration on the dose. Packaging or labeling could be misleading or inappropriate. Also, the pharmacist-client conversation is usually less targeted or non-existent in an online setting, which could potentially lead to misinformed patients and enhanced chance of medication mistakes.Due to intense alterations in brain chemistry, challenges including stress and anxiety, insomnia, and despair which could have already been fixed or masked with Xanax use, will now resurface even more powerful than prior to.This is an excellent pharmacy retailer that has also managed to make its popularity over the several years and remain competitive out there. The opposite solutions apart from the traditional consist of immunizations, well being screenings, inquiries about a single’s eating plans and likewise in-keep clinic expert services.The target of procedure is keeping away from Xanax use over the long term. Remedy could also tackle other underlying situations, which include anxiety or melancholy.Tell your doctor about all remedies and dietary supplements you’re taking. You should definitely point out any health-related circumstances you have. These can have an impact on your tapering plan.We don’t ask for far too much own details from our purchaser to purchase Medicines. In case you on the lookout for effortless and quick acquiring process then you merely has to fill the Buy Form that buy dmt we essential from you to definitely purchase Listed here. Also you should be making certain that you simply haven’t leaved any part incomplete if you want type.Seek the advice of by using a medical professional. All conditions of benzodiazepine withdrawal ought to be overseen by a physician that is informed about the process. He will check your basic safety and progress, producing changes to the alprazolam withdrawal agenda as wanted.</t>
  </si>
  <si>
    <t>martiniwjwk.fitnell.com</t>
  </si>
  <si>
    <t>Как могут быть связаны проблемы в шее и повышенное артериальное давление? Об этом порталу "Первого Липецкого" рассказала врач-рентгенолог "МРТ Эксперт Липецк" Галина Николаевна Чеботарева: http://www.lipetsk.ru/content/articles/81303
#ГКЭксперт #КлиникаЭксперт #мртэксперт #МРТЭкспертЛипецк</t>
  </si>
  <si>
    <t>- Что такое лакунарная киста с перифокальным глиозом?
Отвечает: Артём Неделин, врач-рентгенолог «МРТ Эксперт» Липецк
Лакунарная киста – небольшая полость, наполненная ликворным содержимым. Глиоз – процесс, запускающийся в нервных тканях в ответ на повреждение нейронов. То есть лакунарная киста с перифокальным глиозом – это киста, которая возникла в результате гибели небольшого участка головного мозга. В подавляющем большинстве случаев такая
киста является следствием ишемического инсульта.
#мртэксперт #КлиникаЭксперт #энциклопедияГКЭксперт #мртэкспертлипецк #врачАртемНеделин #ассоциацияврачейМРТдиагностики</t>
  </si>
  <si>
    <t>Фотоотчет второго этапа проекта BUNIN-20 - открытие выставки в галерее современного искусства @gallerybuksir 
Для меня, как для художника, представляющего свою первую выставку, очень важна поддержка.
Я безумно рада, что взаимодействие с галереей может быть таким. 
На протяжении всего выставочного периода я чувствую не просто опору, я ощущаю настоящую заботу. Это так ценно для меня.
@gallerybuksir - вы даёте крылья и помогаете выкристаллизовывать суть. Навеки ваша!
Что такое BUNIN-20 в галерее «Буксир»?
Это прохлада и полумрак выставочного пространства. Это возможность в полной тишине прослушать аудиофрагменты к каждой картине. Это пребывание в атмосфере Бунина, когда вокруг яблоки, звуки, герои любимых рассказов, а в центре экспозиции сам Иван Алексеевич!
Открытие в галерее прошло совсем уже не волнительно, а по-настоящему душевно и тепло.
Это было, что уже как будто бы можно, но ещё нельзя)
Почти украдкой, но все равно открытие.
Это было не трудно, это по любви!
Теперь о главном, о людях!
Буева Ольга
@buevao - светлая и талантливая галерейная волшебница, благодарю за веру в проект и в меня, за минимализм и четкость во всех моментах экспонирования, за шефство над шабутной мной и просто дружеские посиделки!
Люсенька
@millamarrch - незаметный внутренний движок, делающий все так, чтобы всё и везде работало, как мы любим! Мисс энергия, ракета и всеконтролирующая фея, тебе мои объятья! 
Латышева Елена и ГК «Эксперт»
@latyshevaelena и @clinic_expert_ - я не устану говорить спасибо! Потому что так чувствую. Точка. Нет. Восклицательный знак.
МЕТRO Cash&amp;Carry Russia
@metroccrus - Иван Алексеевич Бунин в моем лице лично благодарит вас за предоставленные яблоки!
Фото @svet1212lana 
#bunin20 #иванбунин #нашбунин #артбуксир #modernart #artist #lipetsklive 
#kartinaekaterinamalanina #artbuksir #lipetsk</t>
  </si>
  <si>
    <t>Андрей Трофименков</t>
  </si>
  <si>
    <t>Ekaterina Malanina</t>
  </si>
  <si>
    <t>Константин Фернандес</t>
  </si>
  <si>
    <t>11:24</t>
  </si>
  <si>
    <t>@dr_svetlana_panova: " Сейчас время, когда зачастую внешний вид определяет успех в обществе. Однажды мой пациент- мужчина сказал :" Светлана Олеговна, в моем круге принято следить за собой. Мужчины в нашей компании очень ухоженные, я тоже хочу быть таким ".
 Мой коллега, однокурсник  у меня на приеме говорит мне: " Светлана , чистая кожа - это очень важно. Вид моей кожи влияет на мое хорошее настроение уже с утра, когда я смотрю на себя в зеркало ".
 В первую очередь потребность мужчины на приеме у косметолога - ЧИСТАЯ КОЖА. 
  Мужская кожа имеет свои особенности: поры более расширены, часто жалобы на жирность кожи, " черные точки"( комедоны). 
  Я рекомендую посещать косметолога регулярно, в среднем 1 раз в месяц. 
  Средняя стоимость процедуры 2.000 - 3.000р.
 Прцедуру чистки кожи следует проводить очень тщательно, , но так же и деликатно. 
  Закрываю чистку все сезонным пилингом  Bior 5, что продляет эффект ровной, чистой кожи, и дает ухоженный, холеный внешний вид. "
 На видео - результат профессиональной чистки мужской кожи, посмотрите, какое количество ненужного в ней содержалось. После такой процедуры такое классное ощущение чистоты кожи. Процедура на 5+
 Забота о мужской коже - в клинике " Эксперт"
#косметологиякурск#вкурске#мойдокторПанова#чистаякожа#летнийпилинг#clinic_expert_kursk</t>
  </si>
  <si>
    <t>08:36</t>
  </si>
  <si>
    <t>Организация на фасаде здания размещала рекламу медицинских услуг, в которой содержалась информация о том, что ООО «МРТ-эксперт Кострома» осуществляет проведение магнитно-резонансной томографии.
Костромских медиков оштрафовали на 200 тысяч за неправильную рекламу
Статья
https://m.vk.com/@-184474783-rss-2084551896-1972993953</t>
  </si>
  <si>
    <t>06:05</t>
  </si>
  <si>
    <t>What would you say about the dangers of using fabric masks? Like the fact that they retain humidity and favor bacteria growth???</t>
  </si>
  <si>
    <t>Pablo Contreras</t>
  </si>
  <si>
    <t>05:15</t>
  </si>
  <si>
    <t>Реклама частного медцентра в Костроме призвала вместо клиентов штраф в 200 тысяч</t>
  </si>
  <si>
    <t>Частный медцентр в Костроме https://news.rambler.ru/Kostroma/  оштрафовали за неправильную рекламу, узнал KOSTROMA.TODAY.
По информации регионального управления УФАС, частный медцентр «МРТ-эксперт Кострома» вывесил на фасаде здания рекламу своих услуг, однако специалисты не вписали важную информацию о том, что имеются противопоказания и необходимо проконсультироваться с врачом.
В итоге суд решил, что рекламу необходимо снять, что и произошло, а организации назначил штраф в 200 тысяч рублей. Однако медцентр с решением не согласился и обжаловал его в арбитражном суде, но там приговор оставили без изменений.</t>
  </si>
  <si>
    <t>news.rambler.ru</t>
  </si>
  <si>
    <t>13.07.2020</t>
  </si>
  <si>
    <t>23:05</t>
  </si>
  <si>
    <t>And don't worry if the mask causes hypoxia, you can rely on our now pathetic Heath care givers to treat you as non essential. There is also a good chance you will be written up as Covid, and you just didn't know it as many of the symptoms are similar. I believe this Doctor should be wearing a mask as it seems he is blowing out a lot of hot air.</t>
  </si>
  <si>
    <t>Holly Leeming</t>
  </si>
  <si>
    <t>22:44</t>
  </si>
  <si>
    <t>Кто делал мрт в Воронеже? Девчонки, как понять, эти специалисты платно описывают и хорошо ли? Спасибо за ответы</t>
  </si>
  <si>
    <t>делали  в мрт эксперт</t>
  </si>
  <si>
    <t>Кристина Кристинина</t>
  </si>
  <si>
    <t>Подслушано у Мам - Елец</t>
  </si>
  <si>
    <t>@jado17413 @Toniconfid @KPN447 @JillDeming1 The Mayo Clinic disagrees with you, they do recommend wearing masks and they show why
If you disagree, don't talk to me, call the Mayo Clinic and tell them why you know more than they do
https://newsnetwork.mayoclinic.org/discussion/covid-19-mayo-clinic-expert-answers-questions-about-masks-after-cdc-updates-its-recommendation/</t>
  </si>
  <si>
    <t>RobHanJr_Deerfield</t>
  </si>
  <si>
    <t>Сент-Пол</t>
  </si>
  <si>
    <t>Everyone who wears a mask is touching their face constantly!</t>
  </si>
  <si>
    <t>Christopher Bullard</t>
  </si>
  <si>
    <t>21:00</t>
  </si>
  <si>
    <t>Девочки. Болит колено при ходьбе и поднятие по лестнице; пару раз, когда его сгибала - оно хрустнуло и не разогнулось,</t>
  </si>
  <si>
    <t>Сегодня по телеку видела рекламу "Эксперт мрт" на Ст. Димитрова, скидки 25%</t>
  </si>
  <si>
    <t>20:01</t>
  </si>
  <si>
    <t>Панова Светлана Олеговна, доктор косметолог
・・・
Около трех лет назад  в арсенале врача- косметолога  появились всесезонные пилинги. Это препараты, которые замечательно работают в летнее время , не провоцируют пигментацию и очень хорошо переносятся пациентами. 
  Таких препаратов несколько, а мой любимый - пилинг Bior 5. #bior5
  Неоспоримый факт, что красивая кожа - это очень важная составная КРАСОТЫ в целом. Мы ,  косметологи, можем помочь пациенту сделать кожу более гладкой, более глянцевой, более ровной. Несомненно, Bior 5 - это пилинг здоровой кожи , придающий ей очень ухоженный внешний вид.  Очень часто я использую Bior5 в программе комплексной чистки кожи  лица, закрывая этим пилингом процедуру. Таким образом, эффект процедуры  значительно выше, дольше сохраняется ощущение чистоты кожи. 
#косметологиякурск#вкурске#мойдокторПанова#чистаякожа#летнийпилинг#clinic_expert_kursk</t>
  </si>
  <si>
    <t>19:44</t>
  </si>
  <si>
    <t>Мрт эксперт на Петра Великого. Да, многое зависит от врача, описывабщкго снимок, но в зависимости от мощности томографа, снимки получаются разной информативности. Из того, что в Липецке, на сколько я знаю, на Петра самый мощный мрт аппарат</t>
  </si>
  <si>
    <t>Татьяна Сырых</t>
  </si>
  <si>
    <t>Среди методов диагностики, применяющихся в гинекологии, важное место занимает кольпоскопия. О том, что это такое, рассказывает врач – акушер-гинеколог «Клиники Эксперт» Пермь Марина Пешина: https://www.mrtexpert.ru/articles/1070
#ГКЭксперт #мртэксперт #КлиникаЭксперт #КлиникаЭкспертПермь #гинекология #кольпоскопия</t>
  </si>
  <si>
    <t>Среди методов диагностики, применяющихся в гинекологии, важное место занимает кольпоскопия. О том, что это такое, рассказывает врач – акушер-гинеколог «Клиники Эксперт» Пермь Марина Пешина: https://www.mrtexpert.ru/articles/1070
#ГКЭксперт #мртэксперт #КлиникаЭксперт #КлиникаЭкспертПермь #гинекология #кольпоскопия</t>
  </si>
  <si>
    <t>Подскажите пожалуйста,где аппарат КТ с хорошим разрешением в Мытищах?</t>
  </si>
  <si>
    <t>В начале Новомытищинского есть МРТ-Эксперт. Вроде достаточно было.</t>
  </si>
  <si>
    <t>Петр Банкин</t>
  </si>
  <si>
    <t>This guy needs to show peer reviewed studies!  He’s an idiot!</t>
  </si>
  <si>
    <t>Tucker Tucker</t>
  </si>
  <si>
    <t>КАК МЫ ПОЗНАКОМИЛИСЬ?...
⠀
С "Клиникой МРТ Эксперт Уфа"
⠀
Оставшись без работы январе 2017, я вообще не представляла, чем хочу заниматься дальше. Но знала, что возвращаться в ряды офисного планктона не хочу и в то же время, формат 24/7 разъездах работы уже не вытягиваю.
⠀
- А ты попробуй в МРТ! - пошутил мой брат.
⠀
Других предложений нет, свободного времени - вагон, да и попытка - не пытка, тем более после моего московского опыта по 4-7 собеседований в день - это было даже интересно.
⠀
Приехала, вошла в кабинет, моя будущая начальница @_lexx010_ встретила меня фразой "Ой, у тебя такие голубые глаза! Я тебя беру!" Да уж, к такому повороту событий я точно не готовилась.
⠀
Что дальше? Более тысячи страниц информации об МРТ (к слову, я даже не знада, что это такое), продажах и психологии. Экзамены, тесты и морально тяжелое собеседование по скайпу.
⠀
С формулировкой "условно подходит" начался мой путь в МРТ Эксперт на должности рекламщика с записью в трудовой книжке - "медицинский представитель"...
⠀
#мрт #мртуфа #жизньмедпреда
@mrt.expert.ufa</t>
  </si>
  <si>
    <t>Инна</t>
  </si>
  <si>
    <t>Башкортостан</t>
  </si>
  <si>
    <t>Уфа</t>
  </si>
  <si>
    <t>- Что такое лакунарная киста с перифокальным глиозом?
Отвечает: Артём Неделин, врач-рентгенолог «МРТ Эксперт» Липецк
Лакунарная киста – небольшая полость, наполненная ликворным содержимым. Глиоз – процесс, запускающийся в нервных тканях в ответ на повреждение нейронов. То есть лакунарная киста с перифокальным глиозом – это киста, которая возникла в результате гибели небольшого участка головного мозга. В подавляющем большинстве случаев такая
киста является следствием ишемического инсульта.
#мртэксперт #КлиникаЭксперт #энциклопедияГКЭксперт #мртэкспертлипецк #врачАртемНеделин #ассоциацияврачейМРТдиагностики</t>
  </si>
  <si>
    <t>#รู้สักนิดก่อนทำคาง
#นารดาคลินิกเรามีเคล็ดลับดีๆมาฝากค่ะ
แจ้งประวัติการแพ้ยา อาหารเสริม การผ่าตัด
หากเป็นเริมที่ปาก รักษาให้หายก่อน
หากมีไข้สูง ไอ ป่วย 
กรุณาแจ้งเจ้าหน้าที่
งดบุหรี่ แอลกอฮอลล์ 2 สัปดาห์
เพื่อลดความเสี่ยงในการติดเชื้อ
งดทานยาสลายลิ่มเลือด
ยาสเตียรอยด์ และของแสลง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#รู้สักนิดก่อนทำคาง
#นารดาคลินิกเรามีเคล็ดลับดีๆมาฝากค่ะ
แจ้งประวัติการแพ้ยา อาหารเสริม การผ่าตัด
หากเป็นเริมที่ปาก รักษาให้หายก่อน
หากมีไข้สูง ไอ ป่วย 
กรุณาแจ้งเจ้าหน้าที่
งดบุหรี่ แอลกอฮอลล์ 2 สัปดาห์
เพื่อลดความเสี่ยงในการติดเชื้อ
งดทานยาสลายลิ่มเลือด
ยาสเตียรอยด์ และของแสลง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https://www.facebook.com/NaradaTeam/photos/a.568393426606903/2978702845575937/?type=3</t>
  </si>
  <si>
    <t>МРТ: Рассеянный склероз - снова о теории мифологии. Часть 3
По опыту работы в «МРТ-Эксперт» г. Костромы.
https://vrachirf.ru/blogs/kopenkin/topics/76236</t>
  </si>
  <si>
    <t>Normatova Dilfuza</t>
  </si>
  <si>
    <t>1500 ВИДОВ АНАЛИЗОВ
⠀
С помощью нашей обширной лабораторной диагностики можно выявить большинство причин заболеваний.
⠀
Проводим лабораторные тесты по всем направлениям:
⠀
✔общеклинические анализы крови;
✔онкомеркеры;
✔исследования на аллергены;
✔гормоны;
✔исследования на паразитов и инфекции;
✔на наследственные заболевания и т.д.
⠀
Сотрудничаем с лабораториями:
✔Сдать необходимые анализы можно без предварительной записи в нашем центре.
✔Проводим забор материала для исследования на дому.
✔Результат будет готов в сжатые сроки.
✔Получить результат можно в нашей клинике или по электронной почте.
⠀
❌Не ищите причину заболевания в интернете!
Приходите за точным диагнозом в «Клинику Эксперт Ставрополь»!
☎ +7 (865) 297-95-68
www.mrtexpert.ru
Ставрополь, ул Доваторцев, 39А
Лицензия: ЛО-26-01-005183</t>
  </si>
  <si>
    <t>Возможна ли жизнь в... кислоте? Как оказалось, да: в нашем желудке вполне комфортно чувствует себя одна из имеющих важное клиническое значение бактерий.
О хеликобактере пилори мы побеседовали с врачом-гастроэнтерологом «Клиника Эксперт» Курск Василисой Ищенко: https://www.mrtexpert.ru/articles/906
#ГКЭксперт #КлиникаЭксперт #мртэксперт #КлиникаЭкспертКурск #хеликобактерпилори #helicobacterpylori</t>
  </si>
  <si>
    <t>Возможна ли жизнь в... кислоте? Как оказалось, да: в нашем желудке вполне комфортно чувствует себя одна из имеющих важное клиническое значение бактерий.
О хеликобактере пилори мы побеседовали с врачом-гастроэнтерологом «Клиника Эксперт» Курск Василисой Ищенко: https://www.mrtexpert.ru/articles/906
#ГКЭксперт #КлиникаЭксперт #мртэксперт #КлиникаЭкспертКурск #хеликобактерпилори #helicobacterpylori</t>
  </si>
  <si>
    <t>11:50</t>
  </si>
  <si>
    <t>3 июля 2020 года Арбитражный суд Костромской области оставил в силе решение Костромского УФАС России о признании нарушения ООО «МРТ-эксперт Кострома» Закона о рекламе
Костромских медиков оштрафовали на 200 тысяч за неправильную рекламу
3 июля 2020 года Арбитражный суд Костромской области оставил в силе решение Костромского УФАС России о признании нарушения ООО «МРТ-эксперт Кострома» Закона о ...
https://kostroma.mk.ru/economics/2020/07/13/kostromskikh-medikov-oshtrafovali-na-200-tysyach-za-nepravilnuyu-reklamu.html</t>
  </si>
  <si>
    <t>МК в Костроме</t>
  </si>
  <si>
    <t>3 июля 2020 года Арбитражный суд Костромской области оставил в силе решение Костромского УФАС России о признании нарушения ООО «МРТ-эксперт Кострома» Закона о рекламе
https://kostroma.mk.ru/economics/2020/07/13/kostromskikh-medikov-oshtrafovali-na-200-tysyach-za-nepravilnuyu-reklamu.html</t>
  </si>
  <si>
    <t>11:42</t>
  </si>
  <si>
    <t>3 июля 2020 года Арбитражный суд Костромской области оставил в силе решение Костромского УФАС России о признании нарушения ООО «МРТ-эксперт Кострома» Закона о рекламе
Костромских медиков оштрафовали на 200 тысяч за неправильную рекламу
https://kostroma.mk.ru/economics/2020/07/13/kostromskikh-medikov-oshtrafovali-na-200-tysyach-za-nepravilnuyu-reklamu.html</t>
  </si>
  <si>
    <t>НОВОСТИ РОССИИ 150</t>
  </si>
  <si>
    <t>11:41</t>
  </si>
  <si>
    <t>3 июля 2020 года Арбитражный суд Костромской области оставил в силе решение Костромского УФАС России о признании нарушения ООО «МРТ-эксперт...
http://nkst.ru/regions/kostromskih-medikov-oshtrafovali-na-200-tyisyach-za-nepravilnuyu-reklamu/</t>
  </si>
  <si>
    <t>11:39</t>
  </si>
  <si>
    <t>3 июля 2020 года Арбитражный суд ⚖ Костромской области оставил в силе решение Костромского УФАС России о признании нарушения ООО «МРТ-эксперт Кострома» Закона о рекламе.
⬇️⬇️⬇️⬇️⬇️⬇️⬇️⬇️
Организация на фасаде здания размещала рекламу медицинских услуг , в которой содержалась информация о том, что ООО «МРТ-эксперт Кострома» осуществляет проведение магнитно-резонансной томографии.
_________________________
Несмотря на то, что медики ‍⚕️‍⚕️не сомневаются в отсутствии вреда от процедуры, есть люди, кому МРТ противопоказано‍♂️ по ряду причин и представляет опасность для здоровья⚠️. Именно поэтому, согласно действующему законодательству, реклама лекарственных средств , медицинской техники и медицинских услуг обязательно должна сопровождаться предупреждением о наличии противопоказаний к их применению и использованию, необходимости ознакомления с инструкцией по применению или получения консультации специалистов‍⚕️‍⚕️.
________________________
❗Однако в размещаемой рекламе не было данного предупреждения, в связи с чем, организации Костромским УФАС России было выдано предписание на устранение указанных нарушений.❗
________________________
Не согласившись с решением антимонопольного органа, организация обратилась в Арбитражный суд Костромской области ⚖ для его обжалования. Однако суд поддержал позицию Костромского УФАС России ☝️ и решение о признании рекламы, размещаемой частной клиникой ненадлежащей оставлено в силе ✅.
________________________
За данное правонарушение общество привлечено к ответственности в соответствии с частью 5 статьи 14.3 КоАП РФ в виде штрафа в размере двухсот тысяч рублей ❗.
________________________
Подробности на сайте управления:
kostroma.fas.gov.ru
#КостромскоеУФАС #ФАС #ненадлежащаяреклама #кострома #kostroma #44регион #коап #фз38 #законорекламе</t>
  </si>
  <si>
    <t>Костромское УФАС России</t>
  </si>
  <si>
    <t>НОВОСТИ РОССИИ 4</t>
  </si>
  <si>
    <t>11:38</t>
  </si>
  <si>
    <t>НОВОСТИ РОССИИ 151</t>
  </si>
  <si>
    <t>11:11</t>
  </si>
  <si>
    <t>Здравствуйте. Анонимно пожалуйста. Ребенку 6 лет необходимо сделать МРТ головы и шеи с контрастом.Есть  Несколько</t>
  </si>
  <si>
    <t>МРТ от 2х лет делают в МРТ Эксперт на Завенягина1/2 (без наркоза). По контрасту лучше утонить по телефону 51-03-88</t>
  </si>
  <si>
    <t>КЛАССИФИКАЦИЯ МРТ ПО КРИТЕРИЮ ИССЛЕДУЕМОЙ ЧАСТИ ТЕЛА.
В зависимости от того, какую часть тела (орган, систему) необходимо обследовать, томография может быть:
⠀
❗️Головного мозга. Применяется в нейрохирургии, неврологии. Помогает выявить заболевания тканей головного мозга. При подготовке к хирургической операции обеспечивает конкретизацию масштабов предстоящего вмешательства.
⠀
❗️Брюшной полости, забрюшинного пространства. Дает информацию о состоянии внутренних органов брюшной полости.
⠀
❗️Позвоночника (поясничного, грудного, шейного, пояснично-крестцового отделов). Метод направлен на диагностику патологий спинного мозга и позвоночного столба. Позволяет с точностью до одного миллиметра вычислить размеры и локализацию опухоли, грыжи.
⠀
❗️Органов малого таза. Применяется в гинекологии и урологии. Диагностика оптимальна, если нужно выявить женские болезни. У мужчин МРТ помогает исследовать простату.
⠀
❗️Суставов. Используется хирургами, ортопедами, травматологами. Обычно проводится для исследования крупных суставов. Дает возможность изучить состояние суставных капсул, сухожилий мышц, хрящевых поверхностей и пр.
⠀
❗️Всего организма. Проводится при обследовании больных онкологией.
⠀
ЗАПИСЫВАЙТЕСЬ на диагностику в один из наших городов (перечень вы можете найти в ленте ниже⬇️ или на сайте по ссылке в шапке профиля) и БУДЬТЕ ЗДОРОВЫ!❤️
⠀
#мртворонеж#ктворонеж#диагностикаextra#эксперт#мртчерноземье#магнитнорезонанснаятомография#мртлучшиецены#астрахань#белореченск#богучар#волжский#камышин#краснодар#миллерово#новороссийск#новохоперск#рязань#сочи#таганрог
⠀
Возможны противопоказания Проконсультируйтесь с врачом⚕️
@diagnostika_extra_astrakhan @mrt_chernozem34 @mrttaganrog @mrt_expert_62 @mrt_millerovo @mrt_krasnodar_23 @mrt_belorechensk_23 @mrt_novohopersk36</t>
  </si>
  <si>
    <t>МРТ, КТ, томография</t>
  </si>
  <si>
    <t>11:10</t>
  </si>
  <si>
    <t>Мамочки посоветуйте где делают хорошо мрт коленного сустава? Срасибо. Анон</t>
  </si>
  <si>
    <t>МРТ Эксперт на Завенягина. Сейчас акция при прохождении МРТ 2х коленок скидка 30%</t>
  </si>
  <si>
    <t>Добрый день , подскажите где лучше сделать МРТ мягких тканей шеи? Всем ответившим, спасибо.Анонимно.</t>
  </si>
  <si>
    <t>Здравствуйте. Если еще актуально - можно пройти в МРТ Эксперт на Завенягина 1/2, напишите мне в ЛС, расскажу еще как скидку можно получить.</t>
  </si>
  <si>
    <t>Анонимно. Срочно, пожалуйста. Посоветуйте хорошего лора! Гнойный гайморит. И мрт где можно пройти</t>
  </si>
  <si>
    <t>МРТ пазух носа можно пройти в МРТ Эксперт на Завенягина, там же можно выгодный комплекс пройти пазухи и головной мозг.</t>
  </si>
  <si>
    <t>10:58</t>
  </si>
  <si>
    <t>Все добрый вечер! Скажите пожалуйста, где принимает хороший детский невролог?</t>
  </si>
  <si>
    <t>В "МРТ-ЭКСПЕРТ"
Ведяшева Полина Геннадьевна (детский невролог)
 51-03-88</t>
  </si>
  <si>
    <t>Анон. Здравствуйте! Подскажите хорошего детского невролога и кардиолога?спасибо</t>
  </si>
  <si>
    <t>Ведяшева Полина Геннадьевна (детский невролог) в ООО "МРТ-Эксперт"</t>
  </si>
  <si>
    <t>Девочки подскажите пожалуйста хорошего невролога и логопеда.Ребенку 2,7 начал заикаться.Спасибо</t>
  </si>
  <si>
    <t>в ООО "МРТ-ЭКСПЕРТ"
Ведяшева Полина Геннадьевна (детский невролог)
 ул.Завенягина 1/2, 51-03-88</t>
  </si>
  <si>
    <t>Доброе утро.Анонимно. Ребёнку 2 мес, сон для нас проблема. Спал только первую неделю из роддома. Ночью ещё как-то спит,</t>
  </si>
  <si>
    <t>в ООО "МРТ-ЭКСПЕРТ"
Ведяшева Полина Геннадьевна (детский невролог)
.Завенягина д. 1/2 , 51-03-88</t>
  </si>
  <si>
    <t>Девочки, подскажите пожалуйста, где можно сразу слелать узи и ктг сердце ребёнку завтра, платно? И где попасть к</t>
  </si>
  <si>
    <t>в ООО "МРТ-ЭКСПЕРТ"
Ведяшева Полина Геннадьевна (детский невролог)
ул.Завенягина 1/2. ,51-03-88</t>
  </si>
  <si>
    <t>10:41</t>
  </si>
  <si>
    <t>На Петра Великого
Диагностический центр МРТ цены в Липецк в федеральной сети медицинских центров "МРТ Эксперт"
https://www.mrtexpert.ru/lip</t>
  </si>
  <si>
    <t>Why Not</t>
  </si>
  <si>
    <t>Мрт эксперт самый мощный томограф</t>
  </si>
  <si>
    <t>Здравствуйте. Подскажите невролога для взрослого и где принимает?</t>
  </si>
  <si>
    <t>в ООО "МРТ-ЭКСПЕРТ"
Котляр Лев Борисович (взрослый невролог)
51-03-88</t>
  </si>
  <si>
    <t>Если вы планируете визит к врачу, но не знаете, какую клинику выбрать и к какому специалисту записаться, то мы с</t>
  </si>
  <si>
    <t>☝Наш адрес: г. Рязань, ул. Профессора Никулина 3а 
☎8(930)8803992. 
☎+7(4912)92-39-92 
➡Наш сайт: http://cmrtexpert.ru 
#МРТРязань МРТ#МРТЦены#МРТРязань#МРТ#Эксперт#Обследование#Здоровье#Москва#Луховицы#Озеры#Шатура#Коломна#Праздники</t>
  </si>
  <si>
    <t>09:20</t>
  </si>
  <si>
    <t>МРТ-Эксперт на Петра Великого</t>
  </si>
  <si>
    <t>Daniel Christmas</t>
  </si>
  <si>
    <t>Родившийся 13 июля 1923 года в Костромской области в простой крестьянской семье, десятилетний Миша, стоило ему впервые посмотреть кино в сельском клубе, сразу решил стать артистом. Чем изрядно насмешил своих близких.
Комедия на экране, преодоление – в жизни. Как жил Михаил Пуговкин?: https://www.mrtexpert.ru/articles/649
#ГКЭксперт #мртэксперт #КлиникаЭксперт #диагнозывеликих #михаилпуговкин</t>
  </si>
  <si>
    <t>Родившийся 13 июля 1923 года в Костромской области в простой крестьянской семье, десятилетний Миша, стоило ему впервые посмотреть кино в сельском клубе, сразу решил стать артистом. Чем изрядно насмешил своих близких.
Комедия на экране, преодоление – в жизни. Как жил Михаил Пуговкин?: https://www.mrtexpert.ru/articles/649
#ГКЭксперт #мртэксперт #КлиникаЭксперт #диагнозывеликих #михаилпуговкин</t>
  </si>
  <si>
    <t>Психология пандемии: 5 страхов, порожденных COVID-19
Статья
https://m.vk.com/@clinic_expert_vrn-psihologiya-pandemii-5-strahov-porozhdennyh-covid-19
Пандемия коронавируса так или иначе коснулась каждого: кто-то потерял работу или бизнес, кто-то был вынужден поменять планы, кто-то застрял в чужом городе или стране – примеров может набраться не один десяток. Казалось бы, жизнь начинает налаживаться – предприятия и магазины работают, открываются летние веранды кафе, люди снова планируют путешествия и едут в отпуска. Но страхи, порожденные вирусом и его последствиями, продолжают жить.
Разбираем основные опасения и тревоги вместе с психологом «Клиники Эксперт Воронеж» Надеждой Сотевой.</t>
  </si>
  <si>
    <t>Надежда Сотева</t>
  </si>
  <si>
    <t>07:07</t>
  </si>
  <si>
    <t>Акция на МРТ до 31 июля☀
Мы снизили стоимость на самые популярные МРТ-исследования:
Головной мозг
Шейный/грудной/поясничный отдел позвоночника
Цена 2400 (по основному прайсу 3000₽)
Не откладывайте здоровье на потом, запишитесь на диагностику
+7(342)215 30 03
➡В Сообщения группы
на сайте https://www.mrtexpert.ru/prm/categories/12
Ежедневно 7.00-23.00
Ул.Монастырская 42А
Ул. Подлесная 6
#мртпермь #клиникаэксперт #клиникаэкспертпермь
МРТ в Перми, клиника Эксперт
Диагностический центр МРТ цены в Москва в федеральной сети медицинских центров "МРТ Эксперт"
http://mrtexpert.ru/</t>
  </si>
  <si>
    <t>#เป็นสิวติดสารมานานเท่าไหร่แล้ว
#ใช้อะไรก็ไม่ดีรักษามากี่ปีก็ไม่หาย
#มาให้นารดาคลินิกดูแลคุณ
#ด้วยโปรแกรมรักษาสิวประสิทธิภาพสูงจากนารดาคลินิก.
.
.
 ด้วยโปรแกรมรักษาสิวแบบบูรณาการ
 ทำความสะอาดผิว
 กดสิวอุดตัน  ฉีดสิวอักเสบ
 ผลักวิตามินเย็นเข้าไปในชั้นใต้ผิว
 มาส์คหน้าเพื่อลดอาการอักเสบของผิว
 รับเวชภัณฑ์และยาสำหรับรักษาสิว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#เป็นสิวติดสารมานานเท่าไหร่แล้ว
#ใช้อะไรก็ไม่ดีรักษามากี่ปีก็ไม่หาย
#มาให้นารดาคลินิกดูแลคุณ
#ด้วยโปรแกรมรักษาสิวประสิทธิภาพสูงจากนารดาคลินิก.
.
.
 ด้วยโปรแกรมรักษาสิวแบบบูรณาการ
 ทำความสะอาดผิว
 กดสิวอุดตัน  ฉีดสิวอักเสบ
 ผลักวิตามินเย็นเข้าไปในชั้นใต้ผิว
 มาส์คหน้าเพื่อลดอาการอักเสบของผิว
 รับเวชภัณฑ์และยาสำหรับรักษาสิว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https://www.facebook.com/NaradaTeam/photos/a.568393426606903/2978680025578219/?type=3</t>
  </si>
  <si>
    <t>My wife and I got sick for about 20 days starting around March 5th this year. Neither of us got fever though (never even reached 37 degrees Celsius). But wer were getting chills, coughing (wet cough) and generally feeling crappy for this entire 20-day duration.  But since everyone was instructed not to go to hospitals/see doctors unless they were "dying", and also tests were still not available then; we never got tested for Covid19. So we don't know if the coronavirus was our problem, or we were just "normally" ill. By the end of March we were both fine (it was, however, a very long period to be sick for). 
So my question is, is there a way to test/find out now, whether we HAD been infected by the coronavirus back in March?. (It would be GREAT to know, as that would probably mean that Covid19 probably won't kill us in the future either unless a completely different strand of the virus comes along that would affect us differently - and more importantly, we would now know if we are now more protected from Covid19 as we'll - assumably - have antibodies against it now. At least against THIS strand/"iteration" of the virus..  
**Please only reply to this question if you actually KNOW the answer (no "assumptions" please!). ;)</t>
  </si>
  <si>
    <t>nounix 3</t>
  </si>
  <si>
    <t>12.07.2020</t>
  </si>
  <si>
    <t>20:06</t>
  </si>
  <si>
    <t>And this Mayo Clinic article says coronavirus is considered to be 0.12 microns, right?
https://newsnetwork.mayoclinic.org/discussion/covid-19-mayo-clinic-expert-answers-questions-about-masks-after-cdc-updates-its-recommendation/</t>
  </si>
  <si>
    <t>Copperjaw</t>
  </si>
  <si>
    <t>Нью-Гэмпшир</t>
  </si>
  <si>
    <t>https://scontent-hel2-1.xx.fbcdn.net/v/t1.0-0/p526x296/107810159_772483746829257_2059308827593856243_o.jpg?_nc_cat=109&amp;_nc_sid=9267fe&amp;_nc_oc=AQn9izEE-1F57j2I3meGJm6PE6u67q6Y1rDRBpLAyioZG4GC4DxTKo2eVOResCxxMYXUVBwCC863MntmMG7s0RNt&amp;_nc_ht=scontent-hel2-1.xx&amp;_nc_tp=6&amp;oh=1d1393be58c8a4787b5e0de51ccc1584&amp;oe=5F32ADEC</t>
  </si>
  <si>
    <t>17:33</t>
  </si>
  <si>
    <t>Дуслар! Аяк, кул, суставлар борчыса @vash.expert килергә була. Кыска вакыт эчендә МРТ ясап, нәтиҗәсендә әйләләр. Əле үзәктә бик шәп акцияләре бар. 
Друзья! @vash.expert где работают настоящие профессионалы своего дело. Быстро и качественно делают МРТ. Действуют очень выгонные акции:
⠀ 
1)МРТ головного мозга с артериями за 3700₽
2) МРТ всего позвоночника за 5900₽
3) МРТ всего тела 15300₽ 
Многопрофильный современный лечебно-диагностический центр Эксперт+. МРТ, УЗИ, приём специалистов, анализы. 
Телефон: 204-49-17, адрес Чистопольская 5а
#вашэксперт#мртказань#мртголовногомозга</t>
  </si>
  <si>
    <t>Нияз РАХМАН</t>
  </si>
  <si>
    <t>Татарстан</t>
  </si>
  <si>
    <t>Казань</t>
  </si>
  <si>
    <t>#เคสแก้จมูก #งานดี #งานเนี๊ยบ
#ออกแบบทรงจมูกให้เข้ากับรูปหน้าของคุณ
#พุ่งโด่งได้ใจสไตล์ที่ใช่ในแบบที่ชอบ
.
.
 ด้วยเทคนิค Semi Open
 ตอก ตะไบฮั้ม แก้ปัญหาซิลิโคนเคลื่อน
 รองปลายจมูกด้วยกระดูกอ่อนหลังหู
#ยินดีให้คำปรึกษาทั้งก่อนและหลังทำโดยแพทย์ทุกเคส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#เคสแก้จมูก #งานดี #งานเนี๊ยบ
#ออกแบบทรงจมูกให้เข้ากับรูปหน้าของคุณ
#พุ่งโด่งได้ใจสไตล์ที่ใช่ในแบบที่ชอบ
.
.
 ด้วยเทคนิค Semi Open
 ตอก ตะไบฮั้ม แก้ปัญหาซิลิโคนเคลื่อน
 รองปลายจมูกด้วยกระดูกอ่อนหลังหู
#ยินดีให้คำปรึกษาทั้งก่อนและหลังทำโดยแพทย์ทุกเคส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https://www.facebook.com/NaradaTeam/photos/a.568393426606903/2978674135578808/?type=3</t>
  </si>
  <si>
    <t>12:50</t>
  </si>
  <si>
    <t>earth wind and fire</t>
  </si>
  <si>
    <t>mc yacko figueroa</t>
  </si>
  <si>
    <t>❤️ПРИСТУП АРИТМИИ МОЖЕТ ВОЗНИКНУТЬ НЕОЖИДАННО
⠀
❓Как он начинается?
⠀
⚠️общая слабость и головокружение;
⚠️толчки и ощущение замирания в области сердца;
⚠️одышка;
⚠️ощущение изменения сердечного ритма (учащение либо замедление).
⠀
План действий при появлении симптомов:
⠀
✔️Открыть в комнате окна, чтобы обеспечить доступ свежего воздуха.
✔️Сесть в кресло, положив голову на высокую спинку или лечь.
✔️Закрыть глаза, сделать глубокий вдох и задержать дыхание на 2-3 секунды. Одновременно нужно надавливать на веки трижды в течение 10 секунд на протяжении минуты. Это может восстановить сердечный ритм.
✔️Можно принять какой-либо успокаивающий препарат (настойка, валерьяны или пустырника).
✔️Если состояние не улучшается, можно нормализовать работу сердца, спровоцировав рвотный рефлекс.
⠀
Если приступы повторяются систематически, а назначенное лечение не помогает - запишитесь к кардиологу в «Клинику Эксперт Ставрополь»!
⠀
☎ +7 (865) 297-95-68
www.mrtexpert.ru
Ставрополь, ул Доваторцев, 39А
Лицензия: ЛО-26-01-005183</t>
  </si>
  <si>
    <t>09:05</t>
  </si>
  <si>
    <t>@cas05271 @MagaCountry1717 @mitchellvii I find that picture highly unlikely to be accurate. That looks like water vapor. That is not a depiction of particles that are .12 microns in size.
COVID-19: Mayo Clinic expert answers questions about masks ...
https://newsnetwork.mayoclinic.org/discussion/covid-19-mayo-clinic-expert-answers-questions-about-masks-after-cdc-updates-its-recommendation/
Nothing short of N95 is going to work.</t>
  </si>
  <si>
    <t>Как МРТ может помочь в обнаружении патологий головного мозга и иных структур головы?
Рассказывает врач-рентгенолог «Клиника Эксперт» Омск Вадим Черкасов: https://www.mrtexpert.ru/articles/905
#ГКЭксперт #мртэксперт #мртэкспертомск #КлиникаЭксперт</t>
  </si>
  <si>
    <t>Как МРТ может помочь в обнаружении патологий головного мозга и иных структур головы?
Рассказывает врач-рентгенолог «Клиника Эксперт» Омск Вадим Черкасов: https://www.mrtexpert.ru/articles/905
#ГКЭксперт #мртэксперт #мртэкспертомск #КлиникаЭксперт</t>
  </si>
  <si>
    <t>LIPOLOCK Liposuction
นวัตกรรมดูดไขมันเหนียง เพียง 1 ชั่วโมง 
‍⚕️ เทคนิคใหม่ล่าสุด ที่คิดค้นโดยทีมแพทย์ นารดาคลินิก
ด้วยเครื่องเลเซอร์ประสิทธิภาพสูงจากอเมริกา 
‍⚕️ช่วยยกกระชับผิว สลายผนังเซลล์ไขมัน 
ขจัดเซลลูไลท์ (Cellulite)
ทำให้ที่ผิวเรียบตึง และ ฟื้นฟูคอลลาเจนในชั้นใต้ผิว
✅ ไม่เจ็บ 
✅ ไม่บอบช้ำ
✅ ไม่ต้องพักฟื้น
✅ เห็นผลได้ตั้งแต่หลังทำ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ดูไขมันเหนียง เทคนิคใหม่ล่าสุดจากนารดา
https://www.facebook.com/NaradaTeam/videos/3280487775344361/</t>
  </si>
  <si>
    <t>@jcho710 @GovEvers He is a family practitioner not an ID expert or a microbiologist and he happens to be false: https://newsnetwork.mayoclinic.org/discussion/covid-19-mayo-clinic-expert-answers-questions-about-masks-after-cdc-updates-its-recommendation/</t>
  </si>
  <si>
    <t>Cory Puuri</t>
  </si>
  <si>
    <t>04:58</t>
  </si>
  <si>
    <t>@Johnmichealmay2 @latinasoccermom @DRLDD @GovEvers False. https://newsnetwork.mayoclinic.org/discussion/covid-19-mayo-clinic-expert-answers-questions-about-masks-after-cdc-updates-its-recommendation/</t>
  </si>
  <si>
    <t>04:07</t>
  </si>
  <si>
    <t>New Transport Minister</t>
  </si>
  <si>
    <t>Lhl can b trsp mistar oso. Get the mrt expert to report to lhl can liao.</t>
  </si>
  <si>
    <t>CanBeDone</t>
  </si>
  <si>
    <t>sgtalk.org</t>
  </si>
  <si>
    <t>Market Talk</t>
  </si>
  <si>
    <t>Сингапур</t>
  </si>
  <si>
    <t>03:58</t>
  </si>
  <si>
    <t>JoeFlow</t>
  </si>
  <si>
    <t>02:23</t>
  </si>
  <si>
    <t>Strange how they call this guy an EXPERT, expert in WHAT? Is he a virologist and if so why does he go against the top five virologists in the world that say DON'T WEAR A MASK? Professor and Dr Cahill ran a level 4 infectious disease lab for 35 yrs, was the one who found solutions to SARs, Aids AND worked on previous Covid, and she says DO NOT WEAR A MASK, and if you do your harming yourself.</t>
  </si>
  <si>
    <t>Liberty Rich</t>
  </si>
  <si>
    <t>01:38</t>
  </si>
  <si>
    <t>@Waitwha77782293 @CNN https://newsnetwork.mayoclinic.org/discussion/covid-19-mayo-clinic-expert-answers-questions-about-masks-after-cdc-updates-its-recommendation/</t>
  </si>
  <si>
    <t>Good Jeans</t>
  </si>
  <si>
    <t>00:39</t>
  </si>
  <si>
    <t>P2. This is not science, this is opinion based on science. There is a distinct difference. https://newsnetwork.mayoclinic.org/discussion/covid-19-mayo-clinic-expert-answers-questions-about-masks-after-cdc-updates-its-recommendation/</t>
  </si>
  <si>
    <t>Jdub</t>
  </si>
  <si>
    <t>Виргиния</t>
  </si>
  <si>
    <t>Chesterfield Court House</t>
  </si>
  <si>
    <t>00:12</t>
  </si>
  <si>
    <t>@Bigbear26420720 https://newsnetwork.mayoclinic.org/discussion/covid-19-mayo-clinic-expert-answers-questions-about-masks-after-cdc-updates-its-recommendation/</t>
  </si>
  <si>
    <t>GrangerF451</t>
  </si>
  <si>
    <t>00:08</t>
  </si>
  <si>
    <t>@Anthony26128797 @christianllamar @seanhannity @senatemajldr https://newsnetwork.mayoclinic.org/discussion/covid-19-mayo-clinic-expert-answers-questions-about-masks-after-cdc-updates-its-recommendation/</t>
  </si>
  <si>
    <t>11.07.2020</t>
  </si>
  <si>
    <t>@mrTTTT2U @StinkersD https://newsnetwork.mayoclinic.org/discussion/covid-19-mayo-clinic-expert-answers-questions-about-masks-after-cdc-updates-its-recommendation/</t>
  </si>
  <si>
    <t>‘liltinyoranges</t>
  </si>
  <si>
    <t>Огайо</t>
  </si>
  <si>
    <t>Цинциннати</t>
  </si>
  <si>
    <t>Добрый день! Девочки, подскажите, пожалуйста, где в Кудрово (или недалеко) хорошо делают МРТ? Заранее спасибо!</t>
  </si>
  <si>
    <t>Лера, я бы не отвечала не будь я работником мрт эксперт</t>
  </si>
  <si>
    <t>Елизавета Брежнева</t>
  </si>
  <si>
    <t>Женский СПБ Санкт-Петербург Питер</t>
  </si>
  <si>
    <t>20:28</t>
  </si>
  <si>
    <t>Коронавирус, пневмония...</t>
  </si>
  <si>
    <t>Farcry писал(а):Mick, а мрт эксперт, а на территории ржд?
Их нет в этом списке
А кто мешает в гос учреждении за плату? МРТ эксперт вроде не делает, их не предлагали, на сайте тоже нет. РЖД почему-то тоже не предлагали. В поликлинику на Чаплина направляют все другие поликлиники, там очередь и платно не делают. Короче, ж.па.</t>
  </si>
  <si>
    <t>Mick</t>
  </si>
  <si>
    <t>forum.smolensk.ws</t>
  </si>
  <si>
    <t>Смоленский Форум - Главная страница &gt; Главный форум</t>
  </si>
  <si>
    <t>Черниговская область</t>
  </si>
  <si>
    <t>Киселёвка</t>
  </si>
  <si>
    <t>Wearing a mask as a reminder about the virus??!</t>
  </si>
  <si>
    <t>Terence Jay</t>
  </si>
  <si>
    <t>Mick, а мрт эксперт, а на территории ржд?
Их нет в этом списке
А кто мешает в гос учреждении за плату?</t>
  </si>
  <si>
    <t>Farcry</t>
  </si>
  <si>
    <t>18:54</t>
  </si>
  <si>
    <t>@thatjensenwoman @deb_cohen This is more recent,  larger size.
https://newsnetwork.mayoclinic.org/discussion/covid-19-mayo-clinic-expert-answers-questions-about-masks-after-cdc-updates-its-recommendation/</t>
  </si>
  <si>
    <t>Michelle</t>
  </si>
  <si>
    <t>В Мурманске 139 новых ковидных за сутки По состоянию на 11:30 11.07.2020 в Мурманской области выявлен 181 новый случай</t>
  </si>
  <si>
    <t>Мрт эксперт на челюскинцев</t>
  </si>
  <si>
    <t>Татьяна Огурченкова</t>
  </si>
  <si>
    <t>"เมื่อทำตาแล้ว รู้สึกว่าหน้าดูละมุนมากขึ้น
ดูหวานขึ้น แล้วดวงตาก็รู้สึกสดใส
น่ารักขึ้นค่ะ....."
                    (น้องเฟี๊ยต)
#ทำตา2ชั้นแก้หางตาตก
#Korean Eyes
#ละมุนได้ไม่ต้องไปไกลถึงเกาหลี
#เทคนิคกรีดยาว
#ยินดีให้คำแนะนำทั้งก่อนและหลังทำ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"เมื่อทำตาแล้ว รู้สึกว่าหน้าดูละมุนมากขึ้น
ดูหวานขึ้น แล้วดวงตาก็รู้สึกสดใส
น่ารักขึ้นค่ะ....."
                    (น้องเฟี๊ยต)
#ทำตา2ชั้นแก้หางตาตก
#Korean Eyes
#ละมุนได้ไม่ต้องไปไกลถึงเกาหลี
#เทคนิคกรีดยาว
#ยินดีให้คำแนะนำทั้งก่อนและหลังทำ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https://www.facebook.com/NaradaTeam/photos/a.568393426606903/2976510459128509/?type=3</t>
  </si>
  <si>
    <t>14:40</t>
  </si>
  <si>
    <t>Ejimsco hair clinic expert in makeup and gele</t>
  </si>
  <si>
    <t>Ejimsco hair clinic expert in makeup</t>
  </si>
  <si>
    <t>14:32</t>
  </si>
  <si>
    <t>Who is forge6there is a pandemic? There are a myriad of Docs in starck contrast with you. The mass pop has no health teaching in proper mask specifics. I'm an RN. It is a nightmare witnessing this mandatory mask protocol. Any barrier between us and our O2 supply to me, is absurdly counter- intuitive
 The Ontario Civil Liberties Assic. Collected 100s of studies showing the how they make no difference. Places with most spread are places with ventilation systems transporting from floor to floor etc...</t>
  </si>
  <si>
    <t>Julie Egan</t>
  </si>
  <si>
    <t>12:41</t>
  </si>
  <si>
    <t>ПОДАРОК «МРТ Эксперт» и «Клиника Эксперт» ДЕТЯМ 
В честь Дня семьи, любви и верности федеральная сеть медицинских центров ГК "Эксперт" подарила детям сертификаты на полугодовую электронную подписку на "Золотой ключик".
Речь идёт о подопечных Липецкой региональной благотворительной общественной организации Вместе делаем добро
и подопечным ЛРОО "Благополучие" https://vk.com/mnogodetok48 и Школа Мастеров. Эти фонды входят в Областное объединение благотворительных фондов Больше, чем добро!
Кстати, в газете уже почти год выходит рубрика "Расти здоровым" от врачей-экспертов ГК "Эксперт" с нежными сказками и полезными советами.
Ура! Теперь ребята будут участвовать в конкурсах "Ключика", викторинах, играх. А в перспективе в "Ключике" появится рубрика, которая поможет им раскрыть таланты.
Спасибо!
#ГКЭксперт #Золотойключик</t>
  </si>
  <si>
    <t>Вместе делаем добро</t>
  </si>
  <si>
    <t>Больше, чем добро!</t>
  </si>
  <si>
    <t>СТОПА ЧЕЛОВЕКА ТАК ЖЕ ИНДИВИДУАЛЬНА, КАК И ЛИЦО!
⠀
Именно поэтому стандартные ортопедические стельки могут не решить проблемы, а только их усугубить.
⠀
В «Клинике Эксперт Ростов» изготавливаем ортопедические стельки, которые отличаются по степени жесткости, основному материалу и проблемам, которые они решают.
⠀
✔️Проводим приём и осмотр травматологом-ортопедом.
✔️Оцениваем функциональное состояние стопы.
✔️Моделируем стельки с учётом анатомических особенностей и строения стопы.
✔️Изготавливаем стельки
✔️Проводим повторную консультацию травматолога-ортопеда спустя месяц.
✔️Наблюдаем в течение всего времени ношения стелек.
⠀
Если стелька изготовлена индивидуально, то она может:
⠀
✔️скорректировать анатомические недостатки стопы;
✔️избавить от боли в стопах, ногах и спине;
✔️предотвратить травмы.
⠀
Стоимость изготовления:
⠀
Для взрослых - 6000₽
Для детей - 4500₽
⠀
Работаем по системе «ФормТотикс»
Новая Зеландия
⠀
☎ 8(863) 309-11-29
www.mrtexpert.ru
rostov_admin@mrtexpert.ru
⏰ПН-ВС: 7:00-22:00
Ростов-на-Дону, ул. Красноармейская, д.262/122, пом.1
Лицензия: ЛО-61-01-006908</t>
  </si>
  <si>
    <t>Сегодня хотела бы рассказать об Инновационном мезопрепарате Filorga NCTF 135
 этот коктейль является любимчиком многих косметологов и их пациентов❤️ идеально подходит для первых инъекций красоты, для молодой кожи до 35 лет 
Его основные показания к применению:
профилактика и коррекция ранних признаков возрастного и фото-старения;
глубокое увлажнение кожи;
коррекция проблемной кожи(акне, себорея...)
проведение мезотерапия для волос(очаговая или диффузная алопеция);
лечение атрофических 
рубцов.
Стандартный курс состоит из 5️⃣процедур с интервалом 1-2 недели.
Затем поддерживающие процедуры: раз 3 мес✌
Хотите скидку на первую процедуру-20%? ставьте ❤️и пишите мне, количество предложений ограничено
Записаться можно по тел. @clinic_expert_kursk 40-01-71
#косметологкурск #пилингкурск #чисткакурск #косметологиякурск #клиникакурск #врачкурск #акциикурск #курск2020</t>
  </si>
  <si>
    <t>Подскажите где хорошо делают мрт. Нужно головы и позвоночника!</t>
  </si>
  <si>
    <t>На Челюскинцев МРТ эксперт</t>
  </si>
  <si>
    <t>Нестерпимо болит голова, а инструментальные методы диагностики патологию не обнаруживают. О чем может идти речь?
С врачом-неврологом «Клиника Эксперт Курск» Олесей Олеговной Братчиковой говорим о мигрени: https://www.mrtexpert.ru/articles/648
#ГКЭксперт #мртэксперт #КлиникаЭксперт #КлиникаЭкспертКурск #КлиникаЭкспертневрология #Курскневрология #мигрень</t>
  </si>
  <si>
    <t>Нестерпимо болит голова, а инструментальные методы диагностики патологию не обнаруживают. О чем может идти речь?
С врачом-неврологом «Клиника Эксперт Курск» Олесей Олеговной Братчиковой говорим о мигрени: https://www.mrtexpert.ru/articles/648
#ГКЭксперт #мртэксперт #КлиникаЭксперт #КлиникаЭкспертКурск #КлиникаЭкспертневрология #Курскневрология #мигрень</t>
  </si>
  <si>
    <t>How long it takes to get result for serology covid19 test?  Thanks</t>
  </si>
  <si>
    <t>yassin Rah</t>
  </si>
  <si>
    <t>07:10</t>
  </si>
  <si>
    <t>ПОДАРОК «МРТ Эксперт» и «Клиника Эксперт» ДЕТЯМ 
В честь Дня семьи, любви и верности федеральная сеть медицинских центров ГК "Эксперт" подарила детям Вместе делаем добро подарочные сертификаты на полугодовую электронную подписку на "Золотой ключик".
Кстати, в газете уже почти год выходит рубрика "Расти здоровым" от врачей-экспертов ГК "Эксперт" с нежными сказками и полезными советами.
Ура! Теперь ребята будут участвовать в конкурсах "Ключика", викторинах, играх. А в перспективе в "Ключике" появится рубрика, которая поможет им раскрыть таланты.
Спасибо!
#ГКЭксперт #Золотойключик</t>
  </si>
  <si>
    <t>Детская газета "Золотой ключик"</t>
  </si>
  <si>
    <t>#จะดีแค่ไหนถ้าสามารถปรับตาคู่เดิมของคุณให้สวยขึ้น
#ตากลมมีเสน่ห์ชวนมองในแบบที่เป็นคุณ
#นารดาจัดให้
.
.
ทำตา 2 ชั้น
โปรโมชั่นเฉพาะคุณเท่านั้น
เพียง 18,900 - 25,900 บาท
.
.
#ฟรียา #ตัดไหม #ฉายแสง
#ปรึกษาฟรีไม่มีค่าใช้จ่ายนะจ๊ะ
#พร้อมให้คำแนะนำทั้งก่อนและหลังทำทุกเคสโดยแพทย์
#หางตาตก #ตาไม่เท่ากัน
#ตาสามชั้น #ตาชั้นเดียว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#จะดีแค่ไหนถ้าสามารถปรับตาคู่เดิมของคุณให้สวยขึ้น
#ตากลมมีเสน่ห์ชวนมองในแบบที่เป็นคุณ
#นารดาจัดให้
.
.
ทำตา 2 ชั้น
โปรโมชั่นเฉพาะคุณเท่านั้น
เพียง 18,900 - 25,900 บาท
.
.
#ฟรียา #ตัดไหม #ฉายแสง
#ปรึกษาฟรีไม่มีค่าใช้จ่ายนะจ๊ะ
#พร้อมให้คำแนะนำทั้งก่อนและหลังทำทุกเคสโดยแพทย์
#หางตาตก #ตาไม่เท่ากัน
#ตาสามชั้น #ตาชั้นเดียว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https://www.facebook.com/NaradaTeam/photos/a.568393426606903/2976507612462127/?type=3</t>
  </si>
  <si>
    <t>05:05</t>
  </si>
  <si>
    <t>Greiche &amp; Scaff Vertu</t>
  </si>
  <si>
    <t>Excellent clinic ....expert Doctor ....fast service ....recommended</t>
  </si>
  <si>
    <t>Maxime Lepage</t>
  </si>
  <si>
    <t>Квебек</t>
  </si>
  <si>
    <t>Монреаль</t>
  </si>
  <si>
    <t>00:48</t>
  </si>
  <si>
    <t>@Zackideas @kenmaring @TheStreet @jimcramer @GregGoodenough https://newsnetwork.mayoclinic.org/discussion/covid-19-mayo-clinic-expert-answers-questions-about-masks-after-cdc-updates-its-recommendation/</t>
  </si>
  <si>
    <t>Huh?</t>
  </si>
  <si>
    <t>https://newsnetwork.mayoclinic.org/discussion/covid-19-mayo-clinic-expert-answers-questions-about-masks-after-cdc-updates-its-recommendation/
Wear a mask #COVID__19 #COVIDIDIOTS #MaskUp</t>
  </si>
  <si>
    <t>Z</t>
  </si>
  <si>
    <t>Миссури</t>
  </si>
  <si>
    <t>Rolla</t>
  </si>
  <si>
    <t>10.07.2020</t>
  </si>
  <si>
    <t>22:35</t>
  </si>
  <si>
    <t>Мурманчанин делится опытом лечения от коронавируса Ребята, думаю, что многие сейчас столкнулись с тем, что когда плохеет</t>
  </si>
  <si>
    <t>Ирина, я обзвонила несколько мест, смогли попасть только в МРТ-Эксперт, описала ситуацию (вирусом переболели уже), и сделали КТ в этот же день. Когда мы месяц назад болели, нам тоже говорили в разных местах, что только с направлением.</t>
  </si>
  <si>
    <t>Яна Онкина</t>
  </si>
  <si>
    <t>Ирина, в МРТ-Эксперт сделали КТ день в день.</t>
  </si>
  <si>
    <t>Округлённая спина, опущенные плечи... Что может скрываться за такими изменениями осанки?
С травматологом-ортопедом «Клиника Эксперт» Тула Дмитрием Белановым говорим о кифозе: https://www.mrtexpert.ru/articles/901
#ГКЭксперт #КлиникаЭксперт #КлиникаЭкспертТула #мртэксперт #ортопедия #кифоз</t>
  </si>
  <si>
    <t>Округлённая спина, опущенные плечи... Что может скрываться за такими изменениями осанки?
С травматологом-ортопедом «Клиника Эксперт» Тула Дмитрием Белановым говорим о кифозе: https://www.mrtexpert.ru/articles/901
#ГКЭксперт #КлиникаЭксперт #КлиникаЭкспертТула #мртэксперт #ортопедия #кифоз</t>
  </si>
  <si>
    <t>Вы или ваши дети проводите много времени за компьютером и смартфоном?
Покраснение, усталость глаз в конце рабочего дня, "туман" и размытость картинки вдали, желание закрыть глаза или приложить к ним что-то холодное - такое знакомо?
Если да, внимательно прочитайте этот текст и не забудьте сделать зарядку для глаз.
Уставшие глаза и спазм аккомодации: в чем опасность для детей и взрослых
Статья
https://m.vk.com/@clinic_expert_vrn-ustavshie-glaza-i-spazm-akkomodacii-v-chem-opasnost-dlya-det</t>
  </si>
  <si>
    <t>Уставшие глаза и спазм аккомодации: в чем опасность для детей и взрослых</t>
  </si>
  <si>
    <t>Часто на прием к офтальмологу пациенты приходят с жалобами на «туман» и размытость картинки вдали, покраснение и усталость глаз в конце рабочего дня, болевые ощущения и желание закрыть глаза или приложить к ним что-то холодное. Все это – признаки синдрома уставших глаз, который также называют привычно-избыточным напряжением аккомодации (ПИНА). Как бороться с этим синдромом, чем он опасен, особенно для детей и молодых людей, рассказывает врач-офтальмолог «Клиники Эксперт Воронеж» Елена Леонова. 
Что такое аккомодация 
– Аккомодация – это способность глаза рассматривать предметы на разном расстоянии – вблизи и вдали. Ее обеспечивает цилиарная мышца, которая, сокращаясь или расслабляясь, меняет кривизну хрусталика. Когда человек смотрит вдаль, мышца расслаблена и хрусталик плоский, аккомодация расслаблена. Когда человек смотрит вблизи, мышца напрягается, и хрусталик становится шаровидным – аккомодация напряжена. 
Почему возникают спазмы аккомодации
– Когда человек долго смотрит на объекты вблизи, например, читает, пишет, работает за компьютером или «прилип» к экрану смартфона, мышца все время напряжена. Наступает момент, когда она больше расслабиться не может. Так наступает спазм аккомодации, по-другому это расстройство называется ПИНА. В это время пациент может видеть все «как в тумане», особенно, когда переводит взгляд от экрана вдаль. Все расплывается, потому что он продолжает смотреть через шаровидный хрусталик. И если к глазу поставить отрицательную линзу, то острота зрения восстанавливается. Но это не истинная, а ложная близорукость.
Как ПИНА отличают от близорукости
– Как правило, у людей с симптомами ПИНА острота зрения сохраняется на уровне 80-90%. После выяснения этого обстоятельства офтальмолог обследует пациента на рефрактометре – это специальный прибор, который определяет, плюс у вас, минус или ноль. И если у человека небольшой минус – минусовая рефракция, -1 или -2, но при этом острота зрения сохраняется на 80-90%, я всегда спрашиваю, много ли времени пациент проводит за компьютером или смартфоном.
По данным ежегодного глобального исследования Digital 2020, средний россиянин каждый день проводит в онлайне 7 часов 17 минут. Из них более 3,5 часов мы пользуемся смартфонами. 
Потом я капаю капли, которые расширяют зрачок и полностью расслабляют мышцу, регулирующую кривизну хрусталика. Для чего – чтобы хрусталик стал плоским и стало понятно, как на самом деле видит человек. Бывает так, что у него острота зрения оказывается 100%, минус становится нулем, а иногда превращается в плюс. А у дальнозорких людей вообще очень слабая аккомодация. Им нужно работать за компьютером в плюсовых очках, чтобы хрусталик оставался плоским и не было напряжения аккомодации.
Чем опасна ПИНА?
– Особенно опасно запустить это расстройство в детском и молодом возрасте, когда организм растет. Если цилиарная мышца всегда находятся в напряжении, а хрусталик имеет шаровидную форму, то компенсаторно уплощается (вытягивается) глазное яблоко, из шаровидного превращается в яйцевидное. Глазное яблоко становится длинным, изображение перестает падать на сетчатку, а падает перед ней. Чтобы сфокусировать лучи на сетчатку, становится нужна минусовая линза. Так образуется близорукость. У кого-то это происходит за год, у кого-то за два года, а у кого-то и за пять лет. 
Поэтому если у школьника или подростка появляются жалобы на зрительное переутомление, усталость, «туман» в глазах, вы видите покраснение глаз и замечаете, что ребенок их трет, нельзя откладывать визит к офтальмологу. 
Для взрослых ПИНА опасна снижением качества жизни: постоянной зрительной усталостью, болевыми ощущениями, «смазанной» картинкой. 
Как это лечится?
– Для расслабления аккомодации используют капли. Я назначаю их применение 2-3 раза в неделю в течение года. Другой метод – бинокулярная слабомиопическая дефокусировка по Тарутта, когда для расслабления аккомодации носят очки с небольшим плюсом.
Еще один эффективный метод и для расслабления аккомодации, и для профилактики прогрессирования близорукости – аппаратное лечение. Я использую аппарат «АМО-АТОС» с разными насадками. Один сеанс длится около 30 минут, для достижения результата нужно 10-15 сеансов.
Ну, а самостоятельно для расслабления аккомодации можно делать гимнастику для глаз по Аветисову, Дашевскому.
 До 31 августа в «Клинике Эксперт Воронеж» действует специальное предложение. Если вы хотите решить проблему аккомодации, запишитесь к нашему офтальмологу и в рамках приема бесплатно пройдите пробный сеанс аппаратного лечения спазма аккомодации и прогрессирования близорукости. 
Профилактика синдрома уставших глаз
– Взрослым рекомендуется после одного часа непрерывной работы за компьютером (получаса – в смартфоне) делать 10-минутный перерыв. Это немного, но достаточно для расслабления мышц аккомодации. В это время нужно сделать несколько упражнений. Например, можно рисовать взглядом разные геометрические фигуры: круг, квадрат, треугольник, переводить взгляд с потолка на пол и обратно, вправо-влево.
СПРАВКА
Елена Владимировна Леонова, врач-офтальмолог высшей категории, стаж работы с детьми и взрослыми – 26 лет.
С какими проблемами можно обратиться к специалисту:
Рефракционная патология (близорукость, дальнозоркость, астигматизм)
Проблемы с аккомодацией
Атрофия зрительного нерва (после невритов при рассеяном склерозе), токсические невриты (ретробульбарные и интрабульбарные) 
Невриты зрительного нерва
Тромбозы ветвей центральной вены сетчатки
Макулодистрофия, сухая форма 
Диабетическая непролиферативная ретинопатия
Конъюнктивиты
Кератиты 
Блефариты
Иридоциклиты и другие заболевания
Консервативное лечение катаракты, глаукомы
Оперативное лечение:
Лечение халязиона
Пластика нижних слезных точек с зондированием и промыванием слезных путей
Удаление аппаратным методом фибром, папиллом век
Удаление ксантелазм век
Удаление птеригиума I и II степени и пингвекулы
ЕСТЬ ПРОТИВОПОКАЗАНИЯ. ПРОКОНСУЛЬТИРУЙТЕСЬ С ВРАЧОМ
https://www.mrtexpert.ru/vrn/categories/34
https://www.web-canape.ru/business/internet-2020-globalnaya-statistika-i-trendy/
https://prodoctorov.ru/voronezh/vrach/383411-leonova/
#медицина, #дети, #зрение, #офтальмология, #спазм аккомодации</t>
  </si>
  <si>
    <t>МРТ С ГАРАНТИЕЙ
СОВРЕМЕННЫЙ, ИНФОРМАТИВНЫЙ, ВЫСОКОТОЧНЫЙ И БЫСТРЫЙ ПУТЬ К ПОСТАНОВКЕ ДИАГНОЗА
ПОКАЗАНИЯ К ПРОХОЖДЕНИЮ:
- При необходимости получения более точных данных (по сравнению с рентгеном) в диагностике патологии органов грудной клетки
- Для решения вопроса об оперативном лечении после УЗИ артерий (шеи, головы, аорты и др.)
- В случае наличия противопоказаний к прохождению МРТ позвоночника, головного мозга
- При необходимости исключения
подтверждения переломов костей
- Подготовка к операциям (эндопротезирование, операции на позвоночнике и др.)
телефон для записи: 655-193, 70-80-22
www.mrtexpert.ru/mur/categories/69
Компьютерной томографии
Компьютерная томография с контрастом и без внутривенного контрастирования: сделать платно в Мурманске в МРТ Эксперт. Записаться на КТ-диагностику на сайте
http://www.mrtexpert.ru/mur/categories/69</t>
  </si>
  <si>
    <t>@TheKanehB @VoteonNov3 @FabFreddy4 @drdavidsamadi @realDonaldTrump https://newsnetwork.mayoclinic.org/discussion/covid-19-mayo-clinic-expert-answers-questions-about-masks-after-cdc-updates-its-recommendation</t>
  </si>
  <si>
    <t>FF4</t>
  </si>
  <si>
    <t>ГК Эксперт в поисках инвестиционного аналитика /руководителя аналитического отдела на удаленный формат работы</t>
  </si>
  <si>
    <t>ГК Эксперт в поисках инвестиционного аналитика /руководителя аналитического отдела на удаленный формат работы
7/10/2020 1:34:35 PM +00:00 @costacaseclub
ГК Эксперт - федеральная медицинская сеть, находится на второй позиции по количеству центров среди частных медицинских компаний России. Сеть объединяет диагностические центры, специализирующиеся на магнитно-резонансной томографии, и многофункциональные центры, в которых применяются различные методы диагностирования.
Требования к кандидату:
- высшее финансово-экономическое или техническое образование (предпочтительно НИУ «ВШЭ», факультет экономики, ФГОБУ ВПО «Финансовый университет при Правительстве РФ», финансово-экономический факультет, МГУ им. Ломоносова, экономический факультет, МГИМО, факультет международных экономических отношений)
- опыт работы от 2 лет в консалтинговых компаниях по направлению оценка стоимости бизнеса или в инвестиционных подразделениях в рамках крупных производственных компаний (предпочтительно EY, Группа Консультационных услуг по сделкам, Оценка и бизнес-моделирование; PWC, Группа Сопровождения сделок, Группа по экономическому анализу и оценке; KPMG, Группа Инвестиций и рынков капитала)
- успешная сдача экзаменов следующих ассоциаций является преимуществом: CFA, ASA, ACCA, CPA
⁃ глубокое понимание корпоративных финансов;
⁃ опыт построения финансовых моделей и расчетов;
⁃ навыки анализа большого объема информации;
⁃ хорошие навыки подготовки презентационных аналитических материалов;
⁃ хорошее знание финансового анализа и понимание принципов бухгалтерского учета;
⁃ практический опыт оценки инвестиционных проектов;
⁃ знание статистических методов, анализа и прогнозирования;
⁃ навыки выстраивания эффективного кросс-функционального взаимодействия;
⁃ самостоятельность;
⁃ знание ПК: Excel, PowerPoint.
Обязанности:
⁃ Оценка экономической эффективности инвестиционных проектов;
⁃ Подготовка аналитических заключений и презентаций для руководства Группы;
⁃ Создание &lt;с нуля&gt; финансовых моделей оценки стоимости бизнеса и инвестиционных проектов;
⁃ Экспертиза разработанных финансовых моделей;
⁃ Коммуникация со специалистами других отделов в рамках проработки инвестиционных проектов;
⁃ Проведение постинвестиционного мониторинга завершенных проектов.
Условия:
⁃ Заработная плата по результатам собеседования;
⁃ Премии по результатам работы;
⁃ Оформление по ТК РФ.
Резюме и вопросы направляйте Татьяне на почту Tlatysheva@mrtexpert.ru или в телеграм @ltshv</t>
  </si>
  <si>
    <t>Costa Case Club Channel</t>
  </si>
  <si>
    <t>16:21</t>
  </si>
  <si>
    <t>Jen</t>
  </si>
  <si>
    <t>Коннектикут</t>
  </si>
  <si>
    <t>Milford</t>
  </si>
  <si>
    <t>15:32</t>
  </si>
  <si>
    <t>ПОЛИКИСТОЗ ЯИЧНИКОВ: КАК ЕГО ВЫЯВЛЯЮТ И ЛЕЧАТ?</t>
  </si>
  <si>
    <t>О проблемах, с которыми сталкиваются женщины с этим заболеванием, о том, как ставится диагноз, как лечат поликистоз яичников, и о многом другом мы поговорили с врачом – акушером-гинекологом «Клиники Эксперт» Смоленск Екатериной Александровной Минченковой. 
Нерегулярные менструации, акне, аномальный рост волос на лице, спине, бёдрах, трудности с зачатием ребёнка могут быть признаками синдрома поликистозных яичников. 
— Екатерина Александровна, расскажите, что такое поликистоз яичников?
— Сразу хотела бы сказать, что фраза «поликистоз яичников» скорее обиходная, и с точки зрения медицинской терминологии не совсем корректная. Правильное название этой патологии – синдром поликистозных яичников (СПКЯ). Это эндокринная патология у женщин детородного возраста. Данное заболевание – одна из наиболее частых причин нарушения менструального цикла и эндокринологического бесплодия.
— Почему развивается эта болезнь? Каковы причины поликистоза яичников?
— Истинную причину появления СПКЯ до настоящего времени не определили, и звеньев патогенеза (механизмов развития патологии) много. Это могут быть:
резистентность (устойчивость) к инсулину;
гормональный дисбаланс;
генетические особенности.
— Как проявляется эта патология? Каковы симптомы поликистоза яичников?
— Основные проявления СПКЯ:
проблемы с кожей (угревая сыпь и иные признаки акне);
гирсутизм (чрезмерный рост волос на теле по мужскому типу);
нерегулярные менструации (менее восьми за год);
постоянная задержка менструации (на 2-3 месяца и более);
поликистозные яичники по результатам УЗИ (один или оба);
избыточный вес и инсулинорезистентность;
бесплодие.
Читайте материалы по теме:
Угри: почему они появляются и как от них избавиться?
Причём тут жир или от чего люди набирают вес?
— Екатерина Александровна, женщины какого возраста подвержены данному заболеванию?
— Признаки этого синдрома обычно появляются у девушек в пубертатный период, но у многих женщин их может и не быть до позднего подросткового периода или даже до зрелых лет.
— А встречается ли поликистоз яичников у детей?
— Симптомы этого заболевания, как правило, возникают в период полового созревания, не раньше.
— Как определяется поликистоз яичников? В чём заключается диагностика?
— Диагноз «синдром поликистозных яичников» устанавливают на основании жалоб пациентки, гормональных исследований и УЗИ органов малого таза. Чтобы поставить диагноз, надо, чтобы было не менее двух симптомов из трёх перечисленных ниже:
нарушение менструального цикла (менее 8 менструаций за год), спровоцированное отсутствием овуляции;
симптомы повышенного уровня мужских половых гормонов – андрогенов (гирсутизм, акне, облысение) или высокий их уровень по результатам исследований крови;
признаки поликистозных яичников по результатам УЗИ.
Кроме того, проводится гормональное обследование для исключения болезней щитовидной железы, врождённой дисфункции коры надпочечников и т. д.
Если диагноз подтверждается, дополнительно можно провести анализ крови на установление уровня глюкозы и холестерина.
Читайте материалы по теме:
Что покажет гинекологическое УЗИ?
Мифы и правда о заболеваниях щитовидной железы
Анализ крови на холестерин: часто задаваемые вопросы
— Чем опасен поликистоз яичников?
— Основные проблемы, связанные с СПКЯ:
повышается риск развития гиперплазии (патологического разрастания) эндометрия и рака эндометрия;
увеличивается вес (примерно у 50-75 % женщин с СПКЯ);
повышается риск развития сахарного диабета, заболеваний сердца и сосудов;
гирсутизм, акне;
бесплодие;
ночное апноэ (временная остановка дыхания во сне);
подавленное психическое состояние, тревожность.
— Можно ли забеременеть при поликистозе яичников?
— Конечно. Беременность может наступить как самостоятельно, так и при проведении определённого лечения.
https://www.klinikaexpert.ru/articles/45
https://www.mrtexpert.ru/articles/730
https://www.mrtexpert.ru/articles/512
https://www.mrtexpert.ru/articles/606
https://www.mrtexpert.ru/articles/735
https://www.mrtexpert.ru/articles/436
#болезни, #здоровье, #женское здоровье, #женщина, #гинекология</t>
  </si>
  <si>
    <t>#หลังทำเลเซอร์กำจัดขนต้องทำยังไงบ้าง
#เคล็ดลับดีๆจากนารดาคลินิก
‍⚕️ งดใช้สบู่ หรือครีมที่ทำให้ผิวหนังเกิดการระคายเคือง 
เช่น กรดวิตามินเอ(Retin-A) หรือ AHA
‍⚕️ หลีกเลี่ยงการใช้โรลออนที่เป็นสารเคมีบริเวณรักแร้
‍⚕️ หลีกเลี่ยงแดดจัด โดยเฉพาะบริเวณที่ทำเลเซอร์กำจัดขน
นอกร่มผ้า เช่น แขน ขา หรือบริเวณใบหน้า 
เพราะอาจทำให้เกิดรอยดำ
 ติดตามสาระความรู้เรื่องเลเซอร์กำจัดขนได้ที่..
https://bit.ly/3fd31Zp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ข้อควรปฏิบัติหลังทำเลเซอร์กำจัดขน | Narada Podcast
https://www.facebook.com/NaradaTeam/videos/327851975042383/</t>
  </si>
  <si>
    <t>https://scontent-mxp1-1.xx.fbcdn.net/v/t15.5256-10/107930276_327854555042125_7348320519692745051_n.jpg?_nc_cat=105&amp;_nc_sid=ad6a45&amp;_nc_eui2=AeFa_TfhvsD4X4-0Ha-bSWStsIsulPZfffiwiy6U9l99-DEC3OryBjtI1bF04w7Vf4V7odOyWuIkOy6Fz7ExbdYk&amp;_nc_ohc=P5hvm-WgI2UAX958naD&amp;_nc_ht=scontent-mxp1-1.xx&amp;oh=05b1bf02078f7baa3330928dbdd3771e&amp;oe=5F2FA5C3</t>
  </si>
  <si>
    <t>10 ПЛЮСОВ МРТ-ДИАГНОСТИКИ
⠀
✅Безопасность.
Полное отсутствия использования радиации и рентгеновского облучения.
⠀
✅Точность.
Изображение костных тканей не подвергается искажению, а патологии можно заметить при размере меньше одного сантиметра.
⠀
✅Не требуется долгая подготовка.
 Не требуется специальная подготовка и введение тяжёлого йодосодержащего контрастного вещества.
⠀
✅Позволяет проводить исследования в любых плоскостях.
С учётом анатомических особенностей тела МРТ позволяет получать изображения для точной оценки взаиморасположения различных структур.
⠀
✅ Лучше визуализирует структуры головного и спинного мозга.
МРТ чаще используется для диагностики повреждений, опухолевых образований, в онкологии, когда необходимо определить наличие и распространённость опухолевого процесса.
⠀
✅Объёмный вид.
Результат проведенного обследования представляется в трехмерном изображении, а это повышает уровень визуализации и понимания.
⠀
✅Безопасность используемого контрастного вещества.
Контрастный препарат, который применяется для более точной визуализации патологии безопасен: он не токсичен, не содержит йода и является гипоаллергенным.
⠀
✅Высокая тканевая дифференцировка.
Все ткани и органы при проведении МРТ чётко различимы, что позволяет выявить и оценить мельчайшие структуры.
⠀
✅Возможность проведения МРТ-диагностики в динамике без ограничений.
МРТ можно проходить неограниченное количество раз, что может быть необходимо при многих патологиях.
⠀
✅МРТ можно проводить во время беременности.
Данная диагностика в период беременности позволяет узнать врождённые пороки в развитии плода.
⠀
Пройти диагностику можно в «Клинике Эксперт Ростов».
⠀
❓Как записаться?
⠀
☎ 8(863) 309-11-29
www.mrtexpert.ru
rostov_admin@mrtexpert.ru
⏰ПН-ВС: 7:00-22:00
Ростов-на-Дону, ул. Красноармейская, д.262/122, пом.1
Лицензия: ЛО-61-01-006908</t>
  </si>
  <si>
    <t>Знаете ли вы про такой метод диагностики, как дуплексное сканирование
брахиоцефальных артерий?
Об этом исследовании нам рассказала врач ультразвуковой диагностики «Клиника Эксперт» Ставрополь Лусине Нерсесян: https://www.mrtexpert.ru/articles/1067
#ГКЭксперт #мртэксперт #КлиникаЭксперт #КлиникаЭкспертСтаврополь #уздс #узи</t>
  </si>
  <si>
    <t>Знаете ли вы про такой метод диагностики, как дуплексное сканирование
брахиоцефальных артерий?
Об этом исследовании нам рассказала врач ультразвуковой диагностики «Клиника Эксперт» Ставрополь Лусине Нерсесян: https://www.mrtexpert.ru/articles/1067
#ГКЭксперт #мртэксперт #КлиникаЭксперт #КлиникаЭкспертСтаврополь #уздс #узи</t>
  </si>
  <si>
    <t>https://scontent-hel2-1.xx.fbcdn.net/v/t1.0-9/107792545_770864810324484_1911139891026712251_o.jpg?_nc_cat=107&amp;_nc_sid=730e14&amp;_nc_oc=AQlztK3OZZk_aGp8VibSDAXLbuoRdFn0iDL-0RAeRZqFNFLVheMt-p5pC9IBrpSY3ybj2alltLl3mdaxUPiFyHIZ&amp;_nc_ht=scontent-hel2-1.xx&amp;oh=4bf667387e8b01f0a61de6fe7bd1fb4c&amp;oe=5F2FB194</t>
  </si>
  <si>
    <t>9 ПРИЧИН, ПОЧЕМУ ПОДВОДИТ ПАМЯТЬ:
⠀
✔️Была травма головы.
✔️Депрессия.
✔️Перегрузка сознания.
✔️Подавление эмоций.
✔️Злоупотребление алкоголем.
✔️Недостаток сна.
✔️Гормональный сбой.
✔️Вирусные и бактериальные заболевания.
✔️Тревожные расстройства.
⠀
❓Как заподозрить патологию?
⠀
⚠️Вы не помните событие прошедшего дня, но с точностью до деталей описываете случай трехгодовалой давности.
⚠️Не можете воспроизвести только что озвученную вам информацию.
⠀
В этих случаях необходимо обратиться к нашему неврологу - Стамо Анне Петровне - основателю Академии Головной боли.
⠀
Только изучив ваш случай, невролог может назначить диагностику и, при необходимости, направить к узким специалистам.
⠀
❓Как записаться к неврологу «Клиники Эксперт»?
⠀
☎ 8(865) 297-95-68
www.mrtexpert.ru
aevoronova@mrtexpert.ru
⏰ПН-ПТ: 7:00-23:00
⏰СБ: 8:00-20:00
⏰ВС: 9:00-15:00
Ставрополь, ул. Доваторцев, 39А
Лицензия: Л01-01-000027</t>
  </si>
  <si>
    <t>Omg....does he really think we’re this stupid?
The mask doesn’t stop the virus it increases the risk!</t>
  </si>
  <si>
    <t>Shemara Lakin</t>
  </si>
  <si>
    <t>#ปรับองศาจมูกให้ปลายพุ่งมีสโลป
#จนโอ๊ปป้ายังต้องหลบ
#หล่อใสในแบบที่เป็นตัวคุณเอง
.
.
ด้วยเทคนิคการเสริมจมูกเฉพาะตัว..
 เปิดจมูกแบบ Semi Open
 ใส่ซิลิโคน เกรดพรีเมี่ยม USA
 ดึงปลายขึ้น แล้วเย็บปลายให้เชิดสูง
 ตะไบกระดูดฮั้มที่สูงๆลงมา ทำให้หน้ามีมิติ
พร้อมเทคนิคแก้ปัญหาชั้นตาไม่เท่ากัน
โดย...
 ใช้ชั้นตาเดิม แต่ตัดหนังและไขมันส่วนเกินออก
 ชั้นตาดูเป็นธรรมชาติ และชัดขึ้น
#พร้อมให้คำปรึกษาทั้งก่อนและหลังทำโดยแพทย์ทุกเคส
==================================
Narada Clinic : Expert Beauty Center
นารดาคลินิก ศูนย์ความเป็นเลิศด้านความงามภาคเหนือ
Call center : 053-215447
Line: @naradaclinic(อย่าลืมใส่@ด้วยนะคะ)
Website: www.naradaclinic. com
IG:naradaclinic
Youtube:Narada clinic Channel
#ปรับองศาจมูกให้ปลายพุ่งมีสโลป
#จนโอ๊ปป้ายังต้องหลบ
#หล่อใสในแบบที่เป็นตัวคุณเอง
.
.
ด้วยเทคนิคการเสริมจมูกเฉพาะตัว..
 เปิดจมูกแบบ Semi Open
 ใส่ซิลิโคน เกรดพรีเมี่ยม USA
 ดึงปลายขึ้น แล้วเย็บปลายให้เชิดสูง
 ตะไบกระดูดฮั้มที่สูงๆลงมา ทำให้หน้ามีมิติ
พร้อมเทคนิคแก้ปัญหาชั้นตาไม่เท่ากัน
โดย...
 ใช้ชั้นตาเดิม แต่ตัดหนังและไขมันส่วนเกินออก
 ชั้นตาดูเป็นธรรมชาติ และชัดขึ้น
#พร้อมให้คำปรึกษาทั้งก่อนและหลังทำโดยแพทย์ทุกเคส
==================================
Narada Clinic : Expert Beauty Center
นารดาคลินิก ศูนย์ความเป็นเลิศด้านความงามภาคเหนือ
Call center : 053-215447
Line: @naradaclinic(อย่าลืมใส่@ด้วยนะคะ)
Website: www.naradaclinic. com
IG:naradaclinic
Youtube:Narada clinic Channel
https://www.facebook.com/NaradaTeam/photos/a.568393426606903/2974080202704868/?type=3</t>
  </si>
  <si>
    <t>06:54</t>
  </si>
  <si>
    <t>@MO It may depend on how many people each person is in contact every day. Me I'm surrounded by constant people all day working in a supermarket which is pretty much a breeding ground for viruses and bacteria.</t>
  </si>
  <si>
    <t>F. Crazybone</t>
  </si>
  <si>
    <t>06:46</t>
  </si>
  <si>
    <t>I haven't worn a mask for 4 months and I'm fine.</t>
  </si>
  <si>
    <t>MO</t>
  </si>
  <si>
    <t>03:08</t>
  </si>
  <si>
    <t>@PurpleOrange05 COVID-19: Mayo Clinic expert answers questions about masks after CDC updates its recommendation</t>
  </si>
  <si>
    <t>ravensfan86</t>
  </si>
  <si>
    <t>09.07.2020</t>
  </si>
  <si>
    <t>How much more effective would it be to wear a double mask vice wearing just one? It occurred to me today when I went to the store to wear my regular surgical mask along with my bandanna type face covering? (after just reading all the comments here, everyone seems to have created in their minds their own reason for not wearing a mask. This is dangerous thinking and I hope others with common sense and education know that wearing a mask is the only way we're going to get rid of this thing). I work with people all day and I attribute the fact that I haven't gotten sick IS BECAUSE I wear a mask, even if it's not required.</t>
  </si>
  <si>
    <t>23:27</t>
  </si>
  <si>
    <t>Finally somebody that actually has a brain. Not enough proof?
Look at China. A lot of people wear masks there, and their recovering.
Look at the USA. Not near as many people wear masks. What happened to them? A huge explosion In cases. Keep not wearing masks, you’re just asking for deaths.</t>
  </si>
  <si>
    <t>Blue Lanterns</t>
  </si>
  <si>
    <t>22:39</t>
  </si>
  <si>
    <t>Wearing a mask for covid19 is like trying to block mosquito's with a chain link fence.</t>
  </si>
  <si>
    <t>George</t>
  </si>
  <si>
    <t>Amyloidosis is a rare disease that occurs when an abnormal protein, amyloid, builds up in the organs and interferes with normal function. Mayo Clinic expert on cardiac amyloidosis, Martha Grogan, M.D., discusses new treatment options in this video. https://mayocl.in/2zHUzSh</t>
  </si>
  <si>
    <t>Ted Wilson</t>
  </si>
  <si>
    <t>Денвер</t>
  </si>
  <si>
    <t>21:56</t>
  </si>
  <si>
    <t>Elysium Day Spa &amp; Laser Hair Removal Clinic</t>
  </si>
  <si>
    <t>Expert at their craft and great interpersonal skills .... always a pleasure</t>
  </si>
  <si>
    <t>Lourde Hartigan</t>
  </si>
  <si>
    <t>Голуэй</t>
  </si>
  <si>
    <t>21:20</t>
  </si>
  <si>
    <t>Признаки инсульта.
Статья
https://m.vk.com/@mrt62-priznaki-insulta
МЦ "Эксперт" - магнитно-резонансная томография в городе Рязани |
мрт рязань, томография рязань, магнитно-резонансная томография в рязани, мрт эксперт, мрт на никулина, сделать мрт, мрт, 923992, 923993, сделать мрт в рязани
http://cmrtexpert.ru/
#Полезнознать
Инсульт.
От времени и правильности оказания первой помощи при инсульте зависит возможность восстановления поврежденных клеток мозга и функциональных способностей нервной системы. По данным зарубежных и отечественных специалистов оптимальный срок для доставки больного в лечебное учреждение – 3 часа с момента заболевания (чем раньше, тем лучше).
☝Наш адрес: г. Рязань, ул. Профессора Никулина 3а
☎8(930)8803992.
☎+7(4912)92-39-92
#МРТРязань МРТ#МРТЦены#МРТРязань#МРТ#Эксперт#Обследование#Здоровье#Москва#Луховицы#Озеры#Шатура#Коломна#Полезнознать</t>
  </si>
  <si>
    <t>20:39</t>
  </si>
  <si>
    <t>@Trevor39489389 @Arsenalphatnats @realDonaldTrump https://newsnetwork.mayoclinic.org/discussion/mayo-clinic-expert-says-be-diligent-patient-when-covid-19-guidelines-change/</t>
  </si>
  <si>
    <t>ProudWVmountaineersarealwaysfree</t>
  </si>
  <si>
    <t>20:36</t>
  </si>
  <si>
    <t>20:27</t>
  </si>
  <si>
    <t>16:54</t>
  </si>
  <si>
    <t>Начну постепенно выкладывать фотоотчеты с прошедших бунинских событий.
BUNIN-20 - моя первая выставка.
Мне было волнительно и радостно одновременно.
С легкой руки и идеи @oksanaesaulova
и факела, зажженного @latyshevaelena полиптих из 15-работ с аудиосопровождением превратился в такой масштабный проект ДИАГНОЗ “BUNIN-20”
 25 июня 2020 состоялось открытие outdoor выставки BUNIN-20
Это экспедиционный выход галереи современного искусства @gallerybuksir в городскую среду
Копии работ представлены на площади у фонтана.
В парке звучат фрагменты из любимых произведений к картинам проекта, озвученные голосами жителей нашего города. 
А теперь мои спасибо вам, тем, благодаря кому мы сделали этот первый этап
@oksanaesaulova и проект @nashbunin - вы настоящие идейные вдохновители 
@clinic_expert_  и лично @latyshevaelena - зажигательница факелов в сердце, филантроп, меценат, человек с огромным сердцем и мой личный ангел-хранитель, человек, сделавший все необходимое для того, чтобы этот проект стал настолько масштабным 
@uvarkina_evgenia поддержала, прониклась, сказала тёплые напутственные слова, и кажется я даже меньше стала волноваться после этого
@fernandes - готов на все мои авантюры и подставляет уже в который раз своё крепкое липецко-сочинское плечо
@_pervyi_nomer_  и лично @iterekhov самая неуловимая поддержка и опора, серый кардинал, сопутствующий успеху
@irisha1304 - легкая культурная нотка и непоколебимая вера в проект
@parki48lip и лично @aksenov48 - это парк, это звук, это спиленные вовремя ветки, усиленная охрана и бешеная оперативность
@red_tranzit и лично @lu_kovaleva - вся технически-визуальная часть, качество печати, бравые молодцы при монтаже, четкость и масштабность
@josta_coffee - в день открытия напоили всех вкуснейшими лимонадами, а скоро тоже приступят к чествованию Ивана Алексеевича масштабным флешмобом
@gallerybuksir - просто ваша навеки и следующий пост только о вас)
Это огромное счастье для меня - реализовывать проект с вами! 
И конечно, дорогие закадровые голоса и сценарист @nelli_fakina вы так оживили проект, наполнили его энергией! 
Просто бомба!</t>
  </si>
  <si>
    <t>район Филёвский Парк</t>
  </si>
  <si>
    <t>16:03</t>
  </si>
  <si>
    <t>Фотоотчет второго этапа проекта BUNIN-20 - открытие выставки в галерее современного искусства @galery_buksir
Для меня, как для художника, представляющего свою первую выставку, очень важна поддержка.
Я безумно рада, что взаимодействие с галереей может быть таким. 
На протяжении всего выставочного периода я чувствую не просто опору, я ощущаю настоящую заботу. Это так ценно для меня.
@galery_buksir - вы даёте крылья и помогаете выкристаллизовывать суть. Навеки ваша!
Что такое BUNIN-20 в галерее «Буксир»?
Это прохлада и полумрак выставочного пространства. Это возможность в полной тишине прослушать аудиофрагменты к каждой картине. Это пребывание в атмосфере Бунина, когда вокруг яблоки, звуки, герои любимых рассказов, а в центре экспозиции сам Иван Алексеевич!
Открытие в галерее прошло совсем уже не волнительно, а по-настоящему душевно и тепло.
Это было, что уже как будто бы можно, но ещё нельзя)
Почти украдкой, но все равно открытие.
Это было не трудно, это по любви!
Теперь о главном, о людях!
@buevao - светлая и талантливая галерейная волшебница, благодарю за веру в проект и в меня, за минимализм и четкость во всех моментах экспонирования, за шефство над шабутной мной и просто дружеские посиделки!
@millamarrch - незаметный внутренний движок, делающий все так, чтобы всё и везде работало, как мы любим! Мисс энергия, ракета и всеконтролирующая фея, тебе мои объятья! 
@latyshevaelena и @clinic_expert_ - я не устану говорить спасибо! Потому что так чувствую. Точка. Нет. Восклицательный знак.
@metroccrus - Иван Алексеевич Бунин в моем лице лично благодарит вас за предоставленные яблоки!
P.S. Завтра - финисаж. Приходите, кто ещё не успел, дорогие!
#bunin20 #иванбунин #нашбунин #артбуксир #modernart #artist #lipetsklive 
#kartinaekaterinamalanina #artbuksir #lipetsk
@fernandes @grygin.ilya @reutovnikolay @latyshevaelena @millamarrch @katrin_sanfirova @latyshlatysh @yulia_trofimenkova @regina.pachkova @shepeleva_sveta_ @buevao</t>
  </si>
  <si>
    <t>Художник EkaterINA MalanINA</t>
  </si>
  <si>
    <t>Ситовка</t>
  </si>
  <si>
    <t>#แทบไม่โดนแดดเลยทำไมยังเป็นฝ้านะ!
นารดาคลินิกพร้อมไขข้อข้องใจนี้ให้คุณค่ะ
.
.
 หลายคนเข้าใจว่าเป็นเพราะแสงแดดเท่านั้น
ที่ทำให้รอยด่างดำของฝ้าเกิดขึ้นมา
บดบังรัศมีความสวยของคุณ
 แต่จริงๆแล้ว ไม่ใช่แค่แดดเท่านั้นนะคะ
ที่ทำให้เกิดฝ้า
แต่แสงจากไฟนีออน
แสงสีฟ้าจากมือถือหรือคอมพิวเตอร์
หรือความร้อนจากการประกอบอาหาร
ก็สามารถทำให้เกิดฝ้าได้เช่นกันนะคะ
.
.
 ดังนั้นจึงควรทาครีมกันแดด
ที่มีค่า SPF 50 ขึ้นไป
ควรทาอย่างน้อย 30 นาทีก่อนออกจากบ้าน
และควรทาซ้ำทุก 2 ชั่วโมง
.
.
 และถ้าหากเป็นไปได้
ควรสวมหมวกหรือกางร่ม
ก่อนออกจากบ้านทุกครั้งค่ะ
.
.
#เมื่อฝ้าทำให้หน้าคุณหมดสวย
#นารดาคลินิกช่วยได้
#ยินดีให้คำแนะนำในการรักษา
#พร้อมติดตามผลทุกเคสนะคะ
ติดตามสาระความรู้ที่เป็นประโยชน์
เกี่ยวกับฝ้า ได้ที่...
https://bit.ly/2AFdvld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#แทบไม่โดนแดดเลยทำไมยังเป็นฝ้านะ!
นารดาคลินิกพร้อมไขข้อข้องใจนี้ให้คุณค่ะ
.
.
 หลายคนเข้าใจว่าเป็นเพราะแสงแดดเท่านั้น
ที่ทำให้รอยด่างดำของฝ้าเกิดขึ้นมา
บดบังรัศมีความสวยของคุณ
 แต่จริงๆแล้ว ไม่ใช่แค่แดดเท่านั้นนะคะ
ที่ทำให้เกิดฝ้า
แต่แสงจากไฟนีออน
แสงสีฟ้าจากมือถือหรือคอมพิวเตอร์
หรือความร้อนจากการประกอบอาหาร
ก็สามารถทำให้เกิดฝ้าได้เช่นกันนะคะ
.
.
 ดังนั้นจึงควรทาครีมกันแดด
ที่มีค่า SPF 50 ขึ้นไป
ควรทาอย่างน้อย 30 นาทีก่อนออกจากบ้าน
และควรทาซ้ำทุก 2 ชั่วโมง
.
.
 และถ้าหากเป็นไปได้
ควรสวมหมวกหรือกางร่ม
ก่อนออกจากบ้านทุกครั้งค่ะ
.
.
#เมื่อฝ้าทำให้หน้าคุณหมดสวย
#นารดาคลินิกช่วยได้
#ยินดีให้คำแนะนำในการรักษา
#พร้อมติดตามผลทุกเคสนะคะ
ติดตามสาระความรู้ที่เป็นประโยชน์
เกี่ยวกับฝ้า ได้ที่...
https://bit.ly/2AFdvld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https://www.facebook.com/NaradaTeam/photos/a.568393426606903/2971195462993342/?type=3</t>
  </si>
  <si>
    <t>Lost your HAIR? you also lose confidence! Choose a long-lasting solution with Celestee Laser, skin&amp;hair clinic, Expert Hair Transplant Solutions. Click on the link &amp; consult with our expert dermatologists.
Call us on: +91 9908 534 999 or
 https://bit.ly/2Jq2sg8</t>
  </si>
  <si>
    <t>Raj Kirit</t>
  </si>
  <si>
    <t>Lost your HAIR? you also lose confidence! Choose a long-lasting solution with Celestee Laser, skin&amp;hair clinic, Expert Hair Transplant Solutions. Click on the link &amp; consult with our expert dermatologists.
Call us on: +91 9908 534 999 or
For More Information Visit now: https://bit.ly/2Jq2sg8
Follow us on
https://www.instagram.com/celesteeclinic/
#Celestee #DrRajkirit #HairLossTreatment #HairTransplantationTreatment #HairRegrowth #FUE #Mesotherapy #PRP #HairTreatment #HairLoss #FilmNagar #hyderabadfoodie</t>
  </si>
  <si>
    <t>Dr Raj Kirit</t>
  </si>
  <si>
    <t>Secunderabad</t>
  </si>
  <si>
    <t>Признаки инсульта.
Статья
https://m.vk.com/@mrt62-priznaki-insulta
МЦ "Эксперт" - магнитно-резонансная томография в городе Рязани |
мрт рязань, томография рязань, магнитно-резонансная томография в рязани, мрт эксперт, мрт на никулина, сделать мрт, мрт, 923992, 923993, сделать мрт в рязани
http://cmrtexpert.ru/
#Полезнознать
Инсульт.
От времени и правильности оказания первой помощи при инсульте зависит возможность восстановления поврежденных клеток мозга и функциональных способностей нервной системы. По данным зарубежных и отечественных специалистов оптимальный срок для доставки больного в лечебное учреждение – 3 часа с момента заболевания (чем раньше, тем лучше).
☝Наш адрес: г. Рязань, ул. Профессора Никулина 3а
☎8(930)8803992.
☎+7(4912)92-39-92
➡Наш сайт: http://cmrtexpert.ru
#МРТРязань МРТ#МРТЦены#МРТРязань#МРТ#Эксперт#Обследование#Здоровье#Москва#Луховицы#Озеры#Шатура#Коломна#Полезнознать</t>
  </si>
  <si>
    <t>14:27</t>
  </si>
  <si>
    <t>Признаки инсульта.
Статья
https://m.vk.com/@mrt62-priznaki-insulta
МЦ "Эксперт" - магнитно-резонансная томография в городе Рязани |
мрт рязань, томография рязань, магнитно-резонансная томография в рязани, мрт эксперт, мрт на никулина, сделать мрт, мрт, 923992, 923993, сделать мрт в рязани
http://cmrtexpert.ru/
#Полезнознать
☝Наш адрес: г. Рязань, ул. Профессора Никулина 3а
☎8(930)8803992.
☎+7(4912)92-39-92
➡Наш сайт: http://cmrtexpert.ru
#МРТРязань МРТ#МРТЦены#МРТРязань#МРТ#Эксперт#Обследование#Здоровье#Москва#Луховицы#Озеры#Шатура#Коломна#Полезнознать</t>
  </si>
  <si>
    <t>#Полезнознать
☝Наш адрес: г. Рязань, ул. Профессора Никулина 3а
☎8(930)8803992.
☎+7(4912)92-39-92
➡Наш сайт: http://cmrtexpert.ru
#МРТРязань МРТ#МРТЦены#МРТРязань#МРТ#Эксперт#Обследование#Здоровье#Москва#Луховицы#Озеры#Шатура#Коломна#Полезнознать
Признаки инсульта.
Статья
https://m.vk.com/@mrt62-priznaki-insulta
МЦ "Эксперт" - магнитно-резонансная томография в городе Рязани |
мрт рязань, томография рязань, магнитно-резонансная томография в рязани, мрт эксперт, мрт на никулина, сделать мрт, мрт, 923992, 923993, сделать мрт в рязани
http://cmrtexpert.ru/</t>
  </si>
  <si>
    <t>14:26</t>
  </si>
  <si>
    <t>@Wilcoxjd45209 @GOCOAST @GovMikeDeWine Your cloth mask is not honestly protecting you or others. The covid virus is smaller, much smaller than the .3 micron holes of a N95 mask. https://www.honeywell.com/en-us/newsroom/news/2020/03/n95-masks-explained
Virus size and masks.  https://newsnetwork.mayoclinic.org/discussion/covid-19-mayo-clinic-expert-answers-questions-about-masks-after-cdc-updates-its-recommendation/
The Holocaust victims were told lies by Govt. That is the comparison.</t>
  </si>
  <si>
    <t>Roose ✝️⚠️</t>
  </si>
  <si>
    <t>14:12</t>
  </si>
  <si>
    <t>Smile Design
Dental Clinic Expert
For  or  call +90 542 474 5212
Pour  appelez +90 542 475 5212
www.dentalclinicexpert.com
.
.
#paris #france #love #photography #travel #fashion #instagood #picoftheday #art #photooftheday #style #eiffeltower #beautiful #model #photo #parisienne #girl #beauty #parisjetaime #summer #lifestyle #photographer #ootd #instagram #architecture #europe #happy #travelphotography #streetphotography</t>
  </si>
  <si>
    <t>Dental Clinic Expert</t>
  </si>
  <si>
    <t>Франция</t>
  </si>
  <si>
    <t>Иль-де-Франс</t>
  </si>
  <si>
    <t>Drancy</t>
  </si>
  <si>
    <t>Новая услуга для наших VIP-клиентов - МРТ с гарантией:
- Консультации врача-рентгенолога по результатам исследования
- Получения результатов дистанционно, Вам не нужно будет приезжать в
Центр/Клинику
- Консультации Вашего лечащего врача с нашим врачом-рентгенологом
- Организация доставки в центр/клинику и обратно в безопасных условиях
- Прохождение услуги без пересечения в центре с другими пациентами
- Он-лайн консультация врача терапевта и педиатра в течении месяца без
ограничений по количеству
Все подробности по телефону: +7(865) 297-98-38</t>
  </si>
  <si>
    <t>❓КАК ВОССТАНОВИТЬСЯ
⠀
✔️после тренировок?
✔️при боли в мышцах?
✔️при воспалении в суставах?
⠀
В «Клинике Эксперт Ростов» проводим восстановление с помощью метода кинезиотейпирования.
⠀
Кинезиотейпирование - это наложение эластичных хлопковых лент, покрытых гипоаллергенным клеящим гелем на акриловой основе.
✔️Они накладываются на кожу, и при температуре тела клей активизируется.
✔️При этом вы абсолютно не ограничены в движениях, и можете спокойно принимать водные процедуры.
⠀
Эффекты кинезиотейпинга:
⠀
✔️обезболивающий;
✔️противовоспалительный;
✔️лимфодренажный;
✔️динамический – облегчает движение конечности или сустава;
✔️расслабляющее действие на мышцы;
✔️борьба с отеками и гематомами;
✔️мягкая стабилизация сустава.
⠀
❓При каких ситуациях он сможет помочь?
⠀
при растяжений связок;
при ушибах мягких тканей и гематомы;
подвывихах лодыжки, плеча, пальцев;
 плечелопаточного периартрита (боли в плече);
болях в колене, подвывиха надколенника, болевого синдрома при хондромаляции;
болях в шее;
головной боли;
боли в пояснице и отёков ног у беременных;
остеохондрозе позвоночника.
⠀
Запишитесь на консультацию к нашим специалистам:
⠀
☎ 8(863) 309-11-29
www.mrtexpert.ru
rostov_admin@mrtexpert.ru
⏰ПН-ВС: 7:00-22:00
Ростов-на-Дону, ул. Красноармейская, д.262/122, пом.1
Лицензия: ЛО-61-01-006908</t>
  </si>
  <si>
    <t>https://scontent-hel2-1.xx.fbcdn.net/v/t1.0-0/p526x296/107490931_770199653724333_2469378725045596018_o.jpg?_nc_cat=104&amp;_nc_sid=9267fe&amp;_nc_oc=AQk2jheCbIerqSMHIgEcujE_0RkOcpV1ie0IFksvPWKC6bHaIFAZr-j-YXWyixCv6_oYHqXa2cA_p2TdRmwQgu9v&amp;_nc_ht=scontent-hel2-1.xx&amp;_nc_tp=6&amp;oh=4f9e72d66e5e808ce8eb4dd1c52f38e9&amp;oe=5F2AE282</t>
  </si>
  <si>
    <t>МРТ ГОЛОВНОГО МОЗГА
⠀
эффективный метод изучения и выявления в нем различных патологий.
⠀
❓Зачем проводят обследование?
⠀
✅Помогает на ранней стадии выявить наличие изменений в мягких и соединительных тканях оболочки мозга;
✅Данная диагностика разработана для изучения всех структур и отделов мозга.
⠀
Что может показать МРТ:
⠀
✔опухоли в головном мозге. Методика помогает следить за её ростом и прогрессом проводимого лечения;
✔ишемические инсульты и инфаркты головного мозга. Можно определить образование отека, плотность пораженных тканей;
✔рассеянный склероз. Будут показаны очаги поражения оболочки нервных волокон;
✔болезнь коры головного мозга;
✔возможность определить плотность серого и белого вещества, атрофию коры головного мозга.
⠀
Как проводится:
⠀
1️⃣необходимо снять с себя одежду и все предметы, которые содержат металлические вкладки;
2️⃣далее нужно лечь на движущийся стол;
3️⃣затем вводится внутривенно контрастное вещество;
4️⃣руки и ноги фиксируются на столе, а под голову кладутся валики;
5️⃣стол приходит в движение и направляется внутрь капсулы томографа;
6️⃣врач следит за процедурой из специальной комнаты.
⠀
Процедура является безопасной и безболезненной.
⠀
 Пройти диагностику можно в нашей клинике.
⠀
Для записи на консультацию:
⠀
☎ 8(865) 297-95-68
www.mrtexpert.ru
aevoronova@mrtexpert.ru
⏰ПН-ПТ: 7:00-23:00
⏰СБ: 8:00-20:00
Ставрополь, ул. Доваторцев, 39А
Лицензия: Л01-01-000027</t>
  </si>
  <si>
    <t>Как инъекции плазмы крови могут улучшить состояние вашей кожи и продлить её молодость?
«Кровавый» укол. Что такое плазмолифтинг и для чего его делают: https://www.mrtexpert.ru/articles/900
#ГКЭксперт #мртэксперт #КлиникаЭксперт #КлиникаЭкспертРостов #плазмолифтинг</t>
  </si>
  <si>
    <t>Как инъекции плазмы крови могут улучшить состояние вашей кожи и продлить её молодость?
«Кровавый» укол. Что такое плазмолифтинг и для чего его делают: https://www.mrtexpert.ru/articles/900
#ГКЭксперт #мртэксперт #КлиникаЭксперт #КлиникаЭкспертРостов #плазмолифтинг</t>
  </si>
  <si>
    <t>10:12</t>
  </si>
  <si>
    <t>Добрый день! Благодарим за отзыв. По договору результаты исследования должны быть отправлены в течение суток. Если есть возможность, врачи отправляют их раньше — исходя из текущего объёма работы. Иногда её количество возрастает, поэтому время выдачи результатов может сдвинуться, что произошло в Вашем случае. На следующий день наши сотрудники отправили файлы. Мы с Вами согласны, всегда лучше называть время с запасом. Спасибо за обращение, крепкого Вам здоровья!
С уважением, исполнительный директор ООО «МРТ Эксперт Зеленоград», Романов Игорь Анатольевич.</t>
  </si>
  <si>
    <t>09:13</t>
  </si>
  <si>
    <t>Уважаемые доноры!
С 6 мая возобновлен прием.
Вход в отделение переливания  перенесен.
Для доноров сделан отдельный вход.
Заходите на территорию больницы, перед главной лестницей не поднимаясь поворачиваете налево (в сторону МРТ-эксперт), проходите автостоянку и по лестнице поднимаетесь на второй уровень пандуса. Вход в отделение с левого торца больницы. Следуйте указателям.
На дверях отделения звонок! Вам откроют в течении 1 минуты.
Более подробная инструкция на фото.
Режим работы не изменился: понедельник с 15 до 18, вторник - пятница с 9 до 12.
Прием осуществляется по предварительной записи: сообщение через сообщество или.   (812) 576-51-72 и (965)074-42-12
Временно Ограничен прием доноров по возрасту после 60 лет.</t>
  </si>
  <si>
    <t>Сергей Куценко</t>
  </si>
  <si>
    <t>Как могут быть связаны проблемы в шее и повышенное артериальное давление? Об этом порталу "Первого Липецкого" рассказала врач-рентгенолог "МРТ Эксперт Липецк" Галина Николаевна Чеботарева: http://www.lipetsk.ru/content/articles/81303
#ГКЭксперт #КлиникаЭксперт #мртэксперт #МРТЭкспертЛипецк</t>
  </si>
  <si>
    <t>07:47</t>
  </si>
  <si>
    <t>แดดร้อน แดดจ้า ทำให้เกิดฝ้าที่ใบหน้า
****ฝ้ามีหลายแบบ*****
 ฝ้าตื้น(Epiderma Melasma)
มีลักษณะเป็นปื้นสีน้ำตาล 
เห็นสีชัด เห็นขอบชัด
เหมือนเม็ดสีที่วางอยู่บนผิวด้านนอก
.
.
 ฝ้าลึก(Derma Melasma)
เป็นปื้นสีน้่ำตาล มองเห็นได้ไม่ค่อยชัด
สีไม่ชัด ขอบไม่ชัด
เนื่องจากเม็ดสีอยู่ด้านในผิวชั้นหนังแท้
.
 ฝ้าผสม(Mixed Melasma)
มีทั้งฝ้าลึกและฝ้าตื้นผสมกัน
#นารดาคลินิกมีบริการรักษาฝ้าแบบบูรณาการ
โปรแกรม คิวสวิทซ์ เลเซอร์ (Q-Switched Laser)
    ลดเลือนรอยฝ้า กระ และจุดด่างดำด้วยการใช้คลื่นแสง
การทำทรีทเม้นท์
    ผลักวิตามินลงสู่ผิวหนังชั้นลึก
โปรแกรมMeso pigment, Meso Vampire
     กระตุ้นการทำงานของชั้นผิวและฟื้นฟูผิว
#ฝ้าแบบไหนก็หายได้มาปรึกษาได้ที่ #นาราดาคลินิก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แดดร้อน แดดจ้า ทำให้เกิดฝ้าที่ใบหน้า
****ฝ้ามีหลายแบบ*****
 ฝ้าตื้น(Epiderma Melasma)
มีลักษณะเป็นปื้นสีน้ำตาล 
เห็นสีชัด เห็นขอบชัด
เหมือนเม็ดสีที่วางอยู่บนผิวด้านนอก
.
.
 ฝ้าลึก(Derma Melasma)
เป็นปื้นสีน้่ำตาล มองเห็นได้ไม่ค่อยชัด
สีไม่ชัด ขอบไม่ชัด
เนื่องจากเม็ดสีอยู่ด้านในผิวชั้นหนังแท้
.
 ฝ้าผสม(Mixed Melasma)
มีทั้งฝ้าลึกและฝ้าตื้นผสมกัน
#นารดาคลินิกมีบริการรักษาฝ้าแบบบูรณาการ
โปรแกรม คิวสวิทซ์ เลเซอร์ (Q-Switched Laser)
    ลดเลือนรอยฝ้า กระ และจุดด่างดำด้วยการใช้คลื่นแสง
การทำทรีทเม้นท์
    ผลักวิตามินลงสู่ผิวหนังชั้นลึก
โปรแกรมMeso pigment, Meso Vampire
     กระตุ้นการทำงานของชั้นผิวและฟื้นฟูผิว
#ฝ้าแบบไหนก็หายได้มาปรึกษาได้ที่ #นาราดาคลินิก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https://www.facebook.com/livefm104.25chiangmai/photos/a.558468444181882/3740830782612283/?type=3</t>
  </si>
  <si>
    <t>Live FM 104.25 Chiang Mai</t>
  </si>
  <si>
    <t>เชียงขาง</t>
  </si>
  <si>
    <t>Целлюлиту нет!
Медицинский подход к лечению липодистрофии - аппаратная ударно-волновая терапия (УВТ) на немецкой технике Zimmer.
⠀
‍♀️Эффективность лечения обусловлена тем, что, комбинируя воздействия для проблемных зон, аппарат составляет персональную схему лечения для каждого пациента.
⠀
✅На начальной стадии целлюлита для выраженного положительного результата лечения необходимо 2-3 сеанса.
☀️При этом пациенту не нужно увеличивать уровень физической активности и придерживаться строгой диеты (хотя это приветствуется и совместно даст лучший эффект).
⠀
Ударная волна от датчика не только разбивает перегородки подкожно-жировой клетчатки, но и активизирует выработку коллагена.
В результате кожа становится подтянутой, гладкой и упругой
⠀
⏱Время процедуры: 10-15 мин
⠀
Стоимость 1 сеанса: 750 Р
⠀
Запись 215 30 03, ул. Монастырская 42 А
Фото из хроники
Целлюлиту нет!
Медицинский подход к лечению липодистрофии - аппаратная ударно-волновая терапия (УВТ) на немецкой технике Zimmer.
⠀
‍♀️Эффективность лечения обусловлена тем, что, комбинируя воздействия для проблемных зон, аппарат составляет персональную схему лечения для каждого пациента.
⠀
✅На начальной стадии целлюлита для выраженного положительного результата лечения необходимо 2-3 сеанса.
☀️При этом пациенту не нужно увеличивать уровень физической активности и придерживаться строгой диеты (хотя это приветствуется и совместно даст лучший эффект).
⠀
Ударная волна от датчика не только разбивает перегородки подкожно-жировой клетчатки, но и активизирует выработку коллагена.
В результате кожа становится подтянутой, гладкой и упругой
⠀
⏱Время процедуры: 10-15 мин
⠀
Стоимость 1 сеанса: 750 Р
⠀
Запись 215 30 03, ул. Монастырская 42 А
https://www.facebook.com/clinic.expert.perm/photos/a.113842256786001/171967750973451/?type=3</t>
  </si>
  <si>
    <t>#อยากได้จมูกทรงไหนจัดไป
#เสริมบุคลิกให้คุณมั่นใจ
#โปรท้าหน้าฝน
.
.
‍⚕️เสริมจมูก
ซิลิโคน พรีเมียม USA
ฟรียา ตัดไหม ฉายแสง
ราคาโปรโมชั่น 15,900 บาท
.
.
‍⚕️เสริมจมูก +กระดูกอ่อนหลังหูรองปลายจมูก
ซิลิโคน พรีเมียม USA
ฟรียา ตัดไหม ฉายแสง
ราคาโปรโมชั่น 29,900 บาท
.
.
‍⚕️เสริมจมูกOPEN +กระดูกอ่อนหลังหูรองปลายจมูก
ซิลิโคน พรีเมียม USA
ฟรียา ตัดไหม ฉายแสง
ราคาโปรโมชั่น 39,900 บาท
#ยินดีให้คำปรึกษาทั้งก่อนและหลังทำโดยแพทย์ทุกเคส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รูปภาพจากโพสต์ของ Narada Clinic คลินิกความงามเชียงใหม่
https://www.facebook.com/568390943273818/posts/2971194206326801/</t>
  </si>
  <si>
    <t>00:23</t>
  </si>
  <si>
    <t>Выпуск программы "Вести - Брянск" на телеканале "Россия - 1. Брянск" (SD; 08.07.2020; 21:05)</t>
  </si>
  <si>
    <t>[музыка] [аплодисменты] добрый вечер это итоговый выпуск программы вести брянск с вами наталья львова вот о чем мы расскажем социальный контракт основные направления использования средств это обучение нарушения квалификации своей это скажем так развитие собственного дела на поддержку граждан в рамках программы выделено более 35 миллионов рублей день семьи любви и верности [музыка] сыграть свадьбу в праздник в регионе решили тридцать три пары билет в будущее в рамках всероссийского проекта брянским школьникам помогут в выборе профессия [музыка] в брянской области более 300 семей граждан находящихся в трудной жизненной ситуации заключили социальный контракт на получение поддержки от государства с помощью разовой единовременной выплаты можно открыть свое дело развивать подсобное хозяйство потратить средства можно и на профессиональное обучение всего на реализацию социальных контрактов из областного бюджета в этом году выделено 35 миллионов рублей как поддержка государства помогает изменить жизнь к лучшему расскажет наш корреспондент птичьи подворье у юлии тихонова и появилась пару месяцев назад за это время поголовье выросло уже в несколько раз подсобном хозяйстве более сотни бройлеров гуси наши новые жильцы вот приехали только сегодня жительница выгоните одна растит двоих детей узнала программе помощи малоимущим гражданам юлия тихонова обратилась в местное отделение социальной защиты населения разработала бизнес-плана заключила социальный контракт на сумму 57 тысяч рублей эти средства были потрачены на цыплят основная этот цыплята и корм вот ну и конечно гуси когда делаешь бизнес-план то рассчитываешь когда будет прибыль от бройлеров прибыль быстро получается там несколько месте и все а что потом а вот на потом как раз я и взяла гусей потому что гуси могут окупить себя осенью мясо и яйца домашней птицы востребованы покупают знакомые не только рассказывает юлия тихонова благодаря небольшой прибыли от реализованной продукции семье удалось подготовить старшего сына к поступлению в техникум и дальше развивать подсобное хозяйство в планах покупка редких пород кур и увеличения поголовья социальный контракт в этом году заключили более 300 семей и одиноких жителей вэриан ской области размер выплат от 50 до 100 тысяч рублей количество желающих получить такую поддержку от государства с каждым годом растет социальный контракт предусмотрен для граждан с доходами ниже прожиточного минимума основные направления использования средств это обучение повышения квалификации своей это скажем так развитие собственного дела и развитие подсобного хозяйства можно приобретение инструментария для того чтобы открывать тоже так же собственно и делает ее парикмахерские услуги у нас реализуют граждане и деревообрабатывающие станки приобретают социальный контракт не только помогает брянском улучшить материальное положение некоторые жители области получившие помощь от государства в дальнейшем развивают свое дело и становятся предпринимателями следующем году брянская область из федерального бюджета на программу реализации социальных контрактов планирует получить уже более 270 миллионов рублей людмила гусар вы екатерина морозова евгения сигачев вести брянск из органического района российско-украинская граница с предельным государством украины возобновлено пешеходное сообщение в двух пунктах международного пропуска сеньковка и бачевск это автомобильные пункты которым с российской стороны соответствуют новые юрка вечера и борт на перемещение через них до этого дня было возможно исключительно на транспорте и сделать это было возможно только для ограниченного круга лиц определенных прежде всего строгими санитарными требованиями в рамках борьбы с распространением коронавирусной инфекцией в числе дипломаты сотрудники коммерческих предприятий которые осуществляют свою деятельность соседней стране граждане россии украины которые оказались период пандемии за пределами своей страны и возвращаются на родину теперь для них в этих двух международных автомобильных пунктах пропуска синьков к и бачив украинская сторона разрешила и пешие пересечении границы по информации поступившей сегодня из оперативного штаба за минувшие сутки брянской области выявлено 40 случаев к вид 19 [музыка] всего с начала эпидемии коронавирус подтвержден у шести тысяч шестьсот трех жителей региона больше всего заболевших областном центре 2821 далее по число инфицированных идет брянский район где выявлен 501 случай к вид 19 сначала пандемией выздоровели 4 1809 жители области за минувшие сутки 69 человек от опасной инфекции скончался еще один жители региона мужчина в возрасте 67 лет он страдал хроническими заболеваниями в том числе гипертонической болезнью с поражением сердца таким образом к вид 19 унес жизни 35 жителей региона в области продолжает действовать масочный режим берегите себя и своих близких в брянске задержан председатель комитета по жилищно-коммунальному хозяйству брянской городской администрации игорь генкин ему инкриминируют ненадлежащее исполнение должностных обязанностей что повлекло по неосторожности смерть двух или более лиц мы уже рассказывали о шокирующим случае гибели 45 летней жительницы беженцы на которую ночью 12 июня напали собаки по данному факту региональным следственным управлением было возбуждено уголовное дело всего же таких дел 3 еще два смертельных случая нападения бездомных собак бежице произошли в октябре прошлого года и в конце мая этого года теперь уголовные дела объединены в одно производство по подозрению совершения преступления предусмотренного частью 3 статьи 2 93 уголовного кодекса российской федерации ненадлежащее исполнение должностным лицом своих обязанностей вследствие недобросовестного отношения к службе повлекшее по неосторожности смерть двух или более лиц следователями задержан председатель комитета по жилищно-коммунальному хозяйству брянской городской администрации перед судом возбуждено ходатайство об избрании задержанного меры пресечения расследование уголовного дела продолжается случае если вина игре генкина будет доказана ему грозит до семи лет лишения свободы во второй части выпуска мы расскажем о том как на брянщине отметили день семьи любви верность а также всероссийском профориентационной проекте билет в будущее многом другом а пока прогноз погоды на завтра [музыка] ближайшие сутки на территории брянской области ожидается переменная облачность ночью без существенных осадков днем небольшой кратковременный дождь местами гроза ветер северо-западный умеренный 7 12 метров в секунду при грозах порывы ветра будут достигать 15 17 метров секунду атмосферное давление составит 741 миллиметр ртутного столба магнитное поле спокойное температура воздуха ночью плюс 9 14 градусов днем плюс 18-23 сегодня в россии отмечается день семьи любви и верности этот праздник появился в нашем календаре не так давно в 2008 году пири у родченко дню памяти православных святых князя петра и его жены февронии которые считаются покровителями брака несмотря на действующие в регионе ограничительные меры желающих создать семью именно в этот день было немало и загса марина маслова в день семьи любви и верности 33 влюбленная пара региона решили стать семьей многие выбрали эту дату нее случайно согласно поверью если в этот день отметить свадьбу семейная жизнь будет долгой и счастливой в этом убеждены и молодожены averin и к свадьбе пара готовилась целый год дату торжества убирали тщательно в итоге решили остановиться на этом празднике поскольку верят что святые петр и феврония станут покровителями их новой семьи это было зимой инициативу на именно мы спорили между 7 и 8 выбрали 8 как вы что здесь как этом агентов конечно мы считаем что есть поэтому и выбрали этот день и надеемся что но он скажется как то в дальнейшем на нашей жизни [музыка] в этом году желающих расписаться в праздник семьи довольно много только в областном центре заявление на 8 июля подали 22 пары во время самой церемонии из-за сложной эпидемиологической обстановки действуют определенные правила сказать заветная да можно только в маске обменяться кольцами лишь после обработки рук антисептиком в торжественный зал начиная с этой недели разрешили заходить и гостям но при условии соблюдения необходимых мер предосторожностей всем на входе измеряет температуру и обрабатывают руки ограничения касаются и количество гостей из расчета один человек на 4 квадратных метра между церемониями увеличили и время чтобы продезинфицировать помещении мы в основном люди с пониманием и молодые пары понимают всю серьёзность положения мы может быть кто планировал такие более пышные свадьбы они немножко на поздний срок перенесли согласно поверьям день святых петра и февронии является благоприятным не только для свадеб а также и для помолвок работники загса говорят это отличный повод для того чтобы сделать своей половинке предложения марина маслова сергей севостьянов вести в брянск активисты общероссийского народного фронта и члены генеалогического центра проект жизни организовали новый всероссийский флэшмоб время для семьи акцию приурочили ко дню семьи любви и верности участникам флешмоба предлагают обратиться к истории знакомства своих родителей бабушек и дедушек или же вспомнить о встрече со своей второй половиной а затем разместить в социальных сетях две фотографии тогда и сейчас публикации можно рассказать свою историю и отметить ее хэштегом время для семьи жители брянска также присоединились к флешмобу и рассказали своей истории особенности нашей семьи есть наверное то что мы сможем родились в один день это 8 апреля это знаете прекрасный день мы прекрасно проводим свой день рождения и тогда еще когда мы поздно и познакомились вы знали об этом тогда такое знаете был знаковый для нас вот момент в брянске открылся новый медицинский центр современные магнитно-резонансной томографии эксперт мрт здесь применяют новый подход к диагностике и лечению заболеваний обо всем подробнее в нашем репортаже в медицинском центре эксперты марта совершенно новый подход к диагностике всех систем организма основным направлением работы компании является оказание высокотехнологичной высокоточной диагностической помощи на современных аппаратах мрт и узи 3d 4d гарантии медицинского центра является точное описание диагноза в эксперт мрт есть возможность диагностирования острых и хронических воспалительных заболеваний дегенеративных а также опухолевых заболеваний практически в любой части тела специалисты центра проводят диагностику патологии суставов позвоночника головного мозга предстательной железы модельные более современной безопасные информативный метод диагностики большинства органов и систем человека центральной нервной системы суставов брюшной полости благодаря высокой скорости сканирования и обработки изображения также со времен программному свечению давно обследование может быть выполнить редчайшие сроки нашем центре применяются современные методики индивидуальный подход каждому пациенту что помогает получить информацию о состоянии его здоровья центре эксперт мрт также можно записаться на прием и консультацию к специалистам и получить квалифицированную помощь наталья жукова екатерина морозова сергей машкин вести брянск стартовал третий сезон всероссийского профориентационного проекта для школьников билет в будущее он проходит при поддержке министерства просвещения россии в рамках национального проекта образование участвовать в проекция могут школьники с 6 по 11 класс небо рамках можно будет пройти интерактивные тесты на знание профессии и профориентацию получить информацию о востребованных сейчас навыках принять участие в онлайн конкурсах а также получить индивидуальные рекомендации по построению стратегии обучения затем школьники под руководством наставника будут выполнять реальные задания например смогут вытащить деталь на станке распечатать макет на 3d принтере написать программный код попробуют свои силы в кулинарии такие практические мероприятия пройдут в регионах очно с учетом эпидемиологической ситуации на базе колледжа техникума в детских технопарков вузов предприятия также в онлайн формате новая информация как всегда в нашем утреннем эфире в 9 часов ровно в любое время все новости программы доступны на нашем сайте на страницах гтрк брянск социальных сетях приятного вечера до встречи</t>
  </si>
  <si>
    <t>DMV</t>
  </si>
  <si>
    <t>00:16</t>
  </si>
  <si>
    <t>Advanced Foot &amp; Ankle Clinic</t>
  </si>
  <si>
    <t>Expert and excellent service....professional and friendly.</t>
  </si>
  <si>
    <t>Joseph Giesbrecht</t>
  </si>
  <si>
    <t>Highland</t>
  </si>
  <si>
    <t>00:03</t>
  </si>
  <si>
    <t>Just the video of spray getting through masks filmed by a military guy shows they don’t filter or stop things leaving your mouth or someone sneezing near you. Bogus. And the cdc and the who can’t agree with each other. Sorry the story of fearing the virus does not work anymore. It has constantly been showed masks cut back on your oxygen.</t>
  </si>
  <si>
    <t>DivineJ</t>
  </si>
  <si>
    <t>08.07.2020</t>
  </si>
  <si>
    <t>23:52</t>
  </si>
  <si>
    <t>I'll never wear, a mask , so tired of hearing about it .. they don't work.. if you want too be paranoid and afraid that is your choice.</t>
  </si>
  <si>
    <t>Tom Davis</t>
  </si>
  <si>
    <t>23:49</t>
  </si>
  <si>
    <t>МРТ: Рассеянный склероз - снова о теории мифологии. Часть 3
По опыту работы в «МРТ-Эксперт» г. Костромы
МРТ-снова рассеянный склероз-3.doc
https://vk.com/doc71191578_558793555?hash=e2d7e64e6960747f33&amp;dl=GU2DEMRVGQ2TGNY:1594780111:31c4d9f667fc22d073&amp;api=1&amp;no_preview=1</t>
  </si>
  <si>
    <t>I’ve seen way more people touching their face now since everyone has started wearing masks</t>
  </si>
  <si>
    <t>B ravel</t>
  </si>
  <si>
    <t>21:08</t>
  </si>
  <si>
    <t>8 Myths About Your Back — Busted</t>
  </si>
  <si>
    <t>There's a lot of misinformation about back problems so let a Cleveland Clinic expert set the record straight.
8 Myths About Your Back — Busted
 8 Myths About Your Back — Busted
 8 Myths About Your Back — Busted
 8 Myths About Your Back — Busted
 8 Myths About Your Back — Busted
 8 Myths About Your Back — Busted
 1 hour ago
 views:
 By:
 Back pain is a fairly common problem. Unfortunately, so are pervasive myths on the subject.
 Misinformation about back problems abounds. How many times have you heard that exercise can hurt your back? Or that if you consult a spine surgeon about pain, you're sure to wind up in surgery?
 If you have back pain , it's important to get the facts straight from the experts.
 We talked with Marzena Buzanowska, MD , Cleveland Clinic Center for Spine Health, to dispel eight of the most common myths.
 Myth: Exercise will hurt your back.
 Fact:
 Anyone who's ever been to the gym knows that it's possible to hurt your back — and other parts of your body — if you're careless, like not stretching properly or lifting too much weight. But if you're careful and follow instructions from a physical trainer, there's no reason to wind up hurt after a trip to the gym.
 Additionally, with professional guidance under a licensed physical therapist, exercise can help your back by strengthening the muscles that support your spine. A strong, well-conditioned back can withstand more stress and stabilize the spine better. In some instances, a spine-certified physical therapist can find a few simple exercises that will help relieve the pressure from a bulged disk to help with healing, Dr. Buzanowska says
 Myth: Herniated disks need to be surgically repaired.
 Fact: The intervertebral disks, located between the vertebral bodies of your spine, act to cushion the spine against stress. These disks may rupture, or herniate, if the outer layer of the disk weakens. The jelly-like center of the disk leaks, irritating the nearby nerves and causing back and leg pain. More than 90% of herniated disks get better on their own with short rest or with treatment, such as physical therapy, anti-inflammatory medications or spine injections, Dr. Buzanowska says.
 Myth: If you go to a spine surgeon, it's certain you'll end up having surgery.
 Fact: Not necessarily. Many spine surgeons often find themselves trying to talk patients out of back surgery , Dr. Buzanowska says. While there are a few spine conditions that require surgery, the vast majority of back problems are resolved without surgery. Surgery may be appropriate for select people who have exhausted conservative options. It all depends on your unique medical condition.
 Myth: If you have bulging disks, you have a major medical problem.
 Fact: Bulging disks are a normal part of aging, Dr. Buzanowska says. Our disks are like car tires that gradually lose air and wear down. This is why we may become shorter as we age. However, unlike car tires, an aged disk does not have to be replaced. Also, this problem causes pain in only a fraction of patients.
 Myth: Magnetic resonance imaging (MRI) scans always show the source of back pain.
 Fact: MRI uses a magnetic field and radio waves to create detailed images of the organs and tissues within your body. These scans can demonstrate annular tears, herniated disks and nerve compression. MRI scans do not show weak muscles or many other disorders that contribute to back pain. As mentioned earlier, MRI also will show the normal, age-related wear and tear that may be misleading as to the source of back pain sometimes. This is why a thorough physical exam is the most important source of information about the causes of your back pain, Dr. Buzanowska says.
 Myth: The best thing for a sore back is bed rest.
 Fact: It seems counterintuitive, but the best thing for your back is gentle exercise, Dr. Buzanowska says. Walking, for example, gets you out of a sitting posture and into a more neutral, upright alignment. Gentle, easy stretching may help as well. Licensed physical therapists can best supervise this endeavor and can tailor a personalized strengthening and stretching routine for patients.
 Myth: Spinal fusion surgery always requires additional surgery.
 Fact: We've all heard of someone who has had a failed back surgery, Dr. Buzanowska says. And spinal fusion surger y is a major procedure in which two or more bones in the spine are permanently joined. Yet, the reality is that when skilled surgeons perform spinal fusion surgery for the right medical reasons, the procedure rarely needs to be repeated.
 Myth: Pinched nerves cause severe back pain.
 Fact: That can be true, but only sometimes. Usually, an irritated or compressed nerve in your spine causes pain in your leg and foot, Dr. Buzanowska says. With the proper treatment and therapy, these pains can be relieved.
 https://www.passtechusa.com/q71qxv5kt2?key=fce98667b547cdec45c44114599b7d22
 Play online games for free at games.easybranches.com
 What you think about this story?
 8 Myths About Your Back — Busted</t>
  </si>
  <si>
    <t>World News</t>
  </si>
  <si>
    <t>worldnews.easybranches.com</t>
  </si>
  <si>
    <t>"Вести. Брянск" (эфир 08.07.2020 в 21:05)</t>
  </si>
  <si>
    <t>добрый вечер это итоговый выпуск программы вести брянск с вами наталья львова вот о чем мы расскажем социальный контракт основные направления использования средств это обучение нарушения квалификации своей это скажем так развитие собственного дела на поддержку граждан в рамках программы выделено более 35 миллионов рублей день семьи любви и верности [музыка] сыграть свадьбу в праздник в регионе решили тридцать три пары билет в будущее в рамках всероссийского проекта брянским школьникам помогут в выборе профессия [музыка] и в брянской области более 300 семей граждан находящихся в трудной жизненной ситуации заключили социальный контракт на получение поддержки от государства с помощью разовой единовременной выплаты можно открыть свое дело развивать подсобное хозяйство потратить средства можно и на профессиональное обучение всего на реализацию социальных контрактов из областного бюджета в этом году выделено 35 миллионов рублей как поддержка государства помогает изменить жизнь к лучшему расскажет наш корреспондент птичьи подворье у юлии тихонова и появилась пару месяцев назад за это время поголовье выросло уже в несколько раз подсобном хозяйстве более сотни бройлеров гусей наши новые жильцы вот приехали только сегодня ниши жительница выгоните одна растит двоих детей узнала программе помощи малоимущим гражданам юлия тихонова обратилась в местное отделение социальной защиты населения разработала бизнес-плана заключила социальный контракт на сумму 57 тысяч рублей эти средства были потрачены на цыплят основная это цыплята и корни вот ну и конечно гуси когда делаешь бизнес-план то рассчитываешь когда будет прибыль от бройлеров прибыль быстро получается там несколько месяцев и все а что потом а вот на потом как раз я и взяла гусей потому что гуси могут окупить себя осенью мясо и яйца домашней птицы востребованы покупают знакомые не только рассказывает юлия тихонова благодаря небольшой прибыли от реализованной продукции семье удалось подготовить старшего сына к поступлению в техникум и дальше развивать подсобное хозяйство в планах покупка редких пород кур и увеличения поголовья социальный контракт в этом году заключили более 300 семей и одиноких жителей вэриан ской области размер выплат от 50 до 100 тысяч рублей количество желающих получить такую поддержку от государства с каждым годом растет социальный контракт тренд для граждан с доходами ниже прожиточного минимума основные направления использования средств это обучение и повышение квалификации своей это скажем так развитие собственного дела и развитие подсобного хозяйства можно приобретение инструментария для того чтобы открывать тоже так же собственно и делает ее парикмахерские услуги у нас реализуют граждане и деревообрабатывающие станки приобретают социальный контракт не только помогает брианца улучшить материальное положение некоторые жители области получившие помощь от государства в дальнейшем развивают свое дело и становятся предпринимателями следующем году брянская область из федерального бюджета на программу реализации социальных контрактов планирует получить уже более 270 миллионов рублей людмила гусар вы екатерина морозов евгений седаков везти брянск из органического района российско-украинская граница с предельным государством украины возобновлено пешеходное сообщение в двух пунктах международного пропуска сеньковка и бачевск это автомобильные пункты которым с российской стороны соответствуют новые юрка вещей трое борт на перемещение через них до этого дня было возможно исключительно на транспорте и сделать это было возможно только для ограниченного круга лиц определенных прежде всего строгими санитарными требованиями в рамках борьбы с распространением коронавирусной инфекцией в их числе дипломаты сотрудники коммерческих предприятий которые осуществляют свою деятельность соседней стране граждане россии украины которые оказались период пандемии за пределами своей страны и возвращаются на родину теперь для них в этих двух международных автомобильных пунктах пропуска синьков к и бачив украинская сторона разрешила и пешие пересечении границы по информации поступившей сегодня из оперативного штаба за минувшие сутки брянской области выявлено 40 случаев к вид 19 всего с начала эпидемии коронавирус подтвержден у шести тысяч шестьсот трех жителей региона больше всего заболевших областном центре 2821 далее по число инфицированных идет брянский район где выявлен 501 случай к ведь 19 сначала пандемией выздоровели 4 1809 жители области за минувшие сутки 69 человек от опасной инфекции скончался еще один жители региона мужчина в возрасте 67 лет он страдал хроническими заболеваниями в том числе гипертонической болезнью с поражением сердца таким образом к ведь 19 унес жизни 35 жителей региона в области продолжает действовать масочный режим берегите себя и своих близких в брянске задержан председатель комитета по жилищно-коммунальному хозяйству брянской городской администрации игорь генкин ему инкриминируют ненадлежащее исполнение должностных обязанностей что повлекло по неосторожности смерть двух или более лиц мы уже рассказывали о шокирующим случае гибели 45 летней жительницы беженцы на которую ночью 12 июня напали собаки по данному факту региональным следственным управлением было возбуждено уголовное дело всего же таких дел 3 еще два смертельных случая нападения бездомных собак бежице произошли в октябре прошлого года и в конце мая этого года теперь уголовные дела объединены в одно производство по подозрению совершения преступления предусмотренного частью 3 статьи 2 93 уголовного кодекса российской федерации ненадлежащее исполнение должностным лицом своих обязанностей вследствие недобросовестного отношения к службе повлекшее по неосторожности смерть двух или более лиц следователями задержан председатель комитета по жилищно-коммунальному хозяйству брянской городской администрации перед судом возбуждено ходатайство об избрании задержанному мера пресечения расследование уголовного дела продолжается случае если вина игре генкина будет доказана ему грозит до семи лет лишения свободы во второй части выпуска мы расскажем о том как на брянщине отметили день семьи любви и верности а также всероссийском прав ориентационном проекте билет будущее многом другом а пока прогноз погоды на завтра [музыка] [музыка] ближайшие сутки на территории брянской области ожидается переменная облачность ночью без существенных осадков днем небольшой кратковременный дождь местами гроза ветер северо-западный умеренный м 12 метров в секунду при грозах порывы ветра будут достигать 15 17 метров в секунду атмосферное давление составит 741 миллиметр ртутного столба магнитное поле спокойное температура воздуха ночью плюс 9 14 градусов днем плюс 18-23 главное управление мчс россии по брянской области напоминает о соблюдении правил безопасного поведения на водоемах уважаемые родители не оставляйте своих детей без присмотра случае происшествия звоните по телефону 101 или 112 [музыка] сегодня в россии отмечается день семьи любви и верности этот праздник появился в нашем календаре не так давно в 2008 году пири у родченко дню памяти православных святых князя петра и его жены и февронии которые считаются покровителями брака несмотря на действующие в регионе ограничительные меры желающих создать семью именно в этот день было немало из загса марина маслова в день семьи любви и верности 33 влюбленные пары региона решили стать семьей многие выбрали эту дату нее случайно согласно поверью если в этот день отметить свадьбу семейная жизнь будет долгой и счастливой в этом убеждены и молодожены averin и к свадьбе пара готовилась целый год дату торжества выбирали тщательно в итоге решили остановиться на этом празднике поскольку верят что святые петр и феврония станут покровителями их новой семьи это было зимой инициативу а именно мы спорили между 7 и 8 выбрали 8 пока что здесь как это магия конечно мы считаем что есть поэтому и выбрали этот день и надеемся что но он скажется как то в дальнейшем на нашей жизни [музыка] в этом году желающих расписаться в праздник семьи довольно много только в областном центре заявления на 8 июля подали 22 пары во время самой церемонии из-за сложной эпидемиологической обстановки действуют определенные правила сказать заветная да можно только в маске обменяться кольцами лишь после обработки рук антисептиком в торжественный зал начиная с этой недели разрешили заходить и гостям но при условии соблюдения необходимых мер предосторожности всем на входе измеряют температуру и обрабатывают руки ограничение касается и количество гостей из расчета один человек на 4 квадратных метра между церемониями увеличили и время чтобы продезинфицировать помещении мы в основном люди с пониманием и молодые пары понимают всю серьёзность положения может быть кто планировал такие более пышные свадьбы они немножко на поздний срок перенесли согласно поверьям день святых петра и февронии является благоприятным не только для свадеб а также и для помолвок работники загса говорят это отличный повод для того чтобы сделать своей половинке предложения марина маслова сергей севостьянов вести в брянск активисты общероссийского народного фронта и члены генеалогического центра проект жизни организовали новый всероссийский флэшмоб время для семьи акцию приурочили ко дню семьи любви и верности участников флешмоба предлагают обратиться к истории знакомства своих родителей бабушек и дедушек или же вспомнить о встрече со своей второй половиной а затем разместить в социальных сетях две фотографии тогда и сейчас публикации можно рассказать свою историю и отметить ее хэштегом время для семьи жители брянска также присоединились к флешмобу и рассказали своей истории особенности нашей семьи есть наверное то что мы сможем родились в один день это 8 апреля это знаете прекрасный день мы прекрасно проводим свой день рождения и тогда еще когда мы поздно и познакомились вы знали об этом тогда такое знаете был знаковой для нас вот момент в минске открылся новый медицинский центр современной магнитно-резонансной томографии эксперт мрт здесь применяют новый подход к диагностике и лечению заболеваний обо всем подробнее в нашем репортаже в медицинском центре эксперты марта совершенно новый подход к диагностике всех систем организма основным направлением работы компании является оказание высокотехнологичные высокоточные диагностической помощи на современных аппаратах мрт и узи 3d 4d гарантии медицинского центра является точное описание диагноза в эксперт мрт есть возможность диагностирования острых и хронических воспалительных заболеваний дегенеративных а также опухолевых заболеваний практически в любой части тела специалисты центра проводят диагностику патологии суставов позвоночника головного мозга предстательной железы модель наиболее современной безопасные информативный метод диагностики большинства органов и систем человека центральной нервной системы суставов брюшной полости благодаря высокой скорости сканирование обработки изображения а также со времен программному обеспечению давно обследование может быть выполнить редчайшие сроки нашем центре применяются современные методики индивидуальный подход каждого пациента что помогает получить информацию о состоянии его здоровья центре эксперт мрт также можно записаться на прием и консультацию к специалистам и получить квалифицированную помощь наталья жукова екатерина морозова сергей машкин вести брянск стартовал третий сезон всероссийского профориентационного проекта для школьников билет в будущее он проходит при поддержке министерства просвещения россии в рамках национального проекта образование участвовать проекция могут школьники с 6 по 11 класс небо рамках можно будет пройти интерактивные тесты на знание профессии и профориентацию получить информацию о востребованных сейчас навыках принять участие в онлайн конкурсах а также получить индивидуальные рекомендации по построению стратегии обучения затем школьники под руководством наставника будут выполнять реальные задания например смогут вытащить деталь на станке распечатать маркет на 3d принтере написать программный код попробуют свои силы в кулинарии такие практические мероприятия пройдут в регионах очень с учетом эпидемиологической ситуации на базе колледжа техникума в детских технопарков вузов предприятия также в онлайн формате новая информация как всегда в нашем утреннем эфире в 9 часов ровно в любое время все новости программы доступны на нашем сайте на странице гтрк брянска социальных сетях приятного вечера до встреч</t>
  </si>
  <si>
    <t>ГТРК "Брянск"</t>
  </si>
  <si>
    <t>He is full of crap!</t>
  </si>
  <si>
    <t>Mari Lewis</t>
  </si>
  <si>
    <t>Мрт 9450 что за ценывьехала велосипедисткаВсех с праздничком</t>
  </si>
  <si>
    <t>девчонки всем привет сегодня бы такой необычное видео смотрите у нас х года полностью испортилась поэтому снимаю и от могу таких экстремальных условиях взяла дочке на маленький зонт думала его не то что то дождя ладно в общем еду не догадаетесь вообще незачто куда я иду иду я на мрт в общем вообще я снимаю не для того чтобы там про болячки какие-то свои рассказывают понятно что они у всех есть здаровки нет пока не потому что такая произошла свечи петель насколько в общем два месяца назад мы с дочкой пошли делать я гастроскопию ну банальный там гастрит просто платную клинику и мы стояли возле входа это кто и смоленска знает это клиник парк он ага рожден этот центр таким набором решетчатым и мы стали перед входом в этот забор как бы а лью воду о чем дверь одеть маску но были втроём как моя дочка старшая этом такая тоненькая дорожка вот и припаркуются машины и мы стояли разговаривали одевали эти маски и мне спину что-то въехала честно говоря подумала что это машина въехала вот ехала машина подумала я но нет слава богу короче уехал было велосипедист такая то ли азиатка не знаю очень девушка точно не живучие смоленским и что работающие ну даже по-русски особо не понимала что я говорила только прости прости как найти с акцентом и все и убежала согнулась три погибели убежала плод ну все вроде сделали эту процедуру но и начали более такие тугого характера позвоночнике но не суть короче я просто потому это рассказываю что вы вот увидите насколько надо быть бдительным вообще когда ты вообще в любой ситуации видео смотреть ты можешь просто стоять и может что-то въехать тебя или еще что-то у вас что-то говорят да кирпич на голову рощин ну и вот два месяца прошло эти боли усилились и решила сделать мрт можно вообще бы об этом не рассказывала но честно говоря ценный маркер смоленске может связаны с пандами но очень сильно возросли в общем и войду в эксперт в эксперте мрт брюшной полости 6 300 и грудного отдела позвоночника 3 по моему 3050 вот но мне надо еще делать крестцовый отдел это сразу не делает пришли так брюшная полость и этот кусок позвоночника делается час тебе просто не вылижешь больше поэтому на при неделю пойду делать поясницу и они мне предложили сейчас у них акция сделать сосудов головы и головы 5 600 вот если пойду крестцовый отдел dior сделает ну честно говоря они как-то тоже цены когти корректировали не знаю иного и внимательно ну вот девчонки еще сейчас не идти минут 8 хочу показать нашу площадь смирнова вот сейчас покажу вот это центр смоленская там дальше порты ебет большой вот решила прогуляться сейчас пойдем с вами как раз поговорим ну что продолжим девчонки на чем я снова все надо быть бдительными значит край марта что ещё могу сказать ему что то не делал мрт умер то это такое исследование она намного лучше чем узи то что узи не всегда что-то видит но более глубже идет нарезка такая с этих вот снимков разных но она дороже конечно и сам так знаете когда науки ты идешь на узи бывает часто ошибка если даже что-то не понравится и думаешь она может неправильно посмотрели папа и марте сирано вся видно если тем более расшифровывать нормальный специалист и и лежишь в этой колбы и ждешь если такая фишка вам расскажу бы марта я видел этот вот года 1 3 потому что идея как отлично макс ходи 2 свое от повторения той жизнью сейчас сами понимаете в общем если ты в мрт аппарате лежишь и себе никто не зашел пока ты делал эту процедуру исследование спокойно то есть это смотрели сказали все одевайтесь выходить можете идти гулять спокойно ждать результат удалось навесные они что-то находят мне нравится они через минут 10 заходят говорят есть у вас деньги на контраст то есть он просто этот гордый 4000 это такое вещество погоришь и toyota то еще что то в общем она распространяется по всему телу организмом и высвечивается настеньку вот это иду прямо уступают дорогу такие прям сегодня что ещё рассказать вам что еще мне не понравилось позвал смерти я обычно делаю на железнодорожная больница в марте анупам дают не результат сразу все и получать вам о здесь сутки надо брюшной полости и ждешь те на почту приходит а [музыка] потому что гуляешь гуляешь с чем часа и потом они тебя дают результат но как-то тоже как-то не очень удобно это вот и в железной дороги в брюшную полость входят еще и почки почки и надпочечники а здесь нет здесь почки полон 3000 тоже отдельно такие тонкости это кто в смоленске кто может быть увидит это видео и посмотрит на единственный момент что вроде как вот с перси вот эта труба она открытая вот голова ты не прям замкнутом пространстве ну как бы твои ноги открытые голова потому что железо наружки ты полностью заезжаешь аппарат но посмотрим если мне удастся что-то заснять там-то я конечно же сниму и покажу ну если нет то нет общего видите ровном месте чат можете проблемы будут говорить всегда спасибо со мной стояла дочкам номоли а если по настояла на моем месте понятно куда рта , масса тела конфликтен для она пассивно еще ребенок лучше уже я это вытяжки по сути поэтому все девчонки так сделаю все было или если снять мне удастся я поставлю сюда этот в общем отрезок видео продолжение следует это наш губернский культурный центр 10 была дискотека не знаю сейчас губернский какие-то приезжают разные актеры певцы вот сейчас мало кто приезжает там понимаете почему но вообще все девчонки я почти подхожу чуть-чуть осталось пройти сейчас одену маску одену маску и ушла комар ты чудо чуть чудесно в общем встретимся позже машенька надо программа все девчонки отстрелялась и короче не удалось заснять эту трубу саму но честно вам скажу труба сама вот это аппарат лучше чем железнодорожной больницы хотя бы даже даже может не по свойствам не знаю как она да сколько там там же какие-то числа есть тоже тонкости нарезки я кстати думала что чем больше толщина когда 63 полтора то лучше от отца нет все меньше тем лучше мы лад мне кажется здесь полтора я там полтора на железнодорожный вон там такой маленький маленькая тоненькая трубка такая труба и закрытая такая тут широкая достаточно высокая и голова твоя практически туда в конец приезжает но ты видишь свет видишь стену в общем сейчас сниму маску так и пошла маски отдала j9 400 помогу покажу вам человек потом ну ладно все нормально ну понятно дело что изменений у всех есть такие вот сейчас у них секция сосудов головы и она сказала раз стреляет позвоночнике то сделать еще поясничный отдел вот наверное через недель пушек передохну всяко сейчас там лежать не очень приятно на самом деле она мне кстати сразу сказала может вам горит всего тела сделать ну там покататься и ранее не 22 часа лежать это точно не про меня или елочки приеду потом сделаю ща пояснице не надо теперь собраться духов бред главных отец дело печенки будет такой познавательный блок такой до необычной вот тем не менее может кому то интересно там окажется малинку ценник покажу домой приду чекотто они мне все положили всех кстати даже заключение одно только брюшной полости почитала а позвоночника нет но врач неплохая фамилию не помню то есть я как-то хочет по тоже ну тоисть я такое имя как бы не не это редко но неплохая вышла мне объяснила вот у меня отец сейчас болеет тоже ну как у москве и 1 марта мы делали головы у неё почему от ей пошла и она кстати всё правильно питалась и 5 делают аборты и все соответствует поэтому рекомендую он девчонки стоимость здесь органов брюшной полости 6 то a6 400 и грудной отдел 359 450 дается вот такой натиск пакетик и 2 заключения ну кстати железнодорожное дается пленка а здесь если вам нужна пленка вы ее покупаете сот рублей одна штучка но на принципе думаю не нужно если есть диск зачем пленка в общем вот так</t>
  </si>
  <si>
    <t>Мама Психолог и Кулинар</t>
  </si>
  <si>
    <t>ЧРЕЗМЕРНАЯ ФИЗИЧЕСКАЯ АКТИВНОСТЬ ИЛИ СИДЯЧАЯ РАБОТА: ЧТО ВРЕДНЕЕ?
Давно известно, что физические тренировки продлевают жизнь и улучшают самочувствие. Но сравнив продолжительность жизни японских актёров разных жанров, учёные из Токийского технологического института пришли к весьма неожиданному выводу: те, у кого род занятий связан с систематическими тяжёлыми физическими нагрузками, живут меньше. Результаты этой работы опубликованы в журнале Palgrave Communications.
Эксперты сопоставили данные о состоянии здоровья и продолжительности жизни почти 700 актёров традиционных видов искусств Японии. В эксперименте участвовали представители театра кабуки (этот жанр связан с немалым физическим напряжением), садо (церемония приготовления чая и чаепитие), ракуго (искусство комедийного устного рассказа) и нагаута (жанр японской камерной музыки).
Исследование показало, что артисты театра кабуки жили меньше, чем другие участники эксперимента. Таким образом, регулярная излишняя физическая активность может оказаться опаснее сидячего образа жизни.
Учёные полагают, что для актёров театра кабуки польза постоянной физической активности нейтрализуется переизбытком упражнений на выносливость и чересчур интенсивными силовыми тренировками.
#ГКЭксперт #КлиникаЭксперт #мртэксперт #новостимедицины
Фото из хроники
ЧРЕЗМЕРНАЯ ФИЗИЧЕСКАЯ АКТИВНОСТЬ ИЛИ СИДЯЧАЯ РАБОТА: ЧТО ВРЕДНЕЕ?
Давно известно, что физические тренировки продлевают жизнь и улучшают самочувствие. Но сравнив продолжительность жизни японских актёров разных жанров, учёные из Токийского технологического института пришли к весьма неожиданному выводу: те, у кого род занятий связан с систематическими тяжёлыми физическими нагрузками, живут меньше. Результаты этой работы опубликованы в журнале Palgrave Communications.
Эксперты сопоставили данные о состоянии здоровья и продолжительности жизни почти 700 актёров традиционных видов искусств Японии. В эксперименте участвовали представители театра кабуки (этот жанр связан с немалым физическим напряжением), садо (церемония приготовления чая и чаепитие), ракуго (искусство комедийного устного рассказа) и нагаута (жанр японской камерной музыки).
Исследование показало, что артисты театра кабуки жили меньше, чем другие участники эксперимента. Таким образом, регулярная излишняя физическая активность может оказаться опаснее сидячего образа жизни.
Учёные полагают, что для актёров театра кабуки польза постоянной физической активности нейтрализуется переизбытком упражнений на выносливость и чересчур интенсивными силовыми тренировками.
#ГКЭксперт #КлиникаЭксперт #мртэксперт #новостимедицины
https://www.facebook.com/mriexpert/photos/a.902990326434112/3167922806607508/?type=3</t>
  </si>
  <si>
    <t>https://scontent-lax3-2.xx.fbcdn.net/v/t1.0-9/s720x720/107467180_3167922813274174_4885330751605038463_o.jpg?_nc_cat=111&amp;_nc_sid=2d5d41&amp;_nc_eui2=AeHMcpJ6aOP1Ab9F5hOohaEYi2H6VCSBlO-LYfpUJIGU72OU3mzB_AzKbUJ_Omza5_7Hs59cZVK3-JoDwVCRaceu&amp;_nc_ohc=c6YEV2UN6VYAX8e60wV&amp;_nc_ht=scontent-lax3-2.xx&amp;_nc_tp=7&amp;oh=414a2c0485d7f78df4de1c135b755d2c&amp;oe=5F29ADDF</t>
  </si>
  <si>
    <t>БУНИНСКИЕ ОСТАНОВКИ
⠀
В обиход липчан и гостей города, с чьей-то легкой руки, прочно вошло словосочетание «Бунинские остановки»
⠀
С 26 июня на остановочных павильонах центральных улиц города представлены репринты работ Екатерины Маланиной @_ina_2
⠀
Экспедиция «Буксира» в городское пространство впервые носит такой масштабный характер.
⠀
Мы получили много откликов, из которых уже  становится  очевидным, что достигнута основная цель проекта - обращение липчан к творчеству нашего земляка Ивана Алексеевича Бунина и к русской классике, в целом.
⠀
#bunin20 #нашбунин #бунин
@metroccrus @josta_coffee @clinic_expert_ @red_tranzit @_ina_2 @parki48lip @nashbunin</t>
  </si>
  <si>
    <t>Галерея Буксир</t>
  </si>
  <si>
    <t>It's my 5th birthday!!
Celebrations will be very subdued this year as my clinic doors are still closed as I am awaiting the green light from the Government to be able to safely open. 
But it's actually a blessing in disguise as it gives me an opportunity to sit back and look at what I have achieved. 
I'd never worked for myself before, so at the start I was very wet behind the ears, but with the help of some great people around me who would push me forward (and not forgetting my amazing clients!!) I can hand on heart say I absolutely LOVE the business I have built from just a dream to a success!
I cannot wait to reopen soon and excited for what the next five years will hold!
#birthday #anniversary #businessowner #businesswoman #massage #injury #sport #happy #reopening #loveyourwork #therapy #clinic #expert #oxford</t>
  </si>
  <si>
    <t>Optimum Body</t>
  </si>
  <si>
    <t>Оксфорд</t>
  </si>
  <si>
    <t>16:40</t>
  </si>
  <si>
    <t>Говоря о пневмониях, в качестве информативного метода диагностики часто упоминают компьютерную томографию лёгких. А как обстоит дело с МРТ?
О реальных возможностях МРТ лёгких нам рассказал врач-рентгенолог, исполнительный директор «Клиника Эксперт» Оренбург Юрий Подлевских: https://www.mrtexpert.ru/articles/1069
#ГКЭксперт #КлиникаЭксперт #КлиникаЭкспертОренбург #мртэксперт #ктлегких</t>
  </si>
  <si>
    <t>15:15</t>
  </si>
  <si>
    <t>Our Hand &amp; Wrist Clinic is back ️
If you're a keen tennis player, artist or musician you're likely used to fatigue in your hand or wrist; or maybe you're feeling it from daily repetitive tasks such as typing, writing or lifting you baby or child. Whatever the cause it is clear that your hands and wrists go through quite a lot on a daily basis.
If you have been struggling with pain in your hand or wrist during lockdown, don't worry you're likely not alone and the good news is there is something that can be done. Our expert hand and wrist physiotherapists are on hand and available to help with either face to face or virtual appointments.✔️
If you'd like more information on our Hand &amp; Wrist Clinic including common injuries and treatments available, please visit our website [LINK IN BIO] or DM us. 
#hand #wrist #injury #clinic #expert #physiotherapy #treatment #getbetter #lockdown #athlete #musician #artist #parent #wfh #rehab #prehab</t>
  </si>
  <si>
    <t>Pure Sports Medicine</t>
  </si>
  <si>
    <t>До 45 лет встречается нечасто, но к 60 годам её признаки наблюдаются уже у половины мужчин, а к 80 – у 85 процентов.
Мужская напасть. Аденома простаты: что знает об этом заболевании современная медицина?: https://www.mrtexpert.ru/articles/1068
#ГКЭксперт #мртэксперт #КлиникаЭксперт #КлиникаЭкспертВладикавказ
#аденомапростаты</t>
  </si>
  <si>
    <t>До 45 лет встречается нечасто, но к 60 годам её признаки наблюдаются уже у половины мужчин, а к 80 – у 85 процентов.
Мужская напасть. Аденома простаты: что знает об этом заболевании современная медицина?: https://www.mrtexpert.ru/articles/1068
#ГКЭксперт #мртэксперт #КлиникаЭксперт #КлиникаЭкспертВладикавказ
#аденомапростаты</t>
  </si>
  <si>
    <t>#หลุมสิวป้องกันได้
นารดาคลินิกเรามีเคล็ดลับดีๆ
ที่ป้องกันการเกิดหลุมสิวมาฝากกันค่ะ
.
.
 ไม่บีบหรือแกะสิว
 เลี่ยงอาหารประเภททอด
 เลือกครีมบำรุงผิวหน้าที่ไม่ทำให้อุดตัน
 ล้างหน้าให้สะอาด
 ทาครีมกันแดดเป็นประจำ
#การดูแลตัวเองในช่วงรักษาสิว
 หลีกเลี่ยงมลภาวะ
 เลี่ยงการล้างหน้าบ่อยๆ ไม่ขัดไม่ถูหน้าแรงๆ
 ใช้เครื่องสำอางให้เหมาะกับสภาพผิว
 งดดื่มแอลกอฮอลล์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#หลุมสิวป้องกันได้
นารดาคลินิกเรามีเคล็ดลับดีๆ
ที่ป้องกันการเกิดหลุมสิวมาฝากกันค่ะ
.
.
 ไม่บีบหรือแกะสิว
 เลี่ยงอาหารประเภททอด
 เลือกครีมบำรุงผิวหน้าที่ไม่ทำให้อุดตัน
 ล้างหน้าให้สะอาด
 ทาครีมกันแดดเป็นประจำ
#การดูแลตัวเองในช่วงรักษาสิว
 หลีกเลี่ยงมลภาวะ
 เลี่ยงการล้างหน้าบ่อยๆ ไม่ขัดไม่ถูหน้าแรงๆ
 ใช้เครื่องสำอางให้เหมาะกับสภาพผิว
 งดดื่มแอลกอฮอลล์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https://www.facebook.com/NaradaTeam/photos/a.568393426606903/2968857649893790/?type=3</t>
  </si>
  <si>
    <t>https://scontent-waw1-1.xx.fbcdn.net/v/t1.0-9/s720x720/107783877_2968857653227123_1103637563300355625_o.jpg?_nc_cat=110&amp;_nc_sid=8024bb&amp;_nc_oc=AQn8tmVurBUwVAJo_1YIY2FlajbCWLAuEvN7nLdxZcf3_nxlKfhVhaAK2cfv6oXxKCw&amp;_nc_ht=scontent-waw1-1.xx&amp;_nc_tp=7&amp;oh=a38e4abc3b9b81af7ce6e2f05b9fe400&amp;oe=5F2A226A</t>
  </si>
  <si>
    <t>14:52</t>
  </si>
  <si>
    <t>Mayo Clinic expert answers COVID-19 questions — from school safety to vaccines to new flu virus concerns https://communityassistance.press/mayo-clinic-expert-answers-covid-19-questions-from-school-safety-to-vaccines-to-new-flu-virus-concerns/</t>
  </si>
  <si>
    <t>Charles Myrick -CEO</t>
  </si>
  <si>
    <t>Джорджия</t>
  </si>
  <si>
    <t>Атланта</t>
  </si>
  <si>
    <t>Мамочки,подскажите ! где в Ярославле сделать качественно мрт головного мозга с контрастом взрослому.нужно чтоб было</t>
  </si>
  <si>
    <t>Роман Трошин</t>
  </si>
  <si>
    <t>ОТ МАМЫ К МАМЕ. ЯРОСЛАВЛЬ</t>
  </si>
  <si>
    <t>Ярославль</t>
  </si>
  <si>
    <t>12:47</t>
  </si>
  <si>
    <t>Отличная новость❗️в Клинике «Эксперт»
Альгинатная маска в подарок  к процедурам:
❤️микротоковая терапия
❤️уз-чистка лица
❤️дезинкрустация лица
❤️комплексная чистка лица
Тел. Для записи на процедуры 40-01-71 или в ЛС www.mrtexpert.ru/kur/landings/kosmetologiya
Клиника Эксперт | Курск
Сеть диагностических центров «МРТ-Эксперт» предлагает Вам пройти МРТ диагностику у квалифицированных специалистов на современном оборудовании по доступной цене.
http://www.mrtexpert.ru/kur/landings/kosmetologiya</t>
  </si>
  <si>
    <t>БЫВАЮТ СИТУАЦИИ, КОГДА СЛОЖНО:
⠀
❌Приехать в клинику.
❌Отстоять очередь в поликлинике по месту жительства.
❌Дождаться местного терапевта.
⠀
Не рискуйте здоровьем! Вызывайте врача «Клиники Эксперт Ростов» на дом!
⠀
❓Специалисты, которые могут приехать к вам:
⠀
✔️Терапевт
✔️Невролог
✔️Травматолог
✔️Эндокринолог
✔️Кардиолог
⠀
Стоимость выезда любого из специалистов:
По центру - 2500₽
По районам - 3500₽
⠀
❓Когда лучше не ехать самому на приём к врачу?
⠀
✔️Судороги;
✔️Непрекращающаяся рвота;
✔️Нестерпимая боль в животе;
✔️Сыпь по телу;
✔️Резкое повышение/понижение артериального давления;
✔️Повышение температуры тела;
✔️Сильная внезапная боль в спине и ногах;
✔️Обострение хронической патологии.
⠀
Как вызвать врача?
⠀
☎ 8(863) 309-11-29
www.mrtexpert.ru
rostov_admin@mrtexpert.ru
⏰ПН-ВС: 7:00-22:00
Ростов-на-Дону, ул. Красноармейская, д.262/122, пом.1
Лицензия: ЛО-61-01-006908</t>
  </si>
  <si>
    <t>10 АНАЛИЗОВ, КОТОРЫЕ НУЖНО СДАТЬ ПОСЛЕ 30
⠀
1️⃣Клинический анализ крови.
Позволяет получить представление о состоянии иммунной защиты и костного мозга.
⠀
2️⃣Биохимия крови.
Позволяет получить информацию о состоянии органов желудочно-кишечного тракта.
⠀
3️⃣Уровень сахара крови.
Исключает или позволяет заподозрить сахарный диабет.
⠀
4️⃣Обследование щитовидной железы.
Эндокринолог может предположить гормональный тип артериальной гипертензии при опухолях надпочечников.
⠀
5️⃣Общий анализ мочи.
Выявляет патологии почек и мочевыводящих путей.
⠀
6️⃣Общий анализ крови с лейкоцитарной формулой.
Покажет содержание гемоглобина, количество эритроцитов, лейкоцитов и тромбоцитов.
⠀
7️⃣Общий белок.
Отклонения в норме могут выявить гепатит,цирроз печени, нефрит.
⠀
8️⃣Вирусные гепатиты.
Анализ крови, направленный на диагностику вирусных гепатитов.
⠀
9️⃣Скрининг.
Выявление изменения функций почек, заболеваний скелетных мышц.
⠀
Кардиопрогноз.
Исследование риска сердечно-сосудистых заболеваний.
⠀
Сдать эти анализы можно в нашей клинике!
⠀
Для записи на консультацию:
⠀
☎ 8(865) 297-95-68
www.mrtexpert.ru
aevoronova@mrtexpert.ru
⏰ПН-ПТ: 7:00-23:00
⏰СБ: 8:00-20:00
Ставрополь, ул. Доваторцев, 39А
Лицензия: Л01-01-000027</t>
  </si>
  <si>
    <t>https://scontent-hel2-1.xx.fbcdn.net/v/t1.0-9/107898946_769532487124383_5325101800212615379_o.jpg?_nc_cat=109&amp;_nc_sid=730e14&amp;_nc_oc=AQmHtwCs20onH48pWSAO8ZZRwtChzi_nNFrS6FfK01kEr3Lmz8yHLsbKGWrWAbwumvO4lDafaBsBrMnjguDA7oTQ&amp;_nc_ht=scontent-hel2-1.xx&amp;oh=5ae68a2860c39eea825702eb7ede3598&amp;oe=5F2D44B6</t>
  </si>
  <si>
    <t>11:57</t>
  </si>
  <si>
    <t>❤Центр МРТ Эксперт Поздравляет Всех!!!❤
Праздник «День семьи, любви и верности» 
☝Семья – это одна из главных составляющих современного общества. Что в древние времена, что сейчас для россиян семья, брак и дети всегда были на первом месте. Это своеобразная святыня каждого человека. Но, как известно, трудно создать крепкий союз без любви, а еще труднее сохранить его, ведь для этого в семье должны царить верность и доверие. Только взаимодействие всего этого служит залогом счастья и крепости семейных уз. 
Дружная и крепкая семья – это повод для радости и улыбки, ведь она является незаменимой поддержкой и опорой для любого человека. Но в связи с современными искушениями, которых с каждым днем становится все больше, желание молодежи создавать семьи и браки резко уменьшилось. Именно для того чтобы усилить веру народа в прочные семейные узы был создан праздник — День семьи, любви и верности. В этот день принято поздравлять!!!
✍Наш адрес: г. Рязань, ул. Профессора Никулина 3а 
☎8(930)8803992. 
☎+7(4912)92-39-92 
➡Наш сайт: http://cmrtexpert.ru 
#МРТРязань МРТ#МРТЦены#МРТРязань#МРТ#Эксперт#Обследование#Здоровье#Москва#Луховицы#Озеры#Шатура#Коломна#Праздники
@mrt_expert_62</t>
  </si>
  <si>
    <t>11:54</t>
  </si>
  <si>
    <t>МЦ "Эксперт" - магнитно-резонансная томография в городе Рязани |
мрт рязань, томография рязань, магнитно-резонансная томография в рязани, мрт эксперт, мрт на никулина, сделать мрт, мрт, 923992, 923993, сделать мрт в рязани
http://cmrtexpert.ru/
❤Центр МРТ Эксперт Поздравляет Всех!!!❤
Праздник «День семьи, любви и верности»
☝Семья – это одна из главных составляющих современного общества. Что в древние времена, что сейчас для россиян семья, брак и дети всегда были на первом месте. Это своеобразная святыня каждого человека. Но, как известно, трудно создать крепкий союз без любви, а еще труднее сохранить его, ведь для этого в семье должны царить верность и доверие. Только взаимодействие всего этого служит залогом счастья и крепости семейных уз.
Дружная и крепкая семья – это повод для радости и улыбки, ведь она является незаменимой поддержкой и опорой для любого человека. Но в связи с современными искушениями, которых с каждым днем становится все больше, желание молодежи создавать семьи и браки резко уменьшилось. Именно для того чтобы усилить веру народа в прочные семейные узы был создан праздник — День семьи, любви и верности. В этот день принято поздравлять!!!
✍Наш адрес: г. Рязань, ул. Профессора Никулина 3а
☎8(930)8803992.
☎+7(4912)92-39-92
➡Наш сайт: http://cmrtexpert.ru
#МРТРязань МРТ#МРТЦены#МРТРязань#МРТ#Эксперт#Обследование#Здоровье#Москва#Луховицы#Озеры#Шатура#Коломна#Праздники</t>
  </si>
  <si>
    <t>Миндальный пилинг❤️- это выбор #1️⃣ для косметологов, как средство, которое быстро может обновить верхний слой кожи‍♀️
ПОКАЗАНИЯ
Фотостарение, особенно рекомендуется для чувствительной и темной кожи
Гиперпигментация различного генеза (мелазма, поствоспалительная гиперпигментация, старческое лентиго)
Морщины (поверхностные и средней глубины)
Вялая кожа
Акне, рубцы постакне, жирная кожа
Миндальная кислота – альфа-гидроксикислота, получаемая при гидролизе экстракта горького миндаля
Благодаря своей высокой молекулярной массе, миндальная кислота не проникает в глубокие слой дермы, что позволяет избежать раздражения кожи‍♀️ и рекомендовать ее применение пациентам с чувствительной кожей и темными фототипами‍♀️ которые не переносят пилинги на основе других альфа-гидроксикислот.
Миндальная кислота активизирует клеточную регенерацию и выравнивает тон кожи, снижая когезию корнеоцитов и способствуя отшелушиванию поврежденных пигментных клеток с ее поверхности. Усиление депигментирующего действия происходит также за счет ингибирования тирозиназы
Она также способствует выработке коллагена, укреплению дермального матрикса, устраняя мелкие морщины и улучшая эластичность и цвет кожи
Гидрофобные и липофильные свойства миндальной кислоты оказывают положительное действие при жирной и проблемной кожей, благодаря ее способности проникать в сальные железы и очищать поры. Выраженные кератолитический, антисеборейный и антибактериальный эффекты приводят к нормализации секреции кожного сала, способствуя терапии угревой болезни.
Курс миндального пилинга:6 процедур с интервалом в 2 неделе ( ❗️разрешён в период солнечной активности, но при использовании крема c spf min 30❗️)
Записаться можно по тел. @clinic_expert_kursk 40-01-71
#косметологкурск #пилингкурск #чисткакурск #косметологиякурск #клиникакурск #врачкурск #акциикурск #курск2020</t>
  </si>
  <si>
    <t>10:49</t>
  </si>
  <si>
    <t>❤Центр МРТ Эксперт Поздравляет Всех!!!❤
Праздник «День семьи, любви и верности»
☝Семья – это одна из главных составляющих современного общества. Что в древние времена, что сейчас для россиян семья, брак и дети всегда были на первом месте. Это своеобразная святыня каждого человека. Но, как известно, трудно создать крепкий союз без любви, а еще труднее сохранить его, ведь для этого в семье должны царить верность и доверие. Только взаимодействие всего этого служит залогом счастья и крепости семейных уз.
Дружная и крепкая семья – это повод для радости и улыбки, ведь она является незаменимой поддержкой и опорой для любого человека. Но в связи с современными искушениями, которых с каждым днем становится все больше, желание молодежи создавать семьи и браки резко уменьшилось. Именно для того чтобы усилить веру народа в прочные семейные узы был создан праздник — День семьи, любви и верности. В этот день принято поздравлять!!!
✍Наш адрес: г. Рязань, ул. Профессора Никулина 3а
☎8(930)8803992.
☎+7(4912)92-39-92
➡Наш сайт: http://cmrtexpert.ru
#МРТРязань МРТ#МРТЦены#МРТРязань#МРТ#Эксперт#Обследование#Здоровье#Москва#Луховицы#Озеры#Шатура#Коломна#Праздники
МЦ "Эксперт" - магнитно-резонансная томография в городе Рязани |
мрт рязань, томография рязань, магнитно-резонансная томография в рязани, мрт эксперт, мрт на никулина, сделать мрт, мрт, 923992, 923993, сделать мрт в рязани
http://cmrtexpert.ru/</t>
  </si>
  <si>
    <t>10:23</t>
  </si>
  <si>
    <t>МЦ "Эксперт" - магнитно-резонансная томография в городе Рязани |
мрт рязань, томография рязань, магнитно-резонансная томография в рязани, мрт эксперт, мрт на никулина, сделать мрт, мрт, 923992, 923993, сделать мрт в рязани
http://cmrtexpert.ru/
☝Наш адрес: г. Рязань, ул. Профессора Никулина 3а
☎8(930)8803992.
☎+7(4912)92-39-92
➡Наш сайт: http://cmrtexpert.ru
#МРТРязань МРТ#МРТЦены#МРТРязань#МРТ#Эксперт#Обследование#Здоровье#Москва#Луховицы#Озеры#Шатура#Коломна#Праздники</t>
  </si>
  <si>
    <t>10:10</t>
  </si>
  <si>
    <t>Центр МРТ Эксперт https://vk.com/mrt62 продлевает скидку 20%Для Всех❗❗❗
☝Предложение действует только до 15.07.2020
☝Наш адрес: г. Рязань, ул. Профессора Никулина 3а
☎8(930)8803992.
☎+7(4912)92-39-92
➡Наш сайт: http://cmrtexpert.ru
#МРТРязань #МРТ#МРТЦены#МРТРязань#МРТ#Эксперт#Обследование#Здоровье#Москва#Луховицы#Озеры#Шатура#Коломна#Праздники</t>
  </si>
  <si>
    <t>Областная Клиническая Больница г. Рязань</t>
  </si>
  <si>
    <t>Миндальный пилинг❤️- это выбор #1️⃣ для косметологов, как средство, которое быстро может обновить верхний слой кожи‍♀️
ПОКАЗАНИЯ
Фотостарение, особенно рекомендуется для чувствительной и темной кожи
Гиперпигментация различного генеза (мелазма, поствоспалительная гиперпигментация, старческое лентиго)
Морщины (поверхностные и средней глубины)
Вялая кожа
Акне, рубцы постакне, жирная кожа
Миндальная кислота – альфа-гидроксикислота, получаемая при гидролизе экстракта горького миндаля
Благодаря своей высокой молекулярной массе, миндальная кислота не проникает в глубокие слой дермы, что позволяет избежать раздражения кожи‍♀️ и рекомендовать ее применение пациентам с чувствительной кожей и темными фототипами‍♀️ которые не переносят пилинги на основе других альфа-гидроксикислот. 
Миндальная кислота активизирует клеточную регенерацию и выравнивает тон кожи, снижая когезию корнеоцитов и способствуя отшелушиванию поврежденных пигментных клеток с ее поверхности. Усиление депигментирующего действия происходит также за счет ингибирования тирозиназы
Она также способствует выработке коллагена, укреплению дермального матрикса, устраняя мелкие морщины и улучшая эластичность и цвет кожи
Гидрофобные и липофильные свойства миндальной кислоты оказывают положительное действие при жирной и проблемной кожей, благодаря ее способности проникать в сальные железы и очищать поры. Выраженные кератолитический, антисеборейный и антибактериальный эффекты приводят к нормализации секреции кожного сала, способствуя терапии угревой болезни.
Курс миндального пилинга:6 процедур с интервалом в 2 неделе ( ❗️разрешён в период солнечной активности, но при использовании крема c spf min 30❗️)
Записаться можно по тел. @clinic_expert_kursk 40-01-71
#косметологкурск #пилингкурск #чисткакурск #косметологиякурск #клиникакурск #врачкурск #акциикурск #курск2020</t>
  </si>
  <si>
    <t>МЦ "Эксперт" - магнитно-резонансная томография в городе Рязани |
мрт рязань, томография рязань, магнитно-резонансная томография в рязани, мрт эксперт, мрт на никулина, сделать мрт, мрт, 923992, 923993, сделать мрт в рязани
http://cmrtexpert.ru/
Центр МРТ Эксперт продлевает скидку 20%Для Всех❗❗❗
☝Предложение действует только до 15.07.2020
☝Наш адрес: г. Рязань, ул. Профессора Никулина 3а
☎8(930)8803992.
☎+7(4912)92-39-92
➡Наш сайт: http://cmrtexpert.ru
#МРТРязань #МРТ#МРТЦены#МРТРязань#МРТ#Эксперт#Обследование#Здоровье#Москва#Луховицы#Озеры#Шатура#Коломна#Праздники</t>
  </si>
  <si>
    <t>Центр МРТ Эксперт продлевает скидку 20%Для Всех❗❗❗
☝Предложение действует только до 15.07.2020
☝Наш адрес: г. Рязань, ул. Профессора Никулина 3а
☎8(930)8803992.
☎+7(4912)92-39-92
➡Наш сайт: http://cmrtexpert.ru
#МРТРязань #МРТ#МРТЦены#МРТРязань#МРТ#Эксперт#Обследование#Здоровье#Москва#Луховицы#Озеры#Шатура#Коломна#Праздники
МЦ "Эксперт" - магнитно-резонансная томография в городе Рязани |
мрт рязань, томография рязань, магнитно-резонансная томография в рязани, мрт эксперт, мрт на никулина, сделать мрт, мрт, 923992, 923993, сделать мрт в рязани
http://cmrtexpert.ru/</t>
  </si>
  <si>
    <t>08:54</t>
  </si>
  <si>
    <t>Коронавирус. Хроники, том 14</t>
  </si>
  <si>
    <t>MVA-75 писал(а):
Да везде КТ делают, везде.
.
Везде - это где конкретно? Давайте тогда пароли-явки)
Я вот лично обзванивала, что знала.  МРТ Эксперт на зеленых куполах ответили, что они сейчас не делают кт легких, звоните грят в Аперто.
Звонила в отделения платных услуг на горку и в областной диагностический центр. Временно не делают 
В Евромеде еще вроде как делают (знакомые делали), но я туда уже даж не звонила, устала дозваниваться. Полдня только на дозвоны надо тратить...</t>
  </si>
  <si>
    <t>morcheeba</t>
  </si>
  <si>
    <t>forum.sibmama.ru</t>
  </si>
  <si>
    <t>Главная :: Сибмама Форумы о детях и семье &gt; Обо всем</t>
  </si>
  <si>
    <t>08:52</t>
  </si>
  <si>
    <t>Don’t say that, someone really rich is getting richer, and we feel safe. That’s all that really  matters.
In April 2020, a Mayo clinic Expert said N95 masks protect up to 0.1 microns. COVID-19 is 0.12 microns. The single use masks sold at stores, Amazon, etc? 0.3.
Unless it's N95, it is useless.</t>
  </si>
  <si>
    <t>Paula Saunier</t>
  </si>
  <si>
    <t>08:46</t>
  </si>
  <si>
    <t>In April 2020, a Mayo clinic Expert said N95 masks protect up to 0.1 microns. COVID-19 is 0.12 microns. The single use masks sold at stores, Amazon, etc? 0.3.
Unless it's N95, it is useless.</t>
  </si>
  <si>
    <t>HurricaneA</t>
  </si>
  <si>
    <t>08:20</t>
  </si>
  <si>
    <t>Mid Year Sales
ฟิลเล่อร์แท้ กับทีมแพทย์ผู้เชี่ยวชาญประสบการณ์กว่า10ปี  ที่นารดาคลินิก
9900-11900 บาทต่อหลอด..ด่วนๆๆ จำนวนจำกัดค่า^__^ 
..สลายฟิลเล่อร์ เริ่มต้น1000 บาท (กรณีฉีดhya แท้มา)
งานแก้ไขฉีดมาแล้วไม่สวย เป็นก้อน ไม่เรียบเนียล มากกว่า2 cc แก้ฟรีค่ะ
#แก้ไขริ้วรอยลึก 
#ปรับรูปหน้า 
#แก้แก้มตอบ 
#ใต้ตาลึก 
#ใต้ตาคล้ำ 
#คางไม่ได้รูป 
#ร่องมุมปาก 
#ริมฝีปากเป็นร่อง 
#ปากบาง
#งานเนี้ยบ #ปลอดภัย #ไม่เป็นก้อน #ไม่เป็นคลื่น #ไม่หนักหน้า ดูธรรมชาติ
..ของแท้ .. เชคตรวจสอบได้ทุกกล่องค่ะ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t>
  </si>
  <si>
    <t>Мед-Арт, медицинский центр</t>
  </si>
  <si>
    <t>Была здесь по квоте. По квоте запись дают в определенное и не очень удобное время (вечернего вообще нет). Ну ладно.
Понравился аппарат - он не как гроб, а открытый (стол и сверху крышка).
Запись снимков на диск стоит 200 рублей (для сравнения в МРТ эксперте 700 рублей).
Немного смутило отношение доктора, делавшего МРТ. Пригласил на процедуру кивком головы, был в обычной одежде (не форменной). Манера общения была как будто я попросила его об одолжении. Что-то как-то не шибко комфортно мне с ним было.
По результатам пока ничего не могу сказать, я их ещё даже не забрала.</t>
  </si>
  <si>
    <t>Иринка</t>
  </si>
  <si>
    <t>Хабаровский край</t>
  </si>
  <si>
    <t>Хабаровск</t>
  </si>
  <si>
    <t>07:28</t>
  </si>
  <si>
    <t>Клиника Эксперт Хабаровск</t>
  </si>
  <si>
    <t>Была здесь дважды по квоте, до этого ни разу МРТ не делала. 
В прошлом году МРТ необходимо было для направления в стационар ккб N 1. Позвонила по телефону записаться, договорились по времени на 13 часов (это прям точно, так как я с мужем параллельно советовалась, чтобы он меня отвёз и вместе это время выбрали), в итоге приехали, а мне сообщили, что запись стоит на 15 часов, раньше принять возможности нет, т.к. много народу. Устраивать разборки не стала, смысла в этом не увидела, но было неприятно. 
Далее мне сообщили, что снимки можно записать на диск, стоимость 700 рублей аж! 
Я отказалась, так как мне сказали, что основные проекции будут распечатаны. 
Сам аппарат МРТ оценить не могу, т.к.не разбираюсь, могу сказать, что он как гроб, то есть полностью закрытый, ощущения неприятные. Но недавно была в другой клинике, там аппарат открытый, только стол и сверху платформа, лежать там намного комфортнее.
В итоге с описанием и снимками легла в ккб (ревматология), где врачи и завоотделением (а потом и ревматолог в поликлинике) сказали, что снимки отвратительные, что по ним невозможно подтвердить или опровергнуть диагноз.
Я обратилась в конце 2019 года снова в мрт-эксперт, где потребовала переделать снимки. А они мне намекнули, что типа надо было на диск записывать,тогда не было бы проблем. Но новые снимки распечатали. 
В этом году пошла опять по квоте туда, процедуру делали в другом кабинете, там тоже гробовидный аппарат, ещё и со сломанной сигнальной грушей. Она мне не пригодилась, но сам факт....</t>
  </si>
  <si>
    <t>07:27</t>
  </si>
  <si>
    <t>МРТ: Рассеянный склероз - снова о теории мифологии. Часть 3</t>
  </si>
  <si>
    <t>Литература: «Демиелинизирующие заболевания ЦНС», «МРТ в диагностике демиелинизирующих заболеваний ЦНС», «Дифференциальный диагноз РС» МРТ-Эксперт 2011 – 2012г, «Критерии МРТ-диагностики рассеянного склероза» Пронин И.Н.
Однако теперь из глубокой виртуальности МРТ-шных теорий возвращаемся к нашей сугубой практике и начинаем дифференцировать, то есть поговорим собственно о дифф.диагностике. Получается, что в нашей клинической реальности, вы не только никогда не сможете поставить диагноз РС методом МРТ со 100% вероятностью, но и будете заниматься этой бесконечной дифф.диагностикой:
Лейкодистрофии и другие токсические и метаболические энцефалопатии
Ишемические повреждения.
Гипоксические энцефалопатии (ДЭП, б-нь Бинсвангера и др.).
Мигрень (очаги вследствие развития кризовой васкулопатии мелких артериол)
Лейкоэнцефалиты (цитомегаловирусный, герпесный
Аутоиммунные заболевания (СКВ, узелковый периартериит, васкулиты, нейросаркоидоз, гранулематоз)
Нейротравма: очаговые изменения, сходные с РС
Воздействие ионизирующей радиации
MTS.
Первичная или вторичная множественная лимфома ЦНС, некоторые паразитарные заболевания
Глиальная опухоль  
(Из той же литературы: «Демиелинизирующие заболевания ЦНС», МРТ-Эксперт 2013 г.)
Разумеется, дифф.диагностика РС необходима, строго говоря, с теми более редкими заболеваниями ЦНС, которые также протекают с первичной демиелинизацией – если это вообще возможно на данном этапе развития техники, не только теоретически, но и практически:
1. Оптикомиелит Дейвика
2. Концентрический склероз Бало
3. Болезнь Марбурга
4. Диффузный склероз (лейкоэнцефалит Шильдера)
5. Опухолеподобный РС
6. Воспалительная псевдотуморозная демиелинизация»
Так же разумеется, что диффдиагностику РС придётся проводить и со всеми заболеваниями с вторичной демиелинизацией и/или деструкцией:
1. Острый рассеянный энцефаломиелит (ОРЭМ)
2. Острый геморрагический лейкоэнцефалит
3. Подострый склерозирующий панэнцефалит (ПСП)
4. Прогрессирующий краснушный панэнцефалит (ПКП)
5. Прогрессирующая мультифокальная лейкоэнцефалопатия (ПМЛ)
6. Комплекс СПИД-деменция и ВИЧ-миелопатия»
(Из той же литературы: «Демиелинизирующие заболевания ЦНС», МРТ-Эксперт 2013 г.)
И так же точно придётся иметь ввиду, что даже при наиболее вероятном диагнозе РС и полном совпадении с клиникой (или, когда сам врач-оператор субъективно решит, что хватит уже этой дифф.диагностики), вы никогда не сможете учесть такие нестандартные факторы, как атипичные очаги демиелинизации:
1. Бляшки РС не всегда имеют типичные характеристики;
2. Возможно обширное диффузное поражение белого вещества с плохо различимыми границами;
3. Очаги больших размеров могут быть ошибочно расценены как опухоль;
4. Атипичные очаги могут вызывать масс-эффект;
5. Некоторые очаги могут быть подобны изменениям при других заболеваниях»
(Из той же литературы: «Демиелинизирующие заболевания ЦНС», МРТ-Эксперт 2013 г.)
Этот последний пункт мне и нравится больше всего: «могут быть подобны изменениям при других заболеваниях»... То есть на этом можно просто поставить точку и признать, что МР-диагностика демиелинизирующих заболеваний ЦНС на данный момент не только абсолютно несовершенна, но и неэффективна!
Ибо, создав огромное количество нозологических форм и критериев, и непрерывно «пересматривая» всё, что создано ранее, в реальности МРТ создаёт больше проблем для неврологов, чем любые другие методы диагностики. Как ни парадоксально это звучит, конечно. Потому что в реальности приходится задаваться весьма прозаическими вопросами, что и делают некоторые многоопытные врачи-клиницисты (только почему-то не сами врачи МРТ):
Действительно ли существует столько нозологий РС – или это разновидности одного и того же заболевания? Только с разной стадийностью и временем их протекания у разных людей?
Какой смысл в таком количестве разделений, если их лечение зачастую полностью совпадает, а подобная дифф.диагностика на аппаратуре среднего класса попросту невозможна – даже «с допустимой долей фантазии», как шутил мой учитель? Только чтобы потешить своё научное самолюбие?
Почему критерии диагностики РС пересматриваются уже в 4 –5ый раз с момента широкого внедрения МРТ, за прошедшие 30 лет? Значит ли это, что сам РС «мутирует» и прогрессирует, подобно вирусу ВИЧ? Или раньше всё диагностировали и лечили неправильно – но тогда где официальные признания в этом (как в истории с функциональными МРТ два года назад, данные которых могут быть признаны недостоверными за прошедшие 30 лет), чтобы не повторять впредь подобных ошибок?
Почему самих диагностов, по большей части, не смущают анекдотические нестыковки в одной и той же литературе: когда признаётся, что до 20--25% больных вообще не имеют морфологических изменений РС (как на аутопсии, так и на МР-картине); но в то же время нормальная МР-картина относится к официальным сомнениям в этом диагнозе? Ведь если логически предположить, априори, что авторы не страдают раздвоением личности, то подобные диагностические неувязки могут преследовать лишь одну цель: в лучшем случае – обеспечить себе дипломатическое отступление в случае неправильной диагностики. А в худшем – навялить этот диагноз клиницисту любой ценой, разумеется, за счёт тех «сомнительных» 25%, которые можно расценивать очень двояко – не ради сугубо научного интереса, а ради того лечения, которое всегда стоит немалых денег. То есть, лицемерие подобных «двойных» стандартов, как в реальной жизни, так и в медицине, равно как и интересы мировых фармкорпораций в подобных вопросах, особого сомнения не вызывают.
Судя по всему, именно ради этого превентивного лечения и были созданы такие промежуточные формы РС, как КИС – РИС – КДРС, в отношении которых в различной литературе нет даже общих подходов к классификации и лечению. Поскольку неясны самые главные статистические моменты: как именно эти формы переходят друг в друга, с какой вероятностью и частотой? И почему в одних странах есть превентивное лечение доклинических форм по стандарту ПИТРС, а в других, как в России например, оно отрицается? И если значение МРТ часто «переоценивается», как осторожно пишут в научной литературе, то несложно представить, что именно на упомянутых малых формах, где зачастую нет выраженной МР-картины, идёт основной разгул превентивной терапии и врачебной фантазии. И это невзирая на то, что побочные эффекты такого лечения могут быть тяжелее основного заболевания, что признаётся многими специалистами.
Когда клиника и МР-диагностика РС принципиально расходятся (а это отнюдь не редкая ситуация, как везде пишут), то зачем клиницисту идти на поводу у компьютерщиков? Чтобы, по сути, «приговорить» пациента и обречь его на неминуемую инвалидность? Притом, что минимум у четверти пациентов эти расхождения неминуемо будут – см. в прошлой статье: «кроме того, картина может быть нормальной у 25% больных РС с клинически подтверждённым диагнозом». Всё это уже впечатляет, правда?
Ведь критерии диагностики могут пересмотреть в любой момент, а вот избавиться от подобного диагноза будут весьма непросто. Я знаю о случае, когда одному пилоту поставили по МРТ кисту эпифиза, шишковидной железы: заключение-то само по себе не опаснее вросшего ногтя, столь же виртуальное, сколь и бессмысленное – но человеку почти испортили карьеру и личную жизнь... Это притом, что кистовидная перестройка и редукция шишковидной железы заканчиваются к позднему пубертатному возрасту, как хорошо известно, а потому писать взрослому человеку «киста эпифиза» не более осмысленно, чем рассуждать о погоде за окном в данный момент. Но, как известно, «данное заключение не является диагнозом» и т.д., а потому этот заключительный момент многое извиняет.
Продолжение следует....
А. Копёнкин, врач-маммолог-рентгенолог, заведующий рентгенслужбой Окружного гарнизонного госпиталя (г. Кострома) – филиал №3 ФГКУ «422 ВГ» Минобороны России</t>
  </si>
  <si>
    <t>07:23</t>
  </si>
  <si>
    <t>Эфир про здоровье груди
.
Завтра - ЧТ 9 июля в 17.00 поговорим с гинекологом клиники Эксперт @gynecologistperm_peshina о мастопатии и других заболеваниях молочных желёз 
.
Разберемся, кто лечит, гинеколог или онколог? 
Нужно ли лечить мастопатию? Какая диагностика и профилактика.
.
Присылайте вопросы в директ, обязательно ответим на них завтра в эфире
#гинекологпермь #каклечитьмастопатию #мастопатия #мастопатиялечение  #женскоездоровьепермь #женскоездоровье #клиникаэксперт #клиникаэкспертпермь
Фото из хроники
Эфир про здоровье груди
.
Завтра - ЧТ 9 июля в 17.00 поговорим с гинекологом клиники Эксперт @gynecologistperm_peshina о мастопатии и других заболеваниях молочных желёз 
.
Разберемся, кто лечит, гинеколог или онколог? 
Нужно ли лечить мастопатию? Какая диагностика и профилактика.
.
Присылайте вопросы в директ, обязательно ответим на них завтра в эфире
#гинекологпермь #каклечитьмастопатию #мастопатия #мастопатиялечение  #женскоездоровьепермь #женскоездоровье #клиникаэксперт #клиникаэкспертпермь
https://www.facebook.com/clinic.expert.perm/photos/a.113842256786001/171732137663679/?type=3</t>
  </si>
  <si>
    <t>#เคยมั้ยใช้อะไรก็ไม่ดีขึ้น
#รักษามากี่ปีก็ไม่เคยหาย
#อวสานหน้าสิว!!!!!!
.
.
"เมื่อก่อนเป็นสิวหนักมากเลยค่ะ
เพราะว่าไปใช้ครีมหน้าใสที่มีสารเคมีรุนแรง
ทำให้หน้าพัง แล้วรู้สึกเครียดมากเลยค่ะ"
                       (น้องชาช่า)
.
.
ด้วยโปรแกรมรักษาสิวแบบบูรณาการ
ผสมผสานกับเทคโนโลยีทีทันสมัย
พร้อมทั้งการดูแลเอาใจใส่จากทีมแพทย์
และหัวใจที่พร้อมให้บริการจากพนักงาน
ทำให้เกิดผลลัพธ์ที่แตกต่างอย่างชัดเจนค่ะ
.
.
"วันนี้สิวหายแล้ว หน้าใสขึ้น
ต้องขอขอบคุณนารดาคลินิกนะคะ
ที่เปลี่ยนหน้าสิวของหนู ให้กลับมาดีขึ้น
กลับมาใสอีกครั้ง"
#สิวบุกหน้าหนักแค่ไหนไว้ใจให้นารดาดูแลคุณ
#พร้อมให้คำปรึกษาก่อนและหลังรักษา
===================================
Narada Clinic : Expert Beauty Center 
นารดาคลินิก ศูนย์ความเป็นเลิศด้านความงามภาคเหนือ 
Call center : 053-215447 
Line: @naradaclinic(อย่าลืมใส่@ด้วยนะคะ) 
Website: www.naradaclinic.com 
IG:naradaclinic 
Youtube:Narada clinic Channel
รักษาสิว |ชาช่า
https://www.facebook.com/NaradaTeam/videos/626322414648293/</t>
  </si>
  <si>
    <t>04:11</t>
  </si>
  <si>
    <t>Masks are the TSA of health initiatives. Security theater. #COVIDー19  https://sys.4chan.org/derefer?url=https://newsnetwork.mayoclinic.org/discussion/covid-19-mayo-clinic-expert-answers-questions-about-masks-after-cdc-updates-its-recommendation/</t>
  </si>
  <si>
    <t>William Leib II</t>
  </si>
  <si>
    <t>Корпус-Кристи</t>
  </si>
  <si>
    <t>02:42</t>
  </si>
  <si>
    <t>Transfer Service at Clinic Expert</t>
  </si>
  <si>
    <t>Transfer Service at Clinic Expert
ClinicExpert Transfer Services
Life is back to normal again, and we are now welcoming our patients visiting from all over the world. With extreme caution, we took the necessary protection measurements, for your safety and ours.
We pick you up from the airport and provide a medical protection kit for personal use. Because health is our top priority.</t>
  </si>
  <si>
    <t>02:38</t>
  </si>
  <si>
    <t>Service de Transfert chez Clinic Expert</t>
  </si>
  <si>
    <t>Service de Transfert chez Clinic Expert
Service de transfert ClinicExpert
La vie est redevenue normale et nous accueillons maintenant nos patients venant du monde entier. Avec une extrême prudence, nous avons pris les mesures de protection nécessaires, pour votre sécurité et la nôtre.
Nous venons vous chercher à l'aéroport et vous fournissons un kit de protection médicale à usage personnel. Parce que la santé est notre priorité absolue.
https://www.clinicexpert.com/eng/</t>
  </si>
  <si>
    <t>@Only1Tabatha @CanAditude No offense to Dr. Graham, but:
https://newsnetwork.mayoclinic.org/discussion/covid-19-mayo-clinic-expert-answers-questions-about-masks-after-cdc-updates-its-recommendation/</t>
  </si>
  <si>
    <t>Happy Agnostic</t>
  </si>
  <si>
    <t>University City</t>
  </si>
  <si>
    <t>date</t>
  </si>
  <si>
    <t>time</t>
  </si>
  <si>
    <t>saved</t>
  </si>
  <si>
    <t>head</t>
  </si>
  <si>
    <t>body</t>
  </si>
  <si>
    <t>type</t>
  </si>
  <si>
    <t>tone</t>
  </si>
  <si>
    <t>author</t>
  </si>
  <si>
    <t>profile</t>
  </si>
  <si>
    <t>followers</t>
  </si>
  <si>
    <t>demo</t>
  </si>
  <si>
    <t>age</t>
  </si>
  <si>
    <t>source</t>
  </si>
  <si>
    <t>source_name</t>
  </si>
  <si>
    <t>source_profile</t>
  </si>
  <si>
    <t>source_followers</t>
  </si>
  <si>
    <t>source_type</t>
  </si>
  <si>
    <t>country</t>
  </si>
  <si>
    <t>region</t>
  </si>
  <si>
    <t>city</t>
  </si>
  <si>
    <t>notes</t>
  </si>
  <si>
    <t>total_reaction</t>
  </si>
  <si>
    <t>like</t>
  </si>
  <si>
    <t>comments</t>
  </si>
  <si>
    <t>repost</t>
  </si>
  <si>
    <t>view</t>
  </si>
  <si>
    <t>rating</t>
  </si>
  <si>
    <t>image_URL</t>
  </si>
  <si>
    <t>given</t>
  </si>
  <si>
    <t>proceed</t>
  </si>
  <si>
    <t>Тема 1</t>
  </si>
  <si>
    <t>Тема 2</t>
  </si>
  <si>
    <t>Тема 3</t>
  </si>
  <si>
    <t>Тема 4</t>
  </si>
  <si>
    <t>Тема 5</t>
  </si>
  <si>
    <t>Тема 6</t>
  </si>
  <si>
    <t>Тема 7</t>
  </si>
  <si>
    <t>Тема 8</t>
  </si>
  <si>
    <t>Тема 9</t>
  </si>
  <si>
    <t>Тема 10</t>
  </si>
  <si>
    <t>Тема 11</t>
  </si>
  <si>
    <t>Тема 12</t>
  </si>
  <si>
    <t>Тема 13</t>
  </si>
  <si>
    <t>Тема 14</t>
  </si>
  <si>
    <t>Тема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</si>
</sst>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298"/>
  <sheetViews>
    <sheetView tabSelected="1" topLeftCell="AH1" workbookViewId="0">
      <selection activeCell="AZ1" sqref="AZ1:AZ1048576"/>
    </sheetView>
  </sheetViews>
  <sheetFormatPr defaultRowHeight="15" x14ac:dyDescent="0.25"/>
  <cols>
    <col min="38" max="52" width="5.5703125" customWidth="1"/>
  </cols>
  <sheetData>
    <row r="1" spans="1:52" x14ac:dyDescent="0.25">
      <c r="A1" t="s">
        <v>3207</v>
      </c>
      <c r="B1" t="s">
        <v>3208</v>
      </c>
      <c r="C1" t="s">
        <v>3209</v>
      </c>
      <c r="D1" t="s">
        <v>3210</v>
      </c>
      <c r="E1" t="s">
        <v>3211</v>
      </c>
      <c r="F1" t="s">
        <v>3212</v>
      </c>
      <c r="G1" t="s">
        <v>0</v>
      </c>
      <c r="H1" t="s">
        <v>3213</v>
      </c>
      <c r="I1" t="s">
        <v>3214</v>
      </c>
      <c r="J1" t="s">
        <v>3215</v>
      </c>
      <c r="K1" t="s">
        <v>3216</v>
      </c>
      <c r="L1" t="s">
        <v>3217</v>
      </c>
      <c r="M1" t="s">
        <v>3218</v>
      </c>
      <c r="N1" t="s">
        <v>3219</v>
      </c>
      <c r="O1" t="s">
        <v>3220</v>
      </c>
      <c r="P1" t="s">
        <v>3221</v>
      </c>
      <c r="Q1" t="s">
        <v>3222</v>
      </c>
      <c r="R1" t="s">
        <v>3223</v>
      </c>
      <c r="S1" t="s">
        <v>3224</v>
      </c>
      <c r="T1" t="s">
        <v>3225</v>
      </c>
      <c r="U1" t="s">
        <v>3226</v>
      </c>
      <c r="V1" t="s">
        <v>3227</v>
      </c>
      <c r="W1" t="s">
        <v>3228</v>
      </c>
      <c r="X1" t="s">
        <v>3229</v>
      </c>
      <c r="Y1" t="s">
        <v>1</v>
      </c>
      <c r="Z1" t="s">
        <v>2</v>
      </c>
      <c r="AA1" t="s">
        <v>3</v>
      </c>
      <c r="AB1" t="s">
        <v>4</v>
      </c>
      <c r="AC1" t="s">
        <v>5</v>
      </c>
      <c r="AD1" t="s">
        <v>6</v>
      </c>
      <c r="AE1" t="s">
        <v>3230</v>
      </c>
      <c r="AF1" t="s">
        <v>3231</v>
      </c>
      <c r="AG1" t="s">
        <v>3232</v>
      </c>
      <c r="AH1" t="s">
        <v>3233</v>
      </c>
      <c r="AI1" t="s">
        <v>3234</v>
      </c>
      <c r="AJ1" t="s">
        <v>3235</v>
      </c>
      <c r="AK1" t="s">
        <v>3236</v>
      </c>
      <c r="AL1" t="s">
        <v>3237</v>
      </c>
      <c r="AM1" t="s">
        <v>3238</v>
      </c>
      <c r="AN1" t="s">
        <v>3239</v>
      </c>
      <c r="AO1" t="s">
        <v>3240</v>
      </c>
      <c r="AP1" t="s">
        <v>3241</v>
      </c>
      <c r="AQ1" t="s">
        <v>3242</v>
      </c>
      <c r="AR1" t="s">
        <v>3243</v>
      </c>
      <c r="AS1" t="s">
        <v>3244</v>
      </c>
      <c r="AT1" t="s">
        <v>3245</v>
      </c>
      <c r="AU1" t="s">
        <v>3237</v>
      </c>
      <c r="AV1" t="s">
        <v>3247</v>
      </c>
      <c r="AW1" t="s">
        <v>3248</v>
      </c>
      <c r="AX1" t="s">
        <v>3249</v>
      </c>
      <c r="AY1" t="s">
        <v>3250</v>
      </c>
      <c r="AZ1" t="s">
        <v>3251</v>
      </c>
    </row>
    <row r="2" spans="1:52" x14ac:dyDescent="0.25">
      <c r="A2" t="s">
        <v>1017</v>
      </c>
      <c r="B2" t="s">
        <v>1039</v>
      </c>
      <c r="C2" t="s">
        <v>984</v>
      </c>
      <c r="D2" t="s">
        <v>1040</v>
      </c>
      <c r="E2" t="s">
        <v>1037</v>
      </c>
      <c r="F2" t="s">
        <v>45</v>
      </c>
      <c r="G2" t="str">
        <f>HYPERLINK("https://ok.ru/group/53690762395655/topic/151833093573383")</f>
        <v>https://ok.ru/group/53690762395655/topic/151833093573383</v>
      </c>
      <c r="H2" t="s">
        <v>885</v>
      </c>
      <c r="I2" t="s">
        <v>1041</v>
      </c>
      <c r="J2" t="str">
        <f>HYPERLINK("https://ok.ru/group/53690762395655")</f>
        <v>https://ok.ru/group/53690762395655</v>
      </c>
      <c r="K2">
        <v>9445</v>
      </c>
      <c r="L2" t="s">
        <v>28</v>
      </c>
      <c r="N2" t="s">
        <v>135</v>
      </c>
      <c r="O2" t="s">
        <v>1041</v>
      </c>
      <c r="P2" t="str">
        <f>HYPERLINK("https://ok.ru/group/53690762395655")</f>
        <v>https://ok.ru/group/53690762395655</v>
      </c>
      <c r="Q2">
        <v>9445</v>
      </c>
      <c r="R2" t="s">
        <v>17</v>
      </c>
      <c r="S2" t="s">
        <v>18</v>
      </c>
      <c r="T2" t="s">
        <v>617</v>
      </c>
      <c r="U2" t="s">
        <v>1034</v>
      </c>
      <c r="W2">
        <v>1</v>
      </c>
      <c r="X2">
        <v>1</v>
      </c>
      <c r="Y2">
        <v>0</v>
      </c>
      <c r="Z2">
        <v>0</v>
      </c>
      <c r="AA2">
        <v>0</v>
      </c>
      <c r="AB2">
        <v>0</v>
      </c>
      <c r="AE2">
        <v>0</v>
      </c>
      <c r="AF2">
        <v>2</v>
      </c>
      <c r="AI2" t="str">
        <f>HYPERLINK("https://i.mycdn.me/image?id=907987979314&amp;t=20&amp;plc=API&amp;aid=1131601408&amp;tkn=*e6AoDESb9K8rme_bYdE41S9th1E")</f>
        <v>https://i.mycdn.me/image?id=907987979314&amp;t=20&amp;plc=API&amp;aid=1131601408&amp;tkn=*e6AoDESb9K8rme_bYdE41S9th1E</v>
      </c>
      <c r="AJ2" t="s">
        <v>10</v>
      </c>
      <c r="AK2" t="s">
        <v>21</v>
      </c>
      <c r="AM2" t="s">
        <v>3238</v>
      </c>
      <c r="AP2" t="s">
        <v>3241</v>
      </c>
      <c r="AQ2" t="s">
        <v>3242</v>
      </c>
      <c r="AR2" t="s">
        <v>3243</v>
      </c>
      <c r="AS2" t="s">
        <v>3244</v>
      </c>
      <c r="AW2" t="s">
        <v>3248</v>
      </c>
      <c r="AX2" t="s">
        <v>3249</v>
      </c>
      <c r="AY2" t="s">
        <v>3250</v>
      </c>
    </row>
    <row r="3" spans="1:52" x14ac:dyDescent="0.25">
      <c r="A3" t="s">
        <v>772</v>
      </c>
      <c r="B3" t="s">
        <v>519</v>
      </c>
      <c r="C3" t="s">
        <v>883</v>
      </c>
      <c r="D3" t="s">
        <v>24</v>
      </c>
      <c r="E3" t="s">
        <v>884</v>
      </c>
      <c r="F3" t="s">
        <v>26</v>
      </c>
      <c r="G3" t="str">
        <f>HYPERLINK("https://vk.com/wall-197114981_31?reply=1129&amp;thread=1128")</f>
        <v>https://vk.com/wall-197114981_31?reply=1129&amp;thread=1128</v>
      </c>
      <c r="H3" t="s">
        <v>885</v>
      </c>
      <c r="I3" t="s">
        <v>27</v>
      </c>
      <c r="J3" t="str">
        <f>HYPERLINK("http://vk.com/club197114981")</f>
        <v>http://vk.com/club197114981</v>
      </c>
      <c r="K3">
        <v>38</v>
      </c>
      <c r="L3" t="s">
        <v>28</v>
      </c>
      <c r="N3" t="s">
        <v>16</v>
      </c>
      <c r="O3" t="s">
        <v>27</v>
      </c>
      <c r="P3" t="str">
        <f>HYPERLINK("http://vk.com/club197114981")</f>
        <v>http://vk.com/club197114981</v>
      </c>
      <c r="Q3">
        <v>38</v>
      </c>
      <c r="R3" t="s">
        <v>17</v>
      </c>
      <c r="AJ3" t="s">
        <v>10</v>
      </c>
      <c r="AK3" t="s">
        <v>21</v>
      </c>
      <c r="AN3" t="s">
        <v>3239</v>
      </c>
      <c r="AU3" t="s">
        <v>3246</v>
      </c>
    </row>
    <row r="4" spans="1:52" x14ac:dyDescent="0.25">
      <c r="A4" t="s">
        <v>2684</v>
      </c>
      <c r="B4" t="s">
        <v>2698</v>
      </c>
      <c r="C4" t="s">
        <v>968</v>
      </c>
      <c r="D4" t="s">
        <v>10</v>
      </c>
      <c r="E4" t="s">
        <v>2688</v>
      </c>
      <c r="F4" t="s">
        <v>12</v>
      </c>
      <c r="G4" t="str">
        <f>HYPERLINK("https://www.facebook.com/armine.sargsyan.94/posts/3120466084685212")</f>
        <v>https://www.facebook.com/armine.sargsyan.94/posts/3120466084685212</v>
      </c>
      <c r="H4" t="s">
        <v>885</v>
      </c>
      <c r="I4" t="s">
        <v>2699</v>
      </c>
      <c r="J4" t="str">
        <f>HYPERLINK("https://www.facebook.com/100001655521128")</f>
        <v>https://www.facebook.com/100001655521128</v>
      </c>
      <c r="K4">
        <v>883</v>
      </c>
      <c r="L4" t="s">
        <v>80</v>
      </c>
      <c r="N4" t="s">
        <v>179</v>
      </c>
      <c r="O4" t="s">
        <v>2699</v>
      </c>
      <c r="P4" t="str">
        <f>HYPERLINK("https://www.facebook.com/100001655521128")</f>
        <v>https://www.facebook.com/100001655521128</v>
      </c>
      <c r="Q4">
        <v>883</v>
      </c>
      <c r="R4" t="s">
        <v>17</v>
      </c>
      <c r="S4" t="s">
        <v>2690</v>
      </c>
      <c r="T4" t="s">
        <v>2700</v>
      </c>
      <c r="U4" t="s">
        <v>2700</v>
      </c>
      <c r="W4">
        <v>4</v>
      </c>
      <c r="X4">
        <v>4</v>
      </c>
      <c r="Y4">
        <v>0</v>
      </c>
      <c r="Z4">
        <v>0</v>
      </c>
      <c r="AA4">
        <v>0</v>
      </c>
      <c r="AB4">
        <v>0</v>
      </c>
      <c r="AC4">
        <v>0</v>
      </c>
      <c r="AE4">
        <v>0</v>
      </c>
      <c r="AI4" t="str">
        <f>HYPERLINK("https://scontent-hel2-1.xx.fbcdn.net/v/t15.13418-10/107718255_3109660389083815_8825691245568026571_n.jpg?_nc_cat=108&amp;_nc_sid=ad6a45&amp;_nc_ohc=fyWVkB1ebcUAX__E7U2&amp;_nc_ht=scontent-hel2-1.xx&amp;oh=cbdc3bd8201cc34034292451087e7da5&amp;oe=5F34D9DA")</f>
        <v>https://scontent-hel2-1.xx.fbcdn.net/v/t15.13418-10/107718255_3109660389083815_8825691245568026571_n.jpg?_nc_cat=108&amp;_nc_sid=ad6a45&amp;_nc_ohc=fyWVkB1ebcUAX__E7U2&amp;_nc_ht=scontent-hel2-1.xx&amp;oh=cbdc3bd8201cc34034292451087e7da5&amp;oe=5F34D9DA</v>
      </c>
      <c r="AJ4" t="s">
        <v>10</v>
      </c>
      <c r="AK4" t="s">
        <v>21</v>
      </c>
    </row>
    <row r="5" spans="1:52" x14ac:dyDescent="0.25">
      <c r="A5" t="s">
        <v>1017</v>
      </c>
      <c r="B5" t="s">
        <v>1102</v>
      </c>
      <c r="C5" t="s">
        <v>984</v>
      </c>
      <c r="D5" t="s">
        <v>1103</v>
      </c>
      <c r="E5" t="s">
        <v>1104</v>
      </c>
      <c r="F5" t="s">
        <v>45</v>
      </c>
      <c r="G5" t="str">
        <f>HYPERLINK("https://www.youtube.com/watch?v=Zg3mOlArlFw")</f>
        <v>https://www.youtube.com/watch?v=Zg3mOlArlFw</v>
      </c>
      <c r="H5" t="s">
        <v>885</v>
      </c>
      <c r="I5" t="s">
        <v>1105</v>
      </c>
      <c r="J5" t="str">
        <f>HYPERLINK("https://www.youtube.com/channel/UCF9TCvVRiJ1M_zGUP0R0FqA")</f>
        <v>https://www.youtube.com/channel/UCF9TCvVRiJ1M_zGUP0R0FqA</v>
      </c>
      <c r="K5">
        <v>295</v>
      </c>
      <c r="N5" t="s">
        <v>162</v>
      </c>
      <c r="O5" t="s">
        <v>1105</v>
      </c>
      <c r="P5" t="str">
        <f>HYPERLINK("https://www.youtube.com/channel/UCF9TCvVRiJ1M_zGUP0R0FqA")</f>
        <v>https://www.youtube.com/channel/UCF9TCvVRiJ1M_zGUP0R0FqA</v>
      </c>
      <c r="Q5">
        <v>295</v>
      </c>
      <c r="R5" t="s">
        <v>17</v>
      </c>
      <c r="S5" t="s">
        <v>18</v>
      </c>
      <c r="W5">
        <v>6</v>
      </c>
      <c r="X5">
        <v>6</v>
      </c>
      <c r="AD5">
        <v>1</v>
      </c>
      <c r="AE5">
        <v>0</v>
      </c>
      <c r="AG5">
        <v>44</v>
      </c>
      <c r="AI5" t="str">
        <f>HYPERLINK("https://i.ytimg.com/vi/Zg3mOlArlFw/maxresdefault.jpg")</f>
        <v>https://i.ytimg.com/vi/Zg3mOlArlFw/maxresdefault.jpg</v>
      </c>
      <c r="AJ5" t="s">
        <v>10</v>
      </c>
      <c r="AK5" t="s">
        <v>21</v>
      </c>
      <c r="AP5" t="s">
        <v>3241</v>
      </c>
      <c r="AQ5" t="s">
        <v>3242</v>
      </c>
      <c r="AS5" t="s">
        <v>3244</v>
      </c>
      <c r="AT5" t="s">
        <v>3245</v>
      </c>
      <c r="AU5" t="s">
        <v>3246</v>
      </c>
      <c r="AV5" t="s">
        <v>3247</v>
      </c>
      <c r="AZ5" t="s">
        <v>3251</v>
      </c>
    </row>
    <row r="6" spans="1:52" x14ac:dyDescent="0.25">
      <c r="A6" t="s">
        <v>2915</v>
      </c>
      <c r="B6" t="s">
        <v>2135</v>
      </c>
      <c r="C6" t="s">
        <v>968</v>
      </c>
      <c r="D6" t="s">
        <v>10</v>
      </c>
      <c r="E6" t="s">
        <v>1948</v>
      </c>
      <c r="F6" t="s">
        <v>45</v>
      </c>
      <c r="G6" t="str">
        <f>HYPERLINK("https://vk.com/wall-158633337_919")</f>
        <v>https://vk.com/wall-158633337_919</v>
      </c>
      <c r="H6" t="s">
        <v>889</v>
      </c>
      <c r="I6" t="s">
        <v>125</v>
      </c>
      <c r="J6" t="str">
        <f>HYPERLINK("http://vk.com/club158633337")</f>
        <v>http://vk.com/club158633337</v>
      </c>
      <c r="K6">
        <v>4852</v>
      </c>
      <c r="L6" t="s">
        <v>28</v>
      </c>
      <c r="N6" t="s">
        <v>16</v>
      </c>
      <c r="O6" t="s">
        <v>125</v>
      </c>
      <c r="P6" t="str">
        <f>HYPERLINK("http://vk.com/club158633337")</f>
        <v>http://vk.com/club158633337</v>
      </c>
      <c r="Q6">
        <v>4852</v>
      </c>
      <c r="R6" t="s">
        <v>17</v>
      </c>
      <c r="S6" t="s">
        <v>18</v>
      </c>
      <c r="T6" t="s">
        <v>126</v>
      </c>
      <c r="U6" t="s">
        <v>127</v>
      </c>
      <c r="W6">
        <v>0</v>
      </c>
      <c r="X6">
        <v>0</v>
      </c>
      <c r="AE6">
        <v>0</v>
      </c>
      <c r="AF6">
        <v>0</v>
      </c>
      <c r="AG6">
        <v>104</v>
      </c>
      <c r="AI6" t="str">
        <f>HYPERLINK("https://sun1-26.userapi.com/yMGuTIeCdpv9fT7_A9Inyqx6HE6n9jy7yqwE_w/MExu17Xz1OQ.jpg")</f>
        <v>https://sun1-26.userapi.com/yMGuTIeCdpv9fT7_A9Inyqx6HE6n9jy7yqwE_w/MExu17Xz1OQ.jpg</v>
      </c>
      <c r="AJ6" t="s">
        <v>10</v>
      </c>
      <c r="AK6" t="s">
        <v>21</v>
      </c>
      <c r="AP6" t="s">
        <v>3241</v>
      </c>
      <c r="AQ6" t="s">
        <v>3242</v>
      </c>
      <c r="AR6" t="s">
        <v>3243</v>
      </c>
      <c r="AT6" t="s">
        <v>3245</v>
      </c>
    </row>
    <row r="7" spans="1:52" x14ac:dyDescent="0.25">
      <c r="A7" t="s">
        <v>1158</v>
      </c>
      <c r="B7" t="s">
        <v>1186</v>
      </c>
      <c r="C7" t="s">
        <v>984</v>
      </c>
      <c r="D7" t="s">
        <v>10</v>
      </c>
      <c r="E7" t="s">
        <v>1187</v>
      </c>
      <c r="F7" t="s">
        <v>12</v>
      </c>
      <c r="G7" t="str">
        <f>HYPERLINK("https://vk.com/wall17159549_1388")</f>
        <v>https://vk.com/wall17159549_1388</v>
      </c>
      <c r="H7" t="s">
        <v>885</v>
      </c>
      <c r="I7" t="s">
        <v>1188</v>
      </c>
      <c r="J7" t="str">
        <f>HYPERLINK("http://vk.com/id17159549")</f>
        <v>http://vk.com/id17159549</v>
      </c>
      <c r="K7">
        <v>1263</v>
      </c>
      <c r="L7" t="s">
        <v>80</v>
      </c>
      <c r="M7">
        <v>41</v>
      </c>
      <c r="N7" t="s">
        <v>16</v>
      </c>
      <c r="O7" t="s">
        <v>1188</v>
      </c>
      <c r="P7" t="str">
        <f>HYPERLINK("http://vk.com/id17159549")</f>
        <v>http://vk.com/id17159549</v>
      </c>
      <c r="Q7">
        <v>1263</v>
      </c>
      <c r="R7" t="s">
        <v>17</v>
      </c>
      <c r="S7" t="s">
        <v>18</v>
      </c>
      <c r="T7" t="s">
        <v>189</v>
      </c>
      <c r="U7" t="s">
        <v>190</v>
      </c>
      <c r="W7">
        <v>1</v>
      </c>
      <c r="X7">
        <v>1</v>
      </c>
      <c r="AE7">
        <v>0</v>
      </c>
      <c r="AF7">
        <v>0</v>
      </c>
      <c r="AG7">
        <v>19</v>
      </c>
      <c r="AI7" t="str">
        <f>HYPERLINK("https://sun9-59.userapi.com/uX5b8AJVTQEdt-ZjcRLYbWKwiBEJF8QOTzaOqQ/TeKaxOYNfxE.jpg")</f>
        <v>https://sun9-59.userapi.com/uX5b8AJVTQEdt-ZjcRLYbWKwiBEJF8QOTzaOqQ/TeKaxOYNfxE.jpg</v>
      </c>
      <c r="AJ7" t="s">
        <v>10</v>
      </c>
      <c r="AK7" t="s">
        <v>21</v>
      </c>
      <c r="AO7" t="s">
        <v>3240</v>
      </c>
      <c r="AP7" t="s">
        <v>3241</v>
      </c>
      <c r="AQ7" t="s">
        <v>3242</v>
      </c>
      <c r="AR7" t="s">
        <v>3243</v>
      </c>
    </row>
    <row r="8" spans="1:52" x14ac:dyDescent="0.25">
      <c r="A8" t="s">
        <v>1982</v>
      </c>
      <c r="B8" t="s">
        <v>1324</v>
      </c>
      <c r="C8" t="s">
        <v>968</v>
      </c>
      <c r="D8" t="s">
        <v>1959</v>
      </c>
      <c r="E8" t="s">
        <v>2024</v>
      </c>
      <c r="F8" t="s">
        <v>26</v>
      </c>
      <c r="G8" t="str">
        <f>HYPERLINK("https://www.facebook.com/permalink.php?story_fbid=2626249161024079&amp;id=100009170625998&amp;comment_id=2626620777653584&amp;reply_comment_id=2627327317582930")</f>
        <v>https://www.facebook.com/permalink.php?story_fbid=2626249161024079&amp;id=100009170625998&amp;comment_id=2626620777653584&amp;reply_comment_id=2627327317582930</v>
      </c>
      <c r="H8" t="s">
        <v>885</v>
      </c>
      <c r="I8" t="s">
        <v>1961</v>
      </c>
      <c r="J8" t="str">
        <f>HYPERLINK("https://www.facebook.com/100009170625998")</f>
        <v>https://www.facebook.com/100009170625998</v>
      </c>
      <c r="K8">
        <v>759</v>
      </c>
      <c r="L8" t="s">
        <v>80</v>
      </c>
      <c r="N8" t="s">
        <v>179</v>
      </c>
      <c r="O8" t="s">
        <v>1961</v>
      </c>
      <c r="P8" t="str">
        <f>HYPERLINK("https://www.facebook.com/100009170625998")</f>
        <v>https://www.facebook.com/100009170625998</v>
      </c>
      <c r="Q8">
        <v>759</v>
      </c>
      <c r="R8" t="s">
        <v>17</v>
      </c>
      <c r="S8" t="s">
        <v>18</v>
      </c>
      <c r="T8" t="s">
        <v>354</v>
      </c>
      <c r="U8" t="s">
        <v>354</v>
      </c>
      <c r="AJ8" t="s">
        <v>10</v>
      </c>
      <c r="AK8" t="s">
        <v>21</v>
      </c>
      <c r="AO8" t="s">
        <v>3240</v>
      </c>
      <c r="AP8" t="s">
        <v>3241</v>
      </c>
      <c r="AQ8" t="s">
        <v>3242</v>
      </c>
      <c r="AR8" t="s">
        <v>3243</v>
      </c>
      <c r="AS8" t="s">
        <v>3244</v>
      </c>
    </row>
    <row r="9" spans="1:52" x14ac:dyDescent="0.25">
      <c r="A9" t="s">
        <v>7</v>
      </c>
      <c r="B9" t="s">
        <v>363</v>
      </c>
      <c r="C9" t="s">
        <v>364</v>
      </c>
      <c r="D9" t="s">
        <v>24</v>
      </c>
      <c r="E9" t="s">
        <v>365</v>
      </c>
      <c r="F9" t="s">
        <v>26</v>
      </c>
      <c r="G9" t="str">
        <f>HYPERLINK("https://vk.com/wall-197114981_31?reply=1313&amp;thread=1311")</f>
        <v>https://vk.com/wall-197114981_31?reply=1313&amp;thread=1311</v>
      </c>
      <c r="H9" t="s">
        <v>13</v>
      </c>
      <c r="I9" t="s">
        <v>366</v>
      </c>
      <c r="J9" t="str">
        <f>HYPERLINK("http://vk.com/id365459183")</f>
        <v>http://vk.com/id365459183</v>
      </c>
      <c r="K9">
        <v>334</v>
      </c>
      <c r="L9" t="s">
        <v>80</v>
      </c>
      <c r="N9" t="s">
        <v>16</v>
      </c>
      <c r="O9" t="s">
        <v>27</v>
      </c>
      <c r="P9" t="str">
        <f>HYPERLINK("http://vk.com/club197114981")</f>
        <v>http://vk.com/club197114981</v>
      </c>
      <c r="Q9">
        <v>38</v>
      </c>
      <c r="R9" t="s">
        <v>17</v>
      </c>
      <c r="S9" t="s">
        <v>18</v>
      </c>
      <c r="AJ9" t="s">
        <v>10</v>
      </c>
      <c r="AK9" t="s">
        <v>21</v>
      </c>
      <c r="AO9" t="s">
        <v>3240</v>
      </c>
      <c r="AP9" t="s">
        <v>3241</v>
      </c>
      <c r="AR9" t="s">
        <v>3243</v>
      </c>
      <c r="AS9" t="s">
        <v>3244</v>
      </c>
    </row>
    <row r="10" spans="1:52" x14ac:dyDescent="0.25">
      <c r="A10" t="s">
        <v>772</v>
      </c>
      <c r="B10" t="s">
        <v>841</v>
      </c>
      <c r="C10" t="s">
        <v>842</v>
      </c>
      <c r="D10" t="s">
        <v>24</v>
      </c>
      <c r="E10" t="s">
        <v>494</v>
      </c>
      <c r="F10" t="s">
        <v>26</v>
      </c>
      <c r="G10" t="str">
        <f>HYPERLINK("https://vk.com/wall-197114981_31?reply=1138&amp;thread=1135")</f>
        <v>https://vk.com/wall-197114981_31?reply=1138&amp;thread=1135</v>
      </c>
      <c r="H10" t="s">
        <v>13</v>
      </c>
      <c r="I10" t="s">
        <v>27</v>
      </c>
      <c r="J10" t="str">
        <f>HYPERLINK("http://vk.com/club197114981")</f>
        <v>http://vk.com/club197114981</v>
      </c>
      <c r="K10">
        <v>38</v>
      </c>
      <c r="L10" t="s">
        <v>28</v>
      </c>
      <c r="N10" t="s">
        <v>16</v>
      </c>
      <c r="O10" t="s">
        <v>27</v>
      </c>
      <c r="P10" t="str">
        <f>HYPERLINK("http://vk.com/club197114981")</f>
        <v>http://vk.com/club197114981</v>
      </c>
      <c r="Q10">
        <v>38</v>
      </c>
      <c r="R10" t="s">
        <v>17</v>
      </c>
      <c r="AJ10" t="s">
        <v>10</v>
      </c>
      <c r="AK10" t="s">
        <v>21</v>
      </c>
      <c r="AO10" t="s">
        <v>3240</v>
      </c>
      <c r="AR10" t="s">
        <v>3243</v>
      </c>
      <c r="AS10" t="s">
        <v>3244</v>
      </c>
    </row>
    <row r="11" spans="1:52" x14ac:dyDescent="0.25">
      <c r="A11" t="s">
        <v>414</v>
      </c>
      <c r="B11" t="s">
        <v>243</v>
      </c>
      <c r="C11" t="s">
        <v>699</v>
      </c>
      <c r="D11" t="s">
        <v>24</v>
      </c>
      <c r="E11" t="s">
        <v>700</v>
      </c>
      <c r="F11" t="s">
        <v>26</v>
      </c>
      <c r="G11" t="str">
        <f>HYPERLINK("https://vk.com/wall-197114981_31?reply=1188&amp;thread=1187")</f>
        <v>https://vk.com/wall-197114981_31?reply=1188&amp;thread=1187</v>
      </c>
      <c r="H11" t="s">
        <v>13</v>
      </c>
      <c r="I11" t="s">
        <v>27</v>
      </c>
      <c r="J11" t="str">
        <f>HYPERLINK("http://vk.com/club197114981")</f>
        <v>http://vk.com/club197114981</v>
      </c>
      <c r="K11">
        <v>38</v>
      </c>
      <c r="L11" t="s">
        <v>28</v>
      </c>
      <c r="N11" t="s">
        <v>16</v>
      </c>
      <c r="O11" t="s">
        <v>27</v>
      </c>
      <c r="P11" t="str">
        <f>HYPERLINK("http://vk.com/club197114981")</f>
        <v>http://vk.com/club197114981</v>
      </c>
      <c r="Q11">
        <v>38</v>
      </c>
      <c r="R11" t="s">
        <v>17</v>
      </c>
      <c r="AJ11" t="s">
        <v>10</v>
      </c>
      <c r="AK11" t="s">
        <v>21</v>
      </c>
      <c r="AN11" t="s">
        <v>3239</v>
      </c>
      <c r="AS11" t="s">
        <v>3244</v>
      </c>
      <c r="AU11" t="s">
        <v>3246</v>
      </c>
      <c r="AV11" t="s">
        <v>3247</v>
      </c>
      <c r="AX11" t="s">
        <v>3249</v>
      </c>
    </row>
    <row r="12" spans="1:52" x14ac:dyDescent="0.25">
      <c r="A12" t="s">
        <v>772</v>
      </c>
      <c r="B12" t="s">
        <v>958</v>
      </c>
      <c r="C12" t="s">
        <v>959</v>
      </c>
      <c r="D12" t="s">
        <v>24</v>
      </c>
      <c r="E12" t="s">
        <v>960</v>
      </c>
      <c r="F12" t="s">
        <v>26</v>
      </c>
      <c r="G12" t="str">
        <f>HYPERLINK("https://vk.com/wall-197114981_31?reply=1094&amp;thread=1091")</f>
        <v>https://vk.com/wall-197114981_31?reply=1094&amp;thread=1091</v>
      </c>
      <c r="H12" t="s">
        <v>885</v>
      </c>
      <c r="I12" t="s">
        <v>27</v>
      </c>
      <c r="J12" t="str">
        <f>HYPERLINK("http://vk.com/club197114981")</f>
        <v>http://vk.com/club197114981</v>
      </c>
      <c r="K12">
        <v>38</v>
      </c>
      <c r="L12" t="s">
        <v>28</v>
      </c>
      <c r="N12" t="s">
        <v>16</v>
      </c>
      <c r="O12" t="s">
        <v>27</v>
      </c>
      <c r="P12" t="str">
        <f>HYPERLINK("http://vk.com/club197114981")</f>
        <v>http://vk.com/club197114981</v>
      </c>
      <c r="Q12">
        <v>38</v>
      </c>
      <c r="R12" t="s">
        <v>17</v>
      </c>
      <c r="AJ12" t="s">
        <v>10</v>
      </c>
      <c r="AK12" t="s">
        <v>21</v>
      </c>
      <c r="AN12" t="s">
        <v>3239</v>
      </c>
      <c r="AS12" t="s">
        <v>3244</v>
      </c>
      <c r="AU12" t="s">
        <v>3246</v>
      </c>
      <c r="AV12" t="s">
        <v>3247</v>
      </c>
      <c r="AW12" t="s">
        <v>3248</v>
      </c>
    </row>
    <row r="13" spans="1:52" x14ac:dyDescent="0.25">
      <c r="A13" t="s">
        <v>2589</v>
      </c>
      <c r="B13" t="s">
        <v>2631</v>
      </c>
      <c r="C13" t="s">
        <v>968</v>
      </c>
      <c r="D13" t="s">
        <v>10</v>
      </c>
      <c r="E13" t="s">
        <v>2461</v>
      </c>
      <c r="F13" t="s">
        <v>45</v>
      </c>
      <c r="G13" t="str">
        <f>HYPERLINK("https://twitter.com/2978272340/status/1283349657398185986")</f>
        <v>https://twitter.com/2978272340/status/1283349657398185986</v>
      </c>
      <c r="H13" t="s">
        <v>885</v>
      </c>
      <c r="I13" t="s">
        <v>2423</v>
      </c>
      <c r="J13" t="str">
        <f>HYPERLINK("http://twitter.com/Rasyog_Ayurved")</f>
        <v>http://twitter.com/Rasyog_Ayurved</v>
      </c>
      <c r="K13">
        <v>1</v>
      </c>
      <c r="N13" t="s">
        <v>54</v>
      </c>
      <c r="R13" t="s">
        <v>17</v>
      </c>
      <c r="S13" t="s">
        <v>1206</v>
      </c>
      <c r="T13" t="s">
        <v>1250</v>
      </c>
      <c r="U13" t="s">
        <v>2424</v>
      </c>
      <c r="AJ13" t="s">
        <v>10</v>
      </c>
      <c r="AK13" t="s">
        <v>21</v>
      </c>
      <c r="AN13" t="s">
        <v>3239</v>
      </c>
      <c r="AP13" t="s">
        <v>3241</v>
      </c>
      <c r="AR13" t="s">
        <v>3243</v>
      </c>
      <c r="AS13" t="s">
        <v>3244</v>
      </c>
      <c r="AT13" t="s">
        <v>3245</v>
      </c>
    </row>
    <row r="14" spans="1:52" x14ac:dyDescent="0.25">
      <c r="A14" t="s">
        <v>1518</v>
      </c>
      <c r="B14" t="s">
        <v>1577</v>
      </c>
      <c r="C14" t="s">
        <v>984</v>
      </c>
      <c r="D14" t="s">
        <v>10</v>
      </c>
      <c r="E14" t="s">
        <v>1578</v>
      </c>
      <c r="F14" t="s">
        <v>45</v>
      </c>
      <c r="G14" t="str">
        <f>HYPERLINK("https://www.instagram.com/p/CDQOUrYJTHI")</f>
        <v>https://www.instagram.com/p/CDQOUrYJTHI</v>
      </c>
      <c r="H14" t="s">
        <v>885</v>
      </c>
      <c r="I14" t="s">
        <v>1579</v>
      </c>
      <c r="J14" t="str">
        <f>HYPERLINK("http://instagram.com/baraholka_novosibirsk.54")</f>
        <v>http://instagram.com/baraholka_novosibirsk.54</v>
      </c>
      <c r="K14">
        <v>1172</v>
      </c>
      <c r="N14" t="s">
        <v>69</v>
      </c>
      <c r="O14" t="s">
        <v>1579</v>
      </c>
      <c r="P14" t="str">
        <f>HYPERLINK("http://instagram.com/baraholka_novosibirsk.54")</f>
        <v>http://instagram.com/baraholka_novosibirsk.54</v>
      </c>
      <c r="Q14">
        <v>1172</v>
      </c>
      <c r="R14" t="s">
        <v>17</v>
      </c>
      <c r="S14" t="s">
        <v>18</v>
      </c>
      <c r="T14" t="s">
        <v>1315</v>
      </c>
      <c r="U14" t="s">
        <v>1580</v>
      </c>
      <c r="AI14" t="str">
        <f>HYPERLINK("https://www.instagram.com/p/CDQOUrYJTHI/media/?size=l")</f>
        <v>https://www.instagram.com/p/CDQOUrYJTHI/media/?size=l</v>
      </c>
      <c r="AJ14" t="s">
        <v>10</v>
      </c>
      <c r="AK14" t="s">
        <v>21</v>
      </c>
      <c r="AN14" t="s">
        <v>3239</v>
      </c>
      <c r="AP14" t="s">
        <v>3241</v>
      </c>
      <c r="AV14" t="s">
        <v>3247</v>
      </c>
      <c r="AX14" t="s">
        <v>3249</v>
      </c>
    </row>
    <row r="15" spans="1:52" x14ac:dyDescent="0.25">
      <c r="A15" t="s">
        <v>414</v>
      </c>
      <c r="B15" t="s">
        <v>739</v>
      </c>
      <c r="C15" t="s">
        <v>740</v>
      </c>
      <c r="D15" t="s">
        <v>741</v>
      </c>
      <c r="E15" t="s">
        <v>742</v>
      </c>
      <c r="F15" t="s">
        <v>26</v>
      </c>
      <c r="G15" t="str">
        <f>HYPERLINK("https://www.youtube.com/watch?v=1gSbXWC8HiQ&amp;lc=UgxU9jpySAzLOXN3q3J4AaABAg")</f>
        <v>https://www.youtube.com/watch?v=1gSbXWC8HiQ&amp;lc=UgxU9jpySAzLOXN3q3J4AaABAg</v>
      </c>
      <c r="H15" t="s">
        <v>13</v>
      </c>
      <c r="I15" t="s">
        <v>743</v>
      </c>
      <c r="J15" t="str">
        <f>HYPERLINK("https://www.youtube.com/channel/UCqVV01UqMZ_QuQYKYGcCvQg")</f>
        <v>https://www.youtube.com/channel/UCqVV01UqMZ_QuQYKYGcCvQg</v>
      </c>
      <c r="K15">
        <v>0</v>
      </c>
      <c r="N15" t="s">
        <v>162</v>
      </c>
      <c r="O15" t="s">
        <v>744</v>
      </c>
      <c r="P15" t="str">
        <f>HYPERLINK("https://www.youtube.com/channel/UCHFv3n9f6PGgKzO5j-lafSQ")</f>
        <v>https://www.youtube.com/channel/UCHFv3n9f6PGgKzO5j-lafSQ</v>
      </c>
      <c r="Q15">
        <v>144000</v>
      </c>
      <c r="R15" t="s">
        <v>17</v>
      </c>
      <c r="S15" t="s">
        <v>18</v>
      </c>
      <c r="W15">
        <v>1</v>
      </c>
      <c r="X15">
        <v>1</v>
      </c>
      <c r="AE15">
        <v>0</v>
      </c>
      <c r="AJ15" t="s">
        <v>10</v>
      </c>
      <c r="AK15" t="s">
        <v>21</v>
      </c>
      <c r="AM15" t="s">
        <v>3238</v>
      </c>
      <c r="AP15" t="s">
        <v>3241</v>
      </c>
      <c r="AQ15" t="s">
        <v>3242</v>
      </c>
      <c r="AV15" t="s">
        <v>3247</v>
      </c>
      <c r="AW15" t="s">
        <v>3248</v>
      </c>
      <c r="AX15" t="s">
        <v>3249</v>
      </c>
    </row>
    <row r="16" spans="1:52" x14ac:dyDescent="0.25">
      <c r="A16" t="s">
        <v>772</v>
      </c>
      <c r="B16" t="s">
        <v>944</v>
      </c>
      <c r="C16" t="s">
        <v>948</v>
      </c>
      <c r="D16" t="s">
        <v>24</v>
      </c>
      <c r="E16" t="s">
        <v>949</v>
      </c>
      <c r="F16" t="s">
        <v>26</v>
      </c>
      <c r="G16" t="str">
        <f>HYPERLINK("https://vk.com/wall-197114981_31?reply=1097&amp;thread=294")</f>
        <v>https://vk.com/wall-197114981_31?reply=1097&amp;thread=294</v>
      </c>
      <c r="H16" t="s">
        <v>885</v>
      </c>
      <c r="I16" t="s">
        <v>27</v>
      </c>
      <c r="J16" t="str">
        <f>HYPERLINK("http://vk.com/club197114981")</f>
        <v>http://vk.com/club197114981</v>
      </c>
      <c r="K16">
        <v>38</v>
      </c>
      <c r="L16" t="s">
        <v>28</v>
      </c>
      <c r="N16" t="s">
        <v>16</v>
      </c>
      <c r="O16" t="s">
        <v>27</v>
      </c>
      <c r="P16" t="str">
        <f>HYPERLINK("http://vk.com/club197114981")</f>
        <v>http://vk.com/club197114981</v>
      </c>
      <c r="Q16">
        <v>38</v>
      </c>
      <c r="R16" t="s">
        <v>17</v>
      </c>
      <c r="AJ16" t="s">
        <v>10</v>
      </c>
      <c r="AK16" t="s">
        <v>21</v>
      </c>
      <c r="AQ16" t="s">
        <v>3242</v>
      </c>
      <c r="AV16" t="s">
        <v>3247</v>
      </c>
      <c r="AW16" t="s">
        <v>3248</v>
      </c>
    </row>
    <row r="17" spans="1:52" x14ac:dyDescent="0.25">
      <c r="A17" t="s">
        <v>1425</v>
      </c>
      <c r="B17" t="s">
        <v>1443</v>
      </c>
      <c r="C17" t="s">
        <v>984</v>
      </c>
      <c r="D17" t="s">
        <v>10</v>
      </c>
      <c r="E17" t="s">
        <v>1444</v>
      </c>
      <c r="F17" t="s">
        <v>12</v>
      </c>
      <c r="G17" t="str">
        <f>HYPERLINK("https://www.facebook.com/568390943273818/posts/3035752129871008")</f>
        <v>https://www.facebook.com/568390943273818/posts/3035752129871008</v>
      </c>
      <c r="H17" t="s">
        <v>885</v>
      </c>
      <c r="I17" t="s">
        <v>280</v>
      </c>
      <c r="J17" t="str">
        <f>HYPERLINK("https://www.facebook.com/568390943273818")</f>
        <v>https://www.facebook.com/568390943273818</v>
      </c>
      <c r="K17">
        <v>18918</v>
      </c>
      <c r="L17" t="s">
        <v>28</v>
      </c>
      <c r="N17" t="s">
        <v>179</v>
      </c>
      <c r="O17" t="s">
        <v>280</v>
      </c>
      <c r="P17" t="str">
        <f>HYPERLINK("https://www.facebook.com/568390943273818")</f>
        <v>https://www.facebook.com/568390943273818</v>
      </c>
      <c r="Q17">
        <v>18918</v>
      </c>
      <c r="R17" t="s">
        <v>17</v>
      </c>
      <c r="S17" t="s">
        <v>281</v>
      </c>
      <c r="T17" t="s">
        <v>282</v>
      </c>
      <c r="U17" t="s">
        <v>282</v>
      </c>
      <c r="W17">
        <v>38</v>
      </c>
      <c r="X17">
        <v>37</v>
      </c>
      <c r="Y17">
        <v>1</v>
      </c>
      <c r="Z17">
        <v>0</v>
      </c>
      <c r="AA17">
        <v>0</v>
      </c>
      <c r="AB17">
        <v>0</v>
      </c>
      <c r="AC17">
        <v>0</v>
      </c>
      <c r="AE17">
        <v>2</v>
      </c>
      <c r="AI17" t="str">
        <f>HYPERLINK("https://scontent-ort2-1.xx.fbcdn.net/v/t1.0-9/p720x720/116678589_3035752073204347_867247581795131790_o.jpg?_nc_cat=104&amp;_nc_sid=110474&amp;_nc_ohc=TVIolZViyosAX-1n8Ik&amp;_nc_ht=scontent-ort2-1.xx&amp;_nc_tp=6&amp;oh=22ee050f06d25e854926ddd54660a8bc&amp;oe=5F4C7FDD")</f>
        <v>https://scontent-ort2-1.xx.fbcdn.net/v/t1.0-9/p720x720/116678589_3035752073204347_867247581795131790_o.jpg?_nc_cat=104&amp;_nc_sid=110474&amp;_nc_ohc=TVIolZViyosAX-1n8Ik&amp;_nc_ht=scontent-ort2-1.xx&amp;_nc_tp=6&amp;oh=22ee050f06d25e854926ddd54660a8bc&amp;oe=5F4C7FDD</v>
      </c>
      <c r="AJ17" t="s">
        <v>10</v>
      </c>
      <c r="AK17" t="s">
        <v>21</v>
      </c>
      <c r="AL17" t="s">
        <v>3237</v>
      </c>
    </row>
    <row r="18" spans="1:52" x14ac:dyDescent="0.25">
      <c r="A18" t="s">
        <v>1597</v>
      </c>
      <c r="B18" t="s">
        <v>1610</v>
      </c>
      <c r="C18" t="s">
        <v>984</v>
      </c>
      <c r="D18" t="s">
        <v>1611</v>
      </c>
      <c r="E18" t="s">
        <v>1612</v>
      </c>
      <c r="F18" t="s">
        <v>45</v>
      </c>
      <c r="G18" t="str">
        <f>HYPERLINK("http://www.dailymagazine.news/what-went-wrong-during-the-northeast-s-first-covid-19-spike-and-is-the-region-ready-for-another-nid-1255382.html")</f>
        <v>http://www.dailymagazine.news/what-went-wrong-during-the-northeast-s-first-covid-19-spike-and-is-the-region-ready-for-another-nid-1255382.html</v>
      </c>
      <c r="H18" t="s">
        <v>885</v>
      </c>
      <c r="I18" t="s">
        <v>1613</v>
      </c>
      <c r="J18" t="str">
        <f>HYPERLINK("http://www.dailymagazine.news")</f>
        <v>http://www.dailymagazine.news</v>
      </c>
      <c r="N18" t="s">
        <v>1614</v>
      </c>
      <c r="R18" t="s">
        <v>239</v>
      </c>
      <c r="S18" t="s">
        <v>425</v>
      </c>
      <c r="AJ18" t="s">
        <v>10</v>
      </c>
      <c r="AK18" t="s">
        <v>21</v>
      </c>
      <c r="AL18" t="s">
        <v>3237</v>
      </c>
      <c r="AV18" t="s">
        <v>3247</v>
      </c>
    </row>
    <row r="19" spans="1:52" x14ac:dyDescent="0.25">
      <c r="A19" t="s">
        <v>1930</v>
      </c>
      <c r="B19" t="s">
        <v>1962</v>
      </c>
      <c r="C19" t="s">
        <v>984</v>
      </c>
      <c r="D19" t="s">
        <v>10</v>
      </c>
      <c r="E19" t="s">
        <v>1963</v>
      </c>
      <c r="F19" t="s">
        <v>45</v>
      </c>
      <c r="G19" t="str">
        <f>HYPERLINK("https://www.instagram.com/p/CDGbEuPFq_E")</f>
        <v>https://www.instagram.com/p/CDGbEuPFq_E</v>
      </c>
      <c r="H19" t="s">
        <v>885</v>
      </c>
      <c r="I19" t="s">
        <v>1128</v>
      </c>
      <c r="J19" t="str">
        <f>HYPERLINK("http://instagram.com/mrt_ekspert_sochi")</f>
        <v>http://instagram.com/mrt_ekspert_sochi</v>
      </c>
      <c r="K19">
        <v>657</v>
      </c>
      <c r="L19" t="s">
        <v>28</v>
      </c>
      <c r="N19" t="s">
        <v>69</v>
      </c>
      <c r="O19" t="s">
        <v>1128</v>
      </c>
      <c r="P19" t="str">
        <f>HYPERLINK("http://instagram.com/mrt_ekspert_sochi")</f>
        <v>http://instagram.com/mrt_ekspert_sochi</v>
      </c>
      <c r="Q19">
        <v>657</v>
      </c>
      <c r="R19" t="s">
        <v>17</v>
      </c>
      <c r="S19" t="s">
        <v>18</v>
      </c>
      <c r="T19" t="s">
        <v>617</v>
      </c>
      <c r="U19" t="s">
        <v>1034</v>
      </c>
      <c r="AI19" t="str">
        <f>HYPERLINK("https://www.instagram.com/p/CDGbEuPFq_E/media/?size=l")</f>
        <v>https://www.instagram.com/p/CDGbEuPFq_E/media/?size=l</v>
      </c>
      <c r="AJ19" t="s">
        <v>10</v>
      </c>
      <c r="AK19" t="s">
        <v>21</v>
      </c>
      <c r="AV19" t="s">
        <v>3247</v>
      </c>
      <c r="AW19" t="s">
        <v>3248</v>
      </c>
    </row>
    <row r="20" spans="1:52" x14ac:dyDescent="0.25">
      <c r="A20" t="s">
        <v>2122</v>
      </c>
      <c r="B20" t="s">
        <v>2136</v>
      </c>
      <c r="C20" t="s">
        <v>968</v>
      </c>
      <c r="D20" t="s">
        <v>2137</v>
      </c>
      <c r="E20" t="s">
        <v>2138</v>
      </c>
      <c r="F20" t="s">
        <v>26</v>
      </c>
      <c r="G20" t="str">
        <f>HYPERLINK("https://vk.com/wall-135958079_839468?reply=839674")</f>
        <v>https://vk.com/wall-135958079_839468?reply=839674</v>
      </c>
      <c r="H20" t="s">
        <v>885</v>
      </c>
      <c r="I20" t="s">
        <v>2139</v>
      </c>
      <c r="J20" t="str">
        <f>HYPERLINK("http://vk.com/id357293238")</f>
        <v>http://vk.com/id357293238</v>
      </c>
      <c r="K20">
        <v>179</v>
      </c>
      <c r="L20" t="s">
        <v>80</v>
      </c>
      <c r="N20" t="s">
        <v>16</v>
      </c>
      <c r="O20" t="s">
        <v>2140</v>
      </c>
      <c r="P20" t="str">
        <f>HYPERLINK("http://vk.com/club135958079")</f>
        <v>http://vk.com/club135958079</v>
      </c>
      <c r="Q20">
        <v>25217</v>
      </c>
      <c r="R20" t="s">
        <v>17</v>
      </c>
      <c r="S20" t="s">
        <v>18</v>
      </c>
      <c r="AJ20" t="s">
        <v>10</v>
      </c>
      <c r="AK20" t="s">
        <v>21</v>
      </c>
      <c r="AS20" t="s">
        <v>3244</v>
      </c>
      <c r="AT20" t="s">
        <v>3245</v>
      </c>
    </row>
    <row r="21" spans="1:52" x14ac:dyDescent="0.25">
      <c r="A21" t="s">
        <v>2589</v>
      </c>
      <c r="B21" t="s">
        <v>2609</v>
      </c>
      <c r="C21" t="s">
        <v>968</v>
      </c>
      <c r="D21" t="s">
        <v>2610</v>
      </c>
      <c r="E21" t="s">
        <v>2611</v>
      </c>
      <c r="F21" t="s">
        <v>45</v>
      </c>
      <c r="G21" t="str">
        <f>HYPERLINK("https://www.youtube.com/watch?v=tNO4aacFUxM")</f>
        <v>https://www.youtube.com/watch?v=tNO4aacFUxM</v>
      </c>
      <c r="H21" t="s">
        <v>885</v>
      </c>
      <c r="I21" t="s">
        <v>1105</v>
      </c>
      <c r="J21" t="str">
        <f>HYPERLINK("https://www.youtube.com/channel/UCF9TCvVRiJ1M_zGUP0R0FqA")</f>
        <v>https://www.youtube.com/channel/UCF9TCvVRiJ1M_zGUP0R0FqA</v>
      </c>
      <c r="K21">
        <v>295</v>
      </c>
      <c r="N21" t="s">
        <v>162</v>
      </c>
      <c r="O21" t="s">
        <v>1105</v>
      </c>
      <c r="P21" t="str">
        <f>HYPERLINK("https://www.youtube.com/channel/UCF9TCvVRiJ1M_zGUP0R0FqA")</f>
        <v>https://www.youtube.com/channel/UCF9TCvVRiJ1M_zGUP0R0FqA</v>
      </c>
      <c r="Q21">
        <v>295</v>
      </c>
      <c r="R21" t="s">
        <v>17</v>
      </c>
      <c r="S21" t="s">
        <v>18</v>
      </c>
      <c r="W21">
        <v>0</v>
      </c>
      <c r="X21">
        <v>0</v>
      </c>
      <c r="AD21">
        <v>0</v>
      </c>
      <c r="AE21">
        <v>0</v>
      </c>
      <c r="AG21">
        <v>50</v>
      </c>
      <c r="AI21" t="str">
        <f>HYPERLINK("https://i.ytimg.com/vi/tNO4aacFUxM/maxresdefault.jpg")</f>
        <v>https://i.ytimg.com/vi/tNO4aacFUxM/maxresdefault.jpg</v>
      </c>
      <c r="AJ21" t="s">
        <v>10</v>
      </c>
      <c r="AK21" t="s">
        <v>21</v>
      </c>
      <c r="AS21" t="s">
        <v>3244</v>
      </c>
      <c r="AU21" t="s">
        <v>3246</v>
      </c>
    </row>
    <row r="22" spans="1:52" x14ac:dyDescent="0.25">
      <c r="A22" t="s">
        <v>2684</v>
      </c>
      <c r="B22" t="s">
        <v>864</v>
      </c>
      <c r="C22" t="s">
        <v>968</v>
      </c>
      <c r="D22" t="s">
        <v>10</v>
      </c>
      <c r="E22" t="s">
        <v>1948</v>
      </c>
      <c r="F22" t="s">
        <v>45</v>
      </c>
      <c r="G22" t="str">
        <f>HYPERLINK("https://vk.com/wall-158633337_925")</f>
        <v>https://vk.com/wall-158633337_925</v>
      </c>
      <c r="H22" t="s">
        <v>889</v>
      </c>
      <c r="I22" t="s">
        <v>125</v>
      </c>
      <c r="J22" t="str">
        <f>HYPERLINK("http://vk.com/club158633337")</f>
        <v>http://vk.com/club158633337</v>
      </c>
      <c r="K22">
        <v>4852</v>
      </c>
      <c r="L22" t="s">
        <v>28</v>
      </c>
      <c r="N22" t="s">
        <v>16</v>
      </c>
      <c r="O22" t="s">
        <v>125</v>
      </c>
      <c r="P22" t="str">
        <f>HYPERLINK("http://vk.com/club158633337")</f>
        <v>http://vk.com/club158633337</v>
      </c>
      <c r="Q22">
        <v>4852</v>
      </c>
      <c r="R22" t="s">
        <v>17</v>
      </c>
      <c r="S22" t="s">
        <v>18</v>
      </c>
      <c r="T22" t="s">
        <v>126</v>
      </c>
      <c r="U22" t="s">
        <v>127</v>
      </c>
      <c r="W22">
        <v>1</v>
      </c>
      <c r="X22">
        <v>1</v>
      </c>
      <c r="AE22">
        <v>0</v>
      </c>
      <c r="AF22">
        <v>0</v>
      </c>
      <c r="AG22">
        <v>130</v>
      </c>
      <c r="AI22" t="str">
        <f>HYPERLINK("https://sun1-26.userapi.com/yMGuTIeCdpv9fT7_A9Inyqx6HE6n9jy7yqwE_w/MExu17Xz1OQ.jpg")</f>
        <v>https://sun1-26.userapi.com/yMGuTIeCdpv9fT7_A9Inyqx6HE6n9jy7yqwE_w/MExu17Xz1OQ.jpg</v>
      </c>
      <c r="AJ22" t="s">
        <v>10</v>
      </c>
      <c r="AK22" t="s">
        <v>21</v>
      </c>
      <c r="AN22" t="s">
        <v>3239</v>
      </c>
      <c r="AY22" t="s">
        <v>3250</v>
      </c>
      <c r="AZ22" t="s">
        <v>3251</v>
      </c>
    </row>
    <row r="23" spans="1:52" x14ac:dyDescent="0.25">
      <c r="A23" t="s">
        <v>3021</v>
      </c>
      <c r="B23" t="s">
        <v>845</v>
      </c>
      <c r="C23" t="s">
        <v>968</v>
      </c>
      <c r="D23" t="s">
        <v>10</v>
      </c>
      <c r="E23" t="s">
        <v>2212</v>
      </c>
      <c r="F23" t="s">
        <v>45</v>
      </c>
      <c r="G23" t="str">
        <f>HYPERLINK("https://www.facebook.com/mrtexpertrnd/photos/a.565935020817465/770469960363969/?type=3")</f>
        <v>https://www.facebook.com/mrtexpertrnd/photos/a.565935020817465/770469960363969/?type=3</v>
      </c>
      <c r="H23" t="s">
        <v>889</v>
      </c>
      <c r="I23" t="s">
        <v>125</v>
      </c>
      <c r="J23" t="str">
        <f>HYPERLINK("https://www.facebook.com/156600068417631")</f>
        <v>https://www.facebook.com/156600068417631</v>
      </c>
      <c r="K23">
        <v>236</v>
      </c>
      <c r="L23" t="s">
        <v>28</v>
      </c>
      <c r="N23" t="s">
        <v>179</v>
      </c>
      <c r="O23" t="s">
        <v>125</v>
      </c>
      <c r="P23" t="str">
        <f>HYPERLINK("https://www.facebook.com/156600068417631")</f>
        <v>https://www.facebook.com/156600068417631</v>
      </c>
      <c r="Q23">
        <v>236</v>
      </c>
      <c r="R23" t="s">
        <v>17</v>
      </c>
      <c r="S23" t="s">
        <v>18</v>
      </c>
      <c r="T23" t="s">
        <v>126</v>
      </c>
      <c r="U23" t="s">
        <v>127</v>
      </c>
      <c r="W23">
        <v>0</v>
      </c>
      <c r="X23">
        <v>0</v>
      </c>
      <c r="Y23">
        <v>0</v>
      </c>
      <c r="Z23">
        <v>0</v>
      </c>
      <c r="AA23">
        <v>0</v>
      </c>
      <c r="AB23">
        <v>0</v>
      </c>
      <c r="AC23">
        <v>0</v>
      </c>
      <c r="AE23">
        <v>0</v>
      </c>
      <c r="AI23" t="str">
        <f>HYPERLINK("https://scontent-hel2-1.xx.fbcdn.net/v/t1.0-0/p526x296/107329692_770469963697302_6916339543164940739_o.jpg?_nc_cat=105&amp;_nc_sid=9267fe&amp;_nc_ohc=IHVrPyw-_y8AX_i86pK&amp;_nc_ht=scontent-hel2-1.xx&amp;_nc_tp=6&amp;oh=f2a6b61c93090577cb9a6c56d2f10feb&amp;oe=5F2BB7C0")</f>
        <v>https://scontent-hel2-1.xx.fbcdn.net/v/t1.0-0/p526x296/107329692_770469963697302_6916339543164940739_o.jpg?_nc_cat=105&amp;_nc_sid=9267fe&amp;_nc_ohc=IHVrPyw-_y8AX_i86pK&amp;_nc_ht=scontent-hel2-1.xx&amp;_nc_tp=6&amp;oh=f2a6b61c93090577cb9a6c56d2f10feb&amp;oe=5F2BB7C0</v>
      </c>
      <c r="AJ23" t="s">
        <v>10</v>
      </c>
      <c r="AK23" t="s">
        <v>21</v>
      </c>
      <c r="AN23" t="s">
        <v>3239</v>
      </c>
      <c r="AX23" t="s">
        <v>3249</v>
      </c>
      <c r="AY23" t="s">
        <v>3250</v>
      </c>
    </row>
    <row r="24" spans="1:52" x14ac:dyDescent="0.25">
      <c r="A24" t="s">
        <v>2380</v>
      </c>
      <c r="B24" t="s">
        <v>42</v>
      </c>
      <c r="C24" t="s">
        <v>968</v>
      </c>
      <c r="D24" t="s">
        <v>10</v>
      </c>
      <c r="E24" t="s">
        <v>2403</v>
      </c>
      <c r="F24" t="s">
        <v>45</v>
      </c>
      <c r="G24" t="str">
        <f>HYPERLINK("https://vk.com/wall-48669646_10187")</f>
        <v>https://vk.com/wall-48669646_10187</v>
      </c>
      <c r="H24" t="s">
        <v>885</v>
      </c>
      <c r="I24" t="s">
        <v>46</v>
      </c>
      <c r="J24" t="str">
        <f>HYPERLINK("http://vk.com/club48669646")</f>
        <v>http://vk.com/club48669646</v>
      </c>
      <c r="K24">
        <v>5795</v>
      </c>
      <c r="L24" t="s">
        <v>28</v>
      </c>
      <c r="N24" t="s">
        <v>16</v>
      </c>
      <c r="O24" t="s">
        <v>46</v>
      </c>
      <c r="P24" t="str">
        <f>HYPERLINK("http://vk.com/club48669646")</f>
        <v>http://vk.com/club48669646</v>
      </c>
      <c r="Q24">
        <v>5795</v>
      </c>
      <c r="R24" t="s">
        <v>17</v>
      </c>
      <c r="S24" t="s">
        <v>18</v>
      </c>
      <c r="W24">
        <v>0</v>
      </c>
      <c r="X24">
        <v>0</v>
      </c>
      <c r="AE24">
        <v>0</v>
      </c>
      <c r="AF24">
        <v>0</v>
      </c>
      <c r="AG24">
        <v>304</v>
      </c>
      <c r="AI24" t="str">
        <f>HYPERLINK("https://sun1-85.userapi.com/r0YzIyHVxJfzRd-eknZqizDE6Gi09NQMMMLpzQ/PJg7GjaXo8o.jpg")</f>
        <v>https://sun1-85.userapi.com/r0YzIyHVxJfzRd-eknZqizDE6Gi09NQMMMLpzQ/PJg7GjaXo8o.jpg</v>
      </c>
      <c r="AJ24" t="s">
        <v>10</v>
      </c>
      <c r="AK24" t="s">
        <v>21</v>
      </c>
      <c r="AN24" t="s">
        <v>3239</v>
      </c>
    </row>
    <row r="25" spans="1:52" x14ac:dyDescent="0.25">
      <c r="A25" t="s">
        <v>7</v>
      </c>
      <c r="B25" t="s">
        <v>108</v>
      </c>
      <c r="C25" t="s">
        <v>110</v>
      </c>
      <c r="D25" t="s">
        <v>24</v>
      </c>
      <c r="E25" t="s">
        <v>107</v>
      </c>
      <c r="F25" t="s">
        <v>26</v>
      </c>
      <c r="G25" t="str">
        <f>HYPERLINK("https://vk.com/wall-102417896_212709?reply=212956")</f>
        <v>https://vk.com/wall-102417896_212709?reply=212956</v>
      </c>
      <c r="H25" t="s">
        <v>13</v>
      </c>
      <c r="I25" t="s">
        <v>79</v>
      </c>
      <c r="J25" t="str">
        <f>HYPERLINK("http://vk.com/id95456096")</f>
        <v>http://vk.com/id95456096</v>
      </c>
      <c r="K25">
        <v>1176</v>
      </c>
      <c r="L25" t="s">
        <v>80</v>
      </c>
      <c r="N25" t="s">
        <v>16</v>
      </c>
      <c r="O25" t="s">
        <v>111</v>
      </c>
      <c r="P25" t="str">
        <f>HYPERLINK("http://vk.com/club102417896")</f>
        <v>http://vk.com/club102417896</v>
      </c>
      <c r="Q25">
        <v>31719</v>
      </c>
      <c r="R25" t="s">
        <v>17</v>
      </c>
      <c r="S25" t="s">
        <v>18</v>
      </c>
      <c r="AJ25" t="s">
        <v>10</v>
      </c>
      <c r="AK25" t="s">
        <v>21</v>
      </c>
      <c r="AN25" t="s">
        <v>3239</v>
      </c>
    </row>
    <row r="26" spans="1:52" x14ac:dyDescent="0.25">
      <c r="A26" t="s">
        <v>1122</v>
      </c>
      <c r="B26" t="s">
        <v>1146</v>
      </c>
      <c r="C26" t="s">
        <v>984</v>
      </c>
      <c r="D26" t="s">
        <v>10</v>
      </c>
      <c r="E26" t="s">
        <v>1147</v>
      </c>
      <c r="F26" t="s">
        <v>12</v>
      </c>
      <c r="G26" t="str">
        <f>HYPERLINK("https://www.facebook.com/permalink.php?story_fbid=400845034225524&amp;id=100029000910918")</f>
        <v>https://www.facebook.com/permalink.php?story_fbid=400845034225524&amp;id=100029000910918</v>
      </c>
      <c r="H26" t="s">
        <v>885</v>
      </c>
      <c r="I26" t="s">
        <v>1148</v>
      </c>
      <c r="J26" t="str">
        <f>HYPERLINK("https://www.facebook.com/100029000910918")</f>
        <v>https://www.facebook.com/100029000910918</v>
      </c>
      <c r="K26">
        <v>337</v>
      </c>
      <c r="L26" t="s">
        <v>80</v>
      </c>
      <c r="N26" t="s">
        <v>179</v>
      </c>
      <c r="O26" t="s">
        <v>1148</v>
      </c>
      <c r="P26" t="str">
        <f>HYPERLINK("https://www.facebook.com/100029000910918")</f>
        <v>https://www.facebook.com/100029000910918</v>
      </c>
      <c r="Q26">
        <v>337</v>
      </c>
      <c r="R26" t="s">
        <v>17</v>
      </c>
      <c r="W26">
        <v>4</v>
      </c>
      <c r="X26">
        <v>4</v>
      </c>
      <c r="Y26">
        <v>0</v>
      </c>
      <c r="Z26">
        <v>0</v>
      </c>
      <c r="AA26">
        <v>0</v>
      </c>
      <c r="AB26">
        <v>0</v>
      </c>
      <c r="AC26">
        <v>0</v>
      </c>
      <c r="AE26">
        <v>0</v>
      </c>
      <c r="AI26" t="str">
        <f>HYPERLINK("https://scontent-hel2-1.xx.fbcdn.net/v/t1.0-9/117108155_3243309439081747_1537531780383821907_n.jpg?_nc_cat=108&amp;_nc_sid=8bfeb9&amp;_nc_ohc=1yACMLu6D-cAX9dKqLz&amp;_nc_ht=scontent-hel2-1.xx&amp;oh=1b756e5c812cea14364d72fa73919987&amp;oe=5F51B9BE")</f>
        <v>https://scontent-hel2-1.xx.fbcdn.net/v/t1.0-9/117108155_3243309439081747_1537531780383821907_n.jpg?_nc_cat=108&amp;_nc_sid=8bfeb9&amp;_nc_ohc=1yACMLu6D-cAX9dKqLz&amp;_nc_ht=scontent-hel2-1.xx&amp;oh=1b756e5c812cea14364d72fa73919987&amp;oe=5F51B9BE</v>
      </c>
      <c r="AJ26" t="s">
        <v>10</v>
      </c>
      <c r="AK26" t="s">
        <v>21</v>
      </c>
      <c r="AL26" t="s">
        <v>3237</v>
      </c>
      <c r="AX26" t="s">
        <v>3249</v>
      </c>
      <c r="AY26" t="s">
        <v>3250</v>
      </c>
    </row>
    <row r="27" spans="1:52" x14ac:dyDescent="0.25">
      <c r="A27" t="s">
        <v>2915</v>
      </c>
      <c r="B27" t="s">
        <v>2949</v>
      </c>
      <c r="C27" t="s">
        <v>968</v>
      </c>
      <c r="D27" t="s">
        <v>10</v>
      </c>
      <c r="E27" t="s">
        <v>2950</v>
      </c>
      <c r="F27" t="s">
        <v>12</v>
      </c>
      <c r="G27" t="str">
        <f>HYPERLINK("https://vk.com/wall-179586408_127")</f>
        <v>https://vk.com/wall-179586408_127</v>
      </c>
      <c r="H27" t="s">
        <v>885</v>
      </c>
      <c r="I27" t="s">
        <v>2952</v>
      </c>
      <c r="J27" t="str">
        <f>HYPERLINK("http://vk.com/club179586408")</f>
        <v>http://vk.com/club179586408</v>
      </c>
      <c r="K27">
        <v>228</v>
      </c>
      <c r="L27" t="s">
        <v>28</v>
      </c>
      <c r="N27" t="s">
        <v>16</v>
      </c>
      <c r="O27" t="s">
        <v>2952</v>
      </c>
      <c r="P27" t="str">
        <f>HYPERLINK("http://vk.com/club179586408")</f>
        <v>http://vk.com/club179586408</v>
      </c>
      <c r="Q27">
        <v>228</v>
      </c>
      <c r="R27" t="s">
        <v>17</v>
      </c>
      <c r="W27">
        <v>2</v>
      </c>
      <c r="X27">
        <v>2</v>
      </c>
      <c r="AE27">
        <v>0</v>
      </c>
      <c r="AF27">
        <v>0</v>
      </c>
      <c r="AG27">
        <v>37</v>
      </c>
      <c r="AI27" t="str">
        <f>HYPERLINK("https://sun1-18.userapi.com/m1BupXmhTxYyOvwViOhGuCHJFWE3XQdGIV-3dw/q9WH6w9VhqA.jpg")</f>
        <v>https://sun1-18.userapi.com/m1BupXmhTxYyOvwViOhGuCHJFWE3XQdGIV-3dw/q9WH6w9VhqA.jpg</v>
      </c>
      <c r="AJ27" t="s">
        <v>10</v>
      </c>
      <c r="AK27" t="s">
        <v>21</v>
      </c>
      <c r="AM27" t="s">
        <v>3238</v>
      </c>
    </row>
    <row r="28" spans="1:52" x14ac:dyDescent="0.25">
      <c r="A28" t="s">
        <v>3021</v>
      </c>
      <c r="B28" t="s">
        <v>3043</v>
      </c>
      <c r="C28" t="s">
        <v>968</v>
      </c>
      <c r="D28" t="s">
        <v>10</v>
      </c>
      <c r="E28" t="s">
        <v>1856</v>
      </c>
      <c r="F28" t="s">
        <v>45</v>
      </c>
      <c r="G28" t="str">
        <f>HYPERLINK("https://www.facebook.com/mrtexpertrnd/photos/a.565935020817465/770463557031276/?type=3")</f>
        <v>https://www.facebook.com/mrtexpertrnd/photos/a.565935020817465/770463557031276/?type=3</v>
      </c>
      <c r="H28" t="s">
        <v>885</v>
      </c>
      <c r="I28" t="s">
        <v>125</v>
      </c>
      <c r="J28" t="str">
        <f>HYPERLINK("https://www.facebook.com/156600068417631")</f>
        <v>https://www.facebook.com/156600068417631</v>
      </c>
      <c r="K28">
        <v>236</v>
      </c>
      <c r="L28" t="s">
        <v>28</v>
      </c>
      <c r="N28" t="s">
        <v>179</v>
      </c>
      <c r="O28" t="s">
        <v>125</v>
      </c>
      <c r="P28" t="str">
        <f>HYPERLINK("https://www.facebook.com/156600068417631")</f>
        <v>https://www.facebook.com/156600068417631</v>
      </c>
      <c r="Q28">
        <v>236</v>
      </c>
      <c r="R28" t="s">
        <v>17</v>
      </c>
      <c r="S28" t="s">
        <v>18</v>
      </c>
      <c r="T28" t="s">
        <v>126</v>
      </c>
      <c r="U28" t="s">
        <v>127</v>
      </c>
      <c r="W28">
        <v>0</v>
      </c>
      <c r="X28">
        <v>0</v>
      </c>
      <c r="Y28">
        <v>0</v>
      </c>
      <c r="Z28">
        <v>0</v>
      </c>
      <c r="AA28">
        <v>0</v>
      </c>
      <c r="AB28">
        <v>0</v>
      </c>
      <c r="AC28">
        <v>0</v>
      </c>
      <c r="AE28">
        <v>0</v>
      </c>
      <c r="AI28" t="str">
        <f>HYPERLINK("https://scontent-hel2-1.xx.fbcdn.net/v/t1.0-0/p526x296/107374963_770463560364609_2357470831341232109_o.jpg?_nc_cat=104&amp;_nc_sid=9267fe&amp;_nc_ohc=hF6ZNe2iSecAX8vZivu&amp;_nc_ht=scontent-hel2-1.xx&amp;_nc_tp=6&amp;oh=110fcbac3ffa3e030903a3aff68e4dc5&amp;oe=5F2C6CD3")</f>
        <v>https://scontent-hel2-1.xx.fbcdn.net/v/t1.0-0/p526x296/107374963_770463560364609_2357470831341232109_o.jpg?_nc_cat=104&amp;_nc_sid=9267fe&amp;_nc_ohc=hF6ZNe2iSecAX8vZivu&amp;_nc_ht=scontent-hel2-1.xx&amp;_nc_tp=6&amp;oh=110fcbac3ffa3e030903a3aff68e4dc5&amp;oe=5F2C6CD3</v>
      </c>
      <c r="AJ28" t="s">
        <v>10</v>
      </c>
      <c r="AK28" t="s">
        <v>21</v>
      </c>
      <c r="AL28" t="s">
        <v>3237</v>
      </c>
      <c r="AP28" t="s">
        <v>3241</v>
      </c>
      <c r="AU28" t="s">
        <v>3246</v>
      </c>
      <c r="AX28" t="s">
        <v>3249</v>
      </c>
      <c r="AY28" t="s">
        <v>3250</v>
      </c>
    </row>
    <row r="29" spans="1:52" x14ac:dyDescent="0.25">
      <c r="A29" t="s">
        <v>1017</v>
      </c>
      <c r="B29" t="s">
        <v>1100</v>
      </c>
      <c r="C29" t="s">
        <v>984</v>
      </c>
      <c r="D29" t="s">
        <v>10</v>
      </c>
      <c r="E29" t="s">
        <v>1095</v>
      </c>
      <c r="F29" t="s">
        <v>45</v>
      </c>
      <c r="G29" t="str">
        <f>HYPERLINK("https://vk.com/wall-24521880_4014")</f>
        <v>https://vk.com/wall-24521880_4014</v>
      </c>
      <c r="H29" t="s">
        <v>885</v>
      </c>
      <c r="I29" t="s">
        <v>1085</v>
      </c>
      <c r="J29" t="str">
        <f>HYPERLINK("http://vk.com/id162385864")</f>
        <v>http://vk.com/id162385864</v>
      </c>
      <c r="K29">
        <v>359</v>
      </c>
      <c r="L29" t="s">
        <v>80</v>
      </c>
      <c r="N29" t="s">
        <v>16</v>
      </c>
      <c r="O29" t="s">
        <v>1101</v>
      </c>
      <c r="P29" t="str">
        <f>HYPERLINK("http://vk.com/club24521880")</f>
        <v>http://vk.com/club24521880</v>
      </c>
      <c r="Q29">
        <v>2977</v>
      </c>
      <c r="R29" t="s">
        <v>17</v>
      </c>
      <c r="S29" t="s">
        <v>18</v>
      </c>
      <c r="W29">
        <v>0</v>
      </c>
      <c r="X29">
        <v>0</v>
      </c>
      <c r="AE29">
        <v>0</v>
      </c>
      <c r="AF29">
        <v>0</v>
      </c>
      <c r="AI29" t="str">
        <f>HYPERLINK("https://sun9-30.userapi.com/c858524/v858524814/1edf58/_AzW7RgTk9o.jpg")</f>
        <v>https://sun9-30.userapi.com/c858524/v858524814/1edf58/_AzW7RgTk9o.jpg</v>
      </c>
      <c r="AJ29" t="s">
        <v>10</v>
      </c>
      <c r="AK29" t="s">
        <v>21</v>
      </c>
      <c r="AP29" t="s">
        <v>3241</v>
      </c>
      <c r="AT29" t="s">
        <v>3245</v>
      </c>
      <c r="AU29" t="s">
        <v>3246</v>
      </c>
    </row>
    <row r="30" spans="1:52" x14ac:dyDescent="0.25">
      <c r="A30" t="s">
        <v>2589</v>
      </c>
      <c r="B30" t="s">
        <v>1550</v>
      </c>
      <c r="C30" t="s">
        <v>968</v>
      </c>
      <c r="D30" t="s">
        <v>1232</v>
      </c>
      <c r="E30" t="s">
        <v>2624</v>
      </c>
      <c r="F30" t="s">
        <v>26</v>
      </c>
      <c r="G30" t="str">
        <f>HYPERLINK("https://vk.com/topic-48669646_34303966?post=2519")</f>
        <v>https://vk.com/topic-48669646_34303966?post=2519</v>
      </c>
      <c r="H30" t="s">
        <v>885</v>
      </c>
      <c r="I30" t="s">
        <v>2544</v>
      </c>
      <c r="J30" t="str">
        <f>HYPERLINK("http://vk.com/id413536550")</f>
        <v>http://vk.com/id413536550</v>
      </c>
      <c r="K30">
        <v>4</v>
      </c>
      <c r="L30" t="s">
        <v>80</v>
      </c>
      <c r="N30" t="s">
        <v>16</v>
      </c>
      <c r="O30" t="s">
        <v>46</v>
      </c>
      <c r="P30" t="str">
        <f>HYPERLINK("http://vk.com/club48669646")</f>
        <v>http://vk.com/club48669646</v>
      </c>
      <c r="Q30">
        <v>5795</v>
      </c>
      <c r="R30" t="s">
        <v>17</v>
      </c>
      <c r="S30" t="s">
        <v>18</v>
      </c>
      <c r="AJ30" t="s">
        <v>10</v>
      </c>
      <c r="AK30" t="s">
        <v>21</v>
      </c>
      <c r="AM30" t="s">
        <v>3238</v>
      </c>
      <c r="AN30" t="s">
        <v>3239</v>
      </c>
      <c r="AP30" t="s">
        <v>3241</v>
      </c>
      <c r="AW30" t="s">
        <v>3248</v>
      </c>
    </row>
    <row r="31" spans="1:52" x14ac:dyDescent="0.25">
      <c r="A31" t="s">
        <v>414</v>
      </c>
      <c r="B31" t="s">
        <v>90</v>
      </c>
      <c r="C31" t="s">
        <v>593</v>
      </c>
      <c r="D31" t="s">
        <v>24</v>
      </c>
      <c r="E31" t="s">
        <v>598</v>
      </c>
      <c r="F31" t="s">
        <v>26</v>
      </c>
      <c r="G31" t="str">
        <f>HYPERLINK("https://vk.com/wall-197114981_31?reply=1217")</f>
        <v>https://vk.com/wall-197114981_31?reply=1217</v>
      </c>
      <c r="H31" t="s">
        <v>13</v>
      </c>
      <c r="I31" t="s">
        <v>596</v>
      </c>
      <c r="J31" t="str">
        <f>HYPERLINK("http://vk.com/id229177703")</f>
        <v>http://vk.com/id229177703</v>
      </c>
      <c r="K31">
        <v>686</v>
      </c>
      <c r="L31" t="s">
        <v>80</v>
      </c>
      <c r="N31" t="s">
        <v>16</v>
      </c>
      <c r="O31" t="s">
        <v>27</v>
      </c>
      <c r="P31" t="str">
        <f>HYPERLINK("http://vk.com/club197114981")</f>
        <v>http://vk.com/club197114981</v>
      </c>
      <c r="Q31">
        <v>38</v>
      </c>
      <c r="R31" t="s">
        <v>17</v>
      </c>
      <c r="S31" t="s">
        <v>18</v>
      </c>
      <c r="T31" t="s">
        <v>231</v>
      </c>
      <c r="U31" t="s">
        <v>232</v>
      </c>
      <c r="AJ31" t="s">
        <v>10</v>
      </c>
      <c r="AK31" t="s">
        <v>21</v>
      </c>
      <c r="AM31" t="s">
        <v>3238</v>
      </c>
      <c r="AN31" t="s">
        <v>3239</v>
      </c>
      <c r="AZ31" t="s">
        <v>3251</v>
      </c>
    </row>
    <row r="32" spans="1:52" x14ac:dyDescent="0.25">
      <c r="A32" t="s">
        <v>1723</v>
      </c>
      <c r="B32" t="s">
        <v>1791</v>
      </c>
      <c r="C32" t="s">
        <v>984</v>
      </c>
      <c r="D32" t="s">
        <v>1697</v>
      </c>
      <c r="E32" t="s">
        <v>1778</v>
      </c>
      <c r="F32" t="s">
        <v>45</v>
      </c>
      <c r="G32" t="str">
        <f>HYPERLINK("https://eu.democratandchronicle.com/story/news/coronavirus/2020/07/28/covid-northeast-better-prepared-second-spike/5449927002")</f>
        <v>https://eu.democratandchronicle.com/story/news/coronavirus/2020/07/28/covid-northeast-better-prepared-second-spike/5449927002</v>
      </c>
      <c r="H32" t="s">
        <v>885</v>
      </c>
      <c r="I32" t="s">
        <v>1794</v>
      </c>
      <c r="J32" t="str">
        <f>HYPERLINK("https://www.democratandchronicle.com")</f>
        <v>https://www.democratandchronicle.com</v>
      </c>
      <c r="N32" t="s">
        <v>1795</v>
      </c>
      <c r="R32" t="s">
        <v>239</v>
      </c>
      <c r="S32" t="s">
        <v>425</v>
      </c>
      <c r="AJ32" t="s">
        <v>10</v>
      </c>
      <c r="AK32" t="s">
        <v>21</v>
      </c>
      <c r="AR32" t="s">
        <v>3243</v>
      </c>
    </row>
    <row r="33" spans="1:52" x14ac:dyDescent="0.25">
      <c r="A33" t="s">
        <v>3100</v>
      </c>
      <c r="B33" t="s">
        <v>3166</v>
      </c>
      <c r="C33" t="s">
        <v>968</v>
      </c>
      <c r="D33" t="s">
        <v>3167</v>
      </c>
      <c r="E33" t="s">
        <v>3168</v>
      </c>
      <c r="F33" t="s">
        <v>45</v>
      </c>
      <c r="G33" t="str">
        <f>HYPERLINK("https://forum.sibmama.ru/viewtopic.php?t=1745658&amp;start=1425#109837568")</f>
        <v>https://forum.sibmama.ru/viewtopic.php?t=1745658&amp;start=1425#109837568</v>
      </c>
      <c r="H33" t="s">
        <v>1057</v>
      </c>
      <c r="I33" t="s">
        <v>3169</v>
      </c>
      <c r="J33" t="str">
        <f>HYPERLINK("https://forum.sibmama.ru/profile.php?mode=viewprofile&amp;u=197639")</f>
        <v>https://forum.sibmama.ru/profile.php?mode=viewprofile&amp;u=197639</v>
      </c>
      <c r="N33" t="s">
        <v>3170</v>
      </c>
      <c r="O33" t="s">
        <v>3171</v>
      </c>
      <c r="P33" t="str">
        <f>HYPERLINK("https://forum.sibmama.ru/viewforum.php?f=2")</f>
        <v>https://forum.sibmama.ru/viewforum.php?f=2</v>
      </c>
      <c r="R33" t="s">
        <v>1293</v>
      </c>
      <c r="S33" t="s">
        <v>18</v>
      </c>
      <c r="AJ33" t="s">
        <v>10</v>
      </c>
      <c r="AK33" t="s">
        <v>21</v>
      </c>
      <c r="AR33" t="s">
        <v>3243</v>
      </c>
    </row>
    <row r="34" spans="1:52" x14ac:dyDescent="0.25">
      <c r="A34" t="s">
        <v>1425</v>
      </c>
      <c r="B34" t="s">
        <v>1451</v>
      </c>
      <c r="C34" t="s">
        <v>984</v>
      </c>
      <c r="D34" t="s">
        <v>10</v>
      </c>
      <c r="E34" t="s">
        <v>1449</v>
      </c>
      <c r="F34" t="s">
        <v>26</v>
      </c>
      <c r="G34" t="str">
        <f>HYPERLINK("https://twitter.com/326602747/status/1289339539773730816")</f>
        <v>https://twitter.com/326602747/status/1289339539773730816</v>
      </c>
      <c r="H34" t="s">
        <v>885</v>
      </c>
      <c r="I34" t="s">
        <v>1452</v>
      </c>
      <c r="J34" t="str">
        <f>HYPERLINK("http://twitter.com/Jules_In_Love")</f>
        <v>http://twitter.com/Jules_In_Love</v>
      </c>
      <c r="K34">
        <v>1923</v>
      </c>
      <c r="N34" t="s">
        <v>54</v>
      </c>
      <c r="R34" t="s">
        <v>17</v>
      </c>
      <c r="S34" t="s">
        <v>425</v>
      </c>
      <c r="W34">
        <v>1</v>
      </c>
      <c r="X34">
        <v>1</v>
      </c>
      <c r="AE34">
        <v>1</v>
      </c>
      <c r="AF34">
        <v>1</v>
      </c>
      <c r="AJ34" t="s">
        <v>10</v>
      </c>
      <c r="AK34" t="s">
        <v>21</v>
      </c>
      <c r="AP34" t="s">
        <v>3241</v>
      </c>
      <c r="AQ34" t="s">
        <v>3242</v>
      </c>
      <c r="AR34" t="s">
        <v>3243</v>
      </c>
      <c r="AU34" t="s">
        <v>3246</v>
      </c>
      <c r="AX34" t="s">
        <v>3249</v>
      </c>
      <c r="AZ34" t="s">
        <v>3251</v>
      </c>
    </row>
    <row r="35" spans="1:52" x14ac:dyDescent="0.25">
      <c r="A35" t="s">
        <v>414</v>
      </c>
      <c r="B35" t="s">
        <v>457</v>
      </c>
      <c r="C35" t="s">
        <v>458</v>
      </c>
      <c r="D35" t="s">
        <v>24</v>
      </c>
      <c r="E35" t="s">
        <v>460</v>
      </c>
      <c r="F35" t="s">
        <v>26</v>
      </c>
      <c r="G35" t="str">
        <f>HYPERLINK("https://vk.com/wall-197114981_31?reply=1263")</f>
        <v>https://vk.com/wall-197114981_31?reply=1263</v>
      </c>
      <c r="H35" t="s">
        <v>13</v>
      </c>
      <c r="I35" t="s">
        <v>461</v>
      </c>
      <c r="J35" t="str">
        <f>HYPERLINK("http://vk.com/id17469829")</f>
        <v>http://vk.com/id17469829</v>
      </c>
      <c r="K35">
        <v>374</v>
      </c>
      <c r="L35" t="s">
        <v>80</v>
      </c>
      <c r="M35">
        <v>28</v>
      </c>
      <c r="N35" t="s">
        <v>16</v>
      </c>
      <c r="O35" t="s">
        <v>27</v>
      </c>
      <c r="P35" t="str">
        <f>HYPERLINK("http://vk.com/club197114981")</f>
        <v>http://vk.com/club197114981</v>
      </c>
      <c r="Q35">
        <v>38</v>
      </c>
      <c r="R35" t="s">
        <v>17</v>
      </c>
      <c r="S35" t="s">
        <v>18</v>
      </c>
      <c r="AJ35" t="s">
        <v>10</v>
      </c>
      <c r="AK35" t="s">
        <v>21</v>
      </c>
      <c r="AN35" t="s">
        <v>3239</v>
      </c>
      <c r="AO35" t="s">
        <v>3240</v>
      </c>
      <c r="AT35" t="s">
        <v>3245</v>
      </c>
      <c r="AV35" t="s">
        <v>3247</v>
      </c>
    </row>
    <row r="36" spans="1:52" x14ac:dyDescent="0.25">
      <c r="A36" t="s">
        <v>1723</v>
      </c>
      <c r="B36" t="s">
        <v>1484</v>
      </c>
      <c r="C36" t="s">
        <v>984</v>
      </c>
      <c r="D36" t="s">
        <v>1697</v>
      </c>
      <c r="E36" t="s">
        <v>1776</v>
      </c>
      <c r="F36" t="s">
        <v>45</v>
      </c>
      <c r="G36" t="str">
        <f>HYPERLINK("https://www.sussexcountian.com/story/news/coronavirus/2020/07/28/covid-northeast-better-prepared-second-spike/5449927002")</f>
        <v>https://www.sussexcountian.com/story/news/coronavirus/2020/07/28/covid-northeast-better-prepared-second-spike/5449927002</v>
      </c>
      <c r="H36" t="s">
        <v>885</v>
      </c>
      <c r="I36" t="s">
        <v>1625</v>
      </c>
      <c r="J36" t="str">
        <f>HYPERLINK("https://www.sussexcountian.com/story/news/coronavirus/2020/07/28/covid-northeast-better-prepared-second-spike/5449927002/")</f>
        <v>https://www.sussexcountian.com/story/news/coronavirus/2020/07/28/covid-northeast-better-prepared-second-spike/5449927002/</v>
      </c>
      <c r="L36" t="s">
        <v>15</v>
      </c>
      <c r="N36" t="s">
        <v>1777</v>
      </c>
      <c r="R36" t="s">
        <v>239</v>
      </c>
      <c r="S36" t="s">
        <v>425</v>
      </c>
      <c r="AJ36" t="s">
        <v>10</v>
      </c>
      <c r="AK36" t="s">
        <v>21</v>
      </c>
      <c r="AO36" t="s">
        <v>3240</v>
      </c>
    </row>
    <row r="37" spans="1:52" x14ac:dyDescent="0.25">
      <c r="A37" t="s">
        <v>2978</v>
      </c>
      <c r="B37" t="s">
        <v>890</v>
      </c>
      <c r="C37" t="s">
        <v>968</v>
      </c>
      <c r="D37" t="s">
        <v>10</v>
      </c>
      <c r="E37" t="s">
        <v>2984</v>
      </c>
      <c r="F37" t="s">
        <v>45</v>
      </c>
      <c r="G37" t="str">
        <f>HYPERLINK("https://vk.com/wall-48669646_10150")</f>
        <v>https://vk.com/wall-48669646_10150</v>
      </c>
      <c r="H37" t="s">
        <v>885</v>
      </c>
      <c r="I37" t="s">
        <v>46</v>
      </c>
      <c r="J37" t="str">
        <f>HYPERLINK("http://vk.com/club48669646")</f>
        <v>http://vk.com/club48669646</v>
      </c>
      <c r="K37">
        <v>5795</v>
      </c>
      <c r="L37" t="s">
        <v>28</v>
      </c>
      <c r="N37" t="s">
        <v>16</v>
      </c>
      <c r="O37" t="s">
        <v>46</v>
      </c>
      <c r="P37" t="str">
        <f>HYPERLINK("http://vk.com/club48669646")</f>
        <v>http://vk.com/club48669646</v>
      </c>
      <c r="Q37">
        <v>5795</v>
      </c>
      <c r="R37" t="s">
        <v>17</v>
      </c>
      <c r="S37" t="s">
        <v>18</v>
      </c>
      <c r="W37">
        <v>0</v>
      </c>
      <c r="X37">
        <v>0</v>
      </c>
      <c r="AE37">
        <v>0</v>
      </c>
      <c r="AF37">
        <v>0</v>
      </c>
      <c r="AG37">
        <v>290</v>
      </c>
      <c r="AI37" t="str">
        <f>HYPERLINK("https://sun1-94.userapi.com/PZhpNV9NFaaxwvXM0JyIs52Yk3PhQvxU-2CFXA/FceiqF91SPs.jpg")</f>
        <v>https://sun1-94.userapi.com/PZhpNV9NFaaxwvXM0JyIs52Yk3PhQvxU-2CFXA/FceiqF91SPs.jpg</v>
      </c>
      <c r="AJ37" t="s">
        <v>10</v>
      </c>
      <c r="AK37" t="s">
        <v>21</v>
      </c>
      <c r="AO37" t="s">
        <v>3240</v>
      </c>
    </row>
    <row r="38" spans="1:52" x14ac:dyDescent="0.25">
      <c r="A38" t="s">
        <v>1838</v>
      </c>
      <c r="B38" t="s">
        <v>1839</v>
      </c>
      <c r="C38" t="s">
        <v>984</v>
      </c>
      <c r="D38" t="s">
        <v>1341</v>
      </c>
      <c r="E38" t="s">
        <v>1840</v>
      </c>
      <c r="F38" t="s">
        <v>26</v>
      </c>
      <c r="G38" t="str">
        <f>HYPERLINK("https://www.youtube.com/watch?v=bqdhre76Jdo&amp;lc=UgyzDR_ksV_NufX8jeN4AaABAg")</f>
        <v>https://www.youtube.com/watch?v=bqdhre76Jdo&amp;lc=UgyzDR_ksV_NufX8jeN4AaABAg</v>
      </c>
      <c r="H38" t="s">
        <v>885</v>
      </c>
      <c r="I38" t="s">
        <v>1841</v>
      </c>
      <c r="J38" t="str">
        <f>HYPERLINK("https://www.youtube.com/channel/UCZC3wVF-OXz3DGuiHf15nmQ")</f>
        <v>https://www.youtube.com/channel/UCZC3wVF-OXz3DGuiHf15nmQ</v>
      </c>
      <c r="K38">
        <v>2</v>
      </c>
      <c r="L38" t="s">
        <v>15</v>
      </c>
      <c r="N38" t="s">
        <v>162</v>
      </c>
      <c r="O38" t="s">
        <v>424</v>
      </c>
      <c r="P38" t="str">
        <f>HYPERLINK("https://www.youtube.com/channel/UC8fQzKHIhSoZeSq3bwQx4mw")</f>
        <v>https://www.youtube.com/channel/UC8fQzKHIhSoZeSq3bwQx4mw</v>
      </c>
      <c r="Q38">
        <v>517000</v>
      </c>
      <c r="R38" t="s">
        <v>17</v>
      </c>
      <c r="S38" t="s">
        <v>425</v>
      </c>
      <c r="W38">
        <v>0</v>
      </c>
      <c r="X38">
        <v>0</v>
      </c>
      <c r="AE38">
        <v>1</v>
      </c>
      <c r="AJ38" t="s">
        <v>10</v>
      </c>
      <c r="AK38" t="s">
        <v>21</v>
      </c>
      <c r="AO38" t="s">
        <v>3240</v>
      </c>
    </row>
    <row r="39" spans="1:52" x14ac:dyDescent="0.25">
      <c r="A39" t="s">
        <v>2122</v>
      </c>
      <c r="B39" t="s">
        <v>1957</v>
      </c>
      <c r="C39" t="s">
        <v>968</v>
      </c>
      <c r="D39" t="s">
        <v>10</v>
      </c>
      <c r="E39" t="s">
        <v>1896</v>
      </c>
      <c r="F39" t="s">
        <v>45</v>
      </c>
      <c r="G39" t="str">
        <f>HYPERLINK("https://www.facebook.com/expert.klinika.stavropol/photos/a.108004590782008/168043394778127/?type=3")</f>
        <v>https://www.facebook.com/expert.klinika.stavropol/photos/a.108004590782008/168043394778127/?type=3</v>
      </c>
      <c r="H39" t="s">
        <v>885</v>
      </c>
      <c r="I39" t="s">
        <v>640</v>
      </c>
      <c r="J39" t="str">
        <f>HYPERLINK("https://www.facebook.com/107325724183228")</f>
        <v>https://www.facebook.com/107325724183228</v>
      </c>
      <c r="K39">
        <v>1</v>
      </c>
      <c r="L39" t="s">
        <v>28</v>
      </c>
      <c r="N39" t="s">
        <v>179</v>
      </c>
      <c r="O39" t="s">
        <v>640</v>
      </c>
      <c r="P39" t="str">
        <f>HYPERLINK("https://www.facebook.com/107325724183228")</f>
        <v>https://www.facebook.com/107325724183228</v>
      </c>
      <c r="Q39">
        <v>1</v>
      </c>
      <c r="R39" t="s">
        <v>17</v>
      </c>
      <c r="S39" t="s">
        <v>18</v>
      </c>
      <c r="T39" t="s">
        <v>641</v>
      </c>
      <c r="U39" t="s">
        <v>642</v>
      </c>
      <c r="W39">
        <v>0</v>
      </c>
      <c r="X39">
        <v>0</v>
      </c>
      <c r="Y39">
        <v>0</v>
      </c>
      <c r="Z39">
        <v>0</v>
      </c>
      <c r="AA39">
        <v>0</v>
      </c>
      <c r="AB39">
        <v>0</v>
      </c>
      <c r="AC39">
        <v>0</v>
      </c>
      <c r="AE39">
        <v>0</v>
      </c>
      <c r="AI39" t="str">
        <f>HYPERLINK("https://scontent-hel2-1.xx.fbcdn.net/v/t1.0-0/p526x296/109872458_168043398111460_1710533914937515751_o.jpg?_nc_cat=104&amp;_nc_sid=9267fe&amp;_nc_ohc=yFOwQ2gjjs0AX-nzyNE&amp;_nc_ht=scontent-hel2-1.xx&amp;_nc_tp=6&amp;oh=a391c31ec74edc2072583fc8b5d6bf56&amp;oe=5F3F0A36")</f>
        <v>https://scontent-hel2-1.xx.fbcdn.net/v/t1.0-0/p526x296/109872458_168043398111460_1710533914937515751_o.jpg?_nc_cat=104&amp;_nc_sid=9267fe&amp;_nc_ohc=yFOwQ2gjjs0AX-nzyNE&amp;_nc_ht=scontent-hel2-1.xx&amp;_nc_tp=6&amp;oh=a391c31ec74edc2072583fc8b5d6bf56&amp;oe=5F3F0A36</v>
      </c>
      <c r="AJ39" t="s">
        <v>10</v>
      </c>
      <c r="AK39" t="s">
        <v>21</v>
      </c>
      <c r="AO39" t="s">
        <v>3240</v>
      </c>
    </row>
    <row r="40" spans="1:52" x14ac:dyDescent="0.25">
      <c r="A40" t="s">
        <v>2193</v>
      </c>
      <c r="B40" t="s">
        <v>1399</v>
      </c>
      <c r="C40" t="s">
        <v>968</v>
      </c>
      <c r="D40" t="s">
        <v>10</v>
      </c>
      <c r="E40" t="s">
        <v>2229</v>
      </c>
      <c r="F40" t="s">
        <v>45</v>
      </c>
      <c r="G40" t="str">
        <f>HYPERLINK("https://www.instagram.com/p/CC8LMJXlceU")</f>
        <v>https://www.instagram.com/p/CC8LMJXlceU</v>
      </c>
      <c r="H40" t="s">
        <v>885</v>
      </c>
      <c r="I40" t="s">
        <v>1128</v>
      </c>
      <c r="J40" t="str">
        <f>HYPERLINK("http://instagram.com/mrt_ekspert_sochi")</f>
        <v>http://instagram.com/mrt_ekspert_sochi</v>
      </c>
      <c r="K40">
        <v>657</v>
      </c>
      <c r="L40" t="s">
        <v>28</v>
      </c>
      <c r="N40" t="s">
        <v>69</v>
      </c>
      <c r="O40" t="s">
        <v>1128</v>
      </c>
      <c r="P40" t="str">
        <f>HYPERLINK("http://instagram.com/mrt_ekspert_sochi")</f>
        <v>http://instagram.com/mrt_ekspert_sochi</v>
      </c>
      <c r="Q40">
        <v>657</v>
      </c>
      <c r="R40" t="s">
        <v>17</v>
      </c>
      <c r="S40" t="s">
        <v>18</v>
      </c>
      <c r="T40" t="s">
        <v>617</v>
      </c>
      <c r="U40" t="s">
        <v>1034</v>
      </c>
      <c r="AI40" t="str">
        <f>HYPERLINK("https://www.instagram.com/p/CC8LMJXlceU/media/?size=l")</f>
        <v>https://www.instagram.com/p/CC8LMJXlceU/media/?size=l</v>
      </c>
      <c r="AJ40" t="s">
        <v>10</v>
      </c>
      <c r="AK40" t="s">
        <v>21</v>
      </c>
      <c r="AO40" t="s">
        <v>3240</v>
      </c>
    </row>
    <row r="41" spans="1:52" x14ac:dyDescent="0.25">
      <c r="A41" t="s">
        <v>2684</v>
      </c>
      <c r="B41" t="s">
        <v>2756</v>
      </c>
      <c r="C41" t="s">
        <v>968</v>
      </c>
      <c r="D41" t="s">
        <v>10</v>
      </c>
      <c r="E41" t="s">
        <v>2757</v>
      </c>
      <c r="F41" t="s">
        <v>45</v>
      </c>
      <c r="G41" t="str">
        <f>HYPERLINK("https://www.instagram.com/p/CCnZ2mIoNl4")</f>
        <v>https://www.instagram.com/p/CCnZ2mIoNl4</v>
      </c>
      <c r="H41" t="s">
        <v>889</v>
      </c>
      <c r="I41" t="s">
        <v>1476</v>
      </c>
      <c r="J41" t="str">
        <f>HYPERLINK("http://instagram.com/clinic_expert_kursk")</f>
        <v>http://instagram.com/clinic_expert_kursk</v>
      </c>
      <c r="K41">
        <v>1960</v>
      </c>
      <c r="N41" t="s">
        <v>69</v>
      </c>
      <c r="O41" t="s">
        <v>1476</v>
      </c>
      <c r="P41" t="str">
        <f>HYPERLINK("http://instagram.com/clinic_expert_kursk")</f>
        <v>http://instagram.com/clinic_expert_kursk</v>
      </c>
      <c r="Q41">
        <v>1960</v>
      </c>
      <c r="R41" t="s">
        <v>17</v>
      </c>
      <c r="S41" t="s">
        <v>18</v>
      </c>
      <c r="T41" t="s">
        <v>231</v>
      </c>
      <c r="U41" t="s">
        <v>1266</v>
      </c>
      <c r="AI41" t="str">
        <f>HYPERLINK("https://www.instagram.com/p/CCnZ2mIoNl4/media/?size=l")</f>
        <v>https://www.instagram.com/p/CCnZ2mIoNl4/media/?size=l</v>
      </c>
      <c r="AJ41" t="s">
        <v>10</v>
      </c>
      <c r="AK41" t="s">
        <v>21</v>
      </c>
      <c r="AO41" t="s">
        <v>3240</v>
      </c>
      <c r="AP41" t="s">
        <v>3241</v>
      </c>
      <c r="AQ41" t="s">
        <v>3242</v>
      </c>
      <c r="AR41" t="s">
        <v>3243</v>
      </c>
    </row>
    <row r="42" spans="1:52" x14ac:dyDescent="0.25">
      <c r="A42" t="s">
        <v>2767</v>
      </c>
      <c r="B42" t="s">
        <v>2811</v>
      </c>
      <c r="C42" t="s">
        <v>968</v>
      </c>
      <c r="D42" t="s">
        <v>10</v>
      </c>
      <c r="E42" t="s">
        <v>2812</v>
      </c>
      <c r="F42" t="s">
        <v>45</v>
      </c>
      <c r="G42" t="str">
        <f>HYPERLINK("https://vk.com/wall-195419226_2870")</f>
        <v>https://vk.com/wall-195419226_2870</v>
      </c>
      <c r="H42" t="s">
        <v>1057</v>
      </c>
      <c r="I42" t="s">
        <v>2813</v>
      </c>
      <c r="J42" t="str">
        <f>HYPERLINK("http://vk.com/club195419226")</f>
        <v>http://vk.com/club195419226</v>
      </c>
      <c r="K42">
        <v>25</v>
      </c>
      <c r="L42" t="s">
        <v>28</v>
      </c>
      <c r="N42" t="s">
        <v>16</v>
      </c>
      <c r="O42" t="s">
        <v>2813</v>
      </c>
      <c r="P42" t="str">
        <f>HYPERLINK("http://vk.com/club195419226")</f>
        <v>http://vk.com/club195419226</v>
      </c>
      <c r="Q42">
        <v>25</v>
      </c>
      <c r="R42" t="s">
        <v>17</v>
      </c>
      <c r="W42">
        <v>0</v>
      </c>
      <c r="X42">
        <v>0</v>
      </c>
      <c r="AE42">
        <v>0</v>
      </c>
      <c r="AF42">
        <v>0</v>
      </c>
      <c r="AG42">
        <v>1</v>
      </c>
      <c r="AI42" t="str">
        <f>HYPERLINK("https://sun9-72.userapi.com/c631922/v631922598/55b9a/TKFVJ58FLoY.jpg")</f>
        <v>https://sun9-72.userapi.com/c631922/v631922598/55b9a/TKFVJ58FLoY.jpg</v>
      </c>
      <c r="AJ42" t="s">
        <v>10</v>
      </c>
      <c r="AK42" t="s">
        <v>21</v>
      </c>
      <c r="AL42" t="s">
        <v>3237</v>
      </c>
      <c r="AP42" t="s">
        <v>3241</v>
      </c>
      <c r="AQ42" t="s">
        <v>3242</v>
      </c>
      <c r="AR42" t="s">
        <v>3243</v>
      </c>
      <c r="AU42" t="s">
        <v>3246</v>
      </c>
      <c r="AV42" t="s">
        <v>3247</v>
      </c>
      <c r="AX42" t="s">
        <v>3249</v>
      </c>
    </row>
    <row r="43" spans="1:52" x14ac:dyDescent="0.25">
      <c r="A43" t="s">
        <v>3021</v>
      </c>
      <c r="B43" t="s">
        <v>2037</v>
      </c>
      <c r="C43" t="s">
        <v>968</v>
      </c>
      <c r="D43" t="s">
        <v>10</v>
      </c>
      <c r="E43" t="s">
        <v>3081</v>
      </c>
      <c r="F43" t="s">
        <v>45</v>
      </c>
      <c r="G43" t="str">
        <f>HYPERLINK("https://www.facebook.com/mriexpert/photos/a.902990326434112/3169622606437528/?type=3")</f>
        <v>https://www.facebook.com/mriexpert/photos/a.902990326434112/3169622606437528/?type=3</v>
      </c>
      <c r="H43" t="s">
        <v>885</v>
      </c>
      <c r="I43" t="s">
        <v>46</v>
      </c>
      <c r="J43" t="str">
        <f>HYPERLINK("https://www.facebook.com/902980129768465")</f>
        <v>https://www.facebook.com/902980129768465</v>
      </c>
      <c r="K43">
        <v>1509</v>
      </c>
      <c r="L43" t="s">
        <v>28</v>
      </c>
      <c r="N43" t="s">
        <v>179</v>
      </c>
      <c r="O43" t="s">
        <v>46</v>
      </c>
      <c r="P43" t="str">
        <f>HYPERLINK("https://www.facebook.com/902980129768465")</f>
        <v>https://www.facebook.com/902980129768465</v>
      </c>
      <c r="Q43">
        <v>1509</v>
      </c>
      <c r="R43" t="s">
        <v>17</v>
      </c>
      <c r="W43">
        <v>0</v>
      </c>
      <c r="X43">
        <v>0</v>
      </c>
      <c r="Y43">
        <v>0</v>
      </c>
      <c r="Z43">
        <v>0</v>
      </c>
      <c r="AA43">
        <v>0</v>
      </c>
      <c r="AB43">
        <v>0</v>
      </c>
      <c r="AC43">
        <v>0</v>
      </c>
      <c r="AE43">
        <v>0</v>
      </c>
      <c r="AI43" t="str">
        <f>HYPERLINK("https://scontent-hel2-1.xx.fbcdn.net/v/t1.0-9/s960x960/107611070_3169622613104194_2172550915722590137_o.jpg?_nc_cat=102&amp;_nc_sid=9267fe&amp;_nc_ohc=p_C12kvL3isAX87VlgD&amp;_nc_ht=scontent-hel2-1.xx&amp;_nc_tp=7&amp;oh=32f54fc147198ba8be48ce9b162e39a1&amp;oe=5F2DA30E")</f>
        <v>https://scontent-hel2-1.xx.fbcdn.net/v/t1.0-9/s960x960/107611070_3169622613104194_2172550915722590137_o.jpg?_nc_cat=102&amp;_nc_sid=9267fe&amp;_nc_ohc=p_C12kvL3isAX87VlgD&amp;_nc_ht=scontent-hel2-1.xx&amp;_nc_tp=7&amp;oh=32f54fc147198ba8be48ce9b162e39a1&amp;oe=5F2DA30E</v>
      </c>
      <c r="AJ43" t="s">
        <v>10</v>
      </c>
      <c r="AK43" t="s">
        <v>21</v>
      </c>
      <c r="AL43" t="s">
        <v>3237</v>
      </c>
      <c r="AR43" t="s">
        <v>3243</v>
      </c>
      <c r="AU43" t="s">
        <v>3246</v>
      </c>
      <c r="AX43" t="s">
        <v>3249</v>
      </c>
    </row>
    <row r="44" spans="1:52" x14ac:dyDescent="0.25">
      <c r="A44" t="s">
        <v>7</v>
      </c>
      <c r="B44" t="s">
        <v>191</v>
      </c>
      <c r="C44" t="s">
        <v>172</v>
      </c>
      <c r="D44" t="s">
        <v>192</v>
      </c>
      <c r="E44" t="s">
        <v>193</v>
      </c>
      <c r="F44" t="s">
        <v>45</v>
      </c>
      <c r="G44" t="str">
        <f>HYPERLINK("https://ok.ru/group/53656452989084/topic/151863638073500")</f>
        <v>https://ok.ru/group/53656452989084/topic/151863638073500</v>
      </c>
      <c r="H44" t="s">
        <v>13</v>
      </c>
      <c r="I44" t="s">
        <v>194</v>
      </c>
      <c r="J44" t="str">
        <f>HYPERLINK("https://ok.ru/group/53656452989084")</f>
        <v>https://ok.ru/group/53656452989084</v>
      </c>
      <c r="K44">
        <v>622</v>
      </c>
      <c r="L44" t="s">
        <v>28</v>
      </c>
      <c r="N44" t="s">
        <v>135</v>
      </c>
      <c r="O44" t="s">
        <v>194</v>
      </c>
      <c r="P44" t="str">
        <f>HYPERLINK("https://ok.ru/group/53656452989084")</f>
        <v>https://ok.ru/group/53656452989084</v>
      </c>
      <c r="Q44">
        <v>622</v>
      </c>
      <c r="R44" t="s">
        <v>17</v>
      </c>
      <c r="W44">
        <v>0</v>
      </c>
      <c r="X44">
        <v>0</v>
      </c>
      <c r="AE44">
        <v>0</v>
      </c>
      <c r="AF44">
        <v>0</v>
      </c>
      <c r="AI44" t="str">
        <f>HYPERLINK("https://i.mycdn.me/image?id=896555548060&amp;t=20&amp;plc=API&amp;aid=1131601408&amp;tkn=*D5f5zvMde5RuK-h22g6bYDmRUtI")</f>
        <v>https://i.mycdn.me/image?id=896555548060&amp;t=20&amp;plc=API&amp;aid=1131601408&amp;tkn=*D5f5zvMde5RuK-h22g6bYDmRUtI</v>
      </c>
      <c r="AJ44" t="s">
        <v>10</v>
      </c>
      <c r="AK44" t="s">
        <v>21</v>
      </c>
      <c r="AL44" t="s">
        <v>3237</v>
      </c>
      <c r="AR44" t="s">
        <v>3243</v>
      </c>
    </row>
    <row r="45" spans="1:52" x14ac:dyDescent="0.25">
      <c r="A45" t="s">
        <v>772</v>
      </c>
      <c r="B45" t="s">
        <v>851</v>
      </c>
      <c r="C45" t="s">
        <v>852</v>
      </c>
      <c r="D45" t="s">
        <v>24</v>
      </c>
      <c r="E45" t="s">
        <v>853</v>
      </c>
      <c r="F45" t="s">
        <v>26</v>
      </c>
      <c r="G45" t="str">
        <f>HYPERLINK("https://vk.com/wall-197114981_31?reply=1136&amp;thread=1135")</f>
        <v>https://vk.com/wall-197114981_31?reply=1136&amp;thread=1135</v>
      </c>
      <c r="H45" t="s">
        <v>13</v>
      </c>
      <c r="I45" t="s">
        <v>27</v>
      </c>
      <c r="J45" t="str">
        <f>HYPERLINK("http://vk.com/club197114981")</f>
        <v>http://vk.com/club197114981</v>
      </c>
      <c r="K45">
        <v>38</v>
      </c>
      <c r="L45" t="s">
        <v>28</v>
      </c>
      <c r="N45" t="s">
        <v>16</v>
      </c>
      <c r="O45" t="s">
        <v>27</v>
      </c>
      <c r="P45" t="str">
        <f>HYPERLINK("http://vk.com/club197114981")</f>
        <v>http://vk.com/club197114981</v>
      </c>
      <c r="Q45">
        <v>38</v>
      </c>
      <c r="R45" t="s">
        <v>17</v>
      </c>
      <c r="AJ45" t="s">
        <v>10</v>
      </c>
      <c r="AK45" t="s">
        <v>21</v>
      </c>
      <c r="AR45" t="s">
        <v>3243</v>
      </c>
    </row>
    <row r="46" spans="1:52" x14ac:dyDescent="0.25">
      <c r="A46" t="s">
        <v>7</v>
      </c>
      <c r="B46" t="s">
        <v>8</v>
      </c>
      <c r="C46" t="s">
        <v>9</v>
      </c>
      <c r="D46" t="s">
        <v>10</v>
      </c>
      <c r="E46" t="s">
        <v>11</v>
      </c>
      <c r="F46" t="s">
        <v>12</v>
      </c>
      <c r="G46" t="str">
        <f>HYPERLINK("https://vk.com/wall162331554_98147")</f>
        <v>https://vk.com/wall162331554_98147</v>
      </c>
      <c r="H46" t="s">
        <v>13</v>
      </c>
      <c r="I46" t="s">
        <v>14</v>
      </c>
      <c r="J46" t="str">
        <f>HYPERLINK("http://vk.com/id162331554")</f>
        <v>http://vk.com/id162331554</v>
      </c>
      <c r="K46">
        <v>2469</v>
      </c>
      <c r="L46" t="s">
        <v>15</v>
      </c>
      <c r="M46">
        <v>25</v>
      </c>
      <c r="N46" t="s">
        <v>16</v>
      </c>
      <c r="O46" t="s">
        <v>14</v>
      </c>
      <c r="P46" t="str">
        <f>HYPERLINK("http://vk.com/id162331554")</f>
        <v>http://vk.com/id162331554</v>
      </c>
      <c r="Q46">
        <v>2469</v>
      </c>
      <c r="R46" t="s">
        <v>17</v>
      </c>
      <c r="S46" t="s">
        <v>18</v>
      </c>
      <c r="T46" t="s">
        <v>19</v>
      </c>
      <c r="U46" t="s">
        <v>20</v>
      </c>
      <c r="AI46" t="str">
        <f>HYPERLINK("https://sun1-89.userapi.com/qnO-7tpN1ps-4P39tDfmHQTA28NmkQApJE1QXw/YodPZAxenkA.jpg")</f>
        <v>https://sun1-89.userapi.com/qnO-7tpN1ps-4P39tDfmHQTA28NmkQApJE1QXw/YodPZAxenkA.jpg</v>
      </c>
      <c r="AJ46" t="s">
        <v>10</v>
      </c>
      <c r="AK46" t="s">
        <v>21</v>
      </c>
      <c r="AR46" t="s">
        <v>3243</v>
      </c>
      <c r="AX46" t="s">
        <v>3249</v>
      </c>
    </row>
    <row r="47" spans="1:52" x14ac:dyDescent="0.25">
      <c r="A47" t="s">
        <v>772</v>
      </c>
      <c r="B47" t="s">
        <v>827</v>
      </c>
      <c r="C47" t="s">
        <v>830</v>
      </c>
      <c r="D47" t="s">
        <v>24</v>
      </c>
      <c r="E47" t="s">
        <v>831</v>
      </c>
      <c r="F47" t="s">
        <v>26</v>
      </c>
      <c r="G47" t="str">
        <f>HYPERLINK("https://vk.com/wall-197114981_31?reply=1145&amp;thread=1098")</f>
        <v>https://vk.com/wall-197114981_31?reply=1145&amp;thread=1098</v>
      </c>
      <c r="H47" t="s">
        <v>13</v>
      </c>
      <c r="I47" t="s">
        <v>489</v>
      </c>
      <c r="J47" t="str">
        <f>HYPERLINK("http://vk.com/id565363508")</f>
        <v>http://vk.com/id565363508</v>
      </c>
      <c r="K47">
        <v>140</v>
      </c>
      <c r="L47" t="s">
        <v>80</v>
      </c>
      <c r="N47" t="s">
        <v>16</v>
      </c>
      <c r="O47" t="s">
        <v>27</v>
      </c>
      <c r="P47" t="str">
        <f>HYPERLINK("http://vk.com/club197114981")</f>
        <v>http://vk.com/club197114981</v>
      </c>
      <c r="Q47">
        <v>38</v>
      </c>
      <c r="R47" t="s">
        <v>17</v>
      </c>
      <c r="S47" t="s">
        <v>18</v>
      </c>
      <c r="T47" t="s">
        <v>231</v>
      </c>
      <c r="U47" t="s">
        <v>232</v>
      </c>
      <c r="AJ47" t="s">
        <v>10</v>
      </c>
      <c r="AK47" t="s">
        <v>21</v>
      </c>
      <c r="AL47" t="s">
        <v>3237</v>
      </c>
      <c r="AP47" t="s">
        <v>3241</v>
      </c>
      <c r="AQ47" t="s">
        <v>3242</v>
      </c>
      <c r="AR47" t="s">
        <v>3243</v>
      </c>
    </row>
    <row r="48" spans="1:52" x14ac:dyDescent="0.25">
      <c r="A48" t="s">
        <v>1017</v>
      </c>
      <c r="B48" t="s">
        <v>1062</v>
      </c>
      <c r="C48" t="s">
        <v>984</v>
      </c>
      <c r="D48" t="s">
        <v>10</v>
      </c>
      <c r="E48" t="s">
        <v>1023</v>
      </c>
      <c r="F48" t="s">
        <v>12</v>
      </c>
      <c r="G48" t="str">
        <f>HYPERLINK("https://vk.com/wall562310125_77")</f>
        <v>https://vk.com/wall562310125_77</v>
      </c>
      <c r="H48" t="s">
        <v>885</v>
      </c>
      <c r="I48" t="s">
        <v>1063</v>
      </c>
      <c r="J48" t="str">
        <f>HYPERLINK("http://vk.com/id562310125")</f>
        <v>http://vk.com/id562310125</v>
      </c>
      <c r="K48">
        <v>130</v>
      </c>
      <c r="L48" t="s">
        <v>80</v>
      </c>
      <c r="M48">
        <v>41</v>
      </c>
      <c r="N48" t="s">
        <v>16</v>
      </c>
      <c r="O48" t="s">
        <v>1063</v>
      </c>
      <c r="P48" t="str">
        <f>HYPERLINK("http://vk.com/id562310125")</f>
        <v>http://vk.com/id562310125</v>
      </c>
      <c r="Q48">
        <v>130</v>
      </c>
      <c r="R48" t="s">
        <v>17</v>
      </c>
      <c r="S48" t="s">
        <v>18</v>
      </c>
      <c r="T48" t="s">
        <v>1015</v>
      </c>
      <c r="U48" t="s">
        <v>1016</v>
      </c>
      <c r="W48">
        <v>1</v>
      </c>
      <c r="X48">
        <v>1</v>
      </c>
      <c r="AE48">
        <v>0</v>
      </c>
      <c r="AF48">
        <v>0</v>
      </c>
      <c r="AG48">
        <v>5</v>
      </c>
      <c r="AI48" t="str">
        <f>HYPERLINK("https://sun1-47.userapi.com/opX5IBLF-1siB9r08EeJTIZVQxHvWWloJijsSg/YVPQrsHFC90.jpg")</f>
        <v>https://sun1-47.userapi.com/opX5IBLF-1siB9r08EeJTIZVQxHvWWloJijsSg/YVPQrsHFC90.jpg</v>
      </c>
      <c r="AJ48" t="s">
        <v>10</v>
      </c>
      <c r="AK48" t="s">
        <v>21</v>
      </c>
      <c r="AP48" t="s">
        <v>3241</v>
      </c>
      <c r="AQ48" t="s">
        <v>3242</v>
      </c>
      <c r="AR48" t="s">
        <v>3243</v>
      </c>
      <c r="AX48" t="s">
        <v>3249</v>
      </c>
    </row>
    <row r="49" spans="1:52" x14ac:dyDescent="0.25">
      <c r="A49" t="s">
        <v>1838</v>
      </c>
      <c r="B49" t="s">
        <v>864</v>
      </c>
      <c r="C49" t="s">
        <v>984</v>
      </c>
      <c r="D49" t="s">
        <v>10</v>
      </c>
      <c r="E49" t="s">
        <v>1856</v>
      </c>
      <c r="F49" t="s">
        <v>45</v>
      </c>
      <c r="G49" t="str">
        <f>HYPERLINK("https://www.facebook.com/mrtexpertrnd/photos/a.565935020817465/782720445805587/?type=3")</f>
        <v>https://www.facebook.com/mrtexpertrnd/photos/a.565935020817465/782720445805587/?type=3</v>
      </c>
      <c r="H49" t="s">
        <v>885</v>
      </c>
      <c r="I49" t="s">
        <v>125</v>
      </c>
      <c r="J49" t="str">
        <f>HYPERLINK("https://www.facebook.com/156600068417631")</f>
        <v>https://www.facebook.com/156600068417631</v>
      </c>
      <c r="K49">
        <v>236</v>
      </c>
      <c r="L49" t="s">
        <v>28</v>
      </c>
      <c r="N49" t="s">
        <v>179</v>
      </c>
      <c r="O49" t="s">
        <v>125</v>
      </c>
      <c r="P49" t="str">
        <f>HYPERLINK("https://www.facebook.com/156600068417631")</f>
        <v>https://www.facebook.com/156600068417631</v>
      </c>
      <c r="Q49">
        <v>236</v>
      </c>
      <c r="R49" t="s">
        <v>17</v>
      </c>
      <c r="S49" t="s">
        <v>18</v>
      </c>
      <c r="T49" t="s">
        <v>126</v>
      </c>
      <c r="U49" t="s">
        <v>127</v>
      </c>
      <c r="W49">
        <v>0</v>
      </c>
      <c r="X49">
        <v>0</v>
      </c>
      <c r="Y49">
        <v>0</v>
      </c>
      <c r="Z49">
        <v>0</v>
      </c>
      <c r="AA49">
        <v>0</v>
      </c>
      <c r="AB49">
        <v>0</v>
      </c>
      <c r="AC49">
        <v>0</v>
      </c>
      <c r="AE49">
        <v>0</v>
      </c>
      <c r="AI49" t="str">
        <f>HYPERLINK("https://scontent-hel2-1.xx.fbcdn.net/v/t1.0-0/p526x296/115932788_782720449138920_8872879375128648602_o.jpg?_nc_cat=107&amp;_nc_sid=9267fe&amp;_nc_ohc=qlQE38mzP-sAX_Q74hA&amp;_nc_ht=scontent-hel2-1.xx&amp;_nc_tp=6&amp;oh=dbf9fb4934481c79b9112eade2bf9df2&amp;oe=5F42F513")</f>
        <v>https://scontent-hel2-1.xx.fbcdn.net/v/t1.0-0/p526x296/115932788_782720449138920_8872879375128648602_o.jpg?_nc_cat=107&amp;_nc_sid=9267fe&amp;_nc_ohc=qlQE38mzP-sAX_Q74hA&amp;_nc_ht=scontent-hel2-1.xx&amp;_nc_tp=6&amp;oh=dbf9fb4934481c79b9112eade2bf9df2&amp;oe=5F42F513</v>
      </c>
      <c r="AJ49" t="s">
        <v>10</v>
      </c>
      <c r="AK49" t="s">
        <v>21</v>
      </c>
      <c r="AP49" t="s">
        <v>3241</v>
      </c>
      <c r="AQ49" t="s">
        <v>3242</v>
      </c>
      <c r="AR49" t="s">
        <v>3243</v>
      </c>
    </row>
    <row r="50" spans="1:52" x14ac:dyDescent="0.25">
      <c r="A50" t="s">
        <v>2589</v>
      </c>
      <c r="B50" t="s">
        <v>2628</v>
      </c>
      <c r="C50" t="s">
        <v>968</v>
      </c>
      <c r="D50" t="s">
        <v>10</v>
      </c>
      <c r="E50" t="s">
        <v>1124</v>
      </c>
      <c r="F50" t="s">
        <v>12</v>
      </c>
      <c r="G50" t="str">
        <f>HYPERLINK("https://vk.com/wall262980124_2260")</f>
        <v>https://vk.com/wall262980124_2260</v>
      </c>
      <c r="H50" t="s">
        <v>885</v>
      </c>
      <c r="I50" t="s">
        <v>2629</v>
      </c>
      <c r="J50" t="str">
        <f>HYPERLINK("http://vk.com/id262980124")</f>
        <v>http://vk.com/id262980124</v>
      </c>
      <c r="K50">
        <v>51</v>
      </c>
      <c r="L50" t="s">
        <v>80</v>
      </c>
      <c r="N50" t="s">
        <v>16</v>
      </c>
      <c r="O50" t="s">
        <v>2629</v>
      </c>
      <c r="P50" t="str">
        <f>HYPERLINK("http://vk.com/id262980124")</f>
        <v>http://vk.com/id262980124</v>
      </c>
      <c r="Q50">
        <v>51</v>
      </c>
      <c r="R50" t="s">
        <v>17</v>
      </c>
      <c r="S50" t="s">
        <v>18</v>
      </c>
      <c r="T50" t="s">
        <v>272</v>
      </c>
      <c r="U50" t="s">
        <v>1300</v>
      </c>
      <c r="W50">
        <v>0</v>
      </c>
      <c r="X50">
        <v>0</v>
      </c>
      <c r="AE50">
        <v>0</v>
      </c>
      <c r="AF50">
        <v>0</v>
      </c>
      <c r="AG50">
        <v>6</v>
      </c>
      <c r="AI50" t="str">
        <f>HYPERLINK("https://sun9-30.userapi.com/c858436/v858436720/210a56/VTJvowMGSNI.jpg")</f>
        <v>https://sun9-30.userapi.com/c858436/v858436720/210a56/VTJvowMGSNI.jpg</v>
      </c>
      <c r="AJ50" t="s">
        <v>10</v>
      </c>
      <c r="AK50" t="s">
        <v>21</v>
      </c>
      <c r="AM50" t="s">
        <v>3238</v>
      </c>
      <c r="AO50" t="s">
        <v>3240</v>
      </c>
      <c r="AX50" t="s">
        <v>3249</v>
      </c>
      <c r="AY50" t="s">
        <v>3250</v>
      </c>
      <c r="AZ50" t="s">
        <v>3251</v>
      </c>
    </row>
    <row r="51" spans="1:52" x14ac:dyDescent="0.25">
      <c r="A51" t="s">
        <v>7</v>
      </c>
      <c r="B51" t="s">
        <v>128</v>
      </c>
      <c r="C51" t="s">
        <v>129</v>
      </c>
      <c r="D51" t="s">
        <v>10</v>
      </c>
      <c r="E51" t="s">
        <v>11</v>
      </c>
      <c r="F51" t="s">
        <v>45</v>
      </c>
      <c r="G51" t="str">
        <f>HYPERLINK("https://vk.com/wall-79858706_2269397")</f>
        <v>https://vk.com/wall-79858706_2269397</v>
      </c>
      <c r="H51" t="s">
        <v>13</v>
      </c>
      <c r="I51" t="s">
        <v>20</v>
      </c>
      <c r="J51" t="str">
        <f>HYPERLINK("http://vk.com/club79858706")</f>
        <v>http://vk.com/club79858706</v>
      </c>
      <c r="K51">
        <v>287153</v>
      </c>
      <c r="L51" t="s">
        <v>28</v>
      </c>
      <c r="N51" t="s">
        <v>16</v>
      </c>
      <c r="O51" t="s">
        <v>20</v>
      </c>
      <c r="P51" t="str">
        <f>HYPERLINK("http://vk.com/club79858706")</f>
        <v>http://vk.com/club79858706</v>
      </c>
      <c r="Q51">
        <v>287153</v>
      </c>
      <c r="R51" t="s">
        <v>17</v>
      </c>
      <c r="W51">
        <v>5</v>
      </c>
      <c r="X51">
        <v>5</v>
      </c>
      <c r="AE51">
        <v>4</v>
      </c>
      <c r="AF51">
        <v>1</v>
      </c>
      <c r="AG51">
        <v>7560</v>
      </c>
      <c r="AI51" t="str">
        <f>HYPERLINK("https://sun9-15.userapi.com/qnO-7tpN1ps-4P39tDfmHQTA28NmkQApJE1QXw/YodPZAxenkA.jpg")</f>
        <v>https://sun9-15.userapi.com/qnO-7tpN1ps-4P39tDfmHQTA28NmkQApJE1QXw/YodPZAxenkA.jpg</v>
      </c>
      <c r="AJ51" t="s">
        <v>10</v>
      </c>
      <c r="AK51" t="s">
        <v>21</v>
      </c>
      <c r="AO51" t="s">
        <v>3240</v>
      </c>
      <c r="AX51" t="s">
        <v>3249</v>
      </c>
      <c r="AY51" t="s">
        <v>3250</v>
      </c>
      <c r="AZ51" t="s">
        <v>3251</v>
      </c>
    </row>
    <row r="52" spans="1:52" x14ac:dyDescent="0.25">
      <c r="A52" t="s">
        <v>414</v>
      </c>
      <c r="B52" t="s">
        <v>90</v>
      </c>
      <c r="C52" t="s">
        <v>593</v>
      </c>
      <c r="D52" t="s">
        <v>24</v>
      </c>
      <c r="E52" t="s">
        <v>594</v>
      </c>
      <c r="F52" t="s">
        <v>26</v>
      </c>
      <c r="G52" t="str">
        <f>HYPERLINK("https://vk.com/wall-197114981_31?reply=1220&amp;thread=1219")</f>
        <v>https://vk.com/wall-197114981_31?reply=1220&amp;thread=1219</v>
      </c>
      <c r="H52" t="s">
        <v>13</v>
      </c>
      <c r="I52" t="s">
        <v>27</v>
      </c>
      <c r="J52" t="str">
        <f>HYPERLINK("http://vk.com/club197114981")</f>
        <v>http://vk.com/club197114981</v>
      </c>
      <c r="K52">
        <v>38</v>
      </c>
      <c r="L52" t="s">
        <v>28</v>
      </c>
      <c r="N52" t="s">
        <v>16</v>
      </c>
      <c r="O52" t="s">
        <v>27</v>
      </c>
      <c r="P52" t="str">
        <f>HYPERLINK("http://vk.com/club197114981")</f>
        <v>http://vk.com/club197114981</v>
      </c>
      <c r="Q52">
        <v>38</v>
      </c>
      <c r="R52" t="s">
        <v>17</v>
      </c>
      <c r="AJ52" t="s">
        <v>10</v>
      </c>
      <c r="AK52" t="s">
        <v>21</v>
      </c>
      <c r="AN52" t="s">
        <v>3239</v>
      </c>
      <c r="AY52" t="s">
        <v>3250</v>
      </c>
      <c r="AZ52" t="s">
        <v>3251</v>
      </c>
    </row>
    <row r="53" spans="1:52" x14ac:dyDescent="0.25">
      <c r="A53" t="s">
        <v>7</v>
      </c>
      <c r="B53" t="s">
        <v>347</v>
      </c>
      <c r="C53" t="s">
        <v>348</v>
      </c>
      <c r="D53" t="s">
        <v>24</v>
      </c>
      <c r="E53" t="s">
        <v>285</v>
      </c>
      <c r="F53" t="s">
        <v>26</v>
      </c>
      <c r="G53" t="str">
        <f>HYPERLINK("https://vk.com/wall-197114981_31?reply=1319&amp;thread=1317")</f>
        <v>https://vk.com/wall-197114981_31?reply=1319&amp;thread=1317</v>
      </c>
      <c r="H53" t="s">
        <v>13</v>
      </c>
      <c r="I53" t="s">
        <v>27</v>
      </c>
      <c r="J53" t="str">
        <f>HYPERLINK("http://vk.com/club197114981")</f>
        <v>http://vk.com/club197114981</v>
      </c>
      <c r="K53">
        <v>38</v>
      </c>
      <c r="L53" t="s">
        <v>28</v>
      </c>
      <c r="N53" t="s">
        <v>16</v>
      </c>
      <c r="O53" t="s">
        <v>27</v>
      </c>
      <c r="P53" t="str">
        <f>HYPERLINK("http://vk.com/club197114981")</f>
        <v>http://vk.com/club197114981</v>
      </c>
      <c r="Q53">
        <v>38</v>
      </c>
      <c r="R53" t="s">
        <v>17</v>
      </c>
      <c r="AJ53" t="s">
        <v>10</v>
      </c>
      <c r="AK53" t="s">
        <v>21</v>
      </c>
      <c r="AZ53" t="s">
        <v>3251</v>
      </c>
    </row>
    <row r="54" spans="1:52" x14ac:dyDescent="0.25">
      <c r="A54" t="s">
        <v>1930</v>
      </c>
      <c r="B54" t="s">
        <v>1168</v>
      </c>
      <c r="C54" t="s">
        <v>984</v>
      </c>
      <c r="D54" t="s">
        <v>992</v>
      </c>
      <c r="E54" t="s">
        <v>1955</v>
      </c>
      <c r="F54" t="s">
        <v>45</v>
      </c>
      <c r="G54" t="str">
        <f>HYPERLINK("https://www.google.com/maps/reviews/data=!4m5!14m4!1m3!1m2!1s103627796136806047233!2s0x0:0x51245643a6221378?hl=en-NL")</f>
        <v>https://www.google.com/maps/reviews/data=!4m5!14m4!1m3!1m2!1s103627796136806047233!2s0x0:0x51245643a6221378?hl=en-NL</v>
      </c>
      <c r="H54" t="s">
        <v>1057</v>
      </c>
      <c r="I54" t="s">
        <v>1956</v>
      </c>
      <c r="J54" t="str">
        <f>HYPERLINK("https://maps.google.com/maps/contrib/103627796136806047233")</f>
        <v>https://maps.google.com/maps/contrib/103627796136806047233</v>
      </c>
      <c r="N54" t="s">
        <v>615</v>
      </c>
      <c r="O54" t="s">
        <v>992</v>
      </c>
      <c r="P54" t="str">
        <f>HYPERLINK("https://maps.google.com/maps/place/data=!3m1!4b1!4m5!3m4!1s0x0:0x51245643a6221378!8m2!3d60.029250!4d30.327430")</f>
        <v>https://maps.google.com/maps/place/data=!3m1!4b1!4m5!3m4!1s0x0:0x51245643a6221378!8m2!3d60.029250!4d30.327430</v>
      </c>
      <c r="R54" t="s">
        <v>616</v>
      </c>
      <c r="S54" t="s">
        <v>18</v>
      </c>
      <c r="T54" t="s">
        <v>266</v>
      </c>
      <c r="U54" t="s">
        <v>1695</v>
      </c>
      <c r="AH54">
        <v>3</v>
      </c>
      <c r="AI54" t="str">
        <f>HYPERLINK("https://lh3.ggpht.com/p/AF1QipOdCwOOpCx-jQPtYZ4a6o_vEHYoT5Wr6tUf-n-k=s1024")</f>
        <v>https://lh3.ggpht.com/p/AF1QipOdCwOOpCx-jQPtYZ4a6o_vEHYoT5Wr6tUf-n-k=s1024</v>
      </c>
      <c r="AJ54" t="s">
        <v>10</v>
      </c>
      <c r="AK54" t="s">
        <v>21</v>
      </c>
      <c r="AM54" t="s">
        <v>3238</v>
      </c>
      <c r="AN54" t="s">
        <v>3239</v>
      </c>
      <c r="AS54" t="s">
        <v>3244</v>
      </c>
      <c r="AU54" t="s">
        <v>3246</v>
      </c>
      <c r="AW54" t="s">
        <v>3248</v>
      </c>
      <c r="AY54" t="s">
        <v>3250</v>
      </c>
    </row>
    <row r="55" spans="1:52" x14ac:dyDescent="0.25">
      <c r="A55" t="s">
        <v>772</v>
      </c>
      <c r="B55" t="s">
        <v>776</v>
      </c>
      <c r="C55" t="s">
        <v>774</v>
      </c>
      <c r="D55" t="s">
        <v>24</v>
      </c>
      <c r="E55" t="s">
        <v>778</v>
      </c>
      <c r="F55" t="s">
        <v>26</v>
      </c>
      <c r="G55" t="str">
        <f>HYPERLINK("https://vk.com/wall-197114981_31?reply=1162")</f>
        <v>https://vk.com/wall-197114981_31?reply=1162</v>
      </c>
      <c r="H55" t="s">
        <v>13</v>
      </c>
      <c r="I55" t="s">
        <v>679</v>
      </c>
      <c r="J55" t="str">
        <f>HYPERLINK("http://vk.com/id12541741")</f>
        <v>http://vk.com/id12541741</v>
      </c>
      <c r="K55">
        <v>5833</v>
      </c>
      <c r="L55" t="s">
        <v>80</v>
      </c>
      <c r="M55">
        <v>37</v>
      </c>
      <c r="N55" t="s">
        <v>16</v>
      </c>
      <c r="O55" t="s">
        <v>27</v>
      </c>
      <c r="P55" t="str">
        <f>HYPERLINK("http://vk.com/club197114981")</f>
        <v>http://vk.com/club197114981</v>
      </c>
      <c r="Q55">
        <v>38</v>
      </c>
      <c r="R55" t="s">
        <v>17</v>
      </c>
      <c r="S55" t="s">
        <v>18</v>
      </c>
      <c r="T55" t="s">
        <v>231</v>
      </c>
      <c r="U55" t="s">
        <v>232</v>
      </c>
      <c r="AJ55" t="s">
        <v>10</v>
      </c>
      <c r="AK55" t="s">
        <v>21</v>
      </c>
      <c r="AN55" t="s">
        <v>3239</v>
      </c>
      <c r="AS55" t="s">
        <v>3244</v>
      </c>
      <c r="AV55" t="s">
        <v>3247</v>
      </c>
      <c r="AY55" t="s">
        <v>3250</v>
      </c>
    </row>
    <row r="56" spans="1:52" x14ac:dyDescent="0.25">
      <c r="A56" t="s">
        <v>772</v>
      </c>
      <c r="B56" t="s">
        <v>462</v>
      </c>
      <c r="C56" t="s">
        <v>809</v>
      </c>
      <c r="D56" t="s">
        <v>262</v>
      </c>
      <c r="E56" t="s">
        <v>810</v>
      </c>
      <c r="F56" t="s">
        <v>26</v>
      </c>
      <c r="G56" t="str">
        <f>HYPERLINK("https://vk.com/wall-92972218_1535?reply=1551")</f>
        <v>https://vk.com/wall-92972218_1535?reply=1551</v>
      </c>
      <c r="H56" t="s">
        <v>13</v>
      </c>
      <c r="I56" t="s">
        <v>264</v>
      </c>
      <c r="J56" t="str">
        <f>HYPERLINK("http://vk.com/id469960421")</f>
        <v>http://vk.com/id469960421</v>
      </c>
      <c r="K56">
        <v>346</v>
      </c>
      <c r="L56" t="s">
        <v>15</v>
      </c>
      <c r="M56">
        <v>44</v>
      </c>
      <c r="N56" t="s">
        <v>16</v>
      </c>
      <c r="O56" t="s">
        <v>265</v>
      </c>
      <c r="P56" t="str">
        <f>HYPERLINK("http://vk.com/club92972218")</f>
        <v>http://vk.com/club92972218</v>
      </c>
      <c r="Q56">
        <v>5227</v>
      </c>
      <c r="R56" t="s">
        <v>17</v>
      </c>
      <c r="S56" t="s">
        <v>18</v>
      </c>
      <c r="T56" t="s">
        <v>266</v>
      </c>
      <c r="U56" t="s">
        <v>266</v>
      </c>
      <c r="AJ56" t="s">
        <v>10</v>
      </c>
      <c r="AK56" t="s">
        <v>21</v>
      </c>
      <c r="AL56" t="s">
        <v>3237</v>
      </c>
      <c r="AS56" t="s">
        <v>3244</v>
      </c>
      <c r="AV56" t="s">
        <v>3247</v>
      </c>
      <c r="AX56" t="s">
        <v>3249</v>
      </c>
      <c r="AY56" t="s">
        <v>3250</v>
      </c>
    </row>
    <row r="57" spans="1:52" x14ac:dyDescent="0.25">
      <c r="A57" t="s">
        <v>772</v>
      </c>
      <c r="B57" t="s">
        <v>841</v>
      </c>
      <c r="C57" t="s">
        <v>842</v>
      </c>
      <c r="D57" t="s">
        <v>24</v>
      </c>
      <c r="E57" t="s">
        <v>844</v>
      </c>
      <c r="F57" t="s">
        <v>26</v>
      </c>
      <c r="G57" t="str">
        <f>HYPERLINK("https://vk.com/wall-197114981_31?reply=1139")</f>
        <v>https://vk.com/wall-197114981_31?reply=1139</v>
      </c>
      <c r="H57" t="s">
        <v>13</v>
      </c>
      <c r="I57" t="s">
        <v>558</v>
      </c>
      <c r="J57" t="str">
        <f>HYPERLINK("http://vk.com/id8978275")</f>
        <v>http://vk.com/id8978275</v>
      </c>
      <c r="K57">
        <v>344</v>
      </c>
      <c r="L57" t="s">
        <v>80</v>
      </c>
      <c r="M57">
        <v>31</v>
      </c>
      <c r="N57" t="s">
        <v>16</v>
      </c>
      <c r="O57" t="s">
        <v>27</v>
      </c>
      <c r="P57" t="str">
        <f>HYPERLINK("http://vk.com/club197114981")</f>
        <v>http://vk.com/club197114981</v>
      </c>
      <c r="Q57">
        <v>38</v>
      </c>
      <c r="R57" t="s">
        <v>17</v>
      </c>
      <c r="S57" t="s">
        <v>18</v>
      </c>
      <c r="T57" t="s">
        <v>231</v>
      </c>
      <c r="U57" t="s">
        <v>232</v>
      </c>
      <c r="AJ57" t="s">
        <v>10</v>
      </c>
      <c r="AK57" t="s">
        <v>21</v>
      </c>
      <c r="AO57" t="s">
        <v>3240</v>
      </c>
      <c r="AP57" t="s">
        <v>3241</v>
      </c>
      <c r="AQ57" t="s">
        <v>3242</v>
      </c>
      <c r="AS57" t="s">
        <v>3244</v>
      </c>
      <c r="AU57" t="s">
        <v>3246</v>
      </c>
      <c r="AW57" t="s">
        <v>3248</v>
      </c>
    </row>
    <row r="58" spans="1:52" x14ac:dyDescent="0.25">
      <c r="A58" t="s">
        <v>1723</v>
      </c>
      <c r="B58" t="s">
        <v>130</v>
      </c>
      <c r="C58" t="s">
        <v>984</v>
      </c>
      <c r="D58" t="s">
        <v>1697</v>
      </c>
      <c r="E58" t="s">
        <v>1778</v>
      </c>
      <c r="F58" t="s">
        <v>45</v>
      </c>
      <c r="G58" t="str">
        <f>HYPERLINK("https://eu.northjersey.com/story/news/coronavirus/2020/07/28/covid-northeast-better-prepared-second-spike/5449927002")</f>
        <v>https://eu.northjersey.com/story/news/coronavirus/2020/07/28/covid-northeast-better-prepared-second-spike/5449927002</v>
      </c>
      <c r="H58" t="s">
        <v>885</v>
      </c>
      <c r="I58" t="s">
        <v>1781</v>
      </c>
      <c r="J58" t="str">
        <f>HYPERLINK("http://www.northjersey.com")</f>
        <v>http://www.northjersey.com</v>
      </c>
      <c r="N58" t="s">
        <v>1782</v>
      </c>
      <c r="R58" t="s">
        <v>239</v>
      </c>
      <c r="S58" t="s">
        <v>425</v>
      </c>
      <c r="AJ58" t="s">
        <v>10</v>
      </c>
      <c r="AK58" t="s">
        <v>21</v>
      </c>
      <c r="AO58" t="s">
        <v>3240</v>
      </c>
      <c r="AP58" t="s">
        <v>3241</v>
      </c>
      <c r="AQ58" t="s">
        <v>3242</v>
      </c>
      <c r="AS58" t="s">
        <v>3244</v>
      </c>
      <c r="AU58" t="s">
        <v>3246</v>
      </c>
      <c r="AW58" t="s">
        <v>3248</v>
      </c>
    </row>
    <row r="59" spans="1:52" x14ac:dyDescent="0.25">
      <c r="A59" t="s">
        <v>414</v>
      </c>
      <c r="B59" t="s">
        <v>691</v>
      </c>
      <c r="C59" t="s">
        <v>692</v>
      </c>
      <c r="D59" t="s">
        <v>10</v>
      </c>
      <c r="E59" t="s">
        <v>693</v>
      </c>
      <c r="F59" t="s">
        <v>12</v>
      </c>
      <c r="G59" t="str">
        <f>HYPERLINK("https://twitter.com/896274173697433600/status/1292345948287512576")</f>
        <v>https://twitter.com/896274173697433600/status/1292345948287512576</v>
      </c>
      <c r="H59" t="s">
        <v>13</v>
      </c>
      <c r="I59" t="s">
        <v>694</v>
      </c>
      <c r="J59" t="str">
        <f>HYPERLINK("http://twitter.com/RockySly9")</f>
        <v>http://twitter.com/RockySly9</v>
      </c>
      <c r="K59">
        <v>7137</v>
      </c>
      <c r="N59" t="s">
        <v>54</v>
      </c>
      <c r="R59" t="s">
        <v>17</v>
      </c>
      <c r="S59" t="s">
        <v>425</v>
      </c>
      <c r="T59" t="s">
        <v>695</v>
      </c>
      <c r="U59" t="s">
        <v>696</v>
      </c>
      <c r="W59">
        <v>0</v>
      </c>
      <c r="X59">
        <v>0</v>
      </c>
      <c r="AE59">
        <v>0</v>
      </c>
      <c r="AJ59" t="s">
        <v>10</v>
      </c>
      <c r="AK59" t="s">
        <v>21</v>
      </c>
      <c r="AQ59" t="s">
        <v>3242</v>
      </c>
      <c r="AS59" t="s">
        <v>3244</v>
      </c>
      <c r="AU59" t="s">
        <v>3246</v>
      </c>
    </row>
    <row r="60" spans="1:52" x14ac:dyDescent="0.25">
      <c r="A60" t="s">
        <v>1225</v>
      </c>
      <c r="B60" t="s">
        <v>1231</v>
      </c>
      <c r="C60" t="s">
        <v>984</v>
      </c>
      <c r="D60" t="s">
        <v>1232</v>
      </c>
      <c r="E60" t="s">
        <v>1233</v>
      </c>
      <c r="F60" t="s">
        <v>26</v>
      </c>
      <c r="G60" t="str">
        <f>HYPERLINK("https://vk.com/topic-48669646_34303966?post=2550")</f>
        <v>https://vk.com/topic-48669646_34303966?post=2550</v>
      </c>
      <c r="H60" t="s">
        <v>885</v>
      </c>
      <c r="I60" t="s">
        <v>1234</v>
      </c>
      <c r="J60" t="str">
        <f>HYPERLINK("http://vk.com/id513519318")</f>
        <v>http://vk.com/id513519318</v>
      </c>
      <c r="K60">
        <v>8</v>
      </c>
      <c r="L60" t="s">
        <v>80</v>
      </c>
      <c r="N60" t="s">
        <v>16</v>
      </c>
      <c r="O60" t="s">
        <v>46</v>
      </c>
      <c r="P60" t="str">
        <f>HYPERLINK("http://vk.com/club48669646")</f>
        <v>http://vk.com/club48669646</v>
      </c>
      <c r="Q60">
        <v>5795</v>
      </c>
      <c r="R60" t="s">
        <v>17</v>
      </c>
      <c r="S60" t="s">
        <v>18</v>
      </c>
      <c r="AJ60" t="s">
        <v>10</v>
      </c>
      <c r="AK60" t="s">
        <v>21</v>
      </c>
      <c r="AQ60" t="s">
        <v>3242</v>
      </c>
      <c r="AS60" t="s">
        <v>3244</v>
      </c>
      <c r="AT60" t="s">
        <v>3245</v>
      </c>
      <c r="AU60" t="s">
        <v>3246</v>
      </c>
    </row>
    <row r="61" spans="1:52" x14ac:dyDescent="0.25">
      <c r="A61" t="s">
        <v>2057</v>
      </c>
      <c r="B61" t="s">
        <v>864</v>
      </c>
      <c r="C61" t="s">
        <v>968</v>
      </c>
      <c r="D61" t="s">
        <v>10</v>
      </c>
      <c r="E61" t="s">
        <v>1857</v>
      </c>
      <c r="F61" t="s">
        <v>45</v>
      </c>
      <c r="G61" t="str">
        <f>HYPERLINK("https://vk.com/wall-158633337_945")</f>
        <v>https://vk.com/wall-158633337_945</v>
      </c>
      <c r="H61" t="s">
        <v>885</v>
      </c>
      <c r="I61" t="s">
        <v>125</v>
      </c>
      <c r="J61" t="str">
        <f>HYPERLINK("http://vk.com/club158633337")</f>
        <v>http://vk.com/club158633337</v>
      </c>
      <c r="K61">
        <v>4852</v>
      </c>
      <c r="L61" t="s">
        <v>28</v>
      </c>
      <c r="N61" t="s">
        <v>16</v>
      </c>
      <c r="O61" t="s">
        <v>125</v>
      </c>
      <c r="P61" t="str">
        <f>HYPERLINK("http://vk.com/club158633337")</f>
        <v>http://vk.com/club158633337</v>
      </c>
      <c r="Q61">
        <v>4852</v>
      </c>
      <c r="R61" t="s">
        <v>17</v>
      </c>
      <c r="S61" t="s">
        <v>18</v>
      </c>
      <c r="T61" t="s">
        <v>126</v>
      </c>
      <c r="U61" t="s">
        <v>127</v>
      </c>
      <c r="W61">
        <v>0</v>
      </c>
      <c r="X61">
        <v>0</v>
      </c>
      <c r="AE61">
        <v>0</v>
      </c>
      <c r="AF61">
        <v>0</v>
      </c>
      <c r="AG61">
        <v>110</v>
      </c>
      <c r="AI61" t="str">
        <f>HYPERLINK("https://sun1-83.userapi.com/6nwED_J1zDr8DLroaD13Wehn3M18QoJbhJ8Zlw/0b9q7nNaYJc.jpg")</f>
        <v>https://sun1-83.userapi.com/6nwED_J1zDr8DLroaD13Wehn3M18QoJbhJ8Zlw/0b9q7nNaYJc.jpg</v>
      </c>
      <c r="AJ61" t="s">
        <v>10</v>
      </c>
      <c r="AK61" t="s">
        <v>21</v>
      </c>
      <c r="AQ61" t="s">
        <v>3242</v>
      </c>
      <c r="AS61" t="s">
        <v>3244</v>
      </c>
    </row>
    <row r="62" spans="1:52" x14ac:dyDescent="0.25">
      <c r="A62" t="s">
        <v>2057</v>
      </c>
      <c r="B62" t="s">
        <v>1267</v>
      </c>
      <c r="C62" t="s">
        <v>968</v>
      </c>
      <c r="D62" t="s">
        <v>1959</v>
      </c>
      <c r="E62" t="s">
        <v>10</v>
      </c>
      <c r="F62" t="s">
        <v>26</v>
      </c>
      <c r="G62" t="str">
        <f>HYPERLINK("https://www.facebook.com/permalink.php?story_fbid=2626249161024079&amp;id=100009170625998&amp;comment_id=2626277277687934")</f>
        <v>https://www.facebook.com/permalink.php?story_fbid=2626249161024079&amp;id=100009170625998&amp;comment_id=2626277277687934</v>
      </c>
      <c r="H62" t="s">
        <v>885</v>
      </c>
      <c r="I62" t="s">
        <v>2110</v>
      </c>
      <c r="J62" t="str">
        <f>HYPERLINK("https://www.facebook.com/100000770344055")</f>
        <v>https://www.facebook.com/100000770344055</v>
      </c>
      <c r="K62">
        <v>855</v>
      </c>
      <c r="L62" t="s">
        <v>15</v>
      </c>
      <c r="N62" t="s">
        <v>179</v>
      </c>
      <c r="O62" t="s">
        <v>1961</v>
      </c>
      <c r="P62" t="str">
        <f>HYPERLINK("https://www.facebook.com/100009170625998")</f>
        <v>https://www.facebook.com/100009170625998</v>
      </c>
      <c r="Q62">
        <v>759</v>
      </c>
      <c r="R62" t="s">
        <v>17</v>
      </c>
      <c r="S62" t="s">
        <v>18</v>
      </c>
      <c r="T62" t="s">
        <v>354</v>
      </c>
      <c r="U62" t="s">
        <v>354</v>
      </c>
      <c r="AJ62" t="s">
        <v>10</v>
      </c>
      <c r="AK62" t="s">
        <v>21</v>
      </c>
      <c r="AO62" t="s">
        <v>3240</v>
      </c>
      <c r="AP62" t="s">
        <v>3241</v>
      </c>
      <c r="AQ62" t="s">
        <v>3242</v>
      </c>
      <c r="AS62" t="s">
        <v>3244</v>
      </c>
    </row>
    <row r="63" spans="1:52" x14ac:dyDescent="0.25">
      <c r="A63" t="s">
        <v>414</v>
      </c>
      <c r="B63" t="s">
        <v>608</v>
      </c>
      <c r="C63" t="s">
        <v>606</v>
      </c>
      <c r="D63" t="s">
        <v>24</v>
      </c>
      <c r="E63" t="s">
        <v>609</v>
      </c>
      <c r="F63" t="s">
        <v>26</v>
      </c>
      <c r="G63" t="str">
        <f>HYPERLINK("https://vk.com/wall-197114981_31?reply=1210&amp;thread=1209")</f>
        <v>https://vk.com/wall-197114981_31?reply=1210&amp;thread=1209</v>
      </c>
      <c r="H63" t="s">
        <v>13</v>
      </c>
      <c r="I63" t="s">
        <v>27</v>
      </c>
      <c r="J63" t="str">
        <f>HYPERLINK("http://vk.com/club197114981")</f>
        <v>http://vk.com/club197114981</v>
      </c>
      <c r="K63">
        <v>38</v>
      </c>
      <c r="L63" t="s">
        <v>28</v>
      </c>
      <c r="N63" t="s">
        <v>16</v>
      </c>
      <c r="O63" t="s">
        <v>27</v>
      </c>
      <c r="P63" t="str">
        <f>HYPERLINK("http://vk.com/club197114981")</f>
        <v>http://vk.com/club197114981</v>
      </c>
      <c r="Q63">
        <v>38</v>
      </c>
      <c r="R63" t="s">
        <v>17</v>
      </c>
      <c r="AJ63" t="s">
        <v>10</v>
      </c>
      <c r="AK63" t="s">
        <v>21</v>
      </c>
      <c r="AO63" t="s">
        <v>3240</v>
      </c>
      <c r="AP63" t="s">
        <v>3241</v>
      </c>
      <c r="AQ63" t="s">
        <v>3242</v>
      </c>
      <c r="AS63" t="s">
        <v>3244</v>
      </c>
    </row>
    <row r="64" spans="1:52" x14ac:dyDescent="0.25">
      <c r="A64" t="s">
        <v>772</v>
      </c>
      <c r="B64" t="s">
        <v>839</v>
      </c>
      <c r="C64" t="s">
        <v>840</v>
      </c>
      <c r="D64" t="s">
        <v>24</v>
      </c>
      <c r="E64" t="s">
        <v>357</v>
      </c>
      <c r="F64" t="s">
        <v>26</v>
      </c>
      <c r="G64" t="str">
        <f>HYPERLINK("https://vk.com/wall-197114981_31?reply=1141&amp;thread=294")</f>
        <v>https://vk.com/wall-197114981_31?reply=1141&amp;thread=294</v>
      </c>
      <c r="H64" t="s">
        <v>13</v>
      </c>
      <c r="I64" t="s">
        <v>27</v>
      </c>
      <c r="J64" t="str">
        <f>HYPERLINK("http://vk.com/club197114981")</f>
        <v>http://vk.com/club197114981</v>
      </c>
      <c r="K64">
        <v>38</v>
      </c>
      <c r="L64" t="s">
        <v>28</v>
      </c>
      <c r="N64" t="s">
        <v>16</v>
      </c>
      <c r="O64" t="s">
        <v>27</v>
      </c>
      <c r="P64" t="str">
        <f>HYPERLINK("http://vk.com/club197114981")</f>
        <v>http://vk.com/club197114981</v>
      </c>
      <c r="Q64">
        <v>38</v>
      </c>
      <c r="R64" t="s">
        <v>17</v>
      </c>
      <c r="AJ64" t="s">
        <v>10</v>
      </c>
      <c r="AK64" t="s">
        <v>21</v>
      </c>
      <c r="AN64" t="s">
        <v>3239</v>
      </c>
      <c r="AP64" t="s">
        <v>3241</v>
      </c>
      <c r="AQ64" t="s">
        <v>3242</v>
      </c>
      <c r="AS64" t="s">
        <v>3244</v>
      </c>
      <c r="AW64" t="s">
        <v>3248</v>
      </c>
      <c r="AX64" t="s">
        <v>3249</v>
      </c>
    </row>
    <row r="65" spans="1:52" x14ac:dyDescent="0.25">
      <c r="A65" t="s">
        <v>772</v>
      </c>
      <c r="B65" t="s">
        <v>890</v>
      </c>
      <c r="C65" t="s">
        <v>891</v>
      </c>
      <c r="D65" t="s">
        <v>24</v>
      </c>
      <c r="E65" t="s">
        <v>734</v>
      </c>
      <c r="F65" t="s">
        <v>26</v>
      </c>
      <c r="G65" t="str">
        <f>HYPERLINK("https://vk.com/wall-197114981_31?reply=1125&amp;thread=1082")</f>
        <v>https://vk.com/wall-197114981_31?reply=1125&amp;thread=1082</v>
      </c>
      <c r="H65" t="s">
        <v>889</v>
      </c>
      <c r="I65" t="s">
        <v>27</v>
      </c>
      <c r="J65" t="str">
        <f>HYPERLINK("http://vk.com/club197114981")</f>
        <v>http://vk.com/club197114981</v>
      </c>
      <c r="K65">
        <v>38</v>
      </c>
      <c r="L65" t="s">
        <v>28</v>
      </c>
      <c r="N65" t="s">
        <v>16</v>
      </c>
      <c r="O65" t="s">
        <v>27</v>
      </c>
      <c r="P65" t="str">
        <f>HYPERLINK("http://vk.com/club197114981")</f>
        <v>http://vk.com/club197114981</v>
      </c>
      <c r="Q65">
        <v>38</v>
      </c>
      <c r="R65" t="s">
        <v>17</v>
      </c>
      <c r="AJ65" t="s">
        <v>10</v>
      </c>
      <c r="AK65" t="s">
        <v>21</v>
      </c>
      <c r="AL65" t="s">
        <v>3237</v>
      </c>
      <c r="AN65" t="s">
        <v>3239</v>
      </c>
      <c r="AP65" t="s">
        <v>3241</v>
      </c>
      <c r="AQ65" t="s">
        <v>3242</v>
      </c>
      <c r="AS65" t="s">
        <v>3244</v>
      </c>
      <c r="AT65" t="s">
        <v>3245</v>
      </c>
      <c r="AU65" t="s">
        <v>3246</v>
      </c>
      <c r="AW65" t="s">
        <v>3248</v>
      </c>
    </row>
    <row r="66" spans="1:52" x14ac:dyDescent="0.25">
      <c r="A66" t="s">
        <v>1158</v>
      </c>
      <c r="B66" t="s">
        <v>637</v>
      </c>
      <c r="C66" t="s">
        <v>984</v>
      </c>
      <c r="D66" t="s">
        <v>10</v>
      </c>
      <c r="E66" t="s">
        <v>1191</v>
      </c>
      <c r="F66" t="s">
        <v>45</v>
      </c>
      <c r="G66" t="str">
        <f>HYPERLINK("https://www.facebook.com/expert.klinika.stavropol/photos/a.108004590782008/171783437737456/?type=3")</f>
        <v>https://www.facebook.com/expert.klinika.stavropol/photos/a.108004590782008/171783437737456/?type=3</v>
      </c>
      <c r="H66" t="s">
        <v>885</v>
      </c>
      <c r="I66" t="s">
        <v>640</v>
      </c>
      <c r="J66" t="str">
        <f>HYPERLINK("https://www.facebook.com/107325724183228")</f>
        <v>https://www.facebook.com/107325724183228</v>
      </c>
      <c r="K66">
        <v>1</v>
      </c>
      <c r="L66" t="s">
        <v>28</v>
      </c>
      <c r="N66" t="s">
        <v>179</v>
      </c>
      <c r="O66" t="s">
        <v>640</v>
      </c>
      <c r="P66" t="str">
        <f>HYPERLINK("https://www.facebook.com/107325724183228")</f>
        <v>https://www.facebook.com/107325724183228</v>
      </c>
      <c r="Q66">
        <v>1</v>
      </c>
      <c r="R66" t="s">
        <v>17</v>
      </c>
      <c r="S66" t="s">
        <v>18</v>
      </c>
      <c r="T66" t="s">
        <v>641</v>
      </c>
      <c r="U66" t="s">
        <v>642</v>
      </c>
      <c r="W66">
        <v>0</v>
      </c>
      <c r="X66">
        <v>0</v>
      </c>
      <c r="Y66">
        <v>0</v>
      </c>
      <c r="Z66">
        <v>0</v>
      </c>
      <c r="AA66">
        <v>0</v>
      </c>
      <c r="AB66">
        <v>0</v>
      </c>
      <c r="AC66">
        <v>0</v>
      </c>
      <c r="AE66">
        <v>0</v>
      </c>
      <c r="AI66" t="str">
        <f>HYPERLINK("https://scontent-hel2-1.xx.fbcdn.net/v/t1.0-0/p526x296/116906203_171783441070789_3224516602264117795_o.jpg?_nc_cat=107&amp;_nc_sid=9267fe&amp;_nc_ohc=7LUWm11oNnwAX-pEQ0S&amp;_nc_ht=scontent-hel2-1.xx&amp;_nc_tp=6&amp;oh=7805dbfaeed4adfb267b370dcbc73588&amp;oe=5F4F863E")</f>
        <v>https://scontent-hel2-1.xx.fbcdn.net/v/t1.0-0/p526x296/116906203_171783441070789_3224516602264117795_o.jpg?_nc_cat=107&amp;_nc_sid=9267fe&amp;_nc_ohc=7LUWm11oNnwAX-pEQ0S&amp;_nc_ht=scontent-hel2-1.xx&amp;_nc_tp=6&amp;oh=7805dbfaeed4adfb267b370dcbc73588&amp;oe=5F4F863E</v>
      </c>
      <c r="AJ66" t="s">
        <v>10</v>
      </c>
      <c r="AK66" t="s">
        <v>21</v>
      </c>
      <c r="AN66" t="s">
        <v>3239</v>
      </c>
      <c r="AP66" t="s">
        <v>3241</v>
      </c>
      <c r="AQ66" t="s">
        <v>3242</v>
      </c>
    </row>
    <row r="67" spans="1:52" x14ac:dyDescent="0.25">
      <c r="A67" t="s">
        <v>2589</v>
      </c>
      <c r="B67" t="s">
        <v>2609</v>
      </c>
      <c r="C67" t="s">
        <v>968</v>
      </c>
      <c r="D67" t="s">
        <v>2610</v>
      </c>
      <c r="E67" t="s">
        <v>2612</v>
      </c>
      <c r="F67" t="s">
        <v>45</v>
      </c>
      <c r="G67" t="str">
        <f>HYPERLINK("https://www.youtube.com/watch?v=tNO4aacFUxM")</f>
        <v>https://www.youtube.com/watch?v=tNO4aacFUxM</v>
      </c>
      <c r="H67" t="s">
        <v>889</v>
      </c>
      <c r="I67" t="s">
        <v>1105</v>
      </c>
      <c r="J67" t="str">
        <f>HYPERLINK("https://www.youtube.com/channel/UCF9TCvVRiJ1M_zGUP0R0FqA")</f>
        <v>https://www.youtube.com/channel/UCF9TCvVRiJ1M_zGUP0R0FqA</v>
      </c>
      <c r="K67">
        <v>295</v>
      </c>
      <c r="N67" t="s">
        <v>162</v>
      </c>
      <c r="O67" t="s">
        <v>1105</v>
      </c>
      <c r="P67" t="str">
        <f>HYPERLINK("https://www.youtube.com/channel/UCF9TCvVRiJ1M_zGUP0R0FqA")</f>
        <v>https://www.youtube.com/channel/UCF9TCvVRiJ1M_zGUP0R0FqA</v>
      </c>
      <c r="Q67">
        <v>295</v>
      </c>
      <c r="R67" t="s">
        <v>17</v>
      </c>
      <c r="S67" t="s">
        <v>18</v>
      </c>
      <c r="W67">
        <v>0</v>
      </c>
      <c r="X67">
        <v>0</v>
      </c>
      <c r="AD67">
        <v>0</v>
      </c>
      <c r="AE67">
        <v>0</v>
      </c>
      <c r="AG67">
        <v>50</v>
      </c>
      <c r="AI67" t="str">
        <f>HYPERLINK("https://i.ytimg.com/vi_webp/tNO4aacFUxM/maxresdefault.webp")</f>
        <v>https://i.ytimg.com/vi_webp/tNO4aacFUxM/maxresdefault.webp</v>
      </c>
      <c r="AJ67" t="s">
        <v>10</v>
      </c>
      <c r="AK67" t="s">
        <v>21</v>
      </c>
    </row>
    <row r="68" spans="1:52" x14ac:dyDescent="0.25">
      <c r="A68" t="s">
        <v>2767</v>
      </c>
      <c r="B68" t="s">
        <v>102</v>
      </c>
      <c r="C68" t="s">
        <v>968</v>
      </c>
      <c r="D68" t="s">
        <v>10</v>
      </c>
      <c r="E68" t="s">
        <v>2802</v>
      </c>
      <c r="F68" t="s">
        <v>45</v>
      </c>
      <c r="G68" t="str">
        <f>HYPERLINK("https://www.facebook.com/permalink.php?story_fbid=3044439485605220&amp;id=100001175952523")</f>
        <v>https://www.facebook.com/permalink.php?story_fbid=3044439485605220&amp;id=100001175952523</v>
      </c>
      <c r="H68" t="s">
        <v>885</v>
      </c>
      <c r="I68" t="s">
        <v>2803</v>
      </c>
      <c r="J68" t="str">
        <f>HYPERLINK("https://www.facebook.com/100001175952523")</f>
        <v>https://www.facebook.com/100001175952523</v>
      </c>
      <c r="K68">
        <v>1422</v>
      </c>
      <c r="L68" t="s">
        <v>80</v>
      </c>
      <c r="N68" t="s">
        <v>179</v>
      </c>
      <c r="O68" t="s">
        <v>2803</v>
      </c>
      <c r="P68" t="str">
        <f>HYPERLINK("https://www.facebook.com/100001175952523")</f>
        <v>https://www.facebook.com/100001175952523</v>
      </c>
      <c r="Q68">
        <v>1422</v>
      </c>
      <c r="R68" t="s">
        <v>17</v>
      </c>
      <c r="S68" t="s">
        <v>18</v>
      </c>
      <c r="T68" t="s">
        <v>354</v>
      </c>
      <c r="U68" t="s">
        <v>354</v>
      </c>
      <c r="W68">
        <v>2</v>
      </c>
      <c r="X68">
        <v>2</v>
      </c>
      <c r="Y68">
        <v>0</v>
      </c>
      <c r="Z68">
        <v>0</v>
      </c>
      <c r="AA68">
        <v>0</v>
      </c>
      <c r="AB68">
        <v>0</v>
      </c>
      <c r="AC68">
        <v>0</v>
      </c>
      <c r="AE68">
        <v>0</v>
      </c>
      <c r="AI68" t="str">
        <f>HYPERLINK("https://vrachirf.ru/storage/date202007/99/ff/5f/79/30/99/c4/8b/45de-e0f93d-140f89.png")</f>
        <v>https://vrachirf.ru/storage/date202007/99/ff/5f/79/30/99/c4/8b/45de-e0f93d-140f89.png</v>
      </c>
      <c r="AJ68" t="s">
        <v>10</v>
      </c>
      <c r="AK68" t="s">
        <v>21</v>
      </c>
    </row>
    <row r="69" spans="1:52" x14ac:dyDescent="0.25">
      <c r="A69" t="s">
        <v>2380</v>
      </c>
      <c r="B69" t="s">
        <v>637</v>
      </c>
      <c r="C69" t="s">
        <v>968</v>
      </c>
      <c r="D69" t="s">
        <v>10</v>
      </c>
      <c r="E69" t="s">
        <v>2407</v>
      </c>
      <c r="F69" t="s">
        <v>45</v>
      </c>
      <c r="G69" t="str">
        <f>HYPERLINK("https://www.facebook.com/expert.klinika.stavropol/photos/a.108004590782008/166900281559105/?type=3")</f>
        <v>https://www.facebook.com/expert.klinika.stavropol/photos/a.108004590782008/166900281559105/?type=3</v>
      </c>
      <c r="H69" t="s">
        <v>885</v>
      </c>
      <c r="I69" t="s">
        <v>640</v>
      </c>
      <c r="J69" t="str">
        <f>HYPERLINK("https://www.facebook.com/107325724183228")</f>
        <v>https://www.facebook.com/107325724183228</v>
      </c>
      <c r="K69">
        <v>1</v>
      </c>
      <c r="L69" t="s">
        <v>28</v>
      </c>
      <c r="N69" t="s">
        <v>179</v>
      </c>
      <c r="O69" t="s">
        <v>640</v>
      </c>
      <c r="P69" t="str">
        <f>HYPERLINK("https://www.facebook.com/107325724183228")</f>
        <v>https://www.facebook.com/107325724183228</v>
      </c>
      <c r="Q69">
        <v>1</v>
      </c>
      <c r="R69" t="s">
        <v>17</v>
      </c>
      <c r="S69" t="s">
        <v>18</v>
      </c>
      <c r="T69" t="s">
        <v>641</v>
      </c>
      <c r="U69" t="s">
        <v>642</v>
      </c>
      <c r="W69">
        <v>0</v>
      </c>
      <c r="X69">
        <v>0</v>
      </c>
      <c r="Y69">
        <v>0</v>
      </c>
      <c r="Z69">
        <v>0</v>
      </c>
      <c r="AA69">
        <v>0</v>
      </c>
      <c r="AB69">
        <v>0</v>
      </c>
      <c r="AC69">
        <v>0</v>
      </c>
      <c r="AE69">
        <v>0</v>
      </c>
      <c r="AI69" t="str">
        <f>HYPERLINK("https://scontent-hel2-1.xx.fbcdn.net/v/t1.0-0/p526x296/109701508_166900284892438_3227401425944293949_o.jpg?_nc_cat=102&amp;_nc_sid=9267fe&amp;_nc_ohc=WujSVsEa5tMAX80f1VV&amp;_nc_ht=scontent-hel2-1.xx&amp;_nc_tp=6&amp;oh=57a6efbeaee9fc0f074f96ddbd2ebe76&amp;oe=5F383F6E")</f>
        <v>https://scontent-hel2-1.xx.fbcdn.net/v/t1.0-0/p526x296/109701508_166900284892438_3227401425944293949_o.jpg?_nc_cat=102&amp;_nc_sid=9267fe&amp;_nc_ohc=WujSVsEa5tMAX80f1VV&amp;_nc_ht=scontent-hel2-1.xx&amp;_nc_tp=6&amp;oh=57a6efbeaee9fc0f074f96ddbd2ebe76&amp;oe=5F383F6E</v>
      </c>
      <c r="AJ69" t="s">
        <v>10</v>
      </c>
      <c r="AK69" t="s">
        <v>21</v>
      </c>
      <c r="AN69" t="s">
        <v>3239</v>
      </c>
      <c r="AP69" t="s">
        <v>3241</v>
      </c>
      <c r="AQ69" t="s">
        <v>3242</v>
      </c>
      <c r="AV69" t="s">
        <v>3247</v>
      </c>
      <c r="AW69" t="s">
        <v>3248</v>
      </c>
    </row>
    <row r="70" spans="1:52" x14ac:dyDescent="0.25">
      <c r="A70" t="s">
        <v>772</v>
      </c>
      <c r="B70" t="s">
        <v>779</v>
      </c>
      <c r="C70" t="s">
        <v>780</v>
      </c>
      <c r="D70" t="s">
        <v>24</v>
      </c>
      <c r="E70" t="s">
        <v>782</v>
      </c>
      <c r="F70" t="s">
        <v>26</v>
      </c>
      <c r="G70" t="str">
        <f>HYPERLINK("https://vk.com/wall-197114981_31?reply=1160")</f>
        <v>https://vk.com/wall-197114981_31?reply=1160</v>
      </c>
      <c r="H70" t="s">
        <v>13</v>
      </c>
      <c r="I70" t="s">
        <v>679</v>
      </c>
      <c r="J70" t="str">
        <f>HYPERLINK("http://vk.com/id12541741")</f>
        <v>http://vk.com/id12541741</v>
      </c>
      <c r="K70">
        <v>5833</v>
      </c>
      <c r="L70" t="s">
        <v>80</v>
      </c>
      <c r="M70">
        <v>37</v>
      </c>
      <c r="N70" t="s">
        <v>16</v>
      </c>
      <c r="O70" t="s">
        <v>27</v>
      </c>
      <c r="P70" t="str">
        <f>HYPERLINK("http://vk.com/club197114981")</f>
        <v>http://vk.com/club197114981</v>
      </c>
      <c r="Q70">
        <v>38</v>
      </c>
      <c r="R70" t="s">
        <v>17</v>
      </c>
      <c r="S70" t="s">
        <v>18</v>
      </c>
      <c r="T70" t="s">
        <v>231</v>
      </c>
      <c r="U70" t="s">
        <v>232</v>
      </c>
      <c r="AJ70" t="s">
        <v>10</v>
      </c>
      <c r="AK70" t="s">
        <v>21</v>
      </c>
      <c r="AN70" t="s">
        <v>3239</v>
      </c>
      <c r="AP70" t="s">
        <v>3241</v>
      </c>
      <c r="AQ70" t="s">
        <v>3242</v>
      </c>
      <c r="AV70" t="s">
        <v>3247</v>
      </c>
      <c r="AW70" t="s">
        <v>3248</v>
      </c>
      <c r="AX70" t="s">
        <v>3249</v>
      </c>
    </row>
    <row r="71" spans="1:52" x14ac:dyDescent="0.25">
      <c r="A71" t="s">
        <v>772</v>
      </c>
      <c r="B71" t="s">
        <v>783</v>
      </c>
      <c r="C71" t="s">
        <v>784</v>
      </c>
      <c r="D71" t="s">
        <v>24</v>
      </c>
      <c r="E71" t="s">
        <v>785</v>
      </c>
      <c r="F71" t="s">
        <v>26</v>
      </c>
      <c r="G71" t="str">
        <f>HYPERLINK("https://vk.com/wall-197114981_31?reply=1159&amp;thread=1158")</f>
        <v>https://vk.com/wall-197114981_31?reply=1159&amp;thread=1158</v>
      </c>
      <c r="H71" t="s">
        <v>13</v>
      </c>
      <c r="I71" t="s">
        <v>27</v>
      </c>
      <c r="J71" t="str">
        <f>HYPERLINK("http://vk.com/club197114981")</f>
        <v>http://vk.com/club197114981</v>
      </c>
      <c r="K71">
        <v>38</v>
      </c>
      <c r="L71" t="s">
        <v>28</v>
      </c>
      <c r="N71" t="s">
        <v>16</v>
      </c>
      <c r="O71" t="s">
        <v>27</v>
      </c>
      <c r="P71" t="str">
        <f>HYPERLINK("http://vk.com/club197114981")</f>
        <v>http://vk.com/club197114981</v>
      </c>
      <c r="Q71">
        <v>38</v>
      </c>
      <c r="R71" t="s">
        <v>17</v>
      </c>
      <c r="AJ71" t="s">
        <v>10</v>
      </c>
      <c r="AK71" t="s">
        <v>21</v>
      </c>
      <c r="AL71" t="s">
        <v>3237</v>
      </c>
      <c r="AP71" t="s">
        <v>3241</v>
      </c>
      <c r="AQ71" t="s">
        <v>3242</v>
      </c>
      <c r="AX71" t="s">
        <v>3249</v>
      </c>
    </row>
    <row r="72" spans="1:52" x14ac:dyDescent="0.25">
      <c r="A72" t="s">
        <v>414</v>
      </c>
      <c r="B72" t="s">
        <v>419</v>
      </c>
      <c r="C72" t="s">
        <v>426</v>
      </c>
      <c r="D72" t="s">
        <v>24</v>
      </c>
      <c r="E72" t="s">
        <v>427</v>
      </c>
      <c r="F72" t="s">
        <v>26</v>
      </c>
      <c r="G72" t="str">
        <f>HYPERLINK("https://vk.com/wall-197114981_31?reply=1279&amp;thread=1278")</f>
        <v>https://vk.com/wall-197114981_31?reply=1279&amp;thread=1278</v>
      </c>
      <c r="H72" t="s">
        <v>13</v>
      </c>
      <c r="I72" t="s">
        <v>27</v>
      </c>
      <c r="J72" t="str">
        <f>HYPERLINK("http://vk.com/club197114981")</f>
        <v>http://vk.com/club197114981</v>
      </c>
      <c r="K72">
        <v>38</v>
      </c>
      <c r="L72" t="s">
        <v>28</v>
      </c>
      <c r="N72" t="s">
        <v>16</v>
      </c>
      <c r="O72" t="s">
        <v>27</v>
      </c>
      <c r="P72" t="str">
        <f>HYPERLINK("http://vk.com/club197114981")</f>
        <v>http://vk.com/club197114981</v>
      </c>
      <c r="Q72">
        <v>38</v>
      </c>
      <c r="R72" t="s">
        <v>17</v>
      </c>
      <c r="AJ72" t="s">
        <v>10</v>
      </c>
      <c r="AK72" t="s">
        <v>21</v>
      </c>
      <c r="AL72" t="s">
        <v>3237</v>
      </c>
      <c r="AV72" t="s">
        <v>3247</v>
      </c>
    </row>
    <row r="73" spans="1:52" x14ac:dyDescent="0.25">
      <c r="A73" t="s">
        <v>414</v>
      </c>
      <c r="B73" t="s">
        <v>485</v>
      </c>
      <c r="C73" t="s">
        <v>486</v>
      </c>
      <c r="D73" t="s">
        <v>24</v>
      </c>
      <c r="E73" t="s">
        <v>487</v>
      </c>
      <c r="F73" t="s">
        <v>26</v>
      </c>
      <c r="G73" t="str">
        <f>HYPERLINK("https://vk.com/wall-197114981_31?reply=1249&amp;thread=1098")</f>
        <v>https://vk.com/wall-197114981_31?reply=1249&amp;thread=1098</v>
      </c>
      <c r="H73" t="s">
        <v>13</v>
      </c>
      <c r="I73" t="s">
        <v>27</v>
      </c>
      <c r="J73" t="str">
        <f>HYPERLINK("http://vk.com/club197114981")</f>
        <v>http://vk.com/club197114981</v>
      </c>
      <c r="K73">
        <v>38</v>
      </c>
      <c r="L73" t="s">
        <v>28</v>
      </c>
      <c r="N73" t="s">
        <v>16</v>
      </c>
      <c r="O73" t="s">
        <v>27</v>
      </c>
      <c r="P73" t="str">
        <f>HYPERLINK("http://vk.com/club197114981")</f>
        <v>http://vk.com/club197114981</v>
      </c>
      <c r="Q73">
        <v>38</v>
      </c>
      <c r="R73" t="s">
        <v>17</v>
      </c>
      <c r="AJ73" t="s">
        <v>10</v>
      </c>
      <c r="AK73" t="s">
        <v>21</v>
      </c>
      <c r="AL73" t="s">
        <v>3237</v>
      </c>
      <c r="AV73" t="s">
        <v>3247</v>
      </c>
    </row>
    <row r="74" spans="1:52" x14ac:dyDescent="0.25">
      <c r="A74" t="s">
        <v>414</v>
      </c>
      <c r="B74" t="s">
        <v>517</v>
      </c>
      <c r="C74" t="s">
        <v>518</v>
      </c>
      <c r="D74" t="s">
        <v>24</v>
      </c>
      <c r="E74" t="s">
        <v>494</v>
      </c>
      <c r="F74" t="s">
        <v>26</v>
      </c>
      <c r="G74" t="str">
        <f>HYPERLINK("https://vk.com/wall-197114981_31?reply=1239&amp;thread=1232")</f>
        <v>https://vk.com/wall-197114981_31?reply=1239&amp;thread=1232</v>
      </c>
      <c r="H74" t="s">
        <v>13</v>
      </c>
      <c r="I74" t="s">
        <v>27</v>
      </c>
      <c r="J74" t="str">
        <f>HYPERLINK("http://vk.com/club197114981")</f>
        <v>http://vk.com/club197114981</v>
      </c>
      <c r="K74">
        <v>38</v>
      </c>
      <c r="L74" t="s">
        <v>28</v>
      </c>
      <c r="N74" t="s">
        <v>16</v>
      </c>
      <c r="O74" t="s">
        <v>27</v>
      </c>
      <c r="P74" t="str">
        <f>HYPERLINK("http://vk.com/club197114981")</f>
        <v>http://vk.com/club197114981</v>
      </c>
      <c r="Q74">
        <v>38</v>
      </c>
      <c r="R74" t="s">
        <v>17</v>
      </c>
      <c r="AJ74" t="s">
        <v>10</v>
      </c>
      <c r="AK74" t="s">
        <v>21</v>
      </c>
      <c r="AV74" t="s">
        <v>3247</v>
      </c>
      <c r="AW74" t="s">
        <v>3248</v>
      </c>
    </row>
    <row r="75" spans="1:52" x14ac:dyDescent="0.25">
      <c r="A75" t="s">
        <v>2865</v>
      </c>
      <c r="B75" t="s">
        <v>2877</v>
      </c>
      <c r="C75" t="s">
        <v>968</v>
      </c>
      <c r="D75" t="s">
        <v>1236</v>
      </c>
      <c r="E75" t="s">
        <v>2878</v>
      </c>
      <c r="F75" t="s">
        <v>26</v>
      </c>
      <c r="G75" t="str">
        <f>HYPERLINK("https://www.youtube.com/watch?v=laG_UAIUZ6w&amp;lc=Ugzwe8ARfzBBUHRrWTF4AaABAg")</f>
        <v>https://www.youtube.com/watch?v=laG_UAIUZ6w&amp;lc=Ugzwe8ARfzBBUHRrWTF4AaABAg</v>
      </c>
      <c r="H75" t="s">
        <v>889</v>
      </c>
      <c r="I75" t="s">
        <v>2879</v>
      </c>
      <c r="J75" t="str">
        <f>HYPERLINK("https://www.youtube.com/channel/UCQ21Op2GArU3UuudDuET6-w")</f>
        <v>https://www.youtube.com/channel/UCQ21Op2GArU3UuudDuET6-w</v>
      </c>
      <c r="K75">
        <v>0</v>
      </c>
      <c r="N75" t="s">
        <v>162</v>
      </c>
      <c r="O75" t="s">
        <v>424</v>
      </c>
      <c r="P75" t="str">
        <f>HYPERLINK("https://www.youtube.com/channel/UC8fQzKHIhSoZeSq3bwQx4mw")</f>
        <v>https://www.youtube.com/channel/UC8fQzKHIhSoZeSq3bwQx4mw</v>
      </c>
      <c r="Q75">
        <v>517000</v>
      </c>
      <c r="R75" t="s">
        <v>17</v>
      </c>
      <c r="S75" t="s">
        <v>425</v>
      </c>
      <c r="W75">
        <v>0</v>
      </c>
      <c r="X75">
        <v>0</v>
      </c>
      <c r="AE75">
        <v>0</v>
      </c>
      <c r="AJ75" t="s">
        <v>10</v>
      </c>
      <c r="AK75" t="s">
        <v>21</v>
      </c>
      <c r="AV75" t="s">
        <v>3247</v>
      </c>
    </row>
    <row r="76" spans="1:52" x14ac:dyDescent="0.25">
      <c r="A76" t="s">
        <v>7</v>
      </c>
      <c r="B76" t="s">
        <v>394</v>
      </c>
      <c r="C76" t="s">
        <v>396</v>
      </c>
      <c r="D76" t="s">
        <v>24</v>
      </c>
      <c r="E76" t="s">
        <v>399</v>
      </c>
      <c r="F76" t="s">
        <v>26</v>
      </c>
      <c r="G76" t="str">
        <f>HYPERLINK("https://vk.com/wall-197114981_31?reply=1291")</f>
        <v>https://vk.com/wall-197114981_31?reply=1291</v>
      </c>
      <c r="H76" t="s">
        <v>13</v>
      </c>
      <c r="I76" t="s">
        <v>388</v>
      </c>
      <c r="J76" t="str">
        <f>HYPERLINK("http://vk.com/id169523743")</f>
        <v>http://vk.com/id169523743</v>
      </c>
      <c r="K76">
        <v>50</v>
      </c>
      <c r="L76" t="s">
        <v>80</v>
      </c>
      <c r="M76">
        <v>24</v>
      </c>
      <c r="N76" t="s">
        <v>16</v>
      </c>
      <c r="O76" t="s">
        <v>27</v>
      </c>
      <c r="P76" t="str">
        <f>HYPERLINK("http://vk.com/club197114981")</f>
        <v>http://vk.com/club197114981</v>
      </c>
      <c r="Q76">
        <v>38</v>
      </c>
      <c r="R76" t="s">
        <v>17</v>
      </c>
      <c r="S76" t="s">
        <v>18</v>
      </c>
      <c r="T76" t="s">
        <v>231</v>
      </c>
      <c r="U76" t="s">
        <v>232</v>
      </c>
      <c r="AJ76" t="s">
        <v>10</v>
      </c>
      <c r="AK76" t="s">
        <v>21</v>
      </c>
    </row>
    <row r="77" spans="1:52" x14ac:dyDescent="0.25">
      <c r="A77" t="s">
        <v>772</v>
      </c>
      <c r="B77" t="s">
        <v>871</v>
      </c>
      <c r="C77" t="s">
        <v>872</v>
      </c>
      <c r="D77" t="s">
        <v>24</v>
      </c>
      <c r="E77" t="s">
        <v>734</v>
      </c>
      <c r="F77" t="s">
        <v>26</v>
      </c>
      <c r="G77" t="str">
        <f>HYPERLINK("https://vk.com/wall-197114981_31?reply=1130&amp;thread=1082")</f>
        <v>https://vk.com/wall-197114981_31?reply=1130&amp;thread=1082</v>
      </c>
      <c r="H77" t="s">
        <v>13</v>
      </c>
      <c r="I77" t="s">
        <v>27</v>
      </c>
      <c r="J77" t="str">
        <f>HYPERLINK("http://vk.com/club197114981")</f>
        <v>http://vk.com/club197114981</v>
      </c>
      <c r="K77">
        <v>38</v>
      </c>
      <c r="L77" t="s">
        <v>28</v>
      </c>
      <c r="N77" t="s">
        <v>16</v>
      </c>
      <c r="O77" t="s">
        <v>27</v>
      </c>
      <c r="P77" t="str">
        <f>HYPERLINK("http://vk.com/club197114981")</f>
        <v>http://vk.com/club197114981</v>
      </c>
      <c r="Q77">
        <v>38</v>
      </c>
      <c r="R77" t="s">
        <v>17</v>
      </c>
      <c r="AJ77" t="s">
        <v>10</v>
      </c>
      <c r="AK77" t="s">
        <v>21</v>
      </c>
      <c r="AN77" t="s">
        <v>3239</v>
      </c>
      <c r="AY77" t="s">
        <v>3250</v>
      </c>
      <c r="AZ77" t="s">
        <v>3251</v>
      </c>
    </row>
    <row r="78" spans="1:52" x14ac:dyDescent="0.25">
      <c r="A78" t="s">
        <v>2057</v>
      </c>
      <c r="B78" t="s">
        <v>1369</v>
      </c>
      <c r="C78" t="s">
        <v>968</v>
      </c>
      <c r="D78" t="s">
        <v>10</v>
      </c>
      <c r="E78" t="s">
        <v>1856</v>
      </c>
      <c r="F78" t="s">
        <v>45</v>
      </c>
      <c r="G78" t="str">
        <f>HYPERLINK("https://www.facebook.com/mrtexpertrnd/photos/a.565935020817465/780666602677638/?type=3")</f>
        <v>https://www.facebook.com/mrtexpertrnd/photos/a.565935020817465/780666602677638/?type=3</v>
      </c>
      <c r="H78" t="s">
        <v>885</v>
      </c>
      <c r="I78" t="s">
        <v>125</v>
      </c>
      <c r="J78" t="str">
        <f>HYPERLINK("https://www.facebook.com/156600068417631")</f>
        <v>https://www.facebook.com/156600068417631</v>
      </c>
      <c r="K78">
        <v>236</v>
      </c>
      <c r="L78" t="s">
        <v>28</v>
      </c>
      <c r="N78" t="s">
        <v>179</v>
      </c>
      <c r="O78" t="s">
        <v>125</v>
      </c>
      <c r="P78" t="str">
        <f>HYPERLINK("https://www.facebook.com/156600068417631")</f>
        <v>https://www.facebook.com/156600068417631</v>
      </c>
      <c r="Q78">
        <v>236</v>
      </c>
      <c r="R78" t="s">
        <v>17</v>
      </c>
      <c r="S78" t="s">
        <v>18</v>
      </c>
      <c r="T78" t="s">
        <v>126</v>
      </c>
      <c r="U78" t="s">
        <v>127</v>
      </c>
      <c r="W78">
        <v>0</v>
      </c>
      <c r="X78">
        <v>0</v>
      </c>
      <c r="Y78">
        <v>0</v>
      </c>
      <c r="Z78">
        <v>0</v>
      </c>
      <c r="AA78">
        <v>0</v>
      </c>
      <c r="AB78">
        <v>0</v>
      </c>
      <c r="AC78">
        <v>0</v>
      </c>
      <c r="AE78">
        <v>0</v>
      </c>
      <c r="AI78" t="str">
        <f>HYPERLINK("https://scontent-hel2-1.xx.fbcdn.net/v/t1.0-0/p526x296/116093902_780666606010971_4122097742849877872_o.jpg?_nc_cat=108&amp;_nc_sid=9267fe&amp;_nc_ohc=Ho5B5XO46LMAX-TpaPA&amp;_nc_ht=scontent-hel2-1.xx&amp;_nc_tp=6&amp;oh=136467f45b5eb08eedaafedcf1df22f5&amp;oe=5F427726")</f>
        <v>https://scontent-hel2-1.xx.fbcdn.net/v/t1.0-0/p526x296/116093902_780666606010971_4122097742849877872_o.jpg?_nc_cat=108&amp;_nc_sid=9267fe&amp;_nc_ohc=Ho5B5XO46LMAX-TpaPA&amp;_nc_ht=scontent-hel2-1.xx&amp;_nc_tp=6&amp;oh=136467f45b5eb08eedaafedcf1df22f5&amp;oe=5F427726</v>
      </c>
      <c r="AJ78" t="s">
        <v>10</v>
      </c>
      <c r="AK78" t="s">
        <v>21</v>
      </c>
      <c r="AN78" t="s">
        <v>3239</v>
      </c>
      <c r="AP78" t="s">
        <v>3241</v>
      </c>
      <c r="AQ78" t="s">
        <v>3242</v>
      </c>
      <c r="AU78" t="s">
        <v>3246</v>
      </c>
      <c r="AV78" t="s">
        <v>3247</v>
      </c>
      <c r="AY78" t="s">
        <v>3250</v>
      </c>
      <c r="AZ78" t="s">
        <v>3251</v>
      </c>
    </row>
    <row r="79" spans="1:52" x14ac:dyDescent="0.25">
      <c r="A79" t="s">
        <v>7</v>
      </c>
      <c r="B79" t="s">
        <v>233</v>
      </c>
      <c r="C79" t="s">
        <v>234</v>
      </c>
      <c r="D79" t="s">
        <v>235</v>
      </c>
      <c r="E79" t="s">
        <v>236</v>
      </c>
      <c r="F79" t="s">
        <v>45</v>
      </c>
      <c r="G79" t="str">
        <f>HYPERLINK("https://barometr.info/archives/48107")</f>
        <v>https://barometr.info/archives/48107</v>
      </c>
      <c r="H79" t="s">
        <v>13</v>
      </c>
      <c r="I79" t="s">
        <v>237</v>
      </c>
      <c r="J79" t="str">
        <f>HYPERLINK("http://barometr.info")</f>
        <v>http://barometr.info</v>
      </c>
      <c r="N79" t="s">
        <v>238</v>
      </c>
      <c r="R79" t="s">
        <v>239</v>
      </c>
      <c r="S79" t="s">
        <v>180</v>
      </c>
      <c r="AJ79" t="s">
        <v>10</v>
      </c>
      <c r="AK79" t="s">
        <v>21</v>
      </c>
      <c r="AP79" t="s">
        <v>3241</v>
      </c>
      <c r="AQ79" t="s">
        <v>3242</v>
      </c>
      <c r="AU79" t="s">
        <v>3246</v>
      </c>
      <c r="AV79" t="s">
        <v>3247</v>
      </c>
      <c r="AZ79" t="s">
        <v>3251</v>
      </c>
    </row>
    <row r="80" spans="1:52" x14ac:dyDescent="0.25">
      <c r="A80" t="s">
        <v>414</v>
      </c>
      <c r="B80" t="s">
        <v>462</v>
      </c>
      <c r="C80" t="s">
        <v>463</v>
      </c>
      <c r="D80" t="s">
        <v>24</v>
      </c>
      <c r="E80" t="s">
        <v>464</v>
      </c>
      <c r="F80" t="s">
        <v>26</v>
      </c>
      <c r="G80" t="str">
        <f>HYPERLINK("https://vk.com/wall-197114981_31?reply=1262&amp;thread=1257")</f>
        <v>https://vk.com/wall-197114981_31?reply=1262&amp;thread=1257</v>
      </c>
      <c r="H80" t="s">
        <v>13</v>
      </c>
      <c r="I80" t="s">
        <v>27</v>
      </c>
      <c r="J80" t="str">
        <f>HYPERLINK("http://vk.com/club197114981")</f>
        <v>http://vk.com/club197114981</v>
      </c>
      <c r="K80">
        <v>38</v>
      </c>
      <c r="L80" t="s">
        <v>28</v>
      </c>
      <c r="N80" t="s">
        <v>16</v>
      </c>
      <c r="O80" t="s">
        <v>27</v>
      </c>
      <c r="P80" t="str">
        <f>HYPERLINK("http://vk.com/club197114981")</f>
        <v>http://vk.com/club197114981</v>
      </c>
      <c r="Q80">
        <v>38</v>
      </c>
      <c r="R80" t="s">
        <v>17</v>
      </c>
      <c r="AJ80" t="s">
        <v>10</v>
      </c>
      <c r="AK80" t="s">
        <v>21</v>
      </c>
      <c r="AN80" t="s">
        <v>3239</v>
      </c>
      <c r="AP80" t="s">
        <v>3241</v>
      </c>
      <c r="AQ80" t="s">
        <v>3242</v>
      </c>
      <c r="AT80" t="s">
        <v>3245</v>
      </c>
      <c r="AU80" t="s">
        <v>3246</v>
      </c>
      <c r="AX80" t="s">
        <v>3249</v>
      </c>
      <c r="AY80" t="s">
        <v>3250</v>
      </c>
    </row>
    <row r="81" spans="1:52" x14ac:dyDescent="0.25">
      <c r="A81" t="s">
        <v>2589</v>
      </c>
      <c r="B81" t="s">
        <v>2603</v>
      </c>
      <c r="C81" t="s">
        <v>968</v>
      </c>
      <c r="D81" t="s">
        <v>992</v>
      </c>
      <c r="E81" t="s">
        <v>2604</v>
      </c>
      <c r="F81" t="s">
        <v>45</v>
      </c>
      <c r="G81" t="str">
        <f>HYPERLINK("https://www.google.com/maps/reviews/data=!4m5!14m4!1m3!1m2!1s106511427384058315651!2s0x0:0x5c9fb01bdac1b248?hl=en-GB")</f>
        <v>https://www.google.com/maps/reviews/data=!4m5!14m4!1m3!1m2!1s106511427384058315651!2s0x0:0x5c9fb01bdac1b248?hl=en-GB</v>
      </c>
      <c r="H81" t="s">
        <v>1057</v>
      </c>
      <c r="I81" t="s">
        <v>2605</v>
      </c>
      <c r="J81" t="str">
        <f>HYPERLINK("https://maps.google.com/maps/contrib/106511427384058315651")</f>
        <v>https://maps.google.com/maps/contrib/106511427384058315651</v>
      </c>
      <c r="L81" t="s">
        <v>15</v>
      </c>
      <c r="N81" t="s">
        <v>615</v>
      </c>
      <c r="O81" t="s">
        <v>992</v>
      </c>
      <c r="P81" t="str">
        <f>HYPERLINK("https://maps.google.com/maps/place/data=!3m1!4b1!4m5!3m4!1s0x0:0x5c9fb01bdac1b248!8m2!3d43.429420!4d39.927810")</f>
        <v>https://maps.google.com/maps/place/data=!3m1!4b1!4m5!3m4!1s0x0:0x5c9fb01bdac1b248!8m2!3d43.429420!4d39.927810</v>
      </c>
      <c r="R81" t="s">
        <v>616</v>
      </c>
      <c r="S81" t="s">
        <v>18</v>
      </c>
      <c r="T81" t="s">
        <v>617</v>
      </c>
      <c r="U81" t="s">
        <v>1034</v>
      </c>
      <c r="AH81">
        <v>1</v>
      </c>
      <c r="AJ81" t="s">
        <v>10</v>
      </c>
      <c r="AK81" t="s">
        <v>21</v>
      </c>
      <c r="AN81" t="s">
        <v>3239</v>
      </c>
      <c r="AP81" t="s">
        <v>3241</v>
      </c>
      <c r="AQ81" t="s">
        <v>3242</v>
      </c>
      <c r="AT81" t="s">
        <v>3245</v>
      </c>
      <c r="AU81" t="s">
        <v>3246</v>
      </c>
      <c r="AV81" t="s">
        <v>3247</v>
      </c>
      <c r="AW81" t="s">
        <v>3248</v>
      </c>
      <c r="AY81" t="s">
        <v>3250</v>
      </c>
    </row>
    <row r="82" spans="1:52" x14ac:dyDescent="0.25">
      <c r="A82" t="s">
        <v>2767</v>
      </c>
      <c r="B82" t="s">
        <v>864</v>
      </c>
      <c r="C82" t="s">
        <v>968</v>
      </c>
      <c r="D82" t="s">
        <v>10</v>
      </c>
      <c r="E82" t="s">
        <v>2212</v>
      </c>
      <c r="F82" t="s">
        <v>45</v>
      </c>
      <c r="G82" t="str">
        <f>HYPERLINK("https://www.facebook.com/mrtexpertrnd/photos/a.565935020817465/773166650094300/?type=3")</f>
        <v>https://www.facebook.com/mrtexpertrnd/photos/a.565935020817465/773166650094300/?type=3</v>
      </c>
      <c r="H82" t="s">
        <v>889</v>
      </c>
      <c r="I82" t="s">
        <v>125</v>
      </c>
      <c r="J82" t="str">
        <f>HYPERLINK("https://www.facebook.com/156600068417631")</f>
        <v>https://www.facebook.com/156600068417631</v>
      </c>
      <c r="K82">
        <v>236</v>
      </c>
      <c r="L82" t="s">
        <v>28</v>
      </c>
      <c r="N82" t="s">
        <v>179</v>
      </c>
      <c r="O82" t="s">
        <v>125</v>
      </c>
      <c r="P82" t="str">
        <f>HYPERLINK("https://www.facebook.com/156600068417631")</f>
        <v>https://www.facebook.com/156600068417631</v>
      </c>
      <c r="Q82">
        <v>236</v>
      </c>
      <c r="R82" t="s">
        <v>17</v>
      </c>
      <c r="S82" t="s">
        <v>18</v>
      </c>
      <c r="T82" t="s">
        <v>126</v>
      </c>
      <c r="U82" t="s">
        <v>127</v>
      </c>
      <c r="W82">
        <v>1</v>
      </c>
      <c r="X82">
        <v>1</v>
      </c>
      <c r="Y82">
        <v>0</v>
      </c>
      <c r="Z82">
        <v>0</v>
      </c>
      <c r="AA82">
        <v>0</v>
      </c>
      <c r="AB82">
        <v>0</v>
      </c>
      <c r="AC82">
        <v>0</v>
      </c>
      <c r="AE82">
        <v>0</v>
      </c>
      <c r="AF82">
        <v>1</v>
      </c>
      <c r="AI82" t="str">
        <f>HYPERLINK("https://scontent-hel2-1.xx.fbcdn.net/v/t1.0-0/p526x296/109258964_773166653427633_6852729238875261591_o.jpg?_nc_cat=105&amp;_nc_sid=9267fe&amp;_nc_ohc=Ppg6CZvsTvkAX-7Yf86&amp;_nc_ht=scontent-hel2-1.xx&amp;_nc_tp=6&amp;oh=81afc5deb2fbb9efeed1596aaf44f2e0&amp;oe=5F328B0B")</f>
        <v>https://scontent-hel2-1.xx.fbcdn.net/v/t1.0-0/p526x296/109258964_773166653427633_6852729238875261591_o.jpg?_nc_cat=105&amp;_nc_sid=9267fe&amp;_nc_ohc=Ppg6CZvsTvkAX-7Yf86&amp;_nc_ht=scontent-hel2-1.xx&amp;_nc_tp=6&amp;oh=81afc5deb2fbb9efeed1596aaf44f2e0&amp;oe=5F328B0B</v>
      </c>
      <c r="AJ82" t="s">
        <v>10</v>
      </c>
      <c r="AK82" t="s">
        <v>21</v>
      </c>
      <c r="AN82" t="s">
        <v>3239</v>
      </c>
      <c r="AP82" t="s">
        <v>3241</v>
      </c>
      <c r="AQ82" t="s">
        <v>3242</v>
      </c>
    </row>
    <row r="83" spans="1:52" x14ac:dyDescent="0.25">
      <c r="A83" t="s">
        <v>414</v>
      </c>
      <c r="B83" t="s">
        <v>533</v>
      </c>
      <c r="C83" t="s">
        <v>529</v>
      </c>
      <c r="D83" t="s">
        <v>185</v>
      </c>
      <c r="E83" t="s">
        <v>534</v>
      </c>
      <c r="F83" t="s">
        <v>26</v>
      </c>
      <c r="G83" t="str">
        <f>HYPERLINK("https://vk.com/wall-189715412_524?reply=569")</f>
        <v>https://vk.com/wall-189715412_524?reply=569</v>
      </c>
      <c r="H83" t="s">
        <v>13</v>
      </c>
      <c r="I83" t="s">
        <v>531</v>
      </c>
      <c r="J83" t="str">
        <f>HYPERLINK("http://vk.com/id80212439")</f>
        <v>http://vk.com/id80212439</v>
      </c>
      <c r="K83">
        <v>729</v>
      </c>
      <c r="L83" t="s">
        <v>15</v>
      </c>
      <c r="M83">
        <v>32</v>
      </c>
      <c r="N83" t="s">
        <v>16</v>
      </c>
      <c r="O83" t="s">
        <v>188</v>
      </c>
      <c r="P83" t="str">
        <f>HYPERLINK("http://vk.com/club189715412")</f>
        <v>http://vk.com/club189715412</v>
      </c>
      <c r="Q83">
        <v>527</v>
      </c>
      <c r="R83" t="s">
        <v>17</v>
      </c>
      <c r="S83" t="s">
        <v>18</v>
      </c>
      <c r="T83" t="s">
        <v>189</v>
      </c>
      <c r="U83" t="s">
        <v>532</v>
      </c>
      <c r="AJ83" t="s">
        <v>10</v>
      </c>
      <c r="AK83" t="s">
        <v>21</v>
      </c>
      <c r="AO83" t="s">
        <v>3240</v>
      </c>
      <c r="AP83" t="s">
        <v>3241</v>
      </c>
      <c r="AQ83" t="s">
        <v>3242</v>
      </c>
      <c r="AX83" t="s">
        <v>3249</v>
      </c>
    </row>
    <row r="84" spans="1:52" x14ac:dyDescent="0.25">
      <c r="A84" t="s">
        <v>2260</v>
      </c>
      <c r="B84" t="s">
        <v>191</v>
      </c>
      <c r="C84" t="s">
        <v>968</v>
      </c>
      <c r="D84" t="s">
        <v>10</v>
      </c>
      <c r="E84" t="s">
        <v>2275</v>
      </c>
      <c r="F84" t="s">
        <v>45</v>
      </c>
      <c r="G84" t="str">
        <f>HYPERLINK("https://www.instagram.com/p/CC5W3GNFLfF")</f>
        <v>https://www.instagram.com/p/CC5W3GNFLfF</v>
      </c>
      <c r="H84" t="s">
        <v>889</v>
      </c>
      <c r="I84" t="s">
        <v>2276</v>
      </c>
      <c r="J84" t="str">
        <f>HYPERLINK("http://instagram.com/perevozchik161")</f>
        <v>http://instagram.com/perevozchik161</v>
      </c>
      <c r="K84">
        <v>254</v>
      </c>
      <c r="L84" t="s">
        <v>28</v>
      </c>
      <c r="N84" t="s">
        <v>69</v>
      </c>
      <c r="O84" t="s">
        <v>2276</v>
      </c>
      <c r="P84" t="str">
        <f>HYPERLINK("http://instagram.com/perevozchik161")</f>
        <v>http://instagram.com/perevozchik161</v>
      </c>
      <c r="Q84">
        <v>254</v>
      </c>
      <c r="R84" t="s">
        <v>17</v>
      </c>
      <c r="S84" t="s">
        <v>18</v>
      </c>
      <c r="AI84" t="str">
        <f>HYPERLINK("https://www.instagram.com/p/CC5W3GNFLfF/media/?size=l")</f>
        <v>https://www.instagram.com/p/CC5W3GNFLfF/media/?size=l</v>
      </c>
      <c r="AJ84" t="s">
        <v>10</v>
      </c>
      <c r="AK84" t="s">
        <v>21</v>
      </c>
      <c r="AN84" t="s">
        <v>3239</v>
      </c>
      <c r="AP84" t="s">
        <v>3241</v>
      </c>
      <c r="AQ84" t="s">
        <v>3242</v>
      </c>
      <c r="AT84" t="s">
        <v>3245</v>
      </c>
      <c r="AU84" t="s">
        <v>3246</v>
      </c>
    </row>
    <row r="85" spans="1:52" x14ac:dyDescent="0.25">
      <c r="A85" t="s">
        <v>1597</v>
      </c>
      <c r="B85" t="s">
        <v>1674</v>
      </c>
      <c r="C85" t="s">
        <v>984</v>
      </c>
      <c r="D85" t="s">
        <v>1623</v>
      </c>
      <c r="E85" t="s">
        <v>1675</v>
      </c>
      <c r="F85" t="s">
        <v>45</v>
      </c>
      <c r="G85" t="str">
        <f>HYPERLINK("https://www.portclintonnewsherald.com/story/news/nation/2020/07/29/covid-new-york-new-jersey-northeast-region-second-coronavirus-spike/5526854002")</f>
        <v>https://www.portclintonnewsherald.com/story/news/nation/2020/07/29/covid-new-york-new-jersey-northeast-region-second-coronavirus-spike/5526854002</v>
      </c>
      <c r="H85" t="s">
        <v>885</v>
      </c>
      <c r="I85" t="s">
        <v>1676</v>
      </c>
      <c r="J85" t="str">
        <f>HYPERLINK("http://www.portclintonnewsherald.com")</f>
        <v>http://www.portclintonnewsherald.com</v>
      </c>
      <c r="N85" t="s">
        <v>1677</v>
      </c>
      <c r="R85" t="s">
        <v>239</v>
      </c>
      <c r="S85" t="s">
        <v>425</v>
      </c>
      <c r="AJ85" t="s">
        <v>10</v>
      </c>
      <c r="AK85" t="s">
        <v>21</v>
      </c>
      <c r="AM85" t="s">
        <v>3238</v>
      </c>
      <c r="AP85" t="s">
        <v>3241</v>
      </c>
      <c r="AQ85" t="s">
        <v>3242</v>
      </c>
      <c r="AT85" t="s">
        <v>3245</v>
      </c>
      <c r="AU85" t="s">
        <v>3246</v>
      </c>
    </row>
    <row r="86" spans="1:52" x14ac:dyDescent="0.25">
      <c r="A86" t="s">
        <v>1158</v>
      </c>
      <c r="B86" t="s">
        <v>1218</v>
      </c>
      <c r="C86" t="s">
        <v>984</v>
      </c>
      <c r="D86" t="s">
        <v>10</v>
      </c>
      <c r="E86" t="s">
        <v>1219</v>
      </c>
      <c r="F86" t="s">
        <v>1020</v>
      </c>
      <c r="G86" t="str">
        <f>HYPERLINK("https://twitter.com/101863712/status/1290840003518504960")</f>
        <v>https://twitter.com/101863712/status/1290840003518504960</v>
      </c>
      <c r="H86" t="s">
        <v>885</v>
      </c>
      <c r="I86" t="s">
        <v>1220</v>
      </c>
      <c r="J86" t="str">
        <f>HYPERLINK("http://twitter.com/DiverseAgendas")</f>
        <v>http://twitter.com/DiverseAgendas</v>
      </c>
      <c r="K86">
        <v>659</v>
      </c>
      <c r="N86" t="s">
        <v>54</v>
      </c>
      <c r="R86" t="s">
        <v>17</v>
      </c>
      <c r="S86" t="s">
        <v>425</v>
      </c>
      <c r="T86" t="s">
        <v>1221</v>
      </c>
      <c r="W86">
        <v>0</v>
      </c>
      <c r="X86">
        <v>0</v>
      </c>
      <c r="AE86">
        <v>1</v>
      </c>
      <c r="AF86">
        <v>0</v>
      </c>
      <c r="AI86" t="str">
        <f>HYPERLINK("https://pbs.twimg.com/ext_tw_video_thumb/1290698157920198657/pu/img/4Q0S1jTytU2rLEBU.jpg")</f>
        <v>https://pbs.twimg.com/ext_tw_video_thumb/1290698157920198657/pu/img/4Q0S1jTytU2rLEBU.jpg</v>
      </c>
      <c r="AJ86" t="s">
        <v>10</v>
      </c>
      <c r="AK86" t="s">
        <v>21</v>
      </c>
      <c r="AP86" t="s">
        <v>3241</v>
      </c>
      <c r="AQ86" t="s">
        <v>3242</v>
      </c>
      <c r="AV86" t="s">
        <v>3247</v>
      </c>
      <c r="AX86" t="s">
        <v>3249</v>
      </c>
      <c r="AZ86" t="s">
        <v>3251</v>
      </c>
    </row>
    <row r="87" spans="1:52" x14ac:dyDescent="0.25">
      <c r="A87" t="s">
        <v>2589</v>
      </c>
      <c r="B87" t="s">
        <v>2613</v>
      </c>
      <c r="C87" t="s">
        <v>968</v>
      </c>
      <c r="D87" t="s">
        <v>2614</v>
      </c>
      <c r="E87" t="s">
        <v>2615</v>
      </c>
      <c r="F87" t="s">
        <v>45</v>
      </c>
      <c r="G87" t="str">
        <f>HYPERLINK("https://vrachirf.ru/concilium/76505.html")</f>
        <v>https://vrachirf.ru/concilium/76505.html</v>
      </c>
      <c r="H87" t="s">
        <v>885</v>
      </c>
      <c r="I87" t="s">
        <v>1058</v>
      </c>
      <c r="J87" t="str">
        <f>HYPERLINK("https://vrachirf.ru/users/profile/684679")</f>
        <v>https://vrachirf.ru/users/profile/684679</v>
      </c>
      <c r="L87" t="s">
        <v>15</v>
      </c>
      <c r="N87" t="s">
        <v>1059</v>
      </c>
      <c r="O87" t="s">
        <v>1058</v>
      </c>
      <c r="P87" t="str">
        <f>HYPERLINK("https://vrachirf.ru/users/profile/684679")</f>
        <v>https://vrachirf.ru/users/profile/684679</v>
      </c>
      <c r="R87" t="s">
        <v>966</v>
      </c>
      <c r="S87" t="s">
        <v>18</v>
      </c>
      <c r="T87" t="s">
        <v>1060</v>
      </c>
      <c r="U87" t="s">
        <v>1061</v>
      </c>
      <c r="AJ87" t="s">
        <v>10</v>
      </c>
      <c r="AK87" t="s">
        <v>21</v>
      </c>
    </row>
    <row r="88" spans="1:52" x14ac:dyDescent="0.25">
      <c r="A88" t="s">
        <v>2915</v>
      </c>
      <c r="B88" t="s">
        <v>128</v>
      </c>
      <c r="C88" t="s">
        <v>968</v>
      </c>
      <c r="D88" t="s">
        <v>10</v>
      </c>
      <c r="E88" t="s">
        <v>2953</v>
      </c>
      <c r="F88" t="s">
        <v>45</v>
      </c>
      <c r="G88" t="str">
        <f>HYPERLINK("https://www.facebook.com/mrtexpertrnd/posts/771534633590835")</f>
        <v>https://www.facebook.com/mrtexpertrnd/posts/771534633590835</v>
      </c>
      <c r="H88" t="s">
        <v>885</v>
      </c>
      <c r="I88" t="s">
        <v>125</v>
      </c>
      <c r="J88" t="str">
        <f>HYPERLINK("https://www.facebook.com/156600068417631")</f>
        <v>https://www.facebook.com/156600068417631</v>
      </c>
      <c r="K88">
        <v>236</v>
      </c>
      <c r="L88" t="s">
        <v>28</v>
      </c>
      <c r="N88" t="s">
        <v>179</v>
      </c>
      <c r="O88" t="s">
        <v>125</v>
      </c>
      <c r="P88" t="str">
        <f>HYPERLINK("https://www.facebook.com/156600068417631")</f>
        <v>https://www.facebook.com/156600068417631</v>
      </c>
      <c r="Q88">
        <v>236</v>
      </c>
      <c r="R88" t="s">
        <v>17</v>
      </c>
      <c r="S88" t="s">
        <v>18</v>
      </c>
      <c r="T88" t="s">
        <v>126</v>
      </c>
      <c r="U88" t="s">
        <v>127</v>
      </c>
      <c r="W88">
        <v>0</v>
      </c>
      <c r="X88">
        <v>0</v>
      </c>
      <c r="Y88">
        <v>0</v>
      </c>
      <c r="Z88">
        <v>0</v>
      </c>
      <c r="AA88">
        <v>0</v>
      </c>
      <c r="AB88">
        <v>0</v>
      </c>
      <c r="AC88">
        <v>0</v>
      </c>
      <c r="AE88">
        <v>0</v>
      </c>
      <c r="AI88" t="str">
        <f>HYPERLINK("https://scontent-hel2-1.xx.fbcdn.net/v/t1.0-9/108148567_771534560257509_8388563892945838283_o.jpg?_nc_cat=101&amp;_nc_sid=730e14&amp;_nc_ohc=N8xf-CfQe50AX8MqJrD&amp;_nc_ht=scontent-hel2-1.xx&amp;oh=e91c1f3a6a22f425b14fb8d385d13f01&amp;oe=5F311F39")</f>
        <v>https://scontent-hel2-1.xx.fbcdn.net/v/t1.0-9/108148567_771534560257509_8388563892945838283_o.jpg?_nc_cat=101&amp;_nc_sid=730e14&amp;_nc_ohc=N8xf-CfQe50AX8MqJrD&amp;_nc_ht=scontent-hel2-1.xx&amp;oh=e91c1f3a6a22f425b14fb8d385d13f01&amp;oe=5F311F39</v>
      </c>
      <c r="AJ88" t="s">
        <v>10</v>
      </c>
      <c r="AK88" t="s">
        <v>21</v>
      </c>
      <c r="AU88" t="s">
        <v>3246</v>
      </c>
      <c r="AZ88" t="s">
        <v>3251</v>
      </c>
    </row>
    <row r="89" spans="1:52" x14ac:dyDescent="0.25">
      <c r="A89" t="s">
        <v>3021</v>
      </c>
      <c r="B89" t="s">
        <v>1133</v>
      </c>
      <c r="C89" t="s">
        <v>968</v>
      </c>
      <c r="D89" t="s">
        <v>10</v>
      </c>
      <c r="E89" t="s">
        <v>3052</v>
      </c>
      <c r="F89" t="s">
        <v>45</v>
      </c>
      <c r="G89" t="str">
        <f>HYPERLINK("https://twitter.com/103023851/status/1281192000193130496")</f>
        <v>https://twitter.com/103023851/status/1281192000193130496</v>
      </c>
      <c r="H89" t="s">
        <v>885</v>
      </c>
      <c r="I89" t="s">
        <v>3053</v>
      </c>
      <c r="J89" t="str">
        <f>HYPERLINK("http://twitter.com/drrajkirit")</f>
        <v>http://twitter.com/drrajkirit</v>
      </c>
      <c r="K89">
        <v>59</v>
      </c>
      <c r="L89" t="s">
        <v>15</v>
      </c>
      <c r="N89" t="s">
        <v>54</v>
      </c>
      <c r="R89" t="s">
        <v>17</v>
      </c>
      <c r="S89" t="s">
        <v>1206</v>
      </c>
      <c r="T89" t="s">
        <v>2001</v>
      </c>
      <c r="U89" t="s">
        <v>2002</v>
      </c>
      <c r="W89">
        <v>0</v>
      </c>
      <c r="X89">
        <v>0</v>
      </c>
      <c r="AF89">
        <v>0</v>
      </c>
      <c r="AI89" t="str">
        <f>HYPERLINK("https://pbs.twimg.com/media/Ece1TzKVAAIaS1u.jpg")</f>
        <v>https://pbs.twimg.com/media/Ece1TzKVAAIaS1u.jpg</v>
      </c>
      <c r="AJ89" t="s">
        <v>10</v>
      </c>
      <c r="AK89" t="s">
        <v>21</v>
      </c>
      <c r="AN89" t="s">
        <v>3239</v>
      </c>
      <c r="AO89" t="s">
        <v>3240</v>
      </c>
      <c r="AU89" t="s">
        <v>3246</v>
      </c>
    </row>
    <row r="90" spans="1:52" x14ac:dyDescent="0.25">
      <c r="A90" t="s">
        <v>1017</v>
      </c>
      <c r="B90" t="s">
        <v>128</v>
      </c>
      <c r="C90" t="s">
        <v>984</v>
      </c>
      <c r="D90" t="s">
        <v>10</v>
      </c>
      <c r="E90" t="s">
        <v>1097</v>
      </c>
      <c r="F90" t="s">
        <v>45</v>
      </c>
      <c r="G90" t="str">
        <f>HYPERLINK("https://www.facebook.com/clinicexpertrnd/photos/a.565935020817465/790253295052302/?type=3")</f>
        <v>https://www.facebook.com/clinicexpertrnd/photos/a.565935020817465/790253295052302/?type=3</v>
      </c>
      <c r="H90" t="s">
        <v>885</v>
      </c>
      <c r="I90" t="s">
        <v>125</v>
      </c>
      <c r="J90" t="str">
        <f>HYPERLINK("https://www.facebook.com/156600068417631")</f>
        <v>https://www.facebook.com/156600068417631</v>
      </c>
      <c r="K90">
        <v>236</v>
      </c>
      <c r="L90" t="s">
        <v>28</v>
      </c>
      <c r="N90" t="s">
        <v>179</v>
      </c>
      <c r="O90" t="s">
        <v>125</v>
      </c>
      <c r="P90" t="str">
        <f>HYPERLINK("https://www.facebook.com/156600068417631")</f>
        <v>https://www.facebook.com/156600068417631</v>
      </c>
      <c r="Q90">
        <v>236</v>
      </c>
      <c r="R90" t="s">
        <v>17</v>
      </c>
      <c r="S90" t="s">
        <v>18</v>
      </c>
      <c r="T90" t="s">
        <v>126</v>
      </c>
      <c r="U90" t="s">
        <v>127</v>
      </c>
      <c r="W90">
        <v>0</v>
      </c>
      <c r="X90">
        <v>0</v>
      </c>
      <c r="Y90">
        <v>0</v>
      </c>
      <c r="Z90">
        <v>0</v>
      </c>
      <c r="AA90">
        <v>0</v>
      </c>
      <c r="AB90">
        <v>0</v>
      </c>
      <c r="AC90">
        <v>0</v>
      </c>
      <c r="AE90">
        <v>0</v>
      </c>
      <c r="AI90" t="str">
        <f>HYPERLINK("https://scontent-hel2-1.xx.fbcdn.net/v/t1.0-0/p526x296/117576824_790253298385635_9092264657162841720_o.jpg?_nc_cat=106&amp;_nc_sid=9267fe&amp;_nc_ohc=oVdqa5CUT9kAX8js69B&amp;_nc_ht=scontent-hel2-1.xx&amp;_nc_tp=6&amp;oh=5a78e40e93253fd1b4361f3099117ac4&amp;oe=5F5338FF")</f>
        <v>https://scontent-hel2-1.xx.fbcdn.net/v/t1.0-0/p526x296/117576824_790253298385635_9092264657162841720_o.jpg?_nc_cat=106&amp;_nc_sid=9267fe&amp;_nc_ohc=oVdqa5CUT9kAX8js69B&amp;_nc_ht=scontent-hel2-1.xx&amp;_nc_tp=6&amp;oh=5a78e40e93253fd1b4361f3099117ac4&amp;oe=5F5338FF</v>
      </c>
      <c r="AJ90" t="s">
        <v>10</v>
      </c>
      <c r="AK90" t="s">
        <v>21</v>
      </c>
      <c r="AN90" t="s">
        <v>3239</v>
      </c>
      <c r="AW90" t="s">
        <v>3248</v>
      </c>
      <c r="AX90" t="s">
        <v>3249</v>
      </c>
    </row>
    <row r="91" spans="1:52" x14ac:dyDescent="0.25">
      <c r="A91" t="s">
        <v>1352</v>
      </c>
      <c r="B91" t="s">
        <v>42</v>
      </c>
      <c r="C91" t="s">
        <v>984</v>
      </c>
      <c r="D91" t="s">
        <v>10</v>
      </c>
      <c r="E91" t="s">
        <v>1388</v>
      </c>
      <c r="F91" t="s">
        <v>12</v>
      </c>
      <c r="G91" t="str">
        <f>HYPERLINK("https://www.facebook.com/568390943273818/posts/3036370803142474")</f>
        <v>https://www.facebook.com/568390943273818/posts/3036370803142474</v>
      </c>
      <c r="H91" t="s">
        <v>885</v>
      </c>
      <c r="I91" t="s">
        <v>280</v>
      </c>
      <c r="J91" t="str">
        <f>HYPERLINK("https://www.facebook.com/568390943273818")</f>
        <v>https://www.facebook.com/568390943273818</v>
      </c>
      <c r="K91">
        <v>18918</v>
      </c>
      <c r="L91" t="s">
        <v>28</v>
      </c>
      <c r="N91" t="s">
        <v>179</v>
      </c>
      <c r="O91" t="s">
        <v>280</v>
      </c>
      <c r="P91" t="str">
        <f>HYPERLINK("https://www.facebook.com/568390943273818")</f>
        <v>https://www.facebook.com/568390943273818</v>
      </c>
      <c r="Q91">
        <v>18918</v>
      </c>
      <c r="R91" t="s">
        <v>17</v>
      </c>
      <c r="S91" t="s">
        <v>281</v>
      </c>
      <c r="T91" t="s">
        <v>282</v>
      </c>
      <c r="U91" t="s">
        <v>282</v>
      </c>
      <c r="W91">
        <v>10</v>
      </c>
      <c r="X91">
        <v>10</v>
      </c>
      <c r="Y91">
        <v>0</v>
      </c>
      <c r="Z91">
        <v>0</v>
      </c>
      <c r="AA91">
        <v>0</v>
      </c>
      <c r="AB91">
        <v>0</v>
      </c>
      <c r="AC91">
        <v>0</v>
      </c>
      <c r="AE91">
        <v>3</v>
      </c>
      <c r="AI91" t="str">
        <f>HYPERLINK("https://scontent-cdt1-1.xx.fbcdn.net/v/t15.5256-10/116377187_1229666930716522_8381551635251821597_n.jpg?_nc_cat=105&amp;_nc_sid=ad6a45&amp;_nc_ohc=mFwbqscpde8AX-JwMs5&amp;_nc_ht=scontent-cdt1-1.xx&amp;oh=a3aa2a0a2c8d1dba0e07f1a179ef400d&amp;oe=5F4B34B5")</f>
        <v>https://scontent-cdt1-1.xx.fbcdn.net/v/t15.5256-10/116377187_1229666930716522_8381551635251821597_n.jpg?_nc_cat=105&amp;_nc_sid=ad6a45&amp;_nc_ohc=mFwbqscpde8AX-JwMs5&amp;_nc_ht=scontent-cdt1-1.xx&amp;oh=a3aa2a0a2c8d1dba0e07f1a179ef400d&amp;oe=5F4B34B5</v>
      </c>
      <c r="AJ91" t="s">
        <v>10</v>
      </c>
      <c r="AK91" t="s">
        <v>21</v>
      </c>
      <c r="AL91" t="s">
        <v>3237</v>
      </c>
      <c r="AO91" t="s">
        <v>3240</v>
      </c>
      <c r="AT91" t="s">
        <v>3245</v>
      </c>
      <c r="AV91" t="s">
        <v>3247</v>
      </c>
      <c r="AW91" t="s">
        <v>3248</v>
      </c>
      <c r="AX91" t="s">
        <v>3249</v>
      </c>
    </row>
    <row r="92" spans="1:52" x14ac:dyDescent="0.25">
      <c r="A92" t="s">
        <v>1518</v>
      </c>
      <c r="B92" t="s">
        <v>1541</v>
      </c>
      <c r="C92" t="s">
        <v>984</v>
      </c>
      <c r="D92" t="s">
        <v>10</v>
      </c>
      <c r="E92" t="s">
        <v>1542</v>
      </c>
      <c r="F92" t="s">
        <v>45</v>
      </c>
      <c r="G92" t="str">
        <f>HYPERLINK("https://vk.com/wall-48669646_10235")</f>
        <v>https://vk.com/wall-48669646_10235</v>
      </c>
      <c r="H92" t="s">
        <v>889</v>
      </c>
      <c r="I92" t="s">
        <v>46</v>
      </c>
      <c r="J92" t="str">
        <f>HYPERLINK("http://vk.com/club48669646")</f>
        <v>http://vk.com/club48669646</v>
      </c>
      <c r="K92">
        <v>5795</v>
      </c>
      <c r="L92" t="s">
        <v>28</v>
      </c>
      <c r="N92" t="s">
        <v>16</v>
      </c>
      <c r="O92" t="s">
        <v>46</v>
      </c>
      <c r="P92" t="str">
        <f>HYPERLINK("http://vk.com/club48669646")</f>
        <v>http://vk.com/club48669646</v>
      </c>
      <c r="Q92">
        <v>5795</v>
      </c>
      <c r="R92" t="s">
        <v>17</v>
      </c>
      <c r="S92" t="s">
        <v>18</v>
      </c>
      <c r="W92">
        <v>12</v>
      </c>
      <c r="X92">
        <v>12</v>
      </c>
      <c r="AE92">
        <v>0</v>
      </c>
      <c r="AF92">
        <v>7</v>
      </c>
      <c r="AG92">
        <v>785</v>
      </c>
      <c r="AI92" t="str">
        <f>HYPERLINK("https://sun9-36.userapi.com/Jil7nnwu2eqP8sI56z9xQDlnYI3CE8smkQb0jw/Any2w2V3Slk.jpg")</f>
        <v>https://sun9-36.userapi.com/Jil7nnwu2eqP8sI56z9xQDlnYI3CE8smkQb0jw/Any2w2V3Slk.jpg</v>
      </c>
      <c r="AJ92" t="s">
        <v>10</v>
      </c>
      <c r="AK92" t="s">
        <v>21</v>
      </c>
      <c r="AU92" t="s">
        <v>3246</v>
      </c>
    </row>
    <row r="93" spans="1:52" x14ac:dyDescent="0.25">
      <c r="A93" t="s">
        <v>414</v>
      </c>
      <c r="B93" t="s">
        <v>83</v>
      </c>
      <c r="C93" t="s">
        <v>589</v>
      </c>
      <c r="D93" t="s">
        <v>24</v>
      </c>
      <c r="E93" t="s">
        <v>564</v>
      </c>
      <c r="F93" t="s">
        <v>26</v>
      </c>
      <c r="G93" t="str">
        <f>HYPERLINK("https://vk.com/wall-197114981_31?reply=1222&amp;thread=1217")</f>
        <v>https://vk.com/wall-197114981_31?reply=1222&amp;thread=1217</v>
      </c>
      <c r="H93" t="s">
        <v>13</v>
      </c>
      <c r="I93" t="s">
        <v>27</v>
      </c>
      <c r="J93" t="str">
        <f>HYPERLINK("http://vk.com/club197114981")</f>
        <v>http://vk.com/club197114981</v>
      </c>
      <c r="K93">
        <v>38</v>
      </c>
      <c r="L93" t="s">
        <v>28</v>
      </c>
      <c r="N93" t="s">
        <v>16</v>
      </c>
      <c r="O93" t="s">
        <v>27</v>
      </c>
      <c r="P93" t="str">
        <f>HYPERLINK("http://vk.com/club197114981")</f>
        <v>http://vk.com/club197114981</v>
      </c>
      <c r="Q93">
        <v>38</v>
      </c>
      <c r="R93" t="s">
        <v>17</v>
      </c>
      <c r="AJ93" t="s">
        <v>10</v>
      </c>
      <c r="AK93" t="s">
        <v>21</v>
      </c>
    </row>
    <row r="94" spans="1:52" x14ac:dyDescent="0.25">
      <c r="A94" t="s">
        <v>1462</v>
      </c>
      <c r="B94" t="s">
        <v>1473</v>
      </c>
      <c r="C94" t="s">
        <v>984</v>
      </c>
      <c r="D94" t="s">
        <v>10</v>
      </c>
      <c r="E94" t="s">
        <v>1474</v>
      </c>
      <c r="F94" t="s">
        <v>45</v>
      </c>
      <c r="G94" t="str">
        <f>HYPERLINK("https://vk.com/wall-48669646_10241")</f>
        <v>https://vk.com/wall-48669646_10241</v>
      </c>
      <c r="H94" t="s">
        <v>885</v>
      </c>
      <c r="I94" t="s">
        <v>46</v>
      </c>
      <c r="J94" t="str">
        <f>HYPERLINK("http://vk.com/club48669646")</f>
        <v>http://vk.com/club48669646</v>
      </c>
      <c r="K94">
        <v>5795</v>
      </c>
      <c r="L94" t="s">
        <v>28</v>
      </c>
      <c r="N94" t="s">
        <v>16</v>
      </c>
      <c r="O94" t="s">
        <v>46</v>
      </c>
      <c r="P94" t="str">
        <f>HYPERLINK("http://vk.com/club48669646")</f>
        <v>http://vk.com/club48669646</v>
      </c>
      <c r="Q94">
        <v>5795</v>
      </c>
      <c r="R94" t="s">
        <v>17</v>
      </c>
      <c r="S94" t="s">
        <v>18</v>
      </c>
      <c r="W94">
        <v>0</v>
      </c>
      <c r="X94">
        <v>0</v>
      </c>
      <c r="AE94">
        <v>2</v>
      </c>
      <c r="AF94">
        <v>0</v>
      </c>
      <c r="AG94">
        <v>378</v>
      </c>
      <c r="AI94" t="str">
        <f>HYPERLINK("https://sun9-44.userapi.com/Jl5rUAhmeHwOG5NIjRtDsP9yQgCSLB0W8wLp5g/ZQG-kHOJHIw.jpg")</f>
        <v>https://sun9-44.userapi.com/Jl5rUAhmeHwOG5NIjRtDsP9yQgCSLB0W8wLp5g/ZQG-kHOJHIw.jpg</v>
      </c>
      <c r="AJ94" t="s">
        <v>10</v>
      </c>
      <c r="AK94" t="s">
        <v>21</v>
      </c>
      <c r="AQ94" t="s">
        <v>3242</v>
      </c>
    </row>
    <row r="95" spans="1:52" x14ac:dyDescent="0.25">
      <c r="A95" t="s">
        <v>2193</v>
      </c>
      <c r="B95" t="s">
        <v>2225</v>
      </c>
      <c r="C95" t="s">
        <v>968</v>
      </c>
      <c r="D95" t="s">
        <v>10</v>
      </c>
      <c r="E95" t="s">
        <v>2226</v>
      </c>
      <c r="F95" t="s">
        <v>45</v>
      </c>
      <c r="G95" t="str">
        <f>HYPERLINK("https://vk.com/wall-48669646_10201")</f>
        <v>https://vk.com/wall-48669646_10201</v>
      </c>
      <c r="H95" t="s">
        <v>885</v>
      </c>
      <c r="I95" t="s">
        <v>46</v>
      </c>
      <c r="J95" t="str">
        <f>HYPERLINK("http://vk.com/club48669646")</f>
        <v>http://vk.com/club48669646</v>
      </c>
      <c r="K95">
        <v>5795</v>
      </c>
      <c r="L95" t="s">
        <v>28</v>
      </c>
      <c r="N95" t="s">
        <v>16</v>
      </c>
      <c r="O95" t="s">
        <v>46</v>
      </c>
      <c r="P95" t="str">
        <f>HYPERLINK("http://vk.com/club48669646")</f>
        <v>http://vk.com/club48669646</v>
      </c>
      <c r="Q95">
        <v>5795</v>
      </c>
      <c r="R95" t="s">
        <v>17</v>
      </c>
      <c r="S95" t="s">
        <v>18</v>
      </c>
      <c r="W95">
        <v>1</v>
      </c>
      <c r="X95">
        <v>1</v>
      </c>
      <c r="AE95">
        <v>0</v>
      </c>
      <c r="AF95">
        <v>0</v>
      </c>
      <c r="AG95">
        <v>242</v>
      </c>
      <c r="AI95" t="str">
        <f>HYPERLINK("https://sun9-25.userapi.com/5hcuNfBAftDlGodMuHhi6samI_vJxGKAFflP8A/zFQEdcULZ7s.jpg")</f>
        <v>https://sun9-25.userapi.com/5hcuNfBAftDlGodMuHhi6samI_vJxGKAFflP8A/zFQEdcULZ7s.jpg</v>
      </c>
      <c r="AJ95" t="s">
        <v>10</v>
      </c>
      <c r="AK95" t="s">
        <v>21</v>
      </c>
      <c r="AO95" t="s">
        <v>3240</v>
      </c>
      <c r="AQ95" t="s">
        <v>3242</v>
      </c>
    </row>
    <row r="96" spans="1:52" x14ac:dyDescent="0.25">
      <c r="A96" t="s">
        <v>2290</v>
      </c>
      <c r="B96" t="s">
        <v>2326</v>
      </c>
      <c r="C96" t="s">
        <v>968</v>
      </c>
      <c r="D96" t="s">
        <v>2311</v>
      </c>
      <c r="E96" t="s">
        <v>2327</v>
      </c>
      <c r="F96" t="s">
        <v>26</v>
      </c>
      <c r="G96" t="str">
        <f>HYPERLINK("https://vk.com/wall-121026450_24624?reply=24625")</f>
        <v>https://vk.com/wall-121026450_24624?reply=24625</v>
      </c>
      <c r="H96" t="s">
        <v>889</v>
      </c>
      <c r="I96" t="s">
        <v>1299</v>
      </c>
      <c r="J96" t="str">
        <f>HYPERLINK("http://vk.com/id152172862")</f>
        <v>http://vk.com/id152172862</v>
      </c>
      <c r="K96">
        <v>55</v>
      </c>
      <c r="L96" t="s">
        <v>80</v>
      </c>
      <c r="N96" t="s">
        <v>16</v>
      </c>
      <c r="O96" t="s">
        <v>1822</v>
      </c>
      <c r="P96" t="str">
        <f>HYPERLINK("http://vk.com/club121026450")</f>
        <v>http://vk.com/club121026450</v>
      </c>
      <c r="Q96">
        <v>11822</v>
      </c>
      <c r="R96" t="s">
        <v>17</v>
      </c>
      <c r="S96" t="s">
        <v>18</v>
      </c>
      <c r="T96" t="s">
        <v>272</v>
      </c>
      <c r="U96" t="s">
        <v>1300</v>
      </c>
      <c r="AJ96" t="s">
        <v>10</v>
      </c>
      <c r="AK96" t="s">
        <v>21</v>
      </c>
      <c r="AO96" t="s">
        <v>3240</v>
      </c>
      <c r="AQ96" t="s">
        <v>3242</v>
      </c>
    </row>
    <row r="97" spans="1:52" x14ac:dyDescent="0.25">
      <c r="A97" t="s">
        <v>2767</v>
      </c>
      <c r="B97" t="s">
        <v>42</v>
      </c>
      <c r="C97" t="s">
        <v>968</v>
      </c>
      <c r="D97" t="s">
        <v>10</v>
      </c>
      <c r="E97" t="s">
        <v>2751</v>
      </c>
      <c r="F97" t="s">
        <v>45</v>
      </c>
      <c r="G97" t="str">
        <f>HYPERLINK("https://vk.com/wall-48669646_10162")</f>
        <v>https://vk.com/wall-48669646_10162</v>
      </c>
      <c r="H97" t="s">
        <v>885</v>
      </c>
      <c r="I97" t="s">
        <v>46</v>
      </c>
      <c r="J97" t="str">
        <f>HYPERLINK("http://vk.com/club48669646")</f>
        <v>http://vk.com/club48669646</v>
      </c>
      <c r="K97">
        <v>5795</v>
      </c>
      <c r="L97" t="s">
        <v>28</v>
      </c>
      <c r="N97" t="s">
        <v>16</v>
      </c>
      <c r="O97" t="s">
        <v>46</v>
      </c>
      <c r="P97" t="str">
        <f>HYPERLINK("http://vk.com/club48669646")</f>
        <v>http://vk.com/club48669646</v>
      </c>
      <c r="Q97">
        <v>5795</v>
      </c>
      <c r="R97" t="s">
        <v>17</v>
      </c>
      <c r="S97" t="s">
        <v>18</v>
      </c>
      <c r="W97">
        <v>2</v>
      </c>
      <c r="X97">
        <v>2</v>
      </c>
      <c r="AE97">
        <v>0</v>
      </c>
      <c r="AF97">
        <v>1</v>
      </c>
      <c r="AG97">
        <v>377</v>
      </c>
      <c r="AI97" t="str">
        <f>HYPERLINK("https://sun1-24.userapi.com/rjL4d8zocjCcz_O8yFBdBGhJRHLhrpaGn7M4Vg/PADkxWA-TQ4.jpg")</f>
        <v>https://sun1-24.userapi.com/rjL4d8zocjCcz_O8yFBdBGhJRHLhrpaGn7M4Vg/PADkxWA-TQ4.jpg</v>
      </c>
      <c r="AJ97" t="s">
        <v>10</v>
      </c>
      <c r="AK97" t="s">
        <v>21</v>
      </c>
      <c r="AN97" t="s">
        <v>3239</v>
      </c>
      <c r="AQ97" t="s">
        <v>3242</v>
      </c>
    </row>
    <row r="98" spans="1:52" x14ac:dyDescent="0.25">
      <c r="A98" t="s">
        <v>2915</v>
      </c>
      <c r="B98" t="s">
        <v>42</v>
      </c>
      <c r="C98" t="s">
        <v>968</v>
      </c>
      <c r="D98" t="s">
        <v>10</v>
      </c>
      <c r="E98" t="s">
        <v>2942</v>
      </c>
      <c r="F98" t="s">
        <v>12</v>
      </c>
      <c r="G98" t="str">
        <f>HYPERLINK("https://www.facebook.com/568390943273818/posts/2976520929127462")</f>
        <v>https://www.facebook.com/568390943273818/posts/2976520929127462</v>
      </c>
      <c r="H98" t="s">
        <v>885</v>
      </c>
      <c r="I98" t="s">
        <v>280</v>
      </c>
      <c r="J98" t="str">
        <f>HYPERLINK("https://www.facebook.com/568390943273818")</f>
        <v>https://www.facebook.com/568390943273818</v>
      </c>
      <c r="K98">
        <v>18918</v>
      </c>
      <c r="L98" t="s">
        <v>28</v>
      </c>
      <c r="N98" t="s">
        <v>179</v>
      </c>
      <c r="O98" t="s">
        <v>280</v>
      </c>
      <c r="P98" t="str">
        <f>HYPERLINK("https://www.facebook.com/568390943273818")</f>
        <v>https://www.facebook.com/568390943273818</v>
      </c>
      <c r="Q98">
        <v>18918</v>
      </c>
      <c r="R98" t="s">
        <v>17</v>
      </c>
      <c r="S98" t="s">
        <v>281</v>
      </c>
      <c r="T98" t="s">
        <v>282</v>
      </c>
      <c r="U98" t="s">
        <v>282</v>
      </c>
      <c r="AI98" t="str">
        <f>HYPERLINK("https://scontent-mia3-1.xx.fbcdn.net/v/t1.0-9/p720x720/107894954_2976510462461842_7917235801531084051_o.jpg?_nc_cat=108&amp;_nc_sid=8024bb&amp;_nc_ohc=ZCBo43gvbc8AX-pxhZX&amp;_nc_ht=scontent-mia3-1.xx&amp;_nc_tp=6&amp;oh=5a2b19d4523e80f0c41aa571fcd8ba03&amp;oe=5F30764D")</f>
        <v>https://scontent-mia3-1.xx.fbcdn.net/v/t1.0-9/p720x720/107894954_2976510462461842_7917235801531084051_o.jpg?_nc_cat=108&amp;_nc_sid=8024bb&amp;_nc_ohc=ZCBo43gvbc8AX-pxhZX&amp;_nc_ht=scontent-mia3-1.xx&amp;_nc_tp=6&amp;oh=5a2b19d4523e80f0c41aa571fcd8ba03&amp;oe=5F30764D</v>
      </c>
      <c r="AJ98" t="s">
        <v>10</v>
      </c>
      <c r="AK98" t="s">
        <v>21</v>
      </c>
      <c r="AL98" t="s">
        <v>3237</v>
      </c>
      <c r="AQ98" t="s">
        <v>3242</v>
      </c>
    </row>
    <row r="99" spans="1:52" x14ac:dyDescent="0.25">
      <c r="A99" t="s">
        <v>7</v>
      </c>
      <c r="B99" t="s">
        <v>293</v>
      </c>
      <c r="C99" t="s">
        <v>294</v>
      </c>
      <c r="D99" t="s">
        <v>10</v>
      </c>
      <c r="E99" t="s">
        <v>295</v>
      </c>
      <c r="F99" t="s">
        <v>45</v>
      </c>
      <c r="G99" t="str">
        <f>HYPERLINK("https://vk.com/wall-105775877_4937")</f>
        <v>https://vk.com/wall-105775877_4937</v>
      </c>
      <c r="H99" t="s">
        <v>13</v>
      </c>
      <c r="I99" t="s">
        <v>290</v>
      </c>
      <c r="J99" t="str">
        <f>HYPERLINK("http://vk.com/club105775877")</f>
        <v>http://vk.com/club105775877</v>
      </c>
      <c r="K99">
        <v>1922</v>
      </c>
      <c r="L99" t="s">
        <v>28</v>
      </c>
      <c r="N99" t="s">
        <v>16</v>
      </c>
      <c r="O99" t="s">
        <v>290</v>
      </c>
      <c r="P99" t="str">
        <f>HYPERLINK("http://vk.com/club105775877")</f>
        <v>http://vk.com/club105775877</v>
      </c>
      <c r="Q99">
        <v>1922</v>
      </c>
      <c r="R99" t="s">
        <v>17</v>
      </c>
      <c r="S99" t="s">
        <v>18</v>
      </c>
      <c r="T99" t="s">
        <v>296</v>
      </c>
      <c r="U99" t="s">
        <v>297</v>
      </c>
      <c r="W99">
        <v>2</v>
      </c>
      <c r="X99">
        <v>2</v>
      </c>
      <c r="AE99">
        <v>0</v>
      </c>
      <c r="AF99">
        <v>0</v>
      </c>
      <c r="AG99">
        <v>1073</v>
      </c>
      <c r="AI99" t="str">
        <f>HYPERLINK("https://sun7-9.userapi.com/XNjVhqkvC47z3Ge1lKD3mztJi13trlC9D7B4Qw/LC8tQCt31SQ.jpg")</f>
        <v>https://sun7-9.userapi.com/XNjVhqkvC47z3Ge1lKD3mztJi13trlC9D7B4Qw/LC8tQCt31SQ.jpg</v>
      </c>
      <c r="AJ99" t="s">
        <v>10</v>
      </c>
      <c r="AK99" t="s">
        <v>21</v>
      </c>
      <c r="AM99" t="s">
        <v>3238</v>
      </c>
      <c r="AQ99" t="s">
        <v>3242</v>
      </c>
      <c r="AV99" t="s">
        <v>3247</v>
      </c>
      <c r="AW99" t="s">
        <v>3248</v>
      </c>
    </row>
    <row r="100" spans="1:52" x14ac:dyDescent="0.25">
      <c r="A100" t="s">
        <v>7</v>
      </c>
      <c r="B100" t="s">
        <v>402</v>
      </c>
      <c r="C100" t="s">
        <v>403</v>
      </c>
      <c r="D100" t="s">
        <v>24</v>
      </c>
      <c r="E100" t="s">
        <v>404</v>
      </c>
      <c r="F100" t="s">
        <v>26</v>
      </c>
      <c r="G100" t="str">
        <f>HYPERLINK("https://vk.com/wall-197114981_31?reply=1289&amp;thread=1287")</f>
        <v>https://vk.com/wall-197114981_31?reply=1289&amp;thread=1287</v>
      </c>
      <c r="H100" t="s">
        <v>13</v>
      </c>
      <c r="I100" t="s">
        <v>27</v>
      </c>
      <c r="J100" t="str">
        <f>HYPERLINK("http://vk.com/club197114981")</f>
        <v>http://vk.com/club197114981</v>
      </c>
      <c r="K100">
        <v>38</v>
      </c>
      <c r="L100" t="s">
        <v>28</v>
      </c>
      <c r="N100" t="s">
        <v>16</v>
      </c>
      <c r="O100" t="s">
        <v>27</v>
      </c>
      <c r="P100" t="str">
        <f>HYPERLINK("http://vk.com/club197114981")</f>
        <v>http://vk.com/club197114981</v>
      </c>
      <c r="Q100">
        <v>38</v>
      </c>
      <c r="R100" t="s">
        <v>17</v>
      </c>
      <c r="AJ100" t="s">
        <v>10</v>
      </c>
      <c r="AK100" t="s">
        <v>21</v>
      </c>
      <c r="AQ100" t="s">
        <v>3242</v>
      </c>
      <c r="AT100" t="s">
        <v>3245</v>
      </c>
      <c r="AU100" t="s">
        <v>3246</v>
      </c>
      <c r="AV100" t="s">
        <v>3247</v>
      </c>
      <c r="AX100" t="s">
        <v>3249</v>
      </c>
    </row>
    <row r="101" spans="1:52" x14ac:dyDescent="0.25">
      <c r="A101" t="s">
        <v>772</v>
      </c>
      <c r="B101" t="s">
        <v>791</v>
      </c>
      <c r="C101" t="s">
        <v>792</v>
      </c>
      <c r="D101" t="s">
        <v>24</v>
      </c>
      <c r="E101" t="s">
        <v>793</v>
      </c>
      <c r="F101" t="s">
        <v>26</v>
      </c>
      <c r="G101" t="str">
        <f>HYPERLINK("https://vk.com/wall-197114981_31?reply=1155&amp;thread=1154")</f>
        <v>https://vk.com/wall-197114981_31?reply=1155&amp;thread=1154</v>
      </c>
      <c r="H101" t="s">
        <v>13</v>
      </c>
      <c r="I101" t="s">
        <v>27</v>
      </c>
      <c r="J101" t="str">
        <f>HYPERLINK("http://vk.com/club197114981")</f>
        <v>http://vk.com/club197114981</v>
      </c>
      <c r="K101">
        <v>38</v>
      </c>
      <c r="L101" t="s">
        <v>28</v>
      </c>
      <c r="N101" t="s">
        <v>16</v>
      </c>
      <c r="O101" t="s">
        <v>27</v>
      </c>
      <c r="P101" t="str">
        <f>HYPERLINK("http://vk.com/club197114981")</f>
        <v>http://vk.com/club197114981</v>
      </c>
      <c r="Q101">
        <v>38</v>
      </c>
      <c r="R101" t="s">
        <v>17</v>
      </c>
      <c r="AJ101" t="s">
        <v>10</v>
      </c>
      <c r="AK101" t="s">
        <v>21</v>
      </c>
    </row>
    <row r="102" spans="1:52" x14ac:dyDescent="0.25">
      <c r="A102" t="s">
        <v>1930</v>
      </c>
      <c r="B102" t="s">
        <v>1951</v>
      </c>
      <c r="C102" t="s">
        <v>984</v>
      </c>
      <c r="D102" t="s">
        <v>421</v>
      </c>
      <c r="E102" t="s">
        <v>1952</v>
      </c>
      <c r="F102" t="s">
        <v>26</v>
      </c>
      <c r="G102" t="str">
        <f>HYPERLINK("https://www.youtube.com/watch?v=gaka1vqYFNs&amp;lc=UgwtmyIFJbPDcPLqDqd4AaABAg")</f>
        <v>https://www.youtube.com/watch?v=gaka1vqYFNs&amp;lc=UgwtmyIFJbPDcPLqDqd4AaABAg</v>
      </c>
      <c r="H102" t="s">
        <v>1057</v>
      </c>
      <c r="I102" t="s">
        <v>1953</v>
      </c>
      <c r="J102" t="str">
        <f>HYPERLINK("https://www.youtube.com/channel/UCeWYK0A68UxgV3FgTctpaog")</f>
        <v>https://www.youtube.com/channel/UCeWYK0A68UxgV3FgTctpaog</v>
      </c>
      <c r="K102">
        <v>22</v>
      </c>
      <c r="N102" t="s">
        <v>162</v>
      </c>
      <c r="O102" t="s">
        <v>424</v>
      </c>
      <c r="P102" t="str">
        <f>HYPERLINK("https://www.youtube.com/channel/UC8fQzKHIhSoZeSq3bwQx4mw")</f>
        <v>https://www.youtube.com/channel/UC8fQzKHIhSoZeSq3bwQx4mw</v>
      </c>
      <c r="Q102">
        <v>517000</v>
      </c>
      <c r="R102" t="s">
        <v>17</v>
      </c>
      <c r="S102" t="s">
        <v>425</v>
      </c>
      <c r="W102">
        <v>0</v>
      </c>
      <c r="X102">
        <v>0</v>
      </c>
      <c r="AE102">
        <v>0</v>
      </c>
      <c r="AJ102" t="s">
        <v>10</v>
      </c>
      <c r="AK102" t="s">
        <v>21</v>
      </c>
      <c r="AL102" t="s">
        <v>3237</v>
      </c>
      <c r="AX102" t="s">
        <v>3249</v>
      </c>
    </row>
    <row r="103" spans="1:52" x14ac:dyDescent="0.25">
      <c r="A103" t="s">
        <v>2290</v>
      </c>
      <c r="B103" t="s">
        <v>871</v>
      </c>
      <c r="C103" t="s">
        <v>968</v>
      </c>
      <c r="D103" t="s">
        <v>2307</v>
      </c>
      <c r="E103" t="s">
        <v>2308</v>
      </c>
      <c r="F103" t="s">
        <v>26</v>
      </c>
      <c r="G103" t="str">
        <f>HYPERLINK("https://vk.com/wall-121026450_24607?reply=24628")</f>
        <v>https://vk.com/wall-121026450_24607?reply=24628</v>
      </c>
      <c r="H103" t="s">
        <v>885</v>
      </c>
      <c r="I103" t="s">
        <v>2309</v>
      </c>
      <c r="J103" t="str">
        <f>HYPERLINK("http://vk.com/id14737732")</f>
        <v>http://vk.com/id14737732</v>
      </c>
      <c r="K103">
        <v>1091</v>
      </c>
      <c r="L103" t="s">
        <v>80</v>
      </c>
      <c r="N103" t="s">
        <v>16</v>
      </c>
      <c r="O103" t="s">
        <v>1822</v>
      </c>
      <c r="P103" t="str">
        <f>HYPERLINK("http://vk.com/club121026450")</f>
        <v>http://vk.com/club121026450</v>
      </c>
      <c r="Q103">
        <v>11822</v>
      </c>
      <c r="R103" t="s">
        <v>17</v>
      </c>
      <c r="AJ103" t="s">
        <v>10</v>
      </c>
      <c r="AK103" t="s">
        <v>21</v>
      </c>
      <c r="AX103" t="s">
        <v>3249</v>
      </c>
    </row>
    <row r="104" spans="1:52" x14ac:dyDescent="0.25">
      <c r="A104" t="s">
        <v>2472</v>
      </c>
      <c r="B104" t="s">
        <v>2486</v>
      </c>
      <c r="C104" t="s">
        <v>968</v>
      </c>
      <c r="D104" t="s">
        <v>10</v>
      </c>
      <c r="E104" t="s">
        <v>2487</v>
      </c>
      <c r="F104" t="s">
        <v>45</v>
      </c>
      <c r="G104" t="str">
        <f>HYPERLINK("https://www.facebook.com/mriexpert/photos/a.902990326434112/3193601227372999/?type=3")</f>
        <v>https://www.facebook.com/mriexpert/photos/a.902990326434112/3193601227372999/?type=3</v>
      </c>
      <c r="H104" t="s">
        <v>885</v>
      </c>
      <c r="I104" t="s">
        <v>46</v>
      </c>
      <c r="J104" t="str">
        <f>HYPERLINK("https://www.facebook.com/902980129768465")</f>
        <v>https://www.facebook.com/902980129768465</v>
      </c>
      <c r="K104">
        <v>1509</v>
      </c>
      <c r="L104" t="s">
        <v>28</v>
      </c>
      <c r="N104" t="s">
        <v>179</v>
      </c>
      <c r="O104" t="s">
        <v>46</v>
      </c>
      <c r="P104" t="str">
        <f>HYPERLINK("https://www.facebook.com/902980129768465")</f>
        <v>https://www.facebook.com/902980129768465</v>
      </c>
      <c r="Q104">
        <v>1509</v>
      </c>
      <c r="R104" t="s">
        <v>17</v>
      </c>
      <c r="W104">
        <v>1</v>
      </c>
      <c r="X104">
        <v>1</v>
      </c>
      <c r="Y104">
        <v>0</v>
      </c>
      <c r="Z104">
        <v>0</v>
      </c>
      <c r="AA104">
        <v>0</v>
      </c>
      <c r="AB104">
        <v>0</v>
      </c>
      <c r="AC104">
        <v>0</v>
      </c>
      <c r="AE104">
        <v>0</v>
      </c>
      <c r="AF104">
        <v>1</v>
      </c>
      <c r="AI104" t="str">
        <f>HYPERLINK("https://scontent-hel2-1.xx.fbcdn.net/v/t1.0-9/s960x960/109957821_3193601230706332_4067411291821345945_o.jpg?_nc_cat=110&amp;_nc_sid=9267fe&amp;_nc_ohc=7IXk2ymLsv4AX-BDQff&amp;_nc_ht=scontent-hel2-1.xx&amp;_nc_tp=7&amp;oh=a7fed7e7618e4704b2aab27e4ff3be2c&amp;oe=5F396617")</f>
        <v>https://scontent-hel2-1.xx.fbcdn.net/v/t1.0-9/s960x960/109957821_3193601230706332_4067411291821345945_o.jpg?_nc_cat=110&amp;_nc_sid=9267fe&amp;_nc_ohc=7IXk2ymLsv4AX-BDQff&amp;_nc_ht=scontent-hel2-1.xx&amp;_nc_tp=7&amp;oh=a7fed7e7618e4704b2aab27e4ff3be2c&amp;oe=5F396617</v>
      </c>
      <c r="AJ104" t="s">
        <v>10</v>
      </c>
      <c r="AK104" t="s">
        <v>21</v>
      </c>
      <c r="AN104" t="s">
        <v>3239</v>
      </c>
      <c r="AY104" t="s">
        <v>3250</v>
      </c>
      <c r="AZ104" t="s">
        <v>3251</v>
      </c>
    </row>
    <row r="105" spans="1:52" x14ac:dyDescent="0.25">
      <c r="A105" t="s">
        <v>2541</v>
      </c>
      <c r="B105" t="s">
        <v>2576</v>
      </c>
      <c r="C105" t="s">
        <v>968</v>
      </c>
      <c r="D105" t="s">
        <v>10</v>
      </c>
      <c r="E105" t="s">
        <v>2577</v>
      </c>
      <c r="F105" t="s">
        <v>26</v>
      </c>
      <c r="G105" t="str">
        <f>HYPERLINK("https://twitter.com/1094580986178789377/status/1283653132040515596")</f>
        <v>https://twitter.com/1094580986178789377/status/1283653132040515596</v>
      </c>
      <c r="H105" t="s">
        <v>885</v>
      </c>
      <c r="I105" t="s">
        <v>2578</v>
      </c>
      <c r="J105" t="str">
        <f>HYPERLINK("http://twitter.com/docblu4change")</f>
        <v>http://twitter.com/docblu4change</v>
      </c>
      <c r="K105">
        <v>213</v>
      </c>
      <c r="N105" t="s">
        <v>54</v>
      </c>
      <c r="R105" t="s">
        <v>17</v>
      </c>
      <c r="W105">
        <v>1</v>
      </c>
      <c r="X105">
        <v>1</v>
      </c>
      <c r="AE105">
        <v>1</v>
      </c>
      <c r="AF105">
        <v>0</v>
      </c>
      <c r="AJ105" t="s">
        <v>10</v>
      </c>
      <c r="AK105" t="s">
        <v>21</v>
      </c>
      <c r="AX105" t="s">
        <v>3249</v>
      </c>
      <c r="AY105" t="s">
        <v>3250</v>
      </c>
      <c r="AZ105" t="s">
        <v>3251</v>
      </c>
    </row>
    <row r="106" spans="1:52" x14ac:dyDescent="0.25">
      <c r="A106" t="s">
        <v>2684</v>
      </c>
      <c r="B106" t="s">
        <v>890</v>
      </c>
      <c r="C106" t="s">
        <v>968</v>
      </c>
      <c r="D106" t="s">
        <v>10</v>
      </c>
      <c r="E106" t="s">
        <v>2729</v>
      </c>
      <c r="F106" t="s">
        <v>45</v>
      </c>
      <c r="G106" t="str">
        <f>HYPERLINK("https://www.facebook.com/mriexpert/photos/a.902990326434112/3184733234926465/?type=3")</f>
        <v>https://www.facebook.com/mriexpert/photos/a.902990326434112/3184733234926465/?type=3</v>
      </c>
      <c r="H106" t="s">
        <v>885</v>
      </c>
      <c r="I106" t="s">
        <v>46</v>
      </c>
      <c r="J106" t="str">
        <f>HYPERLINK("https://www.facebook.com/902980129768465")</f>
        <v>https://www.facebook.com/902980129768465</v>
      </c>
      <c r="K106">
        <v>1509</v>
      </c>
      <c r="L106" t="s">
        <v>28</v>
      </c>
      <c r="N106" t="s">
        <v>179</v>
      </c>
      <c r="O106" t="s">
        <v>46</v>
      </c>
      <c r="P106" t="str">
        <f>HYPERLINK("https://www.facebook.com/902980129768465")</f>
        <v>https://www.facebook.com/902980129768465</v>
      </c>
      <c r="Q106">
        <v>1509</v>
      </c>
      <c r="R106" t="s">
        <v>17</v>
      </c>
      <c r="W106">
        <v>4</v>
      </c>
      <c r="X106">
        <v>4</v>
      </c>
      <c r="Y106">
        <v>0</v>
      </c>
      <c r="Z106">
        <v>0</v>
      </c>
      <c r="AA106">
        <v>0</v>
      </c>
      <c r="AB106">
        <v>0</v>
      </c>
      <c r="AC106">
        <v>0</v>
      </c>
      <c r="AE106">
        <v>0</v>
      </c>
      <c r="AF106">
        <v>1</v>
      </c>
      <c r="AI106" t="str">
        <f>HYPERLINK("https://scontent-hel2-1.xx.fbcdn.net/v/t1.0-9/s960x960/108232583_3184733244926464_7272944630641718818_o.jpg?_nc_cat=105&amp;_nc_sid=9267fe&amp;_nc_ohc=XuZLG2UBe3MAX-Q2Wqb&amp;_nc_ht=scontent-hel2-1.xx&amp;_nc_tp=7&amp;oh=a83f9ae05ab121da776e71854b6b479e&amp;oe=5F31C9B7")</f>
        <v>https://scontent-hel2-1.xx.fbcdn.net/v/t1.0-9/s960x960/108232583_3184733244926464_7272944630641718818_o.jpg?_nc_cat=105&amp;_nc_sid=9267fe&amp;_nc_ohc=XuZLG2UBe3MAX-Q2Wqb&amp;_nc_ht=scontent-hel2-1.xx&amp;_nc_tp=7&amp;oh=a83f9ae05ab121da776e71854b6b479e&amp;oe=5F31C9B7</v>
      </c>
      <c r="AJ106" t="s">
        <v>10</v>
      </c>
      <c r="AK106" t="s">
        <v>21</v>
      </c>
      <c r="AN106" t="s">
        <v>3239</v>
      </c>
      <c r="AO106" t="s">
        <v>3240</v>
      </c>
    </row>
    <row r="107" spans="1:52" x14ac:dyDescent="0.25">
      <c r="A107" t="s">
        <v>414</v>
      </c>
      <c r="B107" t="s">
        <v>660</v>
      </c>
      <c r="C107" t="s">
        <v>661</v>
      </c>
      <c r="D107" t="s">
        <v>24</v>
      </c>
      <c r="E107" t="s">
        <v>663</v>
      </c>
      <c r="F107" t="s">
        <v>26</v>
      </c>
      <c r="G107" t="str">
        <f>HYPERLINK("https://vk.com/wall-197114981_31?reply=1193&amp;thread=1098")</f>
        <v>https://vk.com/wall-197114981_31?reply=1193&amp;thread=1098</v>
      </c>
      <c r="H107" t="s">
        <v>13</v>
      </c>
      <c r="I107" t="s">
        <v>489</v>
      </c>
      <c r="J107" t="str">
        <f>HYPERLINK("http://vk.com/id565363508")</f>
        <v>http://vk.com/id565363508</v>
      </c>
      <c r="K107">
        <v>140</v>
      </c>
      <c r="L107" t="s">
        <v>80</v>
      </c>
      <c r="N107" t="s">
        <v>16</v>
      </c>
      <c r="O107" t="s">
        <v>27</v>
      </c>
      <c r="P107" t="str">
        <f>HYPERLINK("http://vk.com/club197114981")</f>
        <v>http://vk.com/club197114981</v>
      </c>
      <c r="Q107">
        <v>38</v>
      </c>
      <c r="R107" t="s">
        <v>17</v>
      </c>
      <c r="S107" t="s">
        <v>18</v>
      </c>
      <c r="T107" t="s">
        <v>231</v>
      </c>
      <c r="U107" t="s">
        <v>232</v>
      </c>
      <c r="AJ107" t="s">
        <v>10</v>
      </c>
      <c r="AK107" t="s">
        <v>21</v>
      </c>
      <c r="AL107" t="s">
        <v>3237</v>
      </c>
      <c r="AX107" t="s">
        <v>3249</v>
      </c>
      <c r="AY107" t="s">
        <v>3250</v>
      </c>
    </row>
    <row r="108" spans="1:52" x14ac:dyDescent="0.25">
      <c r="A108" t="s">
        <v>414</v>
      </c>
      <c r="B108" t="s">
        <v>721</v>
      </c>
      <c r="C108" t="s">
        <v>722</v>
      </c>
      <c r="D108" t="s">
        <v>10</v>
      </c>
      <c r="E108" t="s">
        <v>723</v>
      </c>
      <c r="F108" t="s">
        <v>45</v>
      </c>
      <c r="G108" t="str">
        <f>HYPERLINK("https://www.facebook.com/permalink.php?story_fbid=3006543493000729&amp;id=2256799357975150")</f>
        <v>https://www.facebook.com/permalink.php?story_fbid=3006543493000729&amp;id=2256799357975150</v>
      </c>
      <c r="H108" t="s">
        <v>13</v>
      </c>
      <c r="I108" t="s">
        <v>724</v>
      </c>
      <c r="J108" t="str">
        <f>HYPERLINK("https://www.facebook.com/2256799357975150")</f>
        <v>https://www.facebook.com/2256799357975150</v>
      </c>
      <c r="K108">
        <v>4</v>
      </c>
      <c r="L108" t="s">
        <v>28</v>
      </c>
      <c r="N108" t="s">
        <v>179</v>
      </c>
      <c r="O108" t="s">
        <v>724</v>
      </c>
      <c r="P108" t="str">
        <f>HYPERLINK("https://www.facebook.com/2256799357975150")</f>
        <v>https://www.facebook.com/2256799357975150</v>
      </c>
      <c r="Q108">
        <v>4</v>
      </c>
      <c r="R108" t="s">
        <v>17</v>
      </c>
      <c r="S108" t="s">
        <v>18</v>
      </c>
      <c r="T108" t="s">
        <v>725</v>
      </c>
      <c r="U108" t="s">
        <v>726</v>
      </c>
      <c r="W108">
        <v>0</v>
      </c>
      <c r="X108">
        <v>0</v>
      </c>
      <c r="Y108">
        <v>0</v>
      </c>
      <c r="Z108">
        <v>0</v>
      </c>
      <c r="AA108">
        <v>0</v>
      </c>
      <c r="AB108">
        <v>0</v>
      </c>
      <c r="AC108">
        <v>0</v>
      </c>
      <c r="AE108">
        <v>0</v>
      </c>
      <c r="AF108">
        <v>0</v>
      </c>
      <c r="AI108" t="str">
        <f>HYPERLINK("https://scontent-hel2-1.xx.fbcdn.net/v/t15.5256-10/117409350_1408832472641785_8579520410812317220_n.jpg?_nc_cat=106&amp;_nc_sid=ad6a45&amp;_nc_ohc=spU471pc_zQAX8nybsE&amp;_nc_ht=scontent-hel2-1.xx&amp;oh=bf5d52029857db7319c50883cc3de755&amp;oe=5F57EB13")</f>
        <v>https://scontent-hel2-1.xx.fbcdn.net/v/t15.5256-10/117409350_1408832472641785_8579520410812317220_n.jpg?_nc_cat=106&amp;_nc_sid=ad6a45&amp;_nc_ohc=spU471pc_zQAX8nybsE&amp;_nc_ht=scontent-hel2-1.xx&amp;oh=bf5d52029857db7319c50883cc3de755&amp;oe=5F57EB13</v>
      </c>
      <c r="AJ108" t="s">
        <v>10</v>
      </c>
      <c r="AK108" t="s">
        <v>21</v>
      </c>
      <c r="AY108" t="s">
        <v>3250</v>
      </c>
    </row>
    <row r="109" spans="1:52" x14ac:dyDescent="0.25">
      <c r="A109" t="s">
        <v>2915</v>
      </c>
      <c r="B109" t="s">
        <v>492</v>
      </c>
      <c r="C109" t="s">
        <v>968</v>
      </c>
      <c r="D109" t="s">
        <v>421</v>
      </c>
      <c r="E109" t="s">
        <v>2932</v>
      </c>
      <c r="F109" t="s">
        <v>26</v>
      </c>
      <c r="G109" t="str">
        <f>HYPERLINK("https://www.youtube.com/watch?v=gaka1vqYFNs&amp;lc=UgwoiDQhvQEXve79hvp4AaABAg")</f>
        <v>https://www.youtube.com/watch?v=gaka1vqYFNs&amp;lc=UgwoiDQhvQEXve79hvp4AaABAg</v>
      </c>
      <c r="H109" t="s">
        <v>885</v>
      </c>
      <c r="I109" t="s">
        <v>2933</v>
      </c>
      <c r="J109" t="str">
        <f>HYPERLINK("https://www.youtube.com/channel/UCSUDYmQWV33r8qY3WWkQ0lg")</f>
        <v>https://www.youtube.com/channel/UCSUDYmQWV33r8qY3WWkQ0lg</v>
      </c>
      <c r="K109">
        <v>4</v>
      </c>
      <c r="L109" t="s">
        <v>15</v>
      </c>
      <c r="N109" t="s">
        <v>162</v>
      </c>
      <c r="O109" t="s">
        <v>424</v>
      </c>
      <c r="P109" t="str">
        <f>HYPERLINK("https://www.youtube.com/channel/UC8fQzKHIhSoZeSq3bwQx4mw")</f>
        <v>https://www.youtube.com/channel/UC8fQzKHIhSoZeSq3bwQx4mw</v>
      </c>
      <c r="Q109">
        <v>517000</v>
      </c>
      <c r="R109" t="s">
        <v>17</v>
      </c>
      <c r="S109" t="s">
        <v>425</v>
      </c>
      <c r="W109">
        <v>5</v>
      </c>
      <c r="X109">
        <v>5</v>
      </c>
      <c r="AE109">
        <v>0</v>
      </c>
      <c r="AJ109" t="s">
        <v>10</v>
      </c>
      <c r="AK109" t="s">
        <v>21</v>
      </c>
      <c r="AV109" t="s">
        <v>3247</v>
      </c>
      <c r="AX109" t="s">
        <v>3249</v>
      </c>
      <c r="AY109" t="s">
        <v>3250</v>
      </c>
    </row>
    <row r="110" spans="1:52" x14ac:dyDescent="0.25">
      <c r="A110" t="s">
        <v>772</v>
      </c>
      <c r="B110" t="s">
        <v>918</v>
      </c>
      <c r="C110" t="s">
        <v>919</v>
      </c>
      <c r="D110" t="s">
        <v>24</v>
      </c>
      <c r="E110" t="s">
        <v>920</v>
      </c>
      <c r="F110" t="s">
        <v>26</v>
      </c>
      <c r="G110" t="str">
        <f>HYPERLINK("https://vk.com/wall-197114981_31?reply=1111&amp;thread=1110")</f>
        <v>https://vk.com/wall-197114981_31?reply=1111&amp;thread=1110</v>
      </c>
      <c r="H110" t="s">
        <v>885</v>
      </c>
      <c r="I110" t="s">
        <v>27</v>
      </c>
      <c r="J110" t="str">
        <f>HYPERLINK("http://vk.com/club197114981")</f>
        <v>http://vk.com/club197114981</v>
      </c>
      <c r="K110">
        <v>38</v>
      </c>
      <c r="L110" t="s">
        <v>28</v>
      </c>
      <c r="N110" t="s">
        <v>16</v>
      </c>
      <c r="O110" t="s">
        <v>27</v>
      </c>
      <c r="P110" t="str">
        <f>HYPERLINK("http://vk.com/club197114981")</f>
        <v>http://vk.com/club197114981</v>
      </c>
      <c r="Q110">
        <v>38</v>
      </c>
      <c r="R110" t="s">
        <v>17</v>
      </c>
      <c r="AJ110" t="s">
        <v>10</v>
      </c>
      <c r="AK110" t="s">
        <v>21</v>
      </c>
      <c r="AM110" t="s">
        <v>3238</v>
      </c>
    </row>
    <row r="111" spans="1:52" x14ac:dyDescent="0.25">
      <c r="A111" t="s">
        <v>2290</v>
      </c>
      <c r="B111" t="s">
        <v>864</v>
      </c>
      <c r="C111" t="s">
        <v>968</v>
      </c>
      <c r="D111" t="s">
        <v>10</v>
      </c>
      <c r="E111" t="s">
        <v>1947</v>
      </c>
      <c r="F111" t="s">
        <v>45</v>
      </c>
      <c r="G111" t="str">
        <f>HYPERLINK("https://www.facebook.com/mrtexpertrnd/photos/a.565935020817465/777912089619756/?type=3")</f>
        <v>https://www.facebook.com/mrtexpertrnd/photos/a.565935020817465/777912089619756/?type=3</v>
      </c>
      <c r="H111" t="s">
        <v>889</v>
      </c>
      <c r="I111" t="s">
        <v>125</v>
      </c>
      <c r="J111" t="str">
        <f>HYPERLINK("https://www.facebook.com/156600068417631")</f>
        <v>https://www.facebook.com/156600068417631</v>
      </c>
      <c r="K111">
        <v>236</v>
      </c>
      <c r="L111" t="s">
        <v>28</v>
      </c>
      <c r="N111" t="s">
        <v>179</v>
      </c>
      <c r="O111" t="s">
        <v>125</v>
      </c>
      <c r="P111" t="str">
        <f>HYPERLINK("https://www.facebook.com/156600068417631")</f>
        <v>https://www.facebook.com/156600068417631</v>
      </c>
      <c r="Q111">
        <v>236</v>
      </c>
      <c r="R111" t="s">
        <v>17</v>
      </c>
      <c r="S111" t="s">
        <v>18</v>
      </c>
      <c r="T111" t="s">
        <v>126</v>
      </c>
      <c r="U111" t="s">
        <v>127</v>
      </c>
      <c r="W111">
        <v>0</v>
      </c>
      <c r="X111">
        <v>0</v>
      </c>
      <c r="Y111">
        <v>0</v>
      </c>
      <c r="Z111">
        <v>0</v>
      </c>
      <c r="AA111">
        <v>0</v>
      </c>
      <c r="AB111">
        <v>0</v>
      </c>
      <c r="AC111">
        <v>0</v>
      </c>
      <c r="AE111">
        <v>0</v>
      </c>
      <c r="AI111" t="str">
        <f>HYPERLINK("https://scontent-hel2-1.xx.fbcdn.net/v/t1.0-0/p526x296/115911790_777912092953089_6255171935629987596_o.jpg?_nc_cat=101&amp;_nc_sid=9267fe&amp;_nc_ohc=0DRk10oZfvwAX-nFS70&amp;_nc_ht=scontent-hel2-1.xx&amp;_nc_tp=6&amp;oh=d20af8d2f3dd91954a781cc0575a6706&amp;oe=5F3C049C")</f>
        <v>https://scontent-hel2-1.xx.fbcdn.net/v/t1.0-0/p526x296/115911790_777912092953089_6255171935629987596_o.jpg?_nc_cat=101&amp;_nc_sid=9267fe&amp;_nc_ohc=0DRk10oZfvwAX-nFS70&amp;_nc_ht=scontent-hel2-1.xx&amp;_nc_tp=6&amp;oh=d20af8d2f3dd91954a781cc0575a6706&amp;oe=5F3C049C</v>
      </c>
      <c r="AJ111" t="s">
        <v>10</v>
      </c>
      <c r="AK111" t="s">
        <v>21</v>
      </c>
      <c r="AL111" t="s">
        <v>3237</v>
      </c>
      <c r="AV111" t="s">
        <v>3247</v>
      </c>
      <c r="AW111" t="s">
        <v>3248</v>
      </c>
      <c r="AX111" t="s">
        <v>3249</v>
      </c>
    </row>
    <row r="112" spans="1:52" x14ac:dyDescent="0.25">
      <c r="A112" t="s">
        <v>414</v>
      </c>
      <c r="B112" t="s">
        <v>200</v>
      </c>
      <c r="C112" t="s">
        <v>667</v>
      </c>
      <c r="D112" t="s">
        <v>668</v>
      </c>
      <c r="E112" t="s">
        <v>669</v>
      </c>
      <c r="F112" t="s">
        <v>45</v>
      </c>
      <c r="G112" t="str">
        <f>HYPERLINK("https://www.google.com/maps/reviews/data=!4m5!14m4!1m3!1m2!1s112894010950296457781!2s0x0:0x1bff2117d90aed8c?hl=en-NL")</f>
        <v>https://www.google.com/maps/reviews/data=!4m5!14m4!1m3!1m2!1s112894010950296457781!2s0x0:0x1bff2117d90aed8c?hl=en-NL</v>
      </c>
      <c r="H112" t="s">
        <v>13</v>
      </c>
      <c r="I112" t="s">
        <v>670</v>
      </c>
      <c r="J112" t="str">
        <f>HYPERLINK("https://maps.google.com/maps/contrib/112894010950296457781")</f>
        <v>https://maps.google.com/maps/contrib/112894010950296457781</v>
      </c>
      <c r="L112" t="s">
        <v>15</v>
      </c>
      <c r="N112" t="s">
        <v>615</v>
      </c>
      <c r="O112" t="s">
        <v>668</v>
      </c>
      <c r="P112" t="str">
        <f>HYPERLINK("https://maps.google.com/maps/place/data=!3m1!4b1!4m5!3m4!1s0x0:0x1bff2117d90aed8c!8m2!3d54.660220!4d-5.681500")</f>
        <v>https://maps.google.com/maps/place/data=!3m1!4b1!4m5!3m4!1s0x0:0x1bff2117d90aed8c!8m2!3d54.660220!4d-5.681500</v>
      </c>
      <c r="R112" t="s">
        <v>616</v>
      </c>
      <c r="S112" t="s">
        <v>671</v>
      </c>
      <c r="T112" t="s">
        <v>672</v>
      </c>
      <c r="U112" t="s">
        <v>673</v>
      </c>
      <c r="W112">
        <v>0</v>
      </c>
      <c r="X112">
        <v>0</v>
      </c>
      <c r="AH112">
        <v>5</v>
      </c>
      <c r="AJ112" t="s">
        <v>10</v>
      </c>
      <c r="AK112" t="s">
        <v>21</v>
      </c>
    </row>
    <row r="113" spans="1:52" x14ac:dyDescent="0.25">
      <c r="A113" t="s">
        <v>2472</v>
      </c>
      <c r="B113" t="s">
        <v>2509</v>
      </c>
      <c r="C113" t="s">
        <v>968</v>
      </c>
      <c r="D113" t="s">
        <v>10</v>
      </c>
      <c r="E113" t="s">
        <v>2510</v>
      </c>
      <c r="F113" t="s">
        <v>45</v>
      </c>
      <c r="G113" t="str">
        <f>HYPERLINK("https://www.instagram.com/p/CCvBA_bl7yV")</f>
        <v>https://www.instagram.com/p/CCvBA_bl7yV</v>
      </c>
      <c r="H113" t="s">
        <v>885</v>
      </c>
      <c r="I113" t="s">
        <v>68</v>
      </c>
      <c r="J113" t="str">
        <f>HYPERLINK("http://instagram.com/mrt_expert_62")</f>
        <v>http://instagram.com/mrt_expert_62</v>
      </c>
      <c r="K113">
        <v>484</v>
      </c>
      <c r="L113" t="s">
        <v>28</v>
      </c>
      <c r="N113" t="s">
        <v>69</v>
      </c>
      <c r="O113" t="s">
        <v>68</v>
      </c>
      <c r="P113" t="str">
        <f>HYPERLINK("http://instagram.com/mrt_expert_62")</f>
        <v>http://instagram.com/mrt_expert_62</v>
      </c>
      <c r="Q113">
        <v>484</v>
      </c>
      <c r="R113" t="s">
        <v>17</v>
      </c>
      <c r="S113" t="s">
        <v>18</v>
      </c>
      <c r="T113" t="s">
        <v>70</v>
      </c>
      <c r="U113" t="s">
        <v>71</v>
      </c>
      <c r="AI113" t="str">
        <f>HYPERLINK("https://www.instagram.com/p/CCvBA_bl7yV/media/?size=l")</f>
        <v>https://www.instagram.com/p/CCvBA_bl7yV/media/?size=l</v>
      </c>
      <c r="AJ113" t="s">
        <v>10</v>
      </c>
      <c r="AK113" t="s">
        <v>21</v>
      </c>
      <c r="AL113" t="s">
        <v>3237</v>
      </c>
      <c r="AX113" t="s">
        <v>3249</v>
      </c>
    </row>
    <row r="114" spans="1:52" x14ac:dyDescent="0.25">
      <c r="A114" t="s">
        <v>414</v>
      </c>
      <c r="B114" t="s">
        <v>495</v>
      </c>
      <c r="C114" t="s">
        <v>496</v>
      </c>
      <c r="D114" t="s">
        <v>10</v>
      </c>
      <c r="E114" t="s">
        <v>497</v>
      </c>
      <c r="F114" t="s">
        <v>45</v>
      </c>
      <c r="G114" t="str">
        <f>HYPERLINK("https://vk.com/wall-50079856_474225")</f>
        <v>https://vk.com/wall-50079856_474225</v>
      </c>
      <c r="H114" t="s">
        <v>13</v>
      </c>
      <c r="I114" t="s">
        <v>498</v>
      </c>
      <c r="J114" t="str">
        <f>HYPERLINK("http://vk.com/id173720143")</f>
        <v>http://vk.com/id173720143</v>
      </c>
      <c r="K114">
        <v>270</v>
      </c>
      <c r="L114" t="s">
        <v>80</v>
      </c>
      <c r="N114" t="s">
        <v>16</v>
      </c>
      <c r="O114" t="s">
        <v>499</v>
      </c>
      <c r="P114" t="str">
        <f>HYPERLINK("http://vk.com/club50079856")</f>
        <v>http://vk.com/club50079856</v>
      </c>
      <c r="Q114">
        <v>25879</v>
      </c>
      <c r="R114" t="s">
        <v>17</v>
      </c>
      <c r="S114" t="s">
        <v>18</v>
      </c>
      <c r="T114" t="s">
        <v>272</v>
      </c>
      <c r="U114" t="s">
        <v>273</v>
      </c>
      <c r="W114">
        <v>0</v>
      </c>
      <c r="X114">
        <v>0</v>
      </c>
      <c r="AE114">
        <v>3</v>
      </c>
      <c r="AF114">
        <v>0</v>
      </c>
      <c r="AJ114" t="s">
        <v>10</v>
      </c>
      <c r="AK114" t="s">
        <v>21</v>
      </c>
    </row>
    <row r="115" spans="1:52" x14ac:dyDescent="0.25">
      <c r="A115" t="s">
        <v>772</v>
      </c>
      <c r="B115" t="s">
        <v>972</v>
      </c>
      <c r="C115" t="s">
        <v>973</v>
      </c>
      <c r="D115" t="s">
        <v>10</v>
      </c>
      <c r="E115" t="s">
        <v>974</v>
      </c>
      <c r="F115" t="s">
        <v>45</v>
      </c>
      <c r="G115" t="str">
        <f>HYPERLINK("https://www.instagram.com/p/CDoD45DonOq")</f>
        <v>https://www.instagram.com/p/CDoD45DonOq</v>
      </c>
      <c r="H115" t="s">
        <v>13</v>
      </c>
      <c r="I115" t="s">
        <v>975</v>
      </c>
      <c r="J115" t="str">
        <f>HYPERLINK("http://instagram.com/laviani_clinic")</f>
        <v>http://instagram.com/laviani_clinic</v>
      </c>
      <c r="K115">
        <v>9993</v>
      </c>
      <c r="N115" t="s">
        <v>69</v>
      </c>
      <c r="O115" t="s">
        <v>975</v>
      </c>
      <c r="P115" t="str">
        <f>HYPERLINK("http://instagram.com/laviani_clinic")</f>
        <v>http://instagram.com/laviani_clinic</v>
      </c>
      <c r="Q115">
        <v>9993</v>
      </c>
      <c r="R115" t="s">
        <v>17</v>
      </c>
      <c r="S115" t="s">
        <v>18</v>
      </c>
      <c r="T115" t="s">
        <v>725</v>
      </c>
      <c r="U115" t="s">
        <v>726</v>
      </c>
      <c r="W115">
        <v>18</v>
      </c>
      <c r="X115">
        <v>18</v>
      </c>
      <c r="AE115">
        <v>0</v>
      </c>
      <c r="AG115">
        <v>404</v>
      </c>
      <c r="AI115" t="str">
        <f>HYPERLINK("https://www.instagram.com/p/CDoD45DonOq/media/?size=l")</f>
        <v>https://www.instagram.com/p/CDoD45DonOq/media/?size=l</v>
      </c>
      <c r="AJ115" t="s">
        <v>10</v>
      </c>
      <c r="AK115" t="s">
        <v>21</v>
      </c>
    </row>
    <row r="116" spans="1:52" x14ac:dyDescent="0.25">
      <c r="A116" t="s">
        <v>1838</v>
      </c>
      <c r="B116" t="s">
        <v>1847</v>
      </c>
      <c r="C116" t="s">
        <v>984</v>
      </c>
      <c r="D116" t="s">
        <v>1712</v>
      </c>
      <c r="E116" t="s">
        <v>1848</v>
      </c>
      <c r="F116" t="s">
        <v>45</v>
      </c>
      <c r="G116" t="str">
        <f>HYPERLINK("https://www.michigan-sportsman.com/forum/threads/why-reply-covid-in-u-s-vs-the-world.697931/page-7")</f>
        <v>https://www.michigan-sportsman.com/forum/threads/why-reply-covid-in-u-s-vs-the-world.697931/page-7</v>
      </c>
      <c r="H116" t="s">
        <v>885</v>
      </c>
      <c r="I116" t="s">
        <v>1714</v>
      </c>
      <c r="J116" t="str">
        <f>HYPERLINK("https://www.michigan-sportsman.com/forum/members/northernfisher.50819/")</f>
        <v>https://www.michigan-sportsman.com/forum/members/northernfisher.50819/</v>
      </c>
      <c r="N116" t="s">
        <v>1715</v>
      </c>
      <c r="O116" t="s">
        <v>1716</v>
      </c>
      <c r="P116" t="str">
        <f>HYPERLINK("https://www.michigan-sportsman.com/forum/forums/sound-off.37/")</f>
        <v>https://www.michigan-sportsman.com/forum/forums/sound-off.37/</v>
      </c>
      <c r="R116" t="s">
        <v>1293</v>
      </c>
      <c r="S116" t="s">
        <v>425</v>
      </c>
      <c r="T116" t="s">
        <v>1717</v>
      </c>
      <c r="U116" t="s">
        <v>1718</v>
      </c>
      <c r="AJ116" t="s">
        <v>10</v>
      </c>
      <c r="AK116" t="s">
        <v>21</v>
      </c>
    </row>
    <row r="117" spans="1:52" x14ac:dyDescent="0.25">
      <c r="A117" t="s">
        <v>2057</v>
      </c>
      <c r="B117" t="s">
        <v>2058</v>
      </c>
      <c r="C117" t="s">
        <v>968</v>
      </c>
      <c r="D117" t="s">
        <v>2052</v>
      </c>
      <c r="E117" t="s">
        <v>2059</v>
      </c>
      <c r="F117" t="s">
        <v>26</v>
      </c>
      <c r="G117" t="str">
        <f>HYPERLINK("https://vk.com/wall-131222876_322930?reply=322955&amp;thread=322936")</f>
        <v>https://vk.com/wall-131222876_322930?reply=322955&amp;thread=322936</v>
      </c>
      <c r="H117" t="s">
        <v>885</v>
      </c>
      <c r="I117" t="s">
        <v>2060</v>
      </c>
      <c r="J117" t="str">
        <f>HYPERLINK("http://vk.com/id11429823")</f>
        <v>http://vk.com/id11429823</v>
      </c>
      <c r="K117">
        <v>618</v>
      </c>
      <c r="L117" t="s">
        <v>80</v>
      </c>
      <c r="M117">
        <v>30</v>
      </c>
      <c r="N117" t="s">
        <v>16</v>
      </c>
      <c r="O117" t="s">
        <v>2055</v>
      </c>
      <c r="P117" t="str">
        <f>HYPERLINK("http://vk.com/club131222876")</f>
        <v>http://vk.com/club131222876</v>
      </c>
      <c r="Q117">
        <v>9285</v>
      </c>
      <c r="R117" t="s">
        <v>17</v>
      </c>
      <c r="S117" t="s">
        <v>18</v>
      </c>
      <c r="T117" t="s">
        <v>37</v>
      </c>
      <c r="U117" t="s">
        <v>2061</v>
      </c>
      <c r="AJ117" t="s">
        <v>10</v>
      </c>
      <c r="AK117" t="s">
        <v>21</v>
      </c>
    </row>
    <row r="118" spans="1:52" x14ac:dyDescent="0.25">
      <c r="A118" t="s">
        <v>2122</v>
      </c>
      <c r="B118" t="s">
        <v>1380</v>
      </c>
      <c r="C118" t="s">
        <v>968</v>
      </c>
      <c r="D118" t="s">
        <v>2145</v>
      </c>
      <c r="E118" t="s">
        <v>2146</v>
      </c>
      <c r="F118" t="s">
        <v>45</v>
      </c>
      <c r="G118" t="str">
        <f>HYPERLINK("https://zen.yandex.ru/media/id/5e414dabcbb49f45fcf938c0/5f1992fad4781b1af574245b")</f>
        <v>https://zen.yandex.ru/media/id/5e414dabcbb49f45fcf938c0/5f1992fad4781b1af574245b</v>
      </c>
      <c r="H118" t="s">
        <v>885</v>
      </c>
      <c r="I118" t="s">
        <v>1152</v>
      </c>
      <c r="J118" t="str">
        <f>HYPERLINK("https://zen.yandex.ru/id/5e414dabcbb49f45fcf938c0")</f>
        <v>https://zen.yandex.ru/id/5e414dabcbb49f45fcf938c0</v>
      </c>
      <c r="K118">
        <v>12</v>
      </c>
      <c r="N118" t="s">
        <v>1153</v>
      </c>
      <c r="R118" t="s">
        <v>966</v>
      </c>
      <c r="S118" t="s">
        <v>18</v>
      </c>
      <c r="AE118">
        <v>0</v>
      </c>
      <c r="AG118">
        <v>3</v>
      </c>
      <c r="AI118" t="str">
        <f>HYPERLINK("https://avatars.mds.yandex.net/get-zen_doc/3756876/pub_5f1992fad4781b1af574245b_5f199491a922791e539058bc/scale_1200")</f>
        <v>https://avatars.mds.yandex.net/get-zen_doc/3756876/pub_5f1992fad4781b1af574245b_5f199491a922791e539058bc/scale_1200</v>
      </c>
      <c r="AJ118" t="s">
        <v>10</v>
      </c>
      <c r="AK118" t="s">
        <v>21</v>
      </c>
    </row>
    <row r="119" spans="1:52" x14ac:dyDescent="0.25">
      <c r="A119" t="s">
        <v>414</v>
      </c>
      <c r="B119" t="s">
        <v>587</v>
      </c>
      <c r="C119" t="s">
        <v>585</v>
      </c>
      <c r="D119" t="s">
        <v>24</v>
      </c>
      <c r="E119" t="s">
        <v>588</v>
      </c>
      <c r="F119" t="s">
        <v>26</v>
      </c>
      <c r="G119" t="str">
        <f>HYPERLINK("https://vk.com/wall-197114981_31?reply=1223")</f>
        <v>https://vk.com/wall-197114981_31?reply=1223</v>
      </c>
      <c r="H119" t="s">
        <v>13</v>
      </c>
      <c r="I119" t="s">
        <v>230</v>
      </c>
      <c r="J119" t="str">
        <f>HYPERLINK("http://vk.com/id556936861")</f>
        <v>http://vk.com/id556936861</v>
      </c>
      <c r="K119">
        <v>165</v>
      </c>
      <c r="L119" t="s">
        <v>80</v>
      </c>
      <c r="N119" t="s">
        <v>16</v>
      </c>
      <c r="O119" t="s">
        <v>27</v>
      </c>
      <c r="P119" t="str">
        <f>HYPERLINK("http://vk.com/club197114981")</f>
        <v>http://vk.com/club197114981</v>
      </c>
      <c r="Q119">
        <v>38</v>
      </c>
      <c r="R119" t="s">
        <v>17</v>
      </c>
      <c r="S119" t="s">
        <v>18</v>
      </c>
      <c r="T119" t="s">
        <v>231</v>
      </c>
      <c r="U119" t="s">
        <v>232</v>
      </c>
      <c r="AJ119" t="s">
        <v>10</v>
      </c>
      <c r="AK119" t="s">
        <v>21</v>
      </c>
    </row>
    <row r="120" spans="1:52" x14ac:dyDescent="0.25">
      <c r="A120" t="s">
        <v>414</v>
      </c>
      <c r="B120" t="s">
        <v>721</v>
      </c>
      <c r="C120" t="s">
        <v>575</v>
      </c>
      <c r="D120" t="s">
        <v>10</v>
      </c>
      <c r="E120" t="s">
        <v>723</v>
      </c>
      <c r="F120" t="s">
        <v>45</v>
      </c>
      <c r="G120" t="str">
        <f>HYPERLINK("https://www.instagram.com/p/CDp1y8SIwuV")</f>
        <v>https://www.instagram.com/p/CDp1y8SIwuV</v>
      </c>
      <c r="H120" t="s">
        <v>13</v>
      </c>
      <c r="I120" t="s">
        <v>727</v>
      </c>
      <c r="J120" t="str">
        <f>HYPERLINK("http://instagram.com/stomatolog_vladimir33_laviani")</f>
        <v>http://instagram.com/stomatolog_vladimir33_laviani</v>
      </c>
      <c r="K120">
        <v>1017</v>
      </c>
      <c r="N120" t="s">
        <v>69</v>
      </c>
      <c r="O120" t="s">
        <v>727</v>
      </c>
      <c r="P120" t="str">
        <f>HYPERLINK("http://instagram.com/stomatolog_vladimir33_laviani")</f>
        <v>http://instagram.com/stomatolog_vladimir33_laviani</v>
      </c>
      <c r="Q120">
        <v>1017</v>
      </c>
      <c r="R120" t="s">
        <v>17</v>
      </c>
      <c r="S120" t="s">
        <v>18</v>
      </c>
      <c r="T120" t="s">
        <v>725</v>
      </c>
      <c r="U120" t="s">
        <v>726</v>
      </c>
      <c r="W120">
        <v>9</v>
      </c>
      <c r="X120">
        <v>9</v>
      </c>
      <c r="AE120">
        <v>0</v>
      </c>
      <c r="AG120">
        <v>110</v>
      </c>
      <c r="AI120" t="str">
        <f>HYPERLINK("https://www.instagram.com/p/CDp1y8SIwuV/media/?size=l")</f>
        <v>https://www.instagram.com/p/CDp1y8SIwuV/media/?size=l</v>
      </c>
      <c r="AJ120" t="s">
        <v>10</v>
      </c>
      <c r="AK120" t="s">
        <v>21</v>
      </c>
      <c r="AL120" t="s">
        <v>3237</v>
      </c>
      <c r="AP120" t="s">
        <v>3241</v>
      </c>
      <c r="AR120" t="s">
        <v>3243</v>
      </c>
      <c r="AX120" t="s">
        <v>3249</v>
      </c>
    </row>
    <row r="121" spans="1:52" x14ac:dyDescent="0.25">
      <c r="A121" t="s">
        <v>1838</v>
      </c>
      <c r="B121" t="s">
        <v>1918</v>
      </c>
      <c r="C121" t="s">
        <v>984</v>
      </c>
      <c r="D121" t="s">
        <v>1919</v>
      </c>
      <c r="E121" t="s">
        <v>1920</v>
      </c>
      <c r="F121" t="s">
        <v>26</v>
      </c>
      <c r="G121" t="str">
        <f>HYPERLINK("https://vk.com/wall-86168582_1055339?reply=1056209")</f>
        <v>https://vk.com/wall-86168582_1055339?reply=1056209</v>
      </c>
      <c r="H121" t="s">
        <v>889</v>
      </c>
      <c r="I121" t="s">
        <v>1921</v>
      </c>
      <c r="J121" t="str">
        <f>HYPERLINK("http://vk.com/id461692088")</f>
        <v>http://vk.com/id461692088</v>
      </c>
      <c r="K121">
        <v>111</v>
      </c>
      <c r="L121" t="s">
        <v>80</v>
      </c>
      <c r="M121">
        <v>37</v>
      </c>
      <c r="N121" t="s">
        <v>16</v>
      </c>
      <c r="O121" t="s">
        <v>1922</v>
      </c>
      <c r="P121" t="str">
        <f>HYPERLINK("http://vk.com/club86168582")</f>
        <v>http://vk.com/club86168582</v>
      </c>
      <c r="Q121">
        <v>66398</v>
      </c>
      <c r="R121" t="s">
        <v>17</v>
      </c>
      <c r="S121" t="s">
        <v>18</v>
      </c>
      <c r="T121" t="s">
        <v>1923</v>
      </c>
      <c r="U121" t="s">
        <v>1924</v>
      </c>
      <c r="AJ121" t="s">
        <v>10</v>
      </c>
      <c r="AK121" t="s">
        <v>21</v>
      </c>
      <c r="AP121" t="s">
        <v>3241</v>
      </c>
      <c r="AR121" t="s">
        <v>3243</v>
      </c>
      <c r="AS121" t="s">
        <v>3244</v>
      </c>
      <c r="AV121" t="s">
        <v>3247</v>
      </c>
    </row>
    <row r="122" spans="1:52" x14ac:dyDescent="0.25">
      <c r="A122" t="s">
        <v>2428</v>
      </c>
      <c r="B122" t="s">
        <v>1374</v>
      </c>
      <c r="C122" t="s">
        <v>968</v>
      </c>
      <c r="D122" t="s">
        <v>2388</v>
      </c>
      <c r="E122" t="s">
        <v>2433</v>
      </c>
      <c r="F122" t="s">
        <v>26</v>
      </c>
      <c r="G122" t="str">
        <f>HYPERLINK("https://vk.com/wall-55131656_181733?reply=181746")</f>
        <v>https://vk.com/wall-55131656_181733?reply=181746</v>
      </c>
      <c r="H122" t="s">
        <v>889</v>
      </c>
      <c r="I122" t="s">
        <v>2434</v>
      </c>
      <c r="J122" t="str">
        <f>HYPERLINK("http://vk.com/id130858043")</f>
        <v>http://vk.com/id130858043</v>
      </c>
      <c r="K122">
        <v>290</v>
      </c>
      <c r="L122" t="s">
        <v>80</v>
      </c>
      <c r="N122" t="s">
        <v>16</v>
      </c>
      <c r="O122" t="s">
        <v>1493</v>
      </c>
      <c r="P122" t="str">
        <f>HYPERLINK("http://vk.com/club55131656")</f>
        <v>http://vk.com/club55131656</v>
      </c>
      <c r="Q122">
        <v>33584</v>
      </c>
      <c r="R122" t="s">
        <v>17</v>
      </c>
      <c r="S122" t="s">
        <v>18</v>
      </c>
      <c r="AJ122" t="s">
        <v>10</v>
      </c>
      <c r="AK122" t="s">
        <v>21</v>
      </c>
      <c r="AP122" t="s">
        <v>3241</v>
      </c>
      <c r="AX122" t="s">
        <v>3249</v>
      </c>
    </row>
    <row r="123" spans="1:52" x14ac:dyDescent="0.25">
      <c r="A123" t="s">
        <v>2428</v>
      </c>
      <c r="B123" t="s">
        <v>274</v>
      </c>
      <c r="C123" t="s">
        <v>968</v>
      </c>
      <c r="D123" t="s">
        <v>2463</v>
      </c>
      <c r="E123" t="s">
        <v>2464</v>
      </c>
      <c r="F123" t="s">
        <v>45</v>
      </c>
      <c r="G123" t="str">
        <f>HYPERLINK("https://www.google.com/maps/reviews/data=!4m5!14m4!1m3!1m2!1s104403547408856422139!2s0x0:0xc800058054772c4b?hl=en-GB")</f>
        <v>https://www.google.com/maps/reviews/data=!4m5!14m4!1m3!1m2!1s104403547408856422139!2s0x0:0xc800058054772c4b?hl=en-GB</v>
      </c>
      <c r="H123" t="s">
        <v>889</v>
      </c>
      <c r="I123" t="s">
        <v>2465</v>
      </c>
      <c r="J123" t="str">
        <f>HYPERLINK("https://maps.google.com/maps/contrib/104403547408856422139")</f>
        <v>https://maps.google.com/maps/contrib/104403547408856422139</v>
      </c>
      <c r="N123" t="s">
        <v>615</v>
      </c>
      <c r="O123" t="s">
        <v>2463</v>
      </c>
      <c r="P123" t="str">
        <f>HYPERLINK("https://maps.google.com/maps/place/data=!3m1!4b1!4m5!3m4!1s0x0:0xc800058054772c4b!8m2!3d21.273280!4d81.666550")</f>
        <v>https://maps.google.com/maps/place/data=!3m1!4b1!4m5!3m4!1s0x0:0xc800058054772c4b!8m2!3d21.273280!4d81.666550</v>
      </c>
      <c r="R123" t="s">
        <v>616</v>
      </c>
      <c r="S123" t="s">
        <v>1206</v>
      </c>
      <c r="T123" t="s">
        <v>2466</v>
      </c>
      <c r="U123" t="s">
        <v>2467</v>
      </c>
      <c r="AH123">
        <v>5</v>
      </c>
      <c r="AJ123" t="s">
        <v>10</v>
      </c>
      <c r="AK123" t="s">
        <v>21</v>
      </c>
      <c r="AP123" t="s">
        <v>3241</v>
      </c>
      <c r="AW123" t="s">
        <v>3248</v>
      </c>
      <c r="AX123" t="s">
        <v>3249</v>
      </c>
    </row>
    <row r="124" spans="1:52" x14ac:dyDescent="0.25">
      <c r="A124" t="s">
        <v>2472</v>
      </c>
      <c r="B124" t="s">
        <v>2495</v>
      </c>
      <c r="C124" t="s">
        <v>968</v>
      </c>
      <c r="D124" t="s">
        <v>10</v>
      </c>
      <c r="E124" t="s">
        <v>2496</v>
      </c>
      <c r="F124" t="s">
        <v>45</v>
      </c>
      <c r="G124" t="str">
        <f>HYPERLINK("https://www.instagram.com/p/CCwAuO-DEvc")</f>
        <v>https://www.instagram.com/p/CCwAuO-DEvc</v>
      </c>
      <c r="H124" t="s">
        <v>885</v>
      </c>
      <c r="I124" t="s">
        <v>1241</v>
      </c>
      <c r="J124" t="str">
        <f>HYPERLINK("http://instagram.com/dr.jdinkha")</f>
        <v>http://instagram.com/dr.jdinkha</v>
      </c>
      <c r="K124">
        <v>13350</v>
      </c>
      <c r="N124" t="s">
        <v>69</v>
      </c>
      <c r="O124" t="s">
        <v>1241</v>
      </c>
      <c r="P124" t="str">
        <f>HYPERLINK("http://instagram.com/dr.jdinkha")</f>
        <v>http://instagram.com/dr.jdinkha</v>
      </c>
      <c r="Q124">
        <v>13350</v>
      </c>
      <c r="R124" t="s">
        <v>17</v>
      </c>
      <c r="S124" t="s">
        <v>1242</v>
      </c>
      <c r="AI124" t="str">
        <f>HYPERLINK("https://www.instagram.com/p/CCwAuO-DEvc/media/?size=l")</f>
        <v>https://www.instagram.com/p/CCwAuO-DEvc/media/?size=l</v>
      </c>
      <c r="AJ124" t="s">
        <v>10</v>
      </c>
      <c r="AK124" t="s">
        <v>21</v>
      </c>
      <c r="AP124" t="s">
        <v>3241</v>
      </c>
      <c r="AW124" t="s">
        <v>3248</v>
      </c>
    </row>
    <row r="125" spans="1:52" x14ac:dyDescent="0.25">
      <c r="A125" t="s">
        <v>2472</v>
      </c>
      <c r="B125" t="s">
        <v>674</v>
      </c>
      <c r="C125" t="s">
        <v>968</v>
      </c>
      <c r="D125" t="s">
        <v>2511</v>
      </c>
      <c r="E125" t="s">
        <v>2512</v>
      </c>
      <c r="F125" t="s">
        <v>45</v>
      </c>
      <c r="G125" t="str">
        <f>HYPERLINK("https://irecommend.ru/content/pust-u-vsekh-tak-blestyat-volosy-kak-u-menya-posle-etogo-shampunya-otlichno-uvlazhnyaet-oble")</f>
        <v>https://irecommend.ru/content/pust-u-vsekh-tak-blestyat-volosy-kak-u-menya-posle-etogo-shampunya-otlichno-uvlazhnyaet-oble</v>
      </c>
      <c r="H125" t="s">
        <v>889</v>
      </c>
      <c r="I125" t="s">
        <v>2513</v>
      </c>
      <c r="J125" t="str">
        <f>HYPERLINK("https://irecommend.ru/users/anybannypanda")</f>
        <v>https://irecommend.ru/users/anybannypanda</v>
      </c>
      <c r="N125" t="s">
        <v>2514</v>
      </c>
      <c r="O125" t="s">
        <v>2511</v>
      </c>
      <c r="P125" t="str">
        <f>HYPERLINK("https://irecommend.ru/content/shampun-rth-hair-clinic-expert-liniya-osnovnoi-ukhod")</f>
        <v>https://irecommend.ru/content/shampun-rth-hair-clinic-expert-liniya-osnovnoi-ukhod</v>
      </c>
      <c r="R125" t="s">
        <v>616</v>
      </c>
      <c r="S125" t="s">
        <v>18</v>
      </c>
      <c r="AE125">
        <v>0</v>
      </c>
      <c r="AH125">
        <v>5</v>
      </c>
      <c r="AI125" t="str">
        <f>HYPERLINK("https://cdn-irec.r-99.com/sites/default/files/imagecache/copyright1/user-images/1069880/uMD6nw3COVGiwrv9woq94w.jpg")</f>
        <v>https://cdn-irec.r-99.com/sites/default/files/imagecache/copyright1/user-images/1069880/uMD6nw3COVGiwrv9woq94w.jpg</v>
      </c>
      <c r="AJ125" t="s">
        <v>10</v>
      </c>
      <c r="AK125" t="s">
        <v>21</v>
      </c>
      <c r="AP125" t="s">
        <v>3241</v>
      </c>
    </row>
    <row r="126" spans="1:52" x14ac:dyDescent="0.25">
      <c r="A126" t="s">
        <v>2472</v>
      </c>
      <c r="B126" t="s">
        <v>1510</v>
      </c>
      <c r="C126" t="s">
        <v>968</v>
      </c>
      <c r="D126" t="s">
        <v>10</v>
      </c>
      <c r="E126" t="s">
        <v>2521</v>
      </c>
      <c r="F126" t="s">
        <v>12</v>
      </c>
      <c r="G126" t="str">
        <f>HYPERLINK("https://www.facebook.com/permalink.php?story_fbid=387068735603154&amp;id=100029000910918")</f>
        <v>https://www.facebook.com/permalink.php?story_fbid=387068735603154&amp;id=100029000910918</v>
      </c>
      <c r="H126" t="s">
        <v>885</v>
      </c>
      <c r="I126" t="s">
        <v>1148</v>
      </c>
      <c r="J126" t="str">
        <f>HYPERLINK("https://www.facebook.com/100029000910918")</f>
        <v>https://www.facebook.com/100029000910918</v>
      </c>
      <c r="K126">
        <v>337</v>
      </c>
      <c r="L126" t="s">
        <v>80</v>
      </c>
      <c r="N126" t="s">
        <v>179</v>
      </c>
      <c r="O126" t="s">
        <v>1148</v>
      </c>
      <c r="P126" t="str">
        <f>HYPERLINK("https://www.facebook.com/100029000910918")</f>
        <v>https://www.facebook.com/100029000910918</v>
      </c>
      <c r="Q126">
        <v>337</v>
      </c>
      <c r="R126" t="s">
        <v>17</v>
      </c>
      <c r="W126">
        <v>0</v>
      </c>
      <c r="X126">
        <v>0</v>
      </c>
      <c r="Y126">
        <v>0</v>
      </c>
      <c r="Z126">
        <v>0</v>
      </c>
      <c r="AA126">
        <v>0</v>
      </c>
      <c r="AB126">
        <v>0</v>
      </c>
      <c r="AC126">
        <v>0</v>
      </c>
      <c r="AE126">
        <v>0</v>
      </c>
      <c r="AI126" t="str">
        <f>HYPERLINK("https://scontent-hel2-1.xx.fbcdn.net/v/t1.0-9/s960x960/109387448_3190120957721026_4177860380192712218_o.jpg?_nc_cat=108&amp;_nc_sid=9267fe&amp;_nc_ohc=SOZQlH8vTfEAX-moHX7&amp;_nc_ht=scontent-hel2-1.xx&amp;_nc_tp=7&amp;oh=a9679a7ffdfce3a444bd83492e5b70d9&amp;oe=5F3831BA")</f>
        <v>https://scontent-hel2-1.xx.fbcdn.net/v/t1.0-9/s960x960/109387448_3190120957721026_4177860380192712218_o.jpg?_nc_cat=108&amp;_nc_sid=9267fe&amp;_nc_ohc=SOZQlH8vTfEAX-moHX7&amp;_nc_ht=scontent-hel2-1.xx&amp;_nc_tp=7&amp;oh=a9679a7ffdfce3a444bd83492e5b70d9&amp;oe=5F3831BA</v>
      </c>
      <c r="AJ126" t="s">
        <v>10</v>
      </c>
      <c r="AK126" t="s">
        <v>21</v>
      </c>
      <c r="AP126" t="s">
        <v>3241</v>
      </c>
    </row>
    <row r="127" spans="1:52" x14ac:dyDescent="0.25">
      <c r="A127" t="s">
        <v>2589</v>
      </c>
      <c r="B127" t="s">
        <v>2663</v>
      </c>
      <c r="C127" t="s">
        <v>968</v>
      </c>
      <c r="D127" t="s">
        <v>10</v>
      </c>
      <c r="E127" t="s">
        <v>2664</v>
      </c>
      <c r="F127" t="s">
        <v>26</v>
      </c>
      <c r="G127" t="str">
        <f>HYPERLINK("https://twitter.com/969024646837407744/status/1283199098741567494")</f>
        <v>https://twitter.com/969024646837407744/status/1283199098741567494</v>
      </c>
      <c r="H127" t="s">
        <v>885</v>
      </c>
      <c r="I127" t="s">
        <v>2665</v>
      </c>
      <c r="J127" t="str">
        <f>HYPERLINK("http://twitter.com/realpritch9")</f>
        <v>http://twitter.com/realpritch9</v>
      </c>
      <c r="K127">
        <v>53</v>
      </c>
      <c r="N127" t="s">
        <v>54</v>
      </c>
      <c r="R127" t="s">
        <v>17</v>
      </c>
      <c r="S127" t="s">
        <v>425</v>
      </c>
      <c r="AI127" t="str">
        <f>HYPERLINK("https://pbs.twimg.com/ext_tw_video_thumb/1283186784189456384/pu/img/S0qKtZy0dgriWM-3.jpg")</f>
        <v>https://pbs.twimg.com/ext_tw_video_thumb/1283186784189456384/pu/img/S0qKtZy0dgriWM-3.jpg</v>
      </c>
      <c r="AJ127" t="s">
        <v>10</v>
      </c>
      <c r="AK127" t="s">
        <v>21</v>
      </c>
      <c r="AP127" t="s">
        <v>3241</v>
      </c>
    </row>
    <row r="128" spans="1:52" x14ac:dyDescent="0.25">
      <c r="A128" t="s">
        <v>2767</v>
      </c>
      <c r="B128" t="s">
        <v>2816</v>
      </c>
      <c r="C128" t="s">
        <v>968</v>
      </c>
      <c r="D128" t="s">
        <v>10</v>
      </c>
      <c r="E128" t="s">
        <v>2817</v>
      </c>
      <c r="F128" t="s">
        <v>45</v>
      </c>
      <c r="G128" t="str">
        <f>HYPERLINK("https://www.instagram.com/p/CCk201cqSRl")</f>
        <v>https://www.instagram.com/p/CCk201cqSRl</v>
      </c>
      <c r="H128" t="s">
        <v>1057</v>
      </c>
      <c r="I128" t="s">
        <v>2818</v>
      </c>
      <c r="J128" t="str">
        <f>HYPERLINK("http://instagram.com/kostromskoe_ufas")</f>
        <v>http://instagram.com/kostromskoe_ufas</v>
      </c>
      <c r="K128">
        <v>487</v>
      </c>
      <c r="N128" t="s">
        <v>69</v>
      </c>
      <c r="O128" t="s">
        <v>2818</v>
      </c>
      <c r="P128" t="str">
        <f>HYPERLINK("http://instagram.com/kostromskoe_ufas")</f>
        <v>http://instagram.com/kostromskoe_ufas</v>
      </c>
      <c r="Q128">
        <v>487</v>
      </c>
      <c r="R128" t="s">
        <v>17</v>
      </c>
      <c r="AI128" t="str">
        <f>HYPERLINK("https://www.instagram.com/p/CCk201cqSRl/media/?size=l")</f>
        <v>https://www.instagram.com/p/CCk201cqSRl/media/?size=l</v>
      </c>
      <c r="AJ128" t="s">
        <v>10</v>
      </c>
      <c r="AK128" t="s">
        <v>21</v>
      </c>
      <c r="AN128" t="s">
        <v>3239</v>
      </c>
      <c r="AP128" t="s">
        <v>3241</v>
      </c>
      <c r="AY128" t="s">
        <v>3250</v>
      </c>
      <c r="AZ128" t="s">
        <v>3251</v>
      </c>
    </row>
    <row r="129" spans="1:52" x14ac:dyDescent="0.25">
      <c r="A129" t="s">
        <v>414</v>
      </c>
      <c r="B129" t="s">
        <v>697</v>
      </c>
      <c r="C129" t="s">
        <v>698</v>
      </c>
      <c r="D129" t="s">
        <v>24</v>
      </c>
      <c r="E129" t="s">
        <v>636</v>
      </c>
      <c r="F129" t="s">
        <v>26</v>
      </c>
      <c r="G129" t="str">
        <f>HYPERLINK("https://vk.com/wall-197114981_31?reply=1189&amp;thread=1185")</f>
        <v>https://vk.com/wall-197114981_31?reply=1189&amp;thread=1185</v>
      </c>
      <c r="H129" t="s">
        <v>13</v>
      </c>
      <c r="I129" t="s">
        <v>27</v>
      </c>
      <c r="J129" t="str">
        <f>HYPERLINK("http://vk.com/club197114981")</f>
        <v>http://vk.com/club197114981</v>
      </c>
      <c r="K129">
        <v>38</v>
      </c>
      <c r="L129" t="s">
        <v>28</v>
      </c>
      <c r="N129" t="s">
        <v>16</v>
      </c>
      <c r="O129" t="s">
        <v>27</v>
      </c>
      <c r="P129" t="str">
        <f>HYPERLINK("http://vk.com/club197114981")</f>
        <v>http://vk.com/club197114981</v>
      </c>
      <c r="Q129">
        <v>38</v>
      </c>
      <c r="R129" t="s">
        <v>17</v>
      </c>
      <c r="AJ129" t="s">
        <v>10</v>
      </c>
      <c r="AK129" t="s">
        <v>21</v>
      </c>
      <c r="AO129" t="s">
        <v>3240</v>
      </c>
      <c r="AP129" t="s">
        <v>3241</v>
      </c>
      <c r="AY129" t="s">
        <v>3250</v>
      </c>
      <c r="AZ129" t="s">
        <v>3251</v>
      </c>
    </row>
    <row r="130" spans="1:52" x14ac:dyDescent="0.25">
      <c r="A130" t="s">
        <v>772</v>
      </c>
      <c r="B130" t="s">
        <v>855</v>
      </c>
      <c r="C130" t="s">
        <v>856</v>
      </c>
      <c r="D130" t="s">
        <v>24</v>
      </c>
      <c r="E130" t="s">
        <v>857</v>
      </c>
      <c r="F130" t="s">
        <v>26</v>
      </c>
      <c r="G130" t="str">
        <f>HYPERLINK("https://vk.com/wall-197114981_31?reply=1134&amp;thread=294")</f>
        <v>https://vk.com/wall-197114981_31?reply=1134&amp;thread=294</v>
      </c>
      <c r="H130" t="s">
        <v>13</v>
      </c>
      <c r="I130" t="s">
        <v>27</v>
      </c>
      <c r="J130" t="str">
        <f>HYPERLINK("http://vk.com/club197114981")</f>
        <v>http://vk.com/club197114981</v>
      </c>
      <c r="K130">
        <v>38</v>
      </c>
      <c r="L130" t="s">
        <v>28</v>
      </c>
      <c r="N130" t="s">
        <v>16</v>
      </c>
      <c r="O130" t="s">
        <v>27</v>
      </c>
      <c r="P130" t="str">
        <f>HYPERLINK("http://vk.com/club197114981")</f>
        <v>http://vk.com/club197114981</v>
      </c>
      <c r="Q130">
        <v>38</v>
      </c>
      <c r="R130" t="s">
        <v>17</v>
      </c>
      <c r="AJ130" t="s">
        <v>10</v>
      </c>
      <c r="AK130" t="s">
        <v>21</v>
      </c>
      <c r="AN130" t="s">
        <v>3239</v>
      </c>
      <c r="AP130" t="s">
        <v>3241</v>
      </c>
      <c r="AX130" t="s">
        <v>3249</v>
      </c>
      <c r="AY130" t="s">
        <v>3250</v>
      </c>
      <c r="AZ130" t="s">
        <v>3251</v>
      </c>
    </row>
    <row r="131" spans="1:52" x14ac:dyDescent="0.25">
      <c r="A131" t="s">
        <v>772</v>
      </c>
      <c r="B131" t="s">
        <v>950</v>
      </c>
      <c r="C131" t="s">
        <v>951</v>
      </c>
      <c r="D131" t="s">
        <v>10</v>
      </c>
      <c r="E131" t="s">
        <v>952</v>
      </c>
      <c r="F131" t="s">
        <v>12</v>
      </c>
      <c r="G131" t="str">
        <f>HYPERLINK("https://vk.com/wall376985409_222")</f>
        <v>https://vk.com/wall376985409_222</v>
      </c>
      <c r="H131" t="s">
        <v>885</v>
      </c>
      <c r="I131" t="s">
        <v>953</v>
      </c>
      <c r="J131" t="str">
        <f>HYPERLINK("http://vk.com/id376985409")</f>
        <v>http://vk.com/id376985409</v>
      </c>
      <c r="K131">
        <v>4</v>
      </c>
      <c r="L131" t="s">
        <v>80</v>
      </c>
      <c r="N131" t="s">
        <v>16</v>
      </c>
      <c r="O131" t="s">
        <v>953</v>
      </c>
      <c r="P131" t="str">
        <f>HYPERLINK("http://vk.com/id376985409")</f>
        <v>http://vk.com/id376985409</v>
      </c>
      <c r="Q131">
        <v>4</v>
      </c>
      <c r="R131" t="s">
        <v>17</v>
      </c>
      <c r="W131">
        <v>0</v>
      </c>
      <c r="X131">
        <v>0</v>
      </c>
      <c r="AE131">
        <v>0</v>
      </c>
      <c r="AF131">
        <v>0</v>
      </c>
      <c r="AG131">
        <v>1</v>
      </c>
      <c r="AI131" t="str">
        <f>HYPERLINK("https://sun1-16.userapi.com/c857136/v857136562/1eefbb/Rs2jY7FYtJI.jpg")</f>
        <v>https://sun1-16.userapi.com/c857136/v857136562/1eefbb/Rs2jY7FYtJI.jpg</v>
      </c>
      <c r="AJ131" t="s">
        <v>10</v>
      </c>
      <c r="AK131" t="s">
        <v>21</v>
      </c>
      <c r="AN131" t="s">
        <v>3239</v>
      </c>
      <c r="AP131" t="s">
        <v>3241</v>
      </c>
      <c r="AR131" t="s">
        <v>3243</v>
      </c>
      <c r="AT131" t="s">
        <v>3245</v>
      </c>
      <c r="AU131" t="s">
        <v>3246</v>
      </c>
      <c r="AV131" t="s">
        <v>3247</v>
      </c>
      <c r="AW131" t="s">
        <v>3248</v>
      </c>
      <c r="AY131" t="s">
        <v>3250</v>
      </c>
    </row>
    <row r="132" spans="1:52" x14ac:dyDescent="0.25">
      <c r="A132" t="s">
        <v>1225</v>
      </c>
      <c r="B132" t="s">
        <v>1275</v>
      </c>
      <c r="C132" t="s">
        <v>984</v>
      </c>
      <c r="D132" t="s">
        <v>10</v>
      </c>
      <c r="E132" t="s">
        <v>1276</v>
      </c>
      <c r="F132" t="s">
        <v>45</v>
      </c>
      <c r="G132" t="str">
        <f>HYPERLINK("https://www.instagram.com/p/CDc9U-wMJo1")</f>
        <v>https://www.instagram.com/p/CDc9U-wMJo1</v>
      </c>
      <c r="H132" t="s">
        <v>885</v>
      </c>
      <c r="I132" t="s">
        <v>1269</v>
      </c>
      <c r="J132" t="str">
        <f>HYPERLINK("http://instagram.com/naradaclinic")</f>
        <v>http://instagram.com/naradaclinic</v>
      </c>
      <c r="K132">
        <v>633</v>
      </c>
      <c r="N132" t="s">
        <v>69</v>
      </c>
      <c r="O132" t="s">
        <v>1269</v>
      </c>
      <c r="P132" t="str">
        <f>HYPERLINK("http://instagram.com/naradaclinic")</f>
        <v>http://instagram.com/naradaclinic</v>
      </c>
      <c r="Q132">
        <v>633</v>
      </c>
      <c r="R132" t="s">
        <v>17</v>
      </c>
      <c r="S132" t="s">
        <v>281</v>
      </c>
      <c r="T132" t="s">
        <v>282</v>
      </c>
      <c r="U132" t="s">
        <v>282</v>
      </c>
      <c r="W132">
        <v>3</v>
      </c>
      <c r="X132">
        <v>3</v>
      </c>
      <c r="AE132">
        <v>0</v>
      </c>
      <c r="AI132" t="str">
        <f>HYPERLINK("https://www.instagram.com/p/CDc9U-wMJo1/media/?size=l")</f>
        <v>https://www.instagram.com/p/CDc9U-wMJo1/media/?size=l</v>
      </c>
      <c r="AJ132" t="s">
        <v>10</v>
      </c>
      <c r="AK132" t="s">
        <v>21</v>
      </c>
      <c r="AN132" t="s">
        <v>3239</v>
      </c>
      <c r="AP132" t="s">
        <v>3241</v>
      </c>
      <c r="AR132" t="s">
        <v>3243</v>
      </c>
      <c r="AT132" t="s">
        <v>3245</v>
      </c>
      <c r="AV132" t="s">
        <v>3247</v>
      </c>
      <c r="AW132" t="s">
        <v>3248</v>
      </c>
      <c r="AX132" t="s">
        <v>3249</v>
      </c>
      <c r="AY132" t="s">
        <v>3250</v>
      </c>
    </row>
    <row r="133" spans="1:52" x14ac:dyDescent="0.25">
      <c r="A133" t="s">
        <v>1352</v>
      </c>
      <c r="B133" t="s">
        <v>1366</v>
      </c>
      <c r="C133" t="s">
        <v>984</v>
      </c>
      <c r="D133" t="s">
        <v>421</v>
      </c>
      <c r="E133" t="s">
        <v>1367</v>
      </c>
      <c r="F133" t="s">
        <v>26</v>
      </c>
      <c r="G133" t="str">
        <f>HYPERLINK("https://www.youtube.com/watch?v=gaka1vqYFNs&amp;lc=Ugwq-PB0yK36xjS_VUZ4AaABAg")</f>
        <v>https://www.youtube.com/watch?v=gaka1vqYFNs&amp;lc=Ugwq-PB0yK36xjS_VUZ4AaABAg</v>
      </c>
      <c r="H133" t="s">
        <v>1057</v>
      </c>
      <c r="I133" t="s">
        <v>1368</v>
      </c>
      <c r="J133" t="str">
        <f>HYPERLINK("https://www.youtube.com/channel/UC93ADJYuCP-taUu90Hy6NHA")</f>
        <v>https://www.youtube.com/channel/UC93ADJYuCP-taUu90Hy6NHA</v>
      </c>
      <c r="K133">
        <v>23</v>
      </c>
      <c r="N133" t="s">
        <v>162</v>
      </c>
      <c r="O133" t="s">
        <v>424</v>
      </c>
      <c r="P133" t="str">
        <f>HYPERLINK("https://www.youtube.com/channel/UC8fQzKHIhSoZeSq3bwQx4mw")</f>
        <v>https://www.youtube.com/channel/UC8fQzKHIhSoZeSq3bwQx4mw</v>
      </c>
      <c r="Q133">
        <v>517000</v>
      </c>
      <c r="R133" t="s">
        <v>17</v>
      </c>
      <c r="S133" t="s">
        <v>425</v>
      </c>
      <c r="W133">
        <v>1</v>
      </c>
      <c r="X133">
        <v>1</v>
      </c>
      <c r="AE133">
        <v>0</v>
      </c>
      <c r="AJ133" t="s">
        <v>10</v>
      </c>
      <c r="AK133" t="s">
        <v>21</v>
      </c>
      <c r="AL133" t="s">
        <v>3237</v>
      </c>
      <c r="AP133" t="s">
        <v>3241</v>
      </c>
      <c r="AR133" t="s">
        <v>3243</v>
      </c>
    </row>
    <row r="134" spans="1:52" x14ac:dyDescent="0.25">
      <c r="A134" t="s">
        <v>1462</v>
      </c>
      <c r="B134" t="s">
        <v>1510</v>
      </c>
      <c r="C134" t="s">
        <v>984</v>
      </c>
      <c r="D134" t="s">
        <v>10</v>
      </c>
      <c r="E134" t="s">
        <v>1490</v>
      </c>
      <c r="F134" t="s">
        <v>45</v>
      </c>
      <c r="G134" t="str">
        <f>HYPERLINK("https://vk.com/wall-55131656_184348")</f>
        <v>https://vk.com/wall-55131656_184348</v>
      </c>
      <c r="H134" t="s">
        <v>885</v>
      </c>
      <c r="I134" t="s">
        <v>1493</v>
      </c>
      <c r="J134" t="str">
        <f>HYPERLINK("http://vk.com/club55131656")</f>
        <v>http://vk.com/club55131656</v>
      </c>
      <c r="K134">
        <v>33584</v>
      </c>
      <c r="L134" t="s">
        <v>28</v>
      </c>
      <c r="N134" t="s">
        <v>16</v>
      </c>
      <c r="O134" t="s">
        <v>1493</v>
      </c>
      <c r="P134" t="str">
        <f>HYPERLINK("http://vk.com/club55131656")</f>
        <v>http://vk.com/club55131656</v>
      </c>
      <c r="Q134">
        <v>33584</v>
      </c>
      <c r="R134" t="s">
        <v>17</v>
      </c>
      <c r="W134">
        <v>7</v>
      </c>
      <c r="X134">
        <v>7</v>
      </c>
      <c r="AE134">
        <v>4</v>
      </c>
      <c r="AF134">
        <v>1</v>
      </c>
      <c r="AG134">
        <v>1246</v>
      </c>
      <c r="AI134" t="str">
        <f>HYPERLINK("https://sun1.is74.userapi.com/gFc6d3yZcEgg0XH8DyUn75HEceQKbAB_Nv7KkQ/CaUZut2MJYY.jpg")</f>
        <v>https://sun1.is74.userapi.com/gFc6d3yZcEgg0XH8DyUn75HEceQKbAB_Nv7KkQ/CaUZut2MJYY.jpg</v>
      </c>
      <c r="AJ134" t="s">
        <v>10</v>
      </c>
      <c r="AK134" t="s">
        <v>21</v>
      </c>
      <c r="AL134" t="s">
        <v>3237</v>
      </c>
      <c r="AP134" t="s">
        <v>3241</v>
      </c>
      <c r="AR134" t="s">
        <v>3243</v>
      </c>
      <c r="AT134" t="s">
        <v>3245</v>
      </c>
      <c r="AU134" t="s">
        <v>3246</v>
      </c>
      <c r="AX134" t="s">
        <v>3249</v>
      </c>
      <c r="AY134" t="s">
        <v>3250</v>
      </c>
    </row>
    <row r="135" spans="1:52" x14ac:dyDescent="0.25">
      <c r="A135" t="s">
        <v>1518</v>
      </c>
      <c r="B135" t="s">
        <v>1538</v>
      </c>
      <c r="C135" t="s">
        <v>984</v>
      </c>
      <c r="D135" t="s">
        <v>10</v>
      </c>
      <c r="E135" t="s">
        <v>1539</v>
      </c>
      <c r="F135" t="s">
        <v>45</v>
      </c>
      <c r="G135" t="str">
        <f>HYPERLINK("https://vk.com/wall-197114981_23")</f>
        <v>https://vk.com/wall-197114981_23</v>
      </c>
      <c r="H135" t="s">
        <v>885</v>
      </c>
      <c r="I135" t="s">
        <v>27</v>
      </c>
      <c r="J135" t="str">
        <f>HYPERLINK("http://vk.com/club197114981")</f>
        <v>http://vk.com/club197114981</v>
      </c>
      <c r="K135">
        <v>38</v>
      </c>
      <c r="L135" t="s">
        <v>28</v>
      </c>
      <c r="N135" t="s">
        <v>16</v>
      </c>
      <c r="O135" t="s">
        <v>27</v>
      </c>
      <c r="P135" t="str">
        <f>HYPERLINK("http://vk.com/club197114981")</f>
        <v>http://vk.com/club197114981</v>
      </c>
      <c r="Q135">
        <v>38</v>
      </c>
      <c r="R135" t="s">
        <v>17</v>
      </c>
      <c r="W135">
        <v>1</v>
      </c>
      <c r="X135">
        <v>1</v>
      </c>
      <c r="AE135">
        <v>0</v>
      </c>
      <c r="AF135">
        <v>0</v>
      </c>
      <c r="AG135">
        <v>56</v>
      </c>
      <c r="AI135" t="str">
        <f>HYPERLINK("https://sun9-12.userapi.com/c857232/v857232281/1e4fb8/8siwtbhpFdE.jpg")</f>
        <v>https://sun9-12.userapi.com/c857232/v857232281/1e4fb8/8siwtbhpFdE.jpg</v>
      </c>
      <c r="AJ135" t="s">
        <v>10</v>
      </c>
      <c r="AK135" t="s">
        <v>21</v>
      </c>
      <c r="AN135" t="s">
        <v>3239</v>
      </c>
      <c r="AT135" t="s">
        <v>3245</v>
      </c>
      <c r="AU135" t="s">
        <v>3246</v>
      </c>
      <c r="AZ135" t="s">
        <v>3251</v>
      </c>
    </row>
    <row r="136" spans="1:52" x14ac:dyDescent="0.25">
      <c r="A136" t="s">
        <v>1982</v>
      </c>
      <c r="B136" t="s">
        <v>787</v>
      </c>
      <c r="C136" t="s">
        <v>968</v>
      </c>
      <c r="D136" t="s">
        <v>10</v>
      </c>
      <c r="E136" t="s">
        <v>1983</v>
      </c>
      <c r="F136" t="s">
        <v>45</v>
      </c>
      <c r="G136" t="str">
        <f>HYPERLINK("https://twitter.com/4857930674/status/1287122727627886598")</f>
        <v>https://twitter.com/4857930674/status/1287122727627886598</v>
      </c>
      <c r="H136" t="s">
        <v>885</v>
      </c>
      <c r="I136" t="s">
        <v>1984</v>
      </c>
      <c r="J136" t="str">
        <f>HYPERLINK("http://twitter.com/RobertCuozziLMT")</f>
        <v>http://twitter.com/RobertCuozziLMT</v>
      </c>
      <c r="K136">
        <v>20</v>
      </c>
      <c r="L136" t="s">
        <v>15</v>
      </c>
      <c r="N136" t="s">
        <v>54</v>
      </c>
      <c r="R136" t="s">
        <v>17</v>
      </c>
      <c r="S136" t="s">
        <v>425</v>
      </c>
      <c r="W136">
        <v>0</v>
      </c>
      <c r="X136">
        <v>0</v>
      </c>
      <c r="AF136">
        <v>0</v>
      </c>
      <c r="AJ136" t="s">
        <v>10</v>
      </c>
      <c r="AK136" t="s">
        <v>21</v>
      </c>
      <c r="AM136" t="s">
        <v>3238</v>
      </c>
    </row>
    <row r="137" spans="1:52" x14ac:dyDescent="0.25">
      <c r="A137" t="s">
        <v>7</v>
      </c>
      <c r="B137" t="s">
        <v>102</v>
      </c>
      <c r="C137" t="s">
        <v>103</v>
      </c>
      <c r="D137" t="s">
        <v>24</v>
      </c>
      <c r="E137" t="s">
        <v>105</v>
      </c>
      <c r="F137" t="s">
        <v>26</v>
      </c>
      <c r="G137" t="str">
        <f>HYPERLINK("https://vk.com/wall-197114981_31?reply=1364")</f>
        <v>https://vk.com/wall-197114981_31?reply=1364</v>
      </c>
      <c r="H137" t="s">
        <v>13</v>
      </c>
      <c r="I137" t="s">
        <v>79</v>
      </c>
      <c r="J137" t="str">
        <f>HYPERLINK("http://vk.com/id95456096")</f>
        <v>http://vk.com/id95456096</v>
      </c>
      <c r="K137">
        <v>1176</v>
      </c>
      <c r="L137" t="s">
        <v>80</v>
      </c>
      <c r="N137" t="s">
        <v>16</v>
      </c>
      <c r="O137" t="s">
        <v>27</v>
      </c>
      <c r="P137" t="str">
        <f>HYPERLINK("http://vk.com/club197114981")</f>
        <v>http://vk.com/club197114981</v>
      </c>
      <c r="Q137">
        <v>38</v>
      </c>
      <c r="R137" t="s">
        <v>17</v>
      </c>
      <c r="S137" t="s">
        <v>18</v>
      </c>
      <c r="AJ137" t="s">
        <v>10</v>
      </c>
      <c r="AK137" t="s">
        <v>21</v>
      </c>
      <c r="AM137" t="s">
        <v>3238</v>
      </c>
    </row>
    <row r="138" spans="1:52" x14ac:dyDescent="0.25">
      <c r="A138" t="s">
        <v>7</v>
      </c>
      <c r="B138" t="s">
        <v>108</v>
      </c>
      <c r="C138" t="s">
        <v>103</v>
      </c>
      <c r="D138" t="s">
        <v>24</v>
      </c>
      <c r="E138" t="s">
        <v>109</v>
      </c>
      <c r="F138" t="s">
        <v>26</v>
      </c>
      <c r="G138" t="str">
        <f>HYPERLINK("https://vk.com/wall-197114981_31?reply=1361&amp;thread=1360")</f>
        <v>https://vk.com/wall-197114981_31?reply=1361&amp;thread=1360</v>
      </c>
      <c r="H138" t="s">
        <v>13</v>
      </c>
      <c r="I138" t="s">
        <v>27</v>
      </c>
      <c r="J138" t="str">
        <f>HYPERLINK("http://vk.com/club197114981")</f>
        <v>http://vk.com/club197114981</v>
      </c>
      <c r="K138">
        <v>38</v>
      </c>
      <c r="L138" t="s">
        <v>28</v>
      </c>
      <c r="N138" t="s">
        <v>16</v>
      </c>
      <c r="O138" t="s">
        <v>27</v>
      </c>
      <c r="P138" t="str">
        <f>HYPERLINK("http://vk.com/club197114981")</f>
        <v>http://vk.com/club197114981</v>
      </c>
      <c r="Q138">
        <v>38</v>
      </c>
      <c r="R138" t="s">
        <v>17</v>
      </c>
      <c r="AJ138" t="s">
        <v>10</v>
      </c>
      <c r="AK138" t="s">
        <v>21</v>
      </c>
      <c r="AV138" t="s">
        <v>3247</v>
      </c>
    </row>
    <row r="139" spans="1:52" x14ac:dyDescent="0.25">
      <c r="A139" t="s">
        <v>1425</v>
      </c>
      <c r="B139" t="s">
        <v>621</v>
      </c>
      <c r="C139" t="s">
        <v>984</v>
      </c>
      <c r="D139" t="s">
        <v>10</v>
      </c>
      <c r="E139" t="s">
        <v>1436</v>
      </c>
      <c r="F139" t="s">
        <v>45</v>
      </c>
      <c r="G139" t="str">
        <f>HYPERLINK("https://vk.com/wall2476928_9105")</f>
        <v>https://vk.com/wall2476928_9105</v>
      </c>
      <c r="H139" t="s">
        <v>889</v>
      </c>
      <c r="I139" t="s">
        <v>1137</v>
      </c>
      <c r="J139" t="str">
        <f>HYPERLINK("http://vk.com/id2476928")</f>
        <v>http://vk.com/id2476928</v>
      </c>
      <c r="K139">
        <v>2443</v>
      </c>
      <c r="L139" t="s">
        <v>80</v>
      </c>
      <c r="M139">
        <v>28</v>
      </c>
      <c r="N139" t="s">
        <v>16</v>
      </c>
      <c r="O139" t="s">
        <v>1137</v>
      </c>
      <c r="P139" t="str">
        <f>HYPERLINK("http://vk.com/id2476928")</f>
        <v>http://vk.com/id2476928</v>
      </c>
      <c r="Q139">
        <v>2443</v>
      </c>
      <c r="R139" t="s">
        <v>17</v>
      </c>
      <c r="S139" t="s">
        <v>18</v>
      </c>
      <c r="T139" t="s">
        <v>231</v>
      </c>
      <c r="U139" t="s">
        <v>1266</v>
      </c>
      <c r="W139">
        <v>5</v>
      </c>
      <c r="X139">
        <v>5</v>
      </c>
      <c r="AE139">
        <v>0</v>
      </c>
      <c r="AF139">
        <v>0</v>
      </c>
      <c r="AG139">
        <v>410</v>
      </c>
      <c r="AI139" t="str">
        <f>HYPERLINK("https://sun6-16.userapi.com/HDopvhknD_t285GR61fAagEnAHbP6SoM2xX2Eg/CdTB1xmiZQ8.jpg")</f>
        <v>https://sun6-16.userapi.com/HDopvhknD_t285GR61fAagEnAHbP6SoM2xX2Eg/CdTB1xmiZQ8.jpg</v>
      </c>
      <c r="AJ139" t="s">
        <v>10</v>
      </c>
      <c r="AK139" t="s">
        <v>21</v>
      </c>
      <c r="AV139" t="s">
        <v>3247</v>
      </c>
      <c r="AW139" t="s">
        <v>3248</v>
      </c>
      <c r="AX139" t="s">
        <v>3249</v>
      </c>
      <c r="AZ139" t="s">
        <v>3251</v>
      </c>
    </row>
    <row r="140" spans="1:52" x14ac:dyDescent="0.25">
      <c r="A140" t="s">
        <v>1518</v>
      </c>
      <c r="B140" t="s">
        <v>1557</v>
      </c>
      <c r="C140" t="s">
        <v>984</v>
      </c>
      <c r="D140" t="s">
        <v>1558</v>
      </c>
      <c r="E140" t="s">
        <v>1559</v>
      </c>
      <c r="F140" t="s">
        <v>26</v>
      </c>
      <c r="G140" t="str">
        <f>HYPERLINK("https://vk.com/wall-111049584_414494?reply=414842&amp;thread=414799")</f>
        <v>https://vk.com/wall-111049584_414494?reply=414842&amp;thread=414799</v>
      </c>
      <c r="H140" t="s">
        <v>1057</v>
      </c>
      <c r="I140" t="s">
        <v>1560</v>
      </c>
      <c r="J140" t="str">
        <f>HYPERLINK("http://vk.com/id187566572")</f>
        <v>http://vk.com/id187566572</v>
      </c>
      <c r="K140">
        <v>75</v>
      </c>
      <c r="L140" t="s">
        <v>15</v>
      </c>
      <c r="M140">
        <v>61</v>
      </c>
      <c r="N140" t="s">
        <v>16</v>
      </c>
      <c r="O140" t="s">
        <v>1561</v>
      </c>
      <c r="P140" t="str">
        <f>HYPERLINK("http://vk.com/club111049584")</f>
        <v>http://vk.com/club111049584</v>
      </c>
      <c r="Q140">
        <v>22416</v>
      </c>
      <c r="R140" t="s">
        <v>17</v>
      </c>
      <c r="S140" t="s">
        <v>18</v>
      </c>
      <c r="T140" t="s">
        <v>1562</v>
      </c>
      <c r="U140" t="s">
        <v>1563</v>
      </c>
      <c r="AJ140" t="s">
        <v>10</v>
      </c>
      <c r="AK140" t="s">
        <v>21</v>
      </c>
      <c r="AV140" t="s">
        <v>3247</v>
      </c>
    </row>
    <row r="141" spans="1:52" x14ac:dyDescent="0.25">
      <c r="A141" t="s">
        <v>1518</v>
      </c>
      <c r="B141" t="s">
        <v>1192</v>
      </c>
      <c r="C141" t="s">
        <v>984</v>
      </c>
      <c r="D141" t="s">
        <v>10</v>
      </c>
      <c r="E141" t="s">
        <v>1566</v>
      </c>
      <c r="F141" t="s">
        <v>45</v>
      </c>
      <c r="G141" t="str">
        <f>HYPERLINK("https://www.instagram.com/p/CDQjXqXJCPH")</f>
        <v>https://www.instagram.com/p/CDQjXqXJCPH</v>
      </c>
      <c r="H141" t="s">
        <v>885</v>
      </c>
      <c r="I141" t="s">
        <v>1567</v>
      </c>
      <c r="J141" t="str">
        <f>HYPERLINK("http://instagram.com/magnolia_mediclinic")</f>
        <v>http://instagram.com/magnolia_mediclinic</v>
      </c>
      <c r="K141">
        <v>3689</v>
      </c>
      <c r="N141" t="s">
        <v>69</v>
      </c>
      <c r="O141" t="s">
        <v>1567</v>
      </c>
      <c r="P141" t="str">
        <f>HYPERLINK("http://instagram.com/magnolia_mediclinic")</f>
        <v>http://instagram.com/magnolia_mediclinic</v>
      </c>
      <c r="Q141">
        <v>3689</v>
      </c>
      <c r="R141" t="s">
        <v>17</v>
      </c>
      <c r="S141" t="s">
        <v>1349</v>
      </c>
      <c r="T141" t="s">
        <v>1568</v>
      </c>
      <c r="U141" t="s">
        <v>1569</v>
      </c>
      <c r="AI141" t="str">
        <f>HYPERLINK("https://www.instagram.com/p/CDQjXqXJCPH/media/?size=l")</f>
        <v>https://www.instagram.com/p/CDQjXqXJCPH/media/?size=l</v>
      </c>
      <c r="AJ141" t="s">
        <v>10</v>
      </c>
      <c r="AK141" t="s">
        <v>21</v>
      </c>
      <c r="AZ141" t="s">
        <v>3251</v>
      </c>
    </row>
    <row r="142" spans="1:52" x14ac:dyDescent="0.25">
      <c r="A142" t="s">
        <v>1723</v>
      </c>
      <c r="B142" t="s">
        <v>1791</v>
      </c>
      <c r="C142" t="s">
        <v>984</v>
      </c>
      <c r="D142" t="s">
        <v>1697</v>
      </c>
      <c r="E142" t="s">
        <v>1778</v>
      </c>
      <c r="F142" t="s">
        <v>45</v>
      </c>
      <c r="G142" t="str">
        <f>HYPERLINK("https://eu.thedailyjournal.com/story/news/coronavirus/2020/07/28/covid-northeast-better-prepared-second-spike/5449927002")</f>
        <v>https://eu.thedailyjournal.com/story/news/coronavirus/2020/07/28/covid-northeast-better-prepared-second-spike/5449927002</v>
      </c>
      <c r="H142" t="s">
        <v>885</v>
      </c>
      <c r="I142" t="s">
        <v>1792</v>
      </c>
      <c r="J142" t="str">
        <f>HYPERLINK("https://www.thedailyjournal.com")</f>
        <v>https://www.thedailyjournal.com</v>
      </c>
      <c r="N142" t="s">
        <v>1793</v>
      </c>
      <c r="R142" t="s">
        <v>239</v>
      </c>
      <c r="S142" t="s">
        <v>425</v>
      </c>
      <c r="AJ142" t="s">
        <v>10</v>
      </c>
      <c r="AK142" t="s">
        <v>21</v>
      </c>
      <c r="AV142" t="s">
        <v>3247</v>
      </c>
      <c r="AW142" t="s">
        <v>3248</v>
      </c>
      <c r="AX142" t="s">
        <v>3249</v>
      </c>
      <c r="AZ142" t="s">
        <v>3251</v>
      </c>
    </row>
    <row r="143" spans="1:52" x14ac:dyDescent="0.25">
      <c r="A143" t="s">
        <v>1930</v>
      </c>
      <c r="B143" t="s">
        <v>1940</v>
      </c>
      <c r="C143" t="s">
        <v>984</v>
      </c>
      <c r="D143" t="s">
        <v>1941</v>
      </c>
      <c r="E143" t="s">
        <v>1942</v>
      </c>
      <c r="F143" t="s">
        <v>26</v>
      </c>
      <c r="G143" t="str">
        <f>HYPERLINK("https://vk.com/wall-135496740_890449?reply=890715")</f>
        <v>https://vk.com/wall-135496740_890449?reply=890715</v>
      </c>
      <c r="H143" t="s">
        <v>1057</v>
      </c>
      <c r="I143" t="s">
        <v>1943</v>
      </c>
      <c r="J143" t="str">
        <f>HYPERLINK("http://vk.com/id8180534")</f>
        <v>http://vk.com/id8180534</v>
      </c>
      <c r="L143" t="s">
        <v>80</v>
      </c>
      <c r="N143" t="s">
        <v>16</v>
      </c>
      <c r="O143" t="s">
        <v>1944</v>
      </c>
      <c r="P143" t="str">
        <f>HYPERLINK("http://vk.com/club135496740")</f>
        <v>http://vk.com/club135496740</v>
      </c>
      <c r="Q143">
        <v>17073</v>
      </c>
      <c r="R143" t="s">
        <v>17</v>
      </c>
      <c r="S143" t="s">
        <v>18</v>
      </c>
      <c r="T143" t="s">
        <v>725</v>
      </c>
      <c r="U143" t="s">
        <v>1945</v>
      </c>
      <c r="AJ143" t="s">
        <v>10</v>
      </c>
      <c r="AK143" t="s">
        <v>21</v>
      </c>
      <c r="AP143" t="s">
        <v>3241</v>
      </c>
      <c r="AR143" t="s">
        <v>3243</v>
      </c>
      <c r="AT143" t="s">
        <v>3245</v>
      </c>
      <c r="AV143" t="s">
        <v>3247</v>
      </c>
      <c r="AW143" t="s">
        <v>3248</v>
      </c>
      <c r="AX143" t="s">
        <v>3249</v>
      </c>
      <c r="AZ143" t="s">
        <v>3251</v>
      </c>
    </row>
    <row r="144" spans="1:52" x14ac:dyDescent="0.25">
      <c r="A144" t="s">
        <v>2057</v>
      </c>
      <c r="B144" t="s">
        <v>444</v>
      </c>
      <c r="C144" t="s">
        <v>968</v>
      </c>
      <c r="D144" t="s">
        <v>2065</v>
      </c>
      <c r="E144" t="s">
        <v>2066</v>
      </c>
      <c r="F144" t="s">
        <v>26</v>
      </c>
      <c r="G144" t="str">
        <f>HYPERLINK("https://vk.com/wall-65314046_110546?reply=110599&amp;thread=110564")</f>
        <v>https://vk.com/wall-65314046_110546?reply=110599&amp;thread=110564</v>
      </c>
      <c r="H144" t="s">
        <v>885</v>
      </c>
      <c r="I144" t="s">
        <v>2067</v>
      </c>
      <c r="J144" t="str">
        <f>HYPERLINK("http://vk.com/id5512352")</f>
        <v>http://vk.com/id5512352</v>
      </c>
      <c r="K144">
        <v>168</v>
      </c>
      <c r="L144" t="s">
        <v>15</v>
      </c>
      <c r="M144">
        <v>50</v>
      </c>
      <c r="N144" t="s">
        <v>16</v>
      </c>
      <c r="O144" t="s">
        <v>2068</v>
      </c>
      <c r="P144" t="str">
        <f>HYPERLINK("http://vk.com/club65314046")</f>
        <v>http://vk.com/club65314046</v>
      </c>
      <c r="Q144">
        <v>27031</v>
      </c>
      <c r="R144" t="s">
        <v>17</v>
      </c>
      <c r="S144" t="s">
        <v>18</v>
      </c>
      <c r="T144" t="s">
        <v>37</v>
      </c>
      <c r="U144" t="s">
        <v>38</v>
      </c>
      <c r="AJ144" t="s">
        <v>10</v>
      </c>
      <c r="AK144" t="s">
        <v>21</v>
      </c>
      <c r="AN144" t="s">
        <v>3239</v>
      </c>
      <c r="AO144" t="s">
        <v>3240</v>
      </c>
      <c r="AP144" t="s">
        <v>3241</v>
      </c>
      <c r="AR144" t="s">
        <v>3243</v>
      </c>
      <c r="AT144" t="s">
        <v>3245</v>
      </c>
      <c r="AU144" t="s">
        <v>3246</v>
      </c>
    </row>
    <row r="145" spans="1:52" x14ac:dyDescent="0.25">
      <c r="A145" t="s">
        <v>2541</v>
      </c>
      <c r="B145" t="s">
        <v>2585</v>
      </c>
      <c r="C145" t="s">
        <v>968</v>
      </c>
      <c r="D145" t="s">
        <v>10</v>
      </c>
      <c r="E145" t="s">
        <v>2586</v>
      </c>
      <c r="F145" t="s">
        <v>26</v>
      </c>
      <c r="G145" t="str">
        <f>HYPERLINK("https://twitter.com/266803935/status/1283575646749429761")</f>
        <v>https://twitter.com/266803935/status/1283575646749429761</v>
      </c>
      <c r="H145" t="s">
        <v>885</v>
      </c>
      <c r="I145" t="s">
        <v>2587</v>
      </c>
      <c r="J145" t="str">
        <f>HYPERLINK("http://twitter.com/pstims")</f>
        <v>http://twitter.com/pstims</v>
      </c>
      <c r="K145">
        <v>42</v>
      </c>
      <c r="L145" t="s">
        <v>15</v>
      </c>
      <c r="N145" t="s">
        <v>54</v>
      </c>
      <c r="R145" t="s">
        <v>17</v>
      </c>
      <c r="S145" t="s">
        <v>425</v>
      </c>
      <c r="T145" t="s">
        <v>1595</v>
      </c>
      <c r="U145" t="s">
        <v>2588</v>
      </c>
      <c r="W145">
        <v>0</v>
      </c>
      <c r="X145">
        <v>0</v>
      </c>
      <c r="AF145">
        <v>0</v>
      </c>
      <c r="AJ145" t="s">
        <v>10</v>
      </c>
      <c r="AK145" t="s">
        <v>21</v>
      </c>
      <c r="AL145" t="s">
        <v>3237</v>
      </c>
      <c r="AO145" t="s">
        <v>3240</v>
      </c>
      <c r="AP145" t="s">
        <v>3241</v>
      </c>
      <c r="AR145" t="s">
        <v>3243</v>
      </c>
      <c r="AT145" t="s">
        <v>3245</v>
      </c>
      <c r="AW145" t="s">
        <v>3248</v>
      </c>
    </row>
    <row r="146" spans="1:52" x14ac:dyDescent="0.25">
      <c r="A146" t="s">
        <v>2290</v>
      </c>
      <c r="B146" t="s">
        <v>324</v>
      </c>
      <c r="C146" t="s">
        <v>968</v>
      </c>
      <c r="D146" t="s">
        <v>10</v>
      </c>
      <c r="E146" t="s">
        <v>2371</v>
      </c>
      <c r="F146" t="s">
        <v>45</v>
      </c>
      <c r="G146" t="str">
        <f>HYPERLINK("https://vk.com/wall6923565_1853")</f>
        <v>https://vk.com/wall6923565_1853</v>
      </c>
      <c r="H146" t="s">
        <v>1057</v>
      </c>
      <c r="I146" t="s">
        <v>2372</v>
      </c>
      <c r="J146" t="str">
        <f>HYPERLINK("http://vk.com/id6923565")</f>
        <v>http://vk.com/id6923565</v>
      </c>
      <c r="K146">
        <v>646</v>
      </c>
      <c r="L146" t="s">
        <v>80</v>
      </c>
      <c r="N146" t="s">
        <v>16</v>
      </c>
      <c r="O146" t="s">
        <v>2372</v>
      </c>
      <c r="P146" t="str">
        <f>HYPERLINK("http://vk.com/id6923565")</f>
        <v>http://vk.com/id6923565</v>
      </c>
      <c r="Q146">
        <v>646</v>
      </c>
      <c r="R146" t="s">
        <v>17</v>
      </c>
      <c r="S146" t="s">
        <v>18</v>
      </c>
      <c r="T146" t="s">
        <v>2373</v>
      </c>
      <c r="U146" t="s">
        <v>2374</v>
      </c>
      <c r="W146">
        <v>7</v>
      </c>
      <c r="X146">
        <v>7</v>
      </c>
      <c r="AE146">
        <v>2</v>
      </c>
      <c r="AF146">
        <v>0</v>
      </c>
      <c r="AG146">
        <v>250</v>
      </c>
      <c r="AI146" t="str">
        <f>HYPERLINK("https://sun9-14.userapi.com/c858528/v858528022/1d9aae/zeakTsCJbEY.jpg")</f>
        <v>https://sun9-14.userapi.com/c858528/v858528022/1d9aae/zeakTsCJbEY.jpg</v>
      </c>
      <c r="AJ146" t="s">
        <v>10</v>
      </c>
      <c r="AK146" t="s">
        <v>21</v>
      </c>
      <c r="AL146" t="s">
        <v>3237</v>
      </c>
      <c r="AO146" t="s">
        <v>3240</v>
      </c>
      <c r="AP146" t="s">
        <v>3241</v>
      </c>
      <c r="AR146" t="s">
        <v>3243</v>
      </c>
      <c r="AT146" t="s">
        <v>3245</v>
      </c>
      <c r="AU146" t="s">
        <v>3246</v>
      </c>
      <c r="AW146" t="s">
        <v>3248</v>
      </c>
      <c r="AX146" t="s">
        <v>3249</v>
      </c>
    </row>
    <row r="147" spans="1:52" x14ac:dyDescent="0.25">
      <c r="A147" t="s">
        <v>2767</v>
      </c>
      <c r="B147" t="s">
        <v>277</v>
      </c>
      <c r="C147" t="s">
        <v>968</v>
      </c>
      <c r="D147" t="s">
        <v>10</v>
      </c>
      <c r="E147" t="s">
        <v>2862</v>
      </c>
      <c r="F147" t="s">
        <v>12</v>
      </c>
      <c r="G147" t="str">
        <f>HYPERLINK("https://www.facebook.com/568390943273818/posts/2978697665576455")</f>
        <v>https://www.facebook.com/568390943273818/posts/2978697665576455</v>
      </c>
      <c r="H147" t="s">
        <v>885</v>
      </c>
      <c r="I147" t="s">
        <v>280</v>
      </c>
      <c r="J147" t="str">
        <f>HYPERLINK("https://www.facebook.com/568390943273818")</f>
        <v>https://www.facebook.com/568390943273818</v>
      </c>
      <c r="K147">
        <v>18918</v>
      </c>
      <c r="L147" t="s">
        <v>28</v>
      </c>
      <c r="N147" t="s">
        <v>179</v>
      </c>
      <c r="O147" t="s">
        <v>280</v>
      </c>
      <c r="P147" t="str">
        <f>HYPERLINK("https://www.facebook.com/568390943273818")</f>
        <v>https://www.facebook.com/568390943273818</v>
      </c>
      <c r="Q147">
        <v>18918</v>
      </c>
      <c r="R147" t="s">
        <v>17</v>
      </c>
      <c r="S147" t="s">
        <v>281</v>
      </c>
      <c r="T147" t="s">
        <v>282</v>
      </c>
      <c r="U147" t="s">
        <v>282</v>
      </c>
      <c r="AI147" t="str">
        <f>HYPERLINK("https://scontent-frt3-1.xx.fbcdn.net/v/t1.0-9/p720x720/109076008_2978680028911552_7583311299159449037_n.jpg?_nc_cat=108&amp;_nc_sid=8024bb&amp;_nc_ohc=oQURamv8tLYAX91e-nB&amp;_nc_ht=scontent-frt3-1.xx&amp;_nc_tp=6&amp;oh=7cf40119c219d79f24e1ea417fb77b2a&amp;oe=5F327222")</f>
        <v>https://scontent-frt3-1.xx.fbcdn.net/v/t1.0-9/p720x720/109076008_2978680028911552_7583311299159449037_n.jpg?_nc_cat=108&amp;_nc_sid=8024bb&amp;_nc_ohc=oQURamv8tLYAX91e-nB&amp;_nc_ht=scontent-frt3-1.xx&amp;_nc_tp=6&amp;oh=7cf40119c219d79f24e1ea417fb77b2a&amp;oe=5F327222</v>
      </c>
      <c r="AJ147" t="s">
        <v>10</v>
      </c>
      <c r="AK147" t="s">
        <v>21</v>
      </c>
      <c r="AO147" t="s">
        <v>3240</v>
      </c>
      <c r="AP147" t="s">
        <v>3241</v>
      </c>
      <c r="AR147" t="s">
        <v>3243</v>
      </c>
    </row>
    <row r="148" spans="1:52" x14ac:dyDescent="0.25">
      <c r="A148" t="s">
        <v>7</v>
      </c>
      <c r="B148" t="s">
        <v>58</v>
      </c>
      <c r="C148" t="s">
        <v>59</v>
      </c>
      <c r="D148" t="s">
        <v>10</v>
      </c>
      <c r="E148" t="s">
        <v>60</v>
      </c>
      <c r="F148" t="s">
        <v>45</v>
      </c>
      <c r="G148" t="str">
        <f>HYPERLINK("https://vk.com/wall-192596188_1047")</f>
        <v>https://vk.com/wall-192596188_1047</v>
      </c>
      <c r="H148" t="s">
        <v>13</v>
      </c>
      <c r="I148" t="s">
        <v>61</v>
      </c>
      <c r="J148" t="str">
        <f>HYPERLINK("http://vk.com/club192596188")</f>
        <v>http://vk.com/club192596188</v>
      </c>
      <c r="K148">
        <v>530</v>
      </c>
      <c r="L148" t="s">
        <v>28</v>
      </c>
      <c r="N148" t="s">
        <v>16</v>
      </c>
      <c r="O148" t="s">
        <v>61</v>
      </c>
      <c r="P148" t="str">
        <f>HYPERLINK("http://vk.com/club192596188")</f>
        <v>http://vk.com/club192596188</v>
      </c>
      <c r="Q148">
        <v>530</v>
      </c>
      <c r="R148" t="s">
        <v>17</v>
      </c>
      <c r="AJ148" t="s">
        <v>10</v>
      </c>
      <c r="AK148" t="s">
        <v>21</v>
      </c>
      <c r="AO148" t="s">
        <v>3240</v>
      </c>
      <c r="AP148" t="s">
        <v>3241</v>
      </c>
      <c r="AR148" t="s">
        <v>3243</v>
      </c>
    </row>
    <row r="149" spans="1:52" x14ac:dyDescent="0.25">
      <c r="A149" t="s">
        <v>2915</v>
      </c>
      <c r="B149" t="s">
        <v>2961</v>
      </c>
      <c r="C149" t="s">
        <v>968</v>
      </c>
      <c r="D149" t="s">
        <v>10</v>
      </c>
      <c r="E149" t="s">
        <v>2962</v>
      </c>
      <c r="F149" t="s">
        <v>45</v>
      </c>
      <c r="G149" t="str">
        <f>HYPERLINK("https://vk.com/wall-51187755_8265")</f>
        <v>https://vk.com/wall-51187755_8265</v>
      </c>
      <c r="H149" t="s">
        <v>885</v>
      </c>
      <c r="I149" t="s">
        <v>2963</v>
      </c>
      <c r="J149" t="str">
        <f>HYPERLINK("http://vk.com/club51187755")</f>
        <v>http://vk.com/club51187755</v>
      </c>
      <c r="K149">
        <v>4185</v>
      </c>
      <c r="L149" t="s">
        <v>28</v>
      </c>
      <c r="N149" t="s">
        <v>16</v>
      </c>
      <c r="O149" t="s">
        <v>2963</v>
      </c>
      <c r="P149" t="str">
        <f>HYPERLINK("http://vk.com/club51187755")</f>
        <v>http://vk.com/club51187755</v>
      </c>
      <c r="Q149">
        <v>4185</v>
      </c>
      <c r="R149" t="s">
        <v>17</v>
      </c>
      <c r="S149" t="s">
        <v>18</v>
      </c>
      <c r="T149" t="s">
        <v>1015</v>
      </c>
      <c r="U149" t="s">
        <v>1016</v>
      </c>
      <c r="W149">
        <v>20</v>
      </c>
      <c r="X149">
        <v>20</v>
      </c>
      <c r="AE149">
        <v>0</v>
      </c>
      <c r="AF149">
        <v>2</v>
      </c>
      <c r="AG149">
        <v>940</v>
      </c>
      <c r="AI149" t="str">
        <f>HYPERLINK("https://sun1-18.userapi.com/m1BupXmhTxYyOvwViOhGuCHJFWE3XQdGIV-3dw/q9WH6w9VhqA.jpg")</f>
        <v>https://sun1-18.userapi.com/m1BupXmhTxYyOvwViOhGuCHJFWE3XQdGIV-3dw/q9WH6w9VhqA.jpg</v>
      </c>
      <c r="AJ149" t="s">
        <v>10</v>
      </c>
      <c r="AK149" t="s">
        <v>21</v>
      </c>
      <c r="AO149" t="s">
        <v>3240</v>
      </c>
      <c r="AP149" t="s">
        <v>3241</v>
      </c>
      <c r="AR149" t="s">
        <v>3243</v>
      </c>
    </row>
    <row r="150" spans="1:52" x14ac:dyDescent="0.25">
      <c r="A150" t="s">
        <v>1518</v>
      </c>
      <c r="B150" t="s">
        <v>1543</v>
      </c>
      <c r="C150" t="s">
        <v>984</v>
      </c>
      <c r="D150" t="s">
        <v>10</v>
      </c>
      <c r="E150" t="s">
        <v>1544</v>
      </c>
      <c r="F150" t="s">
        <v>12</v>
      </c>
      <c r="G150" t="str">
        <f>HYPERLINK("https://vk.com/wall-98072035_133")</f>
        <v>https://vk.com/wall-98072035_133</v>
      </c>
      <c r="H150" t="s">
        <v>885</v>
      </c>
      <c r="I150" t="s">
        <v>1545</v>
      </c>
      <c r="J150" t="str">
        <f>HYPERLINK("http://vk.com/club98072035")</f>
        <v>http://vk.com/club98072035</v>
      </c>
      <c r="K150">
        <v>11</v>
      </c>
      <c r="L150" t="s">
        <v>28</v>
      </c>
      <c r="N150" t="s">
        <v>16</v>
      </c>
      <c r="O150" t="s">
        <v>1545</v>
      </c>
      <c r="P150" t="str">
        <f>HYPERLINK("http://vk.com/club98072035")</f>
        <v>http://vk.com/club98072035</v>
      </c>
      <c r="Q150">
        <v>11</v>
      </c>
      <c r="R150" t="s">
        <v>17</v>
      </c>
      <c r="S150" t="s">
        <v>18</v>
      </c>
      <c r="T150" t="s">
        <v>1015</v>
      </c>
      <c r="U150" t="s">
        <v>1016</v>
      </c>
      <c r="W150">
        <v>0</v>
      </c>
      <c r="X150">
        <v>0</v>
      </c>
      <c r="AE150">
        <v>0</v>
      </c>
      <c r="AF150">
        <v>0</v>
      </c>
      <c r="AI150" t="str">
        <f>HYPERLINK("https://sun1-93.userapi.com/c851424/v851424169/1f72eb/_tQDhstx_c4.jpg")</f>
        <v>https://sun1-93.userapi.com/c851424/v851424169/1f72eb/_tQDhstx_c4.jpg</v>
      </c>
      <c r="AJ150" t="s">
        <v>10</v>
      </c>
      <c r="AK150" t="s">
        <v>21</v>
      </c>
      <c r="AN150" t="s">
        <v>3239</v>
      </c>
      <c r="AP150" t="s">
        <v>3241</v>
      </c>
      <c r="AR150" t="s">
        <v>3243</v>
      </c>
      <c r="AT150" t="s">
        <v>3245</v>
      </c>
      <c r="AV150" t="s">
        <v>3247</v>
      </c>
      <c r="AW150" t="s">
        <v>3248</v>
      </c>
    </row>
    <row r="151" spans="1:52" x14ac:dyDescent="0.25">
      <c r="A151" t="s">
        <v>1838</v>
      </c>
      <c r="B151" t="s">
        <v>1098</v>
      </c>
      <c r="C151" t="s">
        <v>984</v>
      </c>
      <c r="D151" t="s">
        <v>1890</v>
      </c>
      <c r="E151" t="s">
        <v>1891</v>
      </c>
      <c r="F151" t="s">
        <v>26</v>
      </c>
      <c r="G151" t="str">
        <f>HYPERLINK("https://vk.com/wall-106670753_947369?reply=947457")</f>
        <v>https://vk.com/wall-106670753_947369?reply=947457</v>
      </c>
      <c r="H151" t="s">
        <v>885</v>
      </c>
      <c r="I151" t="s">
        <v>1909</v>
      </c>
      <c r="J151" t="str">
        <f>HYPERLINK("http://vk.com/id188435614")</f>
        <v>http://vk.com/id188435614</v>
      </c>
      <c r="K151">
        <v>438</v>
      </c>
      <c r="L151" t="s">
        <v>80</v>
      </c>
      <c r="N151" t="s">
        <v>16</v>
      </c>
      <c r="O151" t="s">
        <v>1893</v>
      </c>
      <c r="P151" t="str">
        <f>HYPERLINK("http://vk.com/club106670753")</f>
        <v>http://vk.com/club106670753</v>
      </c>
      <c r="Q151">
        <v>8425</v>
      </c>
      <c r="R151" t="s">
        <v>17</v>
      </c>
      <c r="S151" t="s">
        <v>18</v>
      </c>
      <c r="AJ151" t="s">
        <v>10</v>
      </c>
      <c r="AK151" t="s">
        <v>21</v>
      </c>
      <c r="AN151" t="s">
        <v>3239</v>
      </c>
      <c r="AP151" t="s">
        <v>3241</v>
      </c>
      <c r="AR151" t="s">
        <v>3243</v>
      </c>
      <c r="AT151" t="s">
        <v>3245</v>
      </c>
      <c r="AW151" t="s">
        <v>3248</v>
      </c>
    </row>
    <row r="152" spans="1:52" x14ac:dyDescent="0.25">
      <c r="A152" t="s">
        <v>2472</v>
      </c>
      <c r="B152" t="s">
        <v>2538</v>
      </c>
      <c r="C152" t="s">
        <v>968</v>
      </c>
      <c r="D152" t="s">
        <v>10</v>
      </c>
      <c r="E152" t="s">
        <v>2539</v>
      </c>
      <c r="F152" t="s">
        <v>26</v>
      </c>
      <c r="G152" t="str">
        <f>HYPERLINK("https://twitter.com/1184187053312864256/status/1283918656657715200")</f>
        <v>https://twitter.com/1184187053312864256/status/1283918656657715200</v>
      </c>
      <c r="H152" t="s">
        <v>885</v>
      </c>
      <c r="I152" t="s">
        <v>2540</v>
      </c>
      <c r="J152" t="str">
        <f>HYPERLINK("http://twitter.com/USAbeforeOthers")</f>
        <v>http://twitter.com/USAbeforeOthers</v>
      </c>
      <c r="K152">
        <v>2408</v>
      </c>
      <c r="N152" t="s">
        <v>54</v>
      </c>
      <c r="R152" t="s">
        <v>17</v>
      </c>
      <c r="S152" t="s">
        <v>425</v>
      </c>
      <c r="T152" t="s">
        <v>1221</v>
      </c>
      <c r="W152">
        <v>0</v>
      </c>
      <c r="X152">
        <v>0</v>
      </c>
      <c r="AF152">
        <v>0</v>
      </c>
      <c r="AJ152" t="s">
        <v>10</v>
      </c>
      <c r="AK152" t="s">
        <v>21</v>
      </c>
      <c r="AP152" t="s">
        <v>3241</v>
      </c>
      <c r="AR152" t="s">
        <v>3243</v>
      </c>
      <c r="AT152" t="s">
        <v>3245</v>
      </c>
      <c r="AU152" t="s">
        <v>3246</v>
      </c>
      <c r="AV152" t="s">
        <v>3247</v>
      </c>
      <c r="AW152" t="s">
        <v>3248</v>
      </c>
      <c r="AX152" t="s">
        <v>3249</v>
      </c>
    </row>
    <row r="153" spans="1:52" x14ac:dyDescent="0.25">
      <c r="A153" t="s">
        <v>2541</v>
      </c>
      <c r="B153" t="s">
        <v>2006</v>
      </c>
      <c r="C153" t="s">
        <v>968</v>
      </c>
      <c r="D153" t="s">
        <v>10</v>
      </c>
      <c r="E153" t="s">
        <v>2551</v>
      </c>
      <c r="F153" t="s">
        <v>45</v>
      </c>
      <c r="G153" t="str">
        <f>HYPERLINK("https://vk.com/wall-48669646_10175")</f>
        <v>https://vk.com/wall-48669646_10175</v>
      </c>
      <c r="H153" t="s">
        <v>885</v>
      </c>
      <c r="I153" t="s">
        <v>46</v>
      </c>
      <c r="J153" t="str">
        <f>HYPERLINK("http://vk.com/club48669646")</f>
        <v>http://vk.com/club48669646</v>
      </c>
      <c r="K153">
        <v>5795</v>
      </c>
      <c r="L153" t="s">
        <v>28</v>
      </c>
      <c r="N153" t="s">
        <v>16</v>
      </c>
      <c r="O153" t="s">
        <v>46</v>
      </c>
      <c r="P153" t="str">
        <f>HYPERLINK("http://vk.com/club48669646")</f>
        <v>http://vk.com/club48669646</v>
      </c>
      <c r="Q153">
        <v>5795</v>
      </c>
      <c r="R153" t="s">
        <v>17</v>
      </c>
      <c r="S153" t="s">
        <v>18</v>
      </c>
      <c r="W153">
        <v>0</v>
      </c>
      <c r="X153">
        <v>0</v>
      </c>
      <c r="AE153">
        <v>0</v>
      </c>
      <c r="AF153">
        <v>0</v>
      </c>
      <c r="AG153">
        <v>374</v>
      </c>
      <c r="AI153" t="str">
        <f>HYPERLINK("https://sun1-47.userapi.com/NfjzNpmgWHjQtCkaZ3QRY1p139VRh_Mk3oqK_w/yjzRnxIWS_I.jpg")</f>
        <v>https://sun1-47.userapi.com/NfjzNpmgWHjQtCkaZ3QRY1p139VRh_Mk3oqK_w/yjzRnxIWS_I.jpg</v>
      </c>
      <c r="AJ153" t="s">
        <v>10</v>
      </c>
      <c r="AK153" t="s">
        <v>21</v>
      </c>
      <c r="AM153" t="s">
        <v>3238</v>
      </c>
    </row>
    <row r="154" spans="1:52" x14ac:dyDescent="0.25">
      <c r="A154" t="s">
        <v>7</v>
      </c>
      <c r="B154" t="s">
        <v>379</v>
      </c>
      <c r="C154" t="s">
        <v>380</v>
      </c>
      <c r="D154" t="s">
        <v>24</v>
      </c>
      <c r="E154" t="s">
        <v>360</v>
      </c>
      <c r="F154" t="s">
        <v>26</v>
      </c>
      <c r="G154" t="str">
        <f>HYPERLINK("https://vk.com/wall-197114981_31?reply=1307&amp;thread=1278")</f>
        <v>https://vk.com/wall-197114981_31?reply=1307&amp;thread=1278</v>
      </c>
      <c r="H154" t="s">
        <v>13</v>
      </c>
      <c r="I154" t="s">
        <v>27</v>
      </c>
      <c r="J154" t="str">
        <f>HYPERLINK("http://vk.com/club197114981")</f>
        <v>http://vk.com/club197114981</v>
      </c>
      <c r="K154">
        <v>38</v>
      </c>
      <c r="L154" t="s">
        <v>28</v>
      </c>
      <c r="N154" t="s">
        <v>16</v>
      </c>
      <c r="O154" t="s">
        <v>27</v>
      </c>
      <c r="P154" t="str">
        <f>HYPERLINK("http://vk.com/club197114981")</f>
        <v>http://vk.com/club197114981</v>
      </c>
      <c r="Q154">
        <v>38</v>
      </c>
      <c r="R154" t="s">
        <v>17</v>
      </c>
      <c r="AJ154" t="s">
        <v>10</v>
      </c>
      <c r="AK154" t="s">
        <v>21</v>
      </c>
      <c r="AW154" t="s">
        <v>3248</v>
      </c>
    </row>
    <row r="155" spans="1:52" x14ac:dyDescent="0.25">
      <c r="A155" t="s">
        <v>2193</v>
      </c>
      <c r="B155" t="s">
        <v>2135</v>
      </c>
      <c r="C155" t="s">
        <v>968</v>
      </c>
      <c r="D155" t="s">
        <v>10</v>
      </c>
      <c r="E155" t="s">
        <v>2212</v>
      </c>
      <c r="F155" t="s">
        <v>45</v>
      </c>
      <c r="G155" t="str">
        <f>HYPERLINK("https://vk.com/wall-158633337_941")</f>
        <v>https://vk.com/wall-158633337_941</v>
      </c>
      <c r="H155" t="s">
        <v>889</v>
      </c>
      <c r="I155" t="s">
        <v>125</v>
      </c>
      <c r="J155" t="str">
        <f>HYPERLINK("http://vk.com/club158633337")</f>
        <v>http://vk.com/club158633337</v>
      </c>
      <c r="K155">
        <v>4852</v>
      </c>
      <c r="L155" t="s">
        <v>28</v>
      </c>
      <c r="N155" t="s">
        <v>16</v>
      </c>
      <c r="O155" t="s">
        <v>125</v>
      </c>
      <c r="P155" t="str">
        <f>HYPERLINK("http://vk.com/club158633337")</f>
        <v>http://vk.com/club158633337</v>
      </c>
      <c r="Q155">
        <v>4852</v>
      </c>
      <c r="R155" t="s">
        <v>17</v>
      </c>
      <c r="S155" t="s">
        <v>18</v>
      </c>
      <c r="T155" t="s">
        <v>126</v>
      </c>
      <c r="U155" t="s">
        <v>127</v>
      </c>
      <c r="W155">
        <v>0</v>
      </c>
      <c r="X155">
        <v>0</v>
      </c>
      <c r="AE155">
        <v>0</v>
      </c>
      <c r="AF155">
        <v>0</v>
      </c>
      <c r="AG155">
        <v>93</v>
      </c>
      <c r="AI155" t="str">
        <f>HYPERLINK("https://sun1-84.userapi.com/cct1nWwu1-ndHG6Y4GIv9o-3hjKvLj4vnlrGEw/9rjSvME2dto.jpg")</f>
        <v>https://sun1-84.userapi.com/cct1nWwu1-ndHG6Y4GIv9o-3hjKvLj4vnlrGEw/9rjSvME2dto.jpg</v>
      </c>
      <c r="AJ155" t="s">
        <v>10</v>
      </c>
      <c r="AK155" t="s">
        <v>21</v>
      </c>
      <c r="AW155" t="s">
        <v>3248</v>
      </c>
      <c r="AX155" t="s">
        <v>3249</v>
      </c>
    </row>
    <row r="156" spans="1:52" x14ac:dyDescent="0.25">
      <c r="A156" t="s">
        <v>3021</v>
      </c>
      <c r="B156" t="s">
        <v>3058</v>
      </c>
      <c r="C156" t="s">
        <v>968</v>
      </c>
      <c r="D156" t="s">
        <v>10</v>
      </c>
      <c r="E156" t="s">
        <v>3059</v>
      </c>
      <c r="F156" t="s">
        <v>12</v>
      </c>
      <c r="G156" t="str">
        <f>HYPERLINK("https://vk.com/wall367451629_392")</f>
        <v>https://vk.com/wall367451629_392</v>
      </c>
      <c r="H156" t="s">
        <v>885</v>
      </c>
      <c r="I156" t="s">
        <v>1173</v>
      </c>
      <c r="J156" t="str">
        <f>HYPERLINK("http://vk.com/id367451629")</f>
        <v>http://vk.com/id367451629</v>
      </c>
      <c r="K156">
        <v>402</v>
      </c>
      <c r="L156" t="s">
        <v>15</v>
      </c>
      <c r="N156" t="s">
        <v>16</v>
      </c>
      <c r="O156" t="s">
        <v>1173</v>
      </c>
      <c r="P156" t="str">
        <f>HYPERLINK("http://vk.com/id367451629")</f>
        <v>http://vk.com/id367451629</v>
      </c>
      <c r="Q156">
        <v>402</v>
      </c>
      <c r="R156" t="s">
        <v>17</v>
      </c>
      <c r="S156" t="s">
        <v>18</v>
      </c>
      <c r="T156" t="s">
        <v>70</v>
      </c>
      <c r="U156" t="s">
        <v>71</v>
      </c>
      <c r="AI156" t="str">
        <f>HYPERLINK("https://sun1-91.userapi.com/Kul0wWR-qkeR4MCYYhSWixOjfIVscpQc5UiPqA/mq4JJfZJ0hU.jpg")</f>
        <v>https://sun1-91.userapi.com/Kul0wWR-qkeR4MCYYhSWixOjfIVscpQc5UiPqA/mq4JJfZJ0hU.jpg</v>
      </c>
      <c r="AJ156" t="s">
        <v>10</v>
      </c>
      <c r="AK156" t="s">
        <v>21</v>
      </c>
      <c r="AW156" t="s">
        <v>3248</v>
      </c>
    </row>
    <row r="157" spans="1:52" x14ac:dyDescent="0.25">
      <c r="A157" t="s">
        <v>414</v>
      </c>
      <c r="B157" t="s">
        <v>708</v>
      </c>
      <c r="C157" t="s">
        <v>709</v>
      </c>
      <c r="D157" t="s">
        <v>24</v>
      </c>
      <c r="E157" t="s">
        <v>711</v>
      </c>
      <c r="F157" t="s">
        <v>26</v>
      </c>
      <c r="G157" t="str">
        <f>HYPERLINK("https://vk.com/wall-197114981_31?reply=1182")</f>
        <v>https://vk.com/wall-197114981_31?reply=1182</v>
      </c>
      <c r="H157" t="s">
        <v>13</v>
      </c>
      <c r="I157" t="s">
        <v>596</v>
      </c>
      <c r="J157" t="str">
        <f>HYPERLINK("http://vk.com/id229177703")</f>
        <v>http://vk.com/id229177703</v>
      </c>
      <c r="K157">
        <v>686</v>
      </c>
      <c r="L157" t="s">
        <v>80</v>
      </c>
      <c r="N157" t="s">
        <v>16</v>
      </c>
      <c r="O157" t="s">
        <v>27</v>
      </c>
      <c r="P157" t="str">
        <f>HYPERLINK("http://vk.com/club197114981")</f>
        <v>http://vk.com/club197114981</v>
      </c>
      <c r="Q157">
        <v>38</v>
      </c>
      <c r="R157" t="s">
        <v>17</v>
      </c>
      <c r="S157" t="s">
        <v>18</v>
      </c>
      <c r="T157" t="s">
        <v>231</v>
      </c>
      <c r="U157" t="s">
        <v>232</v>
      </c>
      <c r="AJ157" t="s">
        <v>10</v>
      </c>
      <c r="AK157" t="s">
        <v>21</v>
      </c>
      <c r="AW157" t="s">
        <v>3248</v>
      </c>
      <c r="AX157" t="s">
        <v>3249</v>
      </c>
    </row>
    <row r="158" spans="1:52" x14ac:dyDescent="0.25">
      <c r="A158" t="s">
        <v>1122</v>
      </c>
      <c r="B158" t="s">
        <v>1149</v>
      </c>
      <c r="C158" t="s">
        <v>984</v>
      </c>
      <c r="D158" t="s">
        <v>1150</v>
      </c>
      <c r="E158" t="s">
        <v>1151</v>
      </c>
      <c r="F158" t="s">
        <v>45</v>
      </c>
      <c r="G158" t="str">
        <f>HYPERLINK("https://zen.yandex.ru/media/id/5e414dabcbb49f45fcf938c0/5f2bb8825f9755482473618b")</f>
        <v>https://zen.yandex.ru/media/id/5e414dabcbb49f45fcf938c0/5f2bb8825f9755482473618b</v>
      </c>
      <c r="H158" t="s">
        <v>885</v>
      </c>
      <c r="I158" t="s">
        <v>1152</v>
      </c>
      <c r="J158" t="str">
        <f>HYPERLINK("https://zen.yandex.ru/id/5e414dabcbb49f45fcf938c0")</f>
        <v>https://zen.yandex.ru/id/5e414dabcbb49f45fcf938c0</v>
      </c>
      <c r="K158">
        <v>12</v>
      </c>
      <c r="N158" t="s">
        <v>1153</v>
      </c>
      <c r="R158" t="s">
        <v>966</v>
      </c>
      <c r="S158" t="s">
        <v>18</v>
      </c>
      <c r="AE158">
        <v>0</v>
      </c>
      <c r="AG158">
        <v>15</v>
      </c>
      <c r="AI158" t="str">
        <f>HYPERLINK("https://avatars.mds.yandex.net/get-zen_doc/3524532/pub_5f2bb8825f9755482473618b_5f2bb988142611705b609f07/scale_1200")</f>
        <v>https://avatars.mds.yandex.net/get-zen_doc/3524532/pub_5f2bb8825f9755482473618b_5f2bb988142611705b609f07/scale_1200</v>
      </c>
      <c r="AJ158" t="s">
        <v>10</v>
      </c>
      <c r="AK158" t="s">
        <v>21</v>
      </c>
    </row>
    <row r="159" spans="1:52" x14ac:dyDescent="0.25">
      <c r="A159" t="s">
        <v>1930</v>
      </c>
      <c r="B159" t="s">
        <v>1931</v>
      </c>
      <c r="C159" t="s">
        <v>984</v>
      </c>
      <c r="D159" t="s">
        <v>1932</v>
      </c>
      <c r="E159" t="s">
        <v>1933</v>
      </c>
      <c r="F159" t="s">
        <v>45</v>
      </c>
      <c r="G159" t="str">
        <f>HYPERLINK("https://www.tellerreport.com/life/2020-07-26-the-anti-epidemic-nurse-was-in-a-coma-for-many-days-and-was-not-recognized-as-a-work-injury-professional.BJgSpbPslP.html")</f>
        <v>https://www.tellerreport.com/life/2020-07-26-the-anti-epidemic-nurse-was-in-a-coma-for-many-days-and-was-not-recognized-as-a-work-injury-professional.BJgSpbPslP.html</v>
      </c>
      <c r="H159" t="s">
        <v>885</v>
      </c>
      <c r="I159" t="s">
        <v>1934</v>
      </c>
      <c r="J159" t="str">
        <f>HYPERLINK("https://limnews.com")</f>
        <v>https://limnews.com</v>
      </c>
      <c r="N159" t="s">
        <v>1935</v>
      </c>
      <c r="R159" t="s">
        <v>239</v>
      </c>
      <c r="S159" t="s">
        <v>1936</v>
      </c>
      <c r="AJ159" t="s">
        <v>10</v>
      </c>
      <c r="AK159" t="s">
        <v>21</v>
      </c>
      <c r="AL159" t="s">
        <v>3237</v>
      </c>
      <c r="AW159" t="s">
        <v>3248</v>
      </c>
      <c r="AY159" t="s">
        <v>3250</v>
      </c>
      <c r="AZ159" t="s">
        <v>3251</v>
      </c>
    </row>
    <row r="160" spans="1:52" x14ac:dyDescent="0.25">
      <c r="A160" t="s">
        <v>2057</v>
      </c>
      <c r="B160" t="s">
        <v>1426</v>
      </c>
      <c r="C160" t="s">
        <v>968</v>
      </c>
      <c r="D160" t="s">
        <v>10</v>
      </c>
      <c r="E160" t="s">
        <v>2032</v>
      </c>
      <c r="F160" t="s">
        <v>45</v>
      </c>
      <c r="G160" t="str">
        <f>HYPERLINK("https://www.facebook.com/permalink.php?story_fbid=306037680643376&amp;id=100037114390100")</f>
        <v>https://www.facebook.com/permalink.php?story_fbid=306037680643376&amp;id=100037114390100</v>
      </c>
      <c r="H160" t="s">
        <v>885</v>
      </c>
      <c r="I160" t="s">
        <v>1726</v>
      </c>
      <c r="J160" t="str">
        <f>HYPERLINK("https://www.facebook.com/100037114390100")</f>
        <v>https://www.facebook.com/100037114390100</v>
      </c>
      <c r="K160">
        <v>2587</v>
      </c>
      <c r="L160" t="s">
        <v>80</v>
      </c>
      <c r="N160" t="s">
        <v>179</v>
      </c>
      <c r="O160" t="s">
        <v>1726</v>
      </c>
      <c r="P160" t="str">
        <f>HYPERLINK("https://www.facebook.com/100037114390100")</f>
        <v>https://www.facebook.com/100037114390100</v>
      </c>
      <c r="Q160">
        <v>2587</v>
      </c>
      <c r="R160" t="s">
        <v>17</v>
      </c>
      <c r="S160" t="s">
        <v>18</v>
      </c>
      <c r="T160" t="s">
        <v>725</v>
      </c>
      <c r="U160" t="s">
        <v>726</v>
      </c>
      <c r="W160">
        <v>28</v>
      </c>
      <c r="X160">
        <v>27</v>
      </c>
      <c r="Y160">
        <v>1</v>
      </c>
      <c r="Z160">
        <v>0</v>
      </c>
      <c r="AA160">
        <v>0</v>
      </c>
      <c r="AB160">
        <v>0</v>
      </c>
      <c r="AC160">
        <v>0</v>
      </c>
      <c r="AE160">
        <v>2</v>
      </c>
      <c r="AF160">
        <v>1</v>
      </c>
      <c r="AI160" t="str">
        <f>HYPERLINK("https://scontent-hel2-1.xx.fbcdn.net/v/t1.0-9/110321715_306037607310050_3781523561101881401_n.jpg?_nc_cat=100&amp;_nc_sid=8bfeb9&amp;_nc_ohc=_C-wiUQw67UAX-7WTOT&amp;_nc_ht=scontent-hel2-1.xx&amp;oh=6a6f5986f883461ba5496ff832f39755&amp;oe=5F442F5A")</f>
        <v>https://scontent-hel2-1.xx.fbcdn.net/v/t1.0-9/110321715_306037607310050_3781523561101881401_n.jpg?_nc_cat=100&amp;_nc_sid=8bfeb9&amp;_nc_ohc=_C-wiUQw67UAX-7WTOT&amp;_nc_ht=scontent-hel2-1.xx&amp;oh=6a6f5986f883461ba5496ff832f39755&amp;oe=5F442F5A</v>
      </c>
      <c r="AJ160" t="s">
        <v>10</v>
      </c>
      <c r="AK160" t="s">
        <v>21</v>
      </c>
    </row>
    <row r="161" spans="1:52" x14ac:dyDescent="0.25">
      <c r="A161" t="s">
        <v>2057</v>
      </c>
      <c r="B161" t="s">
        <v>562</v>
      </c>
      <c r="C161" t="s">
        <v>968</v>
      </c>
      <c r="D161" t="s">
        <v>10</v>
      </c>
      <c r="E161" t="s">
        <v>2086</v>
      </c>
      <c r="F161" t="s">
        <v>45</v>
      </c>
      <c r="G161" t="str">
        <f>HYPERLINK("https://vk.com/wall-48669646_10210")</f>
        <v>https://vk.com/wall-48669646_10210</v>
      </c>
      <c r="H161" t="s">
        <v>885</v>
      </c>
      <c r="I161" t="s">
        <v>46</v>
      </c>
      <c r="J161" t="str">
        <f>HYPERLINK("http://vk.com/club48669646")</f>
        <v>http://vk.com/club48669646</v>
      </c>
      <c r="K161">
        <v>5795</v>
      </c>
      <c r="L161" t="s">
        <v>28</v>
      </c>
      <c r="N161" t="s">
        <v>16</v>
      </c>
      <c r="O161" t="s">
        <v>46</v>
      </c>
      <c r="P161" t="str">
        <f>HYPERLINK("http://vk.com/club48669646")</f>
        <v>http://vk.com/club48669646</v>
      </c>
      <c r="Q161">
        <v>5795</v>
      </c>
      <c r="R161" t="s">
        <v>17</v>
      </c>
      <c r="S161" t="s">
        <v>18</v>
      </c>
      <c r="W161">
        <v>2</v>
      </c>
      <c r="X161">
        <v>2</v>
      </c>
      <c r="AE161">
        <v>0</v>
      </c>
      <c r="AF161">
        <v>0</v>
      </c>
      <c r="AG161">
        <v>322</v>
      </c>
      <c r="AI161" t="str">
        <f>HYPERLINK("https://sun9-42.userapi.com/dwN7w_vvVArTmDOuYZTiMdprEXlCsCJ1iJlwUQ/797VzY3R7oI.jpg")</f>
        <v>https://sun9-42.userapi.com/dwN7w_vvVArTmDOuYZTiMdprEXlCsCJ1iJlwUQ/797VzY3R7oI.jpg</v>
      </c>
      <c r="AJ161" t="s">
        <v>10</v>
      </c>
      <c r="AK161" t="s">
        <v>21</v>
      </c>
      <c r="AP161" t="s">
        <v>3241</v>
      </c>
      <c r="AS161" t="s">
        <v>3244</v>
      </c>
      <c r="AY161" t="s">
        <v>3250</v>
      </c>
    </row>
    <row r="162" spans="1:52" x14ac:dyDescent="0.25">
      <c r="A162" t="s">
        <v>2428</v>
      </c>
      <c r="B162" t="s">
        <v>2135</v>
      </c>
      <c r="C162" t="s">
        <v>968</v>
      </c>
      <c r="D162" t="s">
        <v>10</v>
      </c>
      <c r="E162" t="s">
        <v>1856</v>
      </c>
      <c r="F162" t="s">
        <v>45</v>
      </c>
      <c r="G162" t="str">
        <f>HYPERLINK("https://www.facebook.com/mrtexpertrnd/photos/a.565935020817465/776574219753543/?type=3")</f>
        <v>https://www.facebook.com/mrtexpertrnd/photos/a.565935020817465/776574219753543/?type=3</v>
      </c>
      <c r="H162" t="s">
        <v>885</v>
      </c>
      <c r="I162" t="s">
        <v>125</v>
      </c>
      <c r="J162" t="str">
        <f>HYPERLINK("https://www.facebook.com/156600068417631")</f>
        <v>https://www.facebook.com/156600068417631</v>
      </c>
      <c r="K162">
        <v>236</v>
      </c>
      <c r="L162" t="s">
        <v>28</v>
      </c>
      <c r="N162" t="s">
        <v>179</v>
      </c>
      <c r="O162" t="s">
        <v>125</v>
      </c>
      <c r="P162" t="str">
        <f>HYPERLINK("https://www.facebook.com/156600068417631")</f>
        <v>https://www.facebook.com/156600068417631</v>
      </c>
      <c r="Q162">
        <v>236</v>
      </c>
      <c r="R162" t="s">
        <v>17</v>
      </c>
      <c r="S162" t="s">
        <v>18</v>
      </c>
      <c r="T162" t="s">
        <v>126</v>
      </c>
      <c r="U162" t="s">
        <v>127</v>
      </c>
      <c r="W162">
        <v>0</v>
      </c>
      <c r="X162">
        <v>0</v>
      </c>
      <c r="Y162">
        <v>0</v>
      </c>
      <c r="Z162">
        <v>0</v>
      </c>
      <c r="AA162">
        <v>0</v>
      </c>
      <c r="AB162">
        <v>0</v>
      </c>
      <c r="AC162">
        <v>0</v>
      </c>
      <c r="AE162">
        <v>0</v>
      </c>
      <c r="AI162" t="str">
        <f>HYPERLINK("https://scontent-hel2-1.xx.fbcdn.net/v/t1.0-0/p526x296/109765149_776574223086876_4141804820134064104_o.jpg?_nc_cat=109&amp;_nc_sid=9267fe&amp;_nc_ohc=CBZklmtGmq8AX8McL0F&amp;_nc_ht=scontent-hel2-1.xx&amp;_nc_tp=6&amp;oh=6c54021b5af5b6b1e413c0043e3dec2e&amp;oe=5F389B58")</f>
        <v>https://scontent-hel2-1.xx.fbcdn.net/v/t1.0-0/p526x296/109765149_776574223086876_4141804820134064104_o.jpg?_nc_cat=109&amp;_nc_sid=9267fe&amp;_nc_ohc=CBZklmtGmq8AX8McL0F&amp;_nc_ht=scontent-hel2-1.xx&amp;_nc_tp=6&amp;oh=6c54021b5af5b6b1e413c0043e3dec2e&amp;oe=5F389B58</v>
      </c>
      <c r="AJ162" t="s">
        <v>10</v>
      </c>
      <c r="AK162" t="s">
        <v>21</v>
      </c>
      <c r="AM162" t="s">
        <v>3238</v>
      </c>
      <c r="AO162" t="s">
        <v>3240</v>
      </c>
      <c r="AP162" t="s">
        <v>3241</v>
      </c>
      <c r="AS162" t="s">
        <v>3244</v>
      </c>
      <c r="AU162" t="s">
        <v>3246</v>
      </c>
      <c r="AZ162" t="s">
        <v>3251</v>
      </c>
    </row>
    <row r="163" spans="1:52" x14ac:dyDescent="0.25">
      <c r="A163" t="s">
        <v>2589</v>
      </c>
      <c r="B163" t="s">
        <v>890</v>
      </c>
      <c r="C163" t="s">
        <v>968</v>
      </c>
      <c r="D163" t="s">
        <v>10</v>
      </c>
      <c r="E163" t="s">
        <v>2608</v>
      </c>
      <c r="F163" t="s">
        <v>45</v>
      </c>
      <c r="G163" t="str">
        <f>HYPERLINK("https://vk.com/wall-48669646_10171")</f>
        <v>https://vk.com/wall-48669646_10171</v>
      </c>
      <c r="H163" t="s">
        <v>885</v>
      </c>
      <c r="I163" t="s">
        <v>46</v>
      </c>
      <c r="J163" t="str">
        <f>HYPERLINK("http://vk.com/club48669646")</f>
        <v>http://vk.com/club48669646</v>
      </c>
      <c r="K163">
        <v>5795</v>
      </c>
      <c r="L163" t="s">
        <v>28</v>
      </c>
      <c r="N163" t="s">
        <v>16</v>
      </c>
      <c r="O163" t="s">
        <v>46</v>
      </c>
      <c r="P163" t="str">
        <f>HYPERLINK("http://vk.com/club48669646")</f>
        <v>http://vk.com/club48669646</v>
      </c>
      <c r="Q163">
        <v>5795</v>
      </c>
      <c r="R163" t="s">
        <v>17</v>
      </c>
      <c r="S163" t="s">
        <v>18</v>
      </c>
      <c r="W163">
        <v>0</v>
      </c>
      <c r="X163">
        <v>0</v>
      </c>
      <c r="AE163">
        <v>0</v>
      </c>
      <c r="AF163">
        <v>0</v>
      </c>
      <c r="AG163">
        <v>356</v>
      </c>
      <c r="AI163" t="str">
        <f>HYPERLINK("https://sun1-19.userapi.com/pMIfFotaQvYK2cZ4q48F1D-10ZR3WfwOQyI_QQ/2rwR4buX4Dc.jpg")</f>
        <v>https://sun1-19.userapi.com/pMIfFotaQvYK2cZ4q48F1D-10ZR3WfwOQyI_QQ/2rwR4buX4Dc.jpg</v>
      </c>
      <c r="AJ163" t="s">
        <v>10</v>
      </c>
      <c r="AK163" t="s">
        <v>21</v>
      </c>
      <c r="AL163" t="s">
        <v>3237</v>
      </c>
      <c r="AZ163" t="s">
        <v>3251</v>
      </c>
    </row>
    <row r="164" spans="1:52" x14ac:dyDescent="0.25">
      <c r="A164" t="s">
        <v>2767</v>
      </c>
      <c r="B164" t="s">
        <v>546</v>
      </c>
      <c r="C164" t="s">
        <v>968</v>
      </c>
      <c r="D164" t="s">
        <v>421</v>
      </c>
      <c r="E164" t="s">
        <v>2794</v>
      </c>
      <c r="F164" t="s">
        <v>26</v>
      </c>
      <c r="G164" t="str">
        <f>HYPERLINK("https://www.youtube.com/watch?v=gaka1vqYFNs&amp;lc=Ugw_6x39QI2Q677srfV4AaABAg")</f>
        <v>https://www.youtube.com/watch?v=gaka1vqYFNs&amp;lc=Ugw_6x39QI2Q677srfV4AaABAg</v>
      </c>
      <c r="H164" t="s">
        <v>1057</v>
      </c>
      <c r="I164" t="s">
        <v>2795</v>
      </c>
      <c r="J164" t="str">
        <f>HYPERLINK("https://www.youtube.com/channel/UCgucFlkNkp0fAXy07gZZH4A")</f>
        <v>https://www.youtube.com/channel/UCgucFlkNkp0fAXy07gZZH4A</v>
      </c>
      <c r="K164">
        <v>0</v>
      </c>
      <c r="N164" t="s">
        <v>162</v>
      </c>
      <c r="O164" t="s">
        <v>424</v>
      </c>
      <c r="P164" t="str">
        <f>HYPERLINK("https://www.youtube.com/channel/UC8fQzKHIhSoZeSq3bwQx4mw")</f>
        <v>https://www.youtube.com/channel/UC8fQzKHIhSoZeSq3bwQx4mw</v>
      </c>
      <c r="Q164">
        <v>517000</v>
      </c>
      <c r="R164" t="s">
        <v>17</v>
      </c>
      <c r="S164" t="s">
        <v>425</v>
      </c>
      <c r="AJ164" t="s">
        <v>10</v>
      </c>
      <c r="AK164" t="s">
        <v>21</v>
      </c>
      <c r="AV164" t="s">
        <v>3247</v>
      </c>
      <c r="AW164" t="s">
        <v>3248</v>
      </c>
    </row>
    <row r="165" spans="1:52" x14ac:dyDescent="0.25">
      <c r="A165" t="s">
        <v>3021</v>
      </c>
      <c r="B165" t="s">
        <v>1680</v>
      </c>
      <c r="C165" t="s">
        <v>968</v>
      </c>
      <c r="D165" t="s">
        <v>10</v>
      </c>
      <c r="E165" t="s">
        <v>3071</v>
      </c>
      <c r="F165" t="s">
        <v>45</v>
      </c>
      <c r="G165" t="str">
        <f>HYPERLINK("https://vk.com/wall-158633337_912")</f>
        <v>https://vk.com/wall-158633337_912</v>
      </c>
      <c r="H165" t="s">
        <v>885</v>
      </c>
      <c r="I165" t="s">
        <v>125</v>
      </c>
      <c r="J165" t="str">
        <f>HYPERLINK("http://vk.com/club158633337")</f>
        <v>http://vk.com/club158633337</v>
      </c>
      <c r="K165">
        <v>4852</v>
      </c>
      <c r="L165" t="s">
        <v>28</v>
      </c>
      <c r="N165" t="s">
        <v>16</v>
      </c>
      <c r="O165" t="s">
        <v>125</v>
      </c>
      <c r="P165" t="str">
        <f>HYPERLINK("http://vk.com/club158633337")</f>
        <v>http://vk.com/club158633337</v>
      </c>
      <c r="Q165">
        <v>4852</v>
      </c>
      <c r="R165" t="s">
        <v>17</v>
      </c>
      <c r="S165" t="s">
        <v>18</v>
      </c>
      <c r="T165" t="s">
        <v>126</v>
      </c>
      <c r="U165" t="s">
        <v>127</v>
      </c>
      <c r="W165">
        <v>0</v>
      </c>
      <c r="X165">
        <v>0</v>
      </c>
      <c r="AE165">
        <v>0</v>
      </c>
      <c r="AF165">
        <v>0</v>
      </c>
      <c r="AG165">
        <v>102</v>
      </c>
      <c r="AI165" t="str">
        <f>HYPERLINK("https://sun1-86.userapi.com/Fe7GOUzpIqN_Q0v0W_2ntWqgrWK3L2-srdJxjQ/rhaLkQYK4MM.jpg")</f>
        <v>https://sun1-86.userapi.com/Fe7GOUzpIqN_Q0v0W_2ntWqgrWK3L2-srdJxjQ/rhaLkQYK4MM.jpg</v>
      </c>
      <c r="AJ165" t="s">
        <v>10</v>
      </c>
      <c r="AK165" t="s">
        <v>21</v>
      </c>
    </row>
    <row r="166" spans="1:52" x14ac:dyDescent="0.25">
      <c r="A166" t="s">
        <v>7</v>
      </c>
      <c r="B166" t="s">
        <v>208</v>
      </c>
      <c r="C166" t="s">
        <v>209</v>
      </c>
      <c r="D166" t="s">
        <v>10</v>
      </c>
      <c r="E166" t="s">
        <v>210</v>
      </c>
      <c r="F166" t="s">
        <v>45</v>
      </c>
      <c r="G166" t="str">
        <f>HYPERLINK("https://vk.com/wall-196360834_1649")</f>
        <v>https://vk.com/wall-196360834_1649</v>
      </c>
      <c r="H166" t="s">
        <v>13</v>
      </c>
      <c r="I166" t="s">
        <v>211</v>
      </c>
      <c r="J166" t="str">
        <f>HYPERLINK("http://vk.com/club196360834")</f>
        <v>http://vk.com/club196360834</v>
      </c>
      <c r="K166">
        <v>35</v>
      </c>
      <c r="L166" t="s">
        <v>28</v>
      </c>
      <c r="N166" t="s">
        <v>16</v>
      </c>
      <c r="O166" t="s">
        <v>211</v>
      </c>
      <c r="P166" t="str">
        <f>HYPERLINK("http://vk.com/club196360834")</f>
        <v>http://vk.com/club196360834</v>
      </c>
      <c r="Q166">
        <v>35</v>
      </c>
      <c r="R166" t="s">
        <v>17</v>
      </c>
      <c r="AI166" t="str">
        <f>HYPERLINK("https://sun9-18.userapi.com/c857216/v857216367/1eed6d/btm9YK34s4s.jpg")</f>
        <v>https://sun9-18.userapi.com/c857216/v857216367/1eed6d/btm9YK34s4s.jpg</v>
      </c>
      <c r="AJ166" t="s">
        <v>10</v>
      </c>
      <c r="AK166" t="s">
        <v>21</v>
      </c>
      <c r="AL166" t="s">
        <v>3237</v>
      </c>
      <c r="AW166" t="s">
        <v>3248</v>
      </c>
      <c r="AX166" t="s">
        <v>3249</v>
      </c>
    </row>
    <row r="167" spans="1:52" x14ac:dyDescent="0.25">
      <c r="A167" t="s">
        <v>7</v>
      </c>
      <c r="B167" t="s">
        <v>394</v>
      </c>
      <c r="C167" t="s">
        <v>396</v>
      </c>
      <c r="D167" t="s">
        <v>24</v>
      </c>
      <c r="E167" t="s">
        <v>398</v>
      </c>
      <c r="F167" t="s">
        <v>26</v>
      </c>
      <c r="G167" t="str">
        <f>HYPERLINK("https://vk.com/wall-197114981_31?reply=1293")</f>
        <v>https://vk.com/wall-197114981_31?reply=1293</v>
      </c>
      <c r="H167" t="s">
        <v>13</v>
      </c>
      <c r="I167" t="s">
        <v>388</v>
      </c>
      <c r="J167" t="str">
        <f>HYPERLINK("http://vk.com/id169523743")</f>
        <v>http://vk.com/id169523743</v>
      </c>
      <c r="K167">
        <v>50</v>
      </c>
      <c r="L167" t="s">
        <v>80</v>
      </c>
      <c r="M167">
        <v>24</v>
      </c>
      <c r="N167" t="s">
        <v>16</v>
      </c>
      <c r="O167" t="s">
        <v>27</v>
      </c>
      <c r="P167" t="str">
        <f>HYPERLINK("http://vk.com/club197114981")</f>
        <v>http://vk.com/club197114981</v>
      </c>
      <c r="Q167">
        <v>38</v>
      </c>
      <c r="R167" t="s">
        <v>17</v>
      </c>
      <c r="S167" t="s">
        <v>18</v>
      </c>
      <c r="T167" t="s">
        <v>231</v>
      </c>
      <c r="U167" t="s">
        <v>232</v>
      </c>
      <c r="AJ167" t="s">
        <v>10</v>
      </c>
      <c r="AK167" t="s">
        <v>21</v>
      </c>
      <c r="AV167" t="s">
        <v>3247</v>
      </c>
      <c r="AW167" t="s">
        <v>3248</v>
      </c>
      <c r="AX167" t="s">
        <v>3249</v>
      </c>
    </row>
    <row r="168" spans="1:52" x14ac:dyDescent="0.25">
      <c r="A168" t="s">
        <v>2290</v>
      </c>
      <c r="B168" t="s">
        <v>1937</v>
      </c>
      <c r="C168" t="s">
        <v>968</v>
      </c>
      <c r="D168" t="s">
        <v>421</v>
      </c>
      <c r="E168" t="s">
        <v>2305</v>
      </c>
      <c r="F168" t="s">
        <v>26</v>
      </c>
      <c r="G168" t="str">
        <f>HYPERLINK("https://www.youtube.com/watch?v=gaka1vqYFNs&amp;lc=UgznM5sqnO5dhn3qVJJ4AaABAg")</f>
        <v>https://www.youtube.com/watch?v=gaka1vqYFNs&amp;lc=UgznM5sqnO5dhn3qVJJ4AaABAg</v>
      </c>
      <c r="H168" t="s">
        <v>889</v>
      </c>
      <c r="I168" t="s">
        <v>2306</v>
      </c>
      <c r="J168" t="str">
        <f>HYPERLINK("https://www.youtube.com/channel/UC_Y5lHn_5TSlnNCSItHWr6Q")</f>
        <v>https://www.youtube.com/channel/UC_Y5lHn_5TSlnNCSItHWr6Q</v>
      </c>
      <c r="K168">
        <v>0</v>
      </c>
      <c r="L168" t="s">
        <v>15</v>
      </c>
      <c r="N168" t="s">
        <v>162</v>
      </c>
      <c r="O168" t="s">
        <v>424</v>
      </c>
      <c r="P168" t="str">
        <f>HYPERLINK("https://www.youtube.com/channel/UC8fQzKHIhSoZeSq3bwQx4mw")</f>
        <v>https://www.youtube.com/channel/UC8fQzKHIhSoZeSq3bwQx4mw</v>
      </c>
      <c r="Q168">
        <v>517000</v>
      </c>
      <c r="R168" t="s">
        <v>17</v>
      </c>
      <c r="S168" t="s">
        <v>425</v>
      </c>
      <c r="W168">
        <v>1</v>
      </c>
      <c r="X168">
        <v>1</v>
      </c>
      <c r="AE168">
        <v>0</v>
      </c>
      <c r="AJ168" t="s">
        <v>10</v>
      </c>
      <c r="AK168" t="s">
        <v>21</v>
      </c>
      <c r="AX168" t="s">
        <v>3249</v>
      </c>
    </row>
    <row r="169" spans="1:52" x14ac:dyDescent="0.25">
      <c r="A169" t="s">
        <v>2684</v>
      </c>
      <c r="B169" t="s">
        <v>429</v>
      </c>
      <c r="C169" t="s">
        <v>968</v>
      </c>
      <c r="D169" t="s">
        <v>2651</v>
      </c>
      <c r="E169" t="s">
        <v>2685</v>
      </c>
      <c r="F169" t="s">
        <v>45</v>
      </c>
      <c r="G169" t="str">
        <f>HYPERLINK("https://ok.ru/profile/566012494435/statuses/151813759002723")</f>
        <v>https://ok.ru/profile/566012494435/statuses/151813759002723</v>
      </c>
      <c r="H169" t="s">
        <v>1057</v>
      </c>
      <c r="I169" t="s">
        <v>2686</v>
      </c>
      <c r="J169" t="str">
        <f>HYPERLINK("https://ok.ru/profile/566012494435")</f>
        <v>https://ok.ru/profile/566012494435</v>
      </c>
      <c r="K169">
        <v>1930</v>
      </c>
      <c r="L169" t="s">
        <v>80</v>
      </c>
      <c r="M169">
        <v>38</v>
      </c>
      <c r="N169" t="s">
        <v>135</v>
      </c>
      <c r="O169" t="s">
        <v>2686</v>
      </c>
      <c r="P169" t="str">
        <f>HYPERLINK("https://ok.ru/profile/566012494435")</f>
        <v>https://ok.ru/profile/566012494435</v>
      </c>
      <c r="Q169">
        <v>1930</v>
      </c>
      <c r="R169" t="s">
        <v>17</v>
      </c>
      <c r="S169" t="s">
        <v>18</v>
      </c>
      <c r="T169" t="s">
        <v>1060</v>
      </c>
      <c r="U169" t="s">
        <v>1061</v>
      </c>
      <c r="W169">
        <v>6</v>
      </c>
      <c r="X169">
        <v>6</v>
      </c>
      <c r="Y169">
        <v>0</v>
      </c>
      <c r="Z169">
        <v>0</v>
      </c>
      <c r="AA169">
        <v>0</v>
      </c>
      <c r="AB169">
        <v>0</v>
      </c>
      <c r="AE169">
        <v>0</v>
      </c>
      <c r="AF169">
        <v>0</v>
      </c>
      <c r="AI169" t="str">
        <f>HYPERLINK("https://i.mycdn.me/image?id=897036341210&amp;t=20&amp;plc=API&amp;aid=1131601408&amp;tkn=*sX0LF7vYxpssIg-UfQDEZ2b3WgY")</f>
        <v>https://i.mycdn.me/image?id=897036341210&amp;t=20&amp;plc=API&amp;aid=1131601408&amp;tkn=*sX0LF7vYxpssIg-UfQDEZ2b3WgY</v>
      </c>
      <c r="AJ169" t="s">
        <v>10</v>
      </c>
      <c r="AK169" t="s">
        <v>21</v>
      </c>
      <c r="AO169" t="s">
        <v>3240</v>
      </c>
      <c r="AP169" t="s">
        <v>3241</v>
      </c>
      <c r="AS169" t="s">
        <v>3244</v>
      </c>
    </row>
    <row r="170" spans="1:52" x14ac:dyDescent="0.25">
      <c r="A170" t="s">
        <v>772</v>
      </c>
      <c r="B170" t="s">
        <v>858</v>
      </c>
      <c r="C170" t="s">
        <v>859</v>
      </c>
      <c r="D170" t="s">
        <v>24</v>
      </c>
      <c r="E170" t="s">
        <v>656</v>
      </c>
      <c r="F170" t="s">
        <v>26</v>
      </c>
      <c r="G170" t="str">
        <f>HYPERLINK("https://vk.com/wall-197114981_31?reply=1133&amp;thread=1098")</f>
        <v>https://vk.com/wall-197114981_31?reply=1133&amp;thread=1098</v>
      </c>
      <c r="H170" t="s">
        <v>13</v>
      </c>
      <c r="I170" t="s">
        <v>27</v>
      </c>
      <c r="J170" t="str">
        <f>HYPERLINK("http://vk.com/club197114981")</f>
        <v>http://vk.com/club197114981</v>
      </c>
      <c r="K170">
        <v>38</v>
      </c>
      <c r="L170" t="s">
        <v>28</v>
      </c>
      <c r="N170" t="s">
        <v>16</v>
      </c>
      <c r="O170" t="s">
        <v>27</v>
      </c>
      <c r="P170" t="str">
        <f>HYPERLINK("http://vk.com/club197114981")</f>
        <v>http://vk.com/club197114981</v>
      </c>
      <c r="Q170">
        <v>38</v>
      </c>
      <c r="R170" t="s">
        <v>17</v>
      </c>
      <c r="AJ170" t="s">
        <v>10</v>
      </c>
      <c r="AK170" t="s">
        <v>21</v>
      </c>
      <c r="AO170" t="s">
        <v>3240</v>
      </c>
      <c r="AP170" t="s">
        <v>3241</v>
      </c>
      <c r="AS170" t="s">
        <v>3244</v>
      </c>
    </row>
    <row r="171" spans="1:52" x14ac:dyDescent="0.25">
      <c r="A171" t="s">
        <v>1017</v>
      </c>
      <c r="B171" t="s">
        <v>1021</v>
      </c>
      <c r="C171" t="s">
        <v>984</v>
      </c>
      <c r="D171" t="s">
        <v>10</v>
      </c>
      <c r="E171" t="s">
        <v>730</v>
      </c>
      <c r="F171" t="s">
        <v>45</v>
      </c>
      <c r="G171" t="str">
        <f>HYPERLINK("https://www.facebook.com/polinavasilisa/posts/3236807246414826")</f>
        <v>https://www.facebook.com/polinavasilisa/posts/3236807246414826</v>
      </c>
      <c r="H171" t="s">
        <v>885</v>
      </c>
      <c r="I171" t="s">
        <v>1014</v>
      </c>
      <c r="J171" t="str">
        <f>HYPERLINK("https://www.facebook.com/100002567463651")</f>
        <v>https://www.facebook.com/100002567463651</v>
      </c>
      <c r="K171">
        <v>4994</v>
      </c>
      <c r="L171" t="s">
        <v>80</v>
      </c>
      <c r="N171" t="s">
        <v>179</v>
      </c>
      <c r="O171" t="s">
        <v>1014</v>
      </c>
      <c r="P171" t="str">
        <f>HYPERLINK("https://www.facebook.com/100002567463651")</f>
        <v>https://www.facebook.com/100002567463651</v>
      </c>
      <c r="Q171">
        <v>4994</v>
      </c>
      <c r="R171" t="s">
        <v>17</v>
      </c>
      <c r="S171" t="s">
        <v>18</v>
      </c>
      <c r="T171" t="s">
        <v>1015</v>
      </c>
      <c r="U171" t="s">
        <v>1016</v>
      </c>
      <c r="W171">
        <v>54</v>
      </c>
      <c r="X171">
        <v>51</v>
      </c>
      <c r="Y171">
        <v>3</v>
      </c>
      <c r="Z171">
        <v>0</v>
      </c>
      <c r="AA171">
        <v>0</v>
      </c>
      <c r="AB171">
        <v>0</v>
      </c>
      <c r="AC171">
        <v>0</v>
      </c>
      <c r="AE171">
        <v>4</v>
      </c>
      <c r="AF171">
        <v>8</v>
      </c>
      <c r="AI171" t="str">
        <f>HYPERLINK("https://vademec.ru/upload/iblock/488/48863db98d33de4541fe23b51a5b576f.jpg")</f>
        <v>https://vademec.ru/upload/iblock/488/48863db98d33de4541fe23b51a5b576f.jpg</v>
      </c>
      <c r="AJ171" t="s">
        <v>10</v>
      </c>
      <c r="AK171" t="s">
        <v>21</v>
      </c>
      <c r="AO171" t="s">
        <v>3240</v>
      </c>
      <c r="AP171" t="s">
        <v>3241</v>
      </c>
      <c r="AS171" t="s">
        <v>3244</v>
      </c>
    </row>
    <row r="172" spans="1:52" x14ac:dyDescent="0.25">
      <c r="A172" t="s">
        <v>1597</v>
      </c>
      <c r="B172" t="s">
        <v>1629</v>
      </c>
      <c r="C172" t="s">
        <v>984</v>
      </c>
      <c r="D172" t="s">
        <v>1623</v>
      </c>
      <c r="E172" t="s">
        <v>1630</v>
      </c>
      <c r="F172" t="s">
        <v>45</v>
      </c>
      <c r="G172" t="str">
        <f>HYPERLINK("https://www.msn.com/en-us/news/us/what-went-wrong-during-the-northeasts-first-covid-19-spike-and-is-the-region-ready-for-another/ar-BB17jv2Q")</f>
        <v>https://www.msn.com/en-us/news/us/what-went-wrong-during-the-northeasts-first-covid-19-spike-and-is-the-region-ready-for-another/ar-BB17jv2Q</v>
      </c>
      <c r="H172" t="s">
        <v>885</v>
      </c>
      <c r="I172" t="s">
        <v>1631</v>
      </c>
      <c r="J172" t="str">
        <f>HYPERLINK("https://www.msn.com/en-us/news/us/what-went-wrong-during-the-northeasts-first-covid-19-spike-and-is-the-region-ready-for-another/ar-BB17jv2Q")</f>
        <v>https://www.msn.com/en-us/news/us/what-went-wrong-during-the-northeasts-first-covid-19-spike-and-is-the-region-ready-for-another/ar-BB17jv2Q</v>
      </c>
      <c r="L172" t="s">
        <v>15</v>
      </c>
      <c r="N172" t="s">
        <v>1632</v>
      </c>
      <c r="R172" t="s">
        <v>239</v>
      </c>
      <c r="S172" t="s">
        <v>425</v>
      </c>
      <c r="AJ172" t="s">
        <v>10</v>
      </c>
      <c r="AK172" t="s">
        <v>21</v>
      </c>
      <c r="AO172" t="s">
        <v>3240</v>
      </c>
      <c r="AP172" t="s">
        <v>3241</v>
      </c>
      <c r="AS172" t="s">
        <v>3244</v>
      </c>
    </row>
    <row r="173" spans="1:52" x14ac:dyDescent="0.25">
      <c r="A173" t="s">
        <v>7</v>
      </c>
      <c r="B173" t="s">
        <v>400</v>
      </c>
      <c r="C173" t="s">
        <v>401</v>
      </c>
      <c r="D173" t="s">
        <v>24</v>
      </c>
      <c r="E173" t="s">
        <v>25</v>
      </c>
      <c r="F173" t="s">
        <v>26</v>
      </c>
      <c r="G173" t="str">
        <f>HYPERLINK("https://vk.com/wall-197114981_31?reply=1290&amp;thread=1236")</f>
        <v>https://vk.com/wall-197114981_31?reply=1290&amp;thread=1236</v>
      </c>
      <c r="H173" t="s">
        <v>13</v>
      </c>
      <c r="I173" t="s">
        <v>27</v>
      </c>
      <c r="J173" t="str">
        <f>HYPERLINK("http://vk.com/club197114981")</f>
        <v>http://vk.com/club197114981</v>
      </c>
      <c r="K173">
        <v>38</v>
      </c>
      <c r="L173" t="s">
        <v>28</v>
      </c>
      <c r="N173" t="s">
        <v>16</v>
      </c>
      <c r="O173" t="s">
        <v>27</v>
      </c>
      <c r="P173" t="str">
        <f>HYPERLINK("http://vk.com/club197114981")</f>
        <v>http://vk.com/club197114981</v>
      </c>
      <c r="Q173">
        <v>38</v>
      </c>
      <c r="R173" t="s">
        <v>17</v>
      </c>
      <c r="AJ173" t="s">
        <v>10</v>
      </c>
      <c r="AK173" t="s">
        <v>21</v>
      </c>
      <c r="AN173" t="s">
        <v>3239</v>
      </c>
      <c r="AP173" t="s">
        <v>3241</v>
      </c>
      <c r="AS173" t="s">
        <v>3244</v>
      </c>
      <c r="AT173" t="s">
        <v>3245</v>
      </c>
      <c r="AU173" t="s">
        <v>3246</v>
      </c>
      <c r="AW173" t="s">
        <v>3248</v>
      </c>
      <c r="AX173" t="s">
        <v>3249</v>
      </c>
    </row>
    <row r="174" spans="1:52" x14ac:dyDescent="0.25">
      <c r="A174" t="s">
        <v>414</v>
      </c>
      <c r="B174" t="s">
        <v>490</v>
      </c>
      <c r="C174" t="s">
        <v>491</v>
      </c>
      <c r="D174" t="s">
        <v>24</v>
      </c>
      <c r="E174" t="s">
        <v>342</v>
      </c>
      <c r="F174" t="s">
        <v>26</v>
      </c>
      <c r="G174" t="str">
        <f>HYPERLINK("https://vk.com/wall-197114981_31?reply=1247&amp;thread=1228")</f>
        <v>https://vk.com/wall-197114981_31?reply=1247&amp;thread=1228</v>
      </c>
      <c r="H174" t="s">
        <v>13</v>
      </c>
      <c r="I174" t="s">
        <v>27</v>
      </c>
      <c r="J174" t="str">
        <f>HYPERLINK("http://vk.com/club197114981")</f>
        <v>http://vk.com/club197114981</v>
      </c>
      <c r="K174">
        <v>38</v>
      </c>
      <c r="L174" t="s">
        <v>28</v>
      </c>
      <c r="N174" t="s">
        <v>16</v>
      </c>
      <c r="O174" t="s">
        <v>27</v>
      </c>
      <c r="P174" t="str">
        <f>HYPERLINK("http://vk.com/club197114981")</f>
        <v>http://vk.com/club197114981</v>
      </c>
      <c r="Q174">
        <v>38</v>
      </c>
      <c r="R174" t="s">
        <v>17</v>
      </c>
      <c r="AJ174" t="s">
        <v>10</v>
      </c>
      <c r="AK174" t="s">
        <v>21</v>
      </c>
      <c r="AL174" t="s">
        <v>3237</v>
      </c>
      <c r="AP174" t="s">
        <v>3241</v>
      </c>
      <c r="AS174" t="s">
        <v>3244</v>
      </c>
      <c r="AV174" t="s">
        <v>3247</v>
      </c>
      <c r="AW174" t="s">
        <v>3248</v>
      </c>
    </row>
    <row r="175" spans="1:52" x14ac:dyDescent="0.25">
      <c r="A175" t="s">
        <v>2380</v>
      </c>
      <c r="B175" t="s">
        <v>2387</v>
      </c>
      <c r="C175" t="s">
        <v>968</v>
      </c>
      <c r="D175" t="s">
        <v>2388</v>
      </c>
      <c r="E175" t="s">
        <v>2389</v>
      </c>
      <c r="F175" t="s">
        <v>26</v>
      </c>
      <c r="G175" t="str">
        <f>HYPERLINK("https://vk.com/wall-55131656_181733?reply=181974")</f>
        <v>https://vk.com/wall-55131656_181733?reply=181974</v>
      </c>
      <c r="H175" t="s">
        <v>885</v>
      </c>
      <c r="I175" t="s">
        <v>2390</v>
      </c>
      <c r="J175" t="str">
        <f>HYPERLINK("http://vk.com/id2956093")</f>
        <v>http://vk.com/id2956093</v>
      </c>
      <c r="K175">
        <v>876</v>
      </c>
      <c r="L175" t="s">
        <v>15</v>
      </c>
      <c r="N175" t="s">
        <v>16</v>
      </c>
      <c r="O175" t="s">
        <v>1493</v>
      </c>
      <c r="P175" t="str">
        <f>HYPERLINK("http://vk.com/club55131656")</f>
        <v>http://vk.com/club55131656</v>
      </c>
      <c r="Q175">
        <v>33584</v>
      </c>
      <c r="R175" t="s">
        <v>17</v>
      </c>
      <c r="S175" t="s">
        <v>18</v>
      </c>
      <c r="T175" t="s">
        <v>272</v>
      </c>
      <c r="U175" t="s">
        <v>1300</v>
      </c>
      <c r="AJ175" t="s">
        <v>10</v>
      </c>
      <c r="AK175" t="s">
        <v>21</v>
      </c>
      <c r="AL175" t="s">
        <v>3237</v>
      </c>
      <c r="AP175" t="s">
        <v>3241</v>
      </c>
      <c r="AS175" t="s">
        <v>3244</v>
      </c>
      <c r="AU175" t="s">
        <v>3246</v>
      </c>
    </row>
    <row r="176" spans="1:52" x14ac:dyDescent="0.25">
      <c r="A176" t="s">
        <v>2865</v>
      </c>
      <c r="B176" t="s">
        <v>2135</v>
      </c>
      <c r="C176" t="s">
        <v>968</v>
      </c>
      <c r="D176" t="s">
        <v>10</v>
      </c>
      <c r="E176" t="s">
        <v>1857</v>
      </c>
      <c r="F176" t="s">
        <v>45</v>
      </c>
      <c r="G176" t="str">
        <f>HYPERLINK("https://vk.com/wall-158633337_921")</f>
        <v>https://vk.com/wall-158633337_921</v>
      </c>
      <c r="H176" t="s">
        <v>885</v>
      </c>
      <c r="I176" t="s">
        <v>125</v>
      </c>
      <c r="J176" t="str">
        <f>HYPERLINK("http://vk.com/club158633337")</f>
        <v>http://vk.com/club158633337</v>
      </c>
      <c r="K176">
        <v>4852</v>
      </c>
      <c r="L176" t="s">
        <v>28</v>
      </c>
      <c r="N176" t="s">
        <v>16</v>
      </c>
      <c r="O176" t="s">
        <v>125</v>
      </c>
      <c r="P176" t="str">
        <f>HYPERLINK("http://vk.com/club158633337")</f>
        <v>http://vk.com/club158633337</v>
      </c>
      <c r="Q176">
        <v>4852</v>
      </c>
      <c r="R176" t="s">
        <v>17</v>
      </c>
      <c r="S176" t="s">
        <v>18</v>
      </c>
      <c r="T176" t="s">
        <v>126</v>
      </c>
      <c r="U176" t="s">
        <v>127</v>
      </c>
      <c r="W176">
        <v>0</v>
      </c>
      <c r="X176">
        <v>0</v>
      </c>
      <c r="AE176">
        <v>0</v>
      </c>
      <c r="AF176">
        <v>0</v>
      </c>
      <c r="AG176">
        <v>96</v>
      </c>
      <c r="AI176" t="str">
        <f>HYPERLINK("https://sun1-83.userapi.com/6nwED_J1zDr8DLroaD13Wehn3M18QoJbhJ8Zlw/0b9q7nNaYJc.jpg")</f>
        <v>https://sun1-83.userapi.com/6nwED_J1zDr8DLroaD13Wehn3M18QoJbhJ8Zlw/0b9q7nNaYJc.jpg</v>
      </c>
      <c r="AJ176" t="s">
        <v>10</v>
      </c>
      <c r="AK176" t="s">
        <v>21</v>
      </c>
      <c r="AP176" t="s">
        <v>3241</v>
      </c>
      <c r="AS176" t="s">
        <v>3244</v>
      </c>
      <c r="AU176" t="s">
        <v>3246</v>
      </c>
      <c r="AV176" t="s">
        <v>3247</v>
      </c>
      <c r="AX176" t="s">
        <v>3249</v>
      </c>
    </row>
    <row r="177" spans="1:52" x14ac:dyDescent="0.25">
      <c r="A177" t="s">
        <v>2978</v>
      </c>
      <c r="B177" t="s">
        <v>928</v>
      </c>
      <c r="C177" t="s">
        <v>968</v>
      </c>
      <c r="D177" t="s">
        <v>10</v>
      </c>
      <c r="E177" t="s">
        <v>2990</v>
      </c>
      <c r="F177" t="s">
        <v>12</v>
      </c>
      <c r="G177" t="str">
        <f>HYPERLINK("https://twitter.com/117516497/status/1281583511229673472")</f>
        <v>https://twitter.com/117516497/status/1281583511229673472</v>
      </c>
      <c r="H177" t="s">
        <v>885</v>
      </c>
      <c r="I177" t="s">
        <v>2991</v>
      </c>
      <c r="J177" t="str">
        <f>HYPERLINK("http://twitter.com/FabFreddy4")</f>
        <v>http://twitter.com/FabFreddy4</v>
      </c>
      <c r="K177">
        <v>364</v>
      </c>
      <c r="N177" t="s">
        <v>54</v>
      </c>
      <c r="R177" t="s">
        <v>17</v>
      </c>
      <c r="W177">
        <v>0</v>
      </c>
      <c r="X177">
        <v>0</v>
      </c>
      <c r="AJ177" t="s">
        <v>10</v>
      </c>
      <c r="AK177" t="s">
        <v>21</v>
      </c>
      <c r="AP177" t="s">
        <v>3241</v>
      </c>
      <c r="AS177" t="s">
        <v>3244</v>
      </c>
      <c r="AT177" t="s">
        <v>3245</v>
      </c>
      <c r="AW177" t="s">
        <v>3248</v>
      </c>
    </row>
    <row r="178" spans="1:52" x14ac:dyDescent="0.25">
      <c r="A178" t="s">
        <v>1597</v>
      </c>
      <c r="B178" t="s">
        <v>1484</v>
      </c>
      <c r="C178" t="s">
        <v>984</v>
      </c>
      <c r="D178" t="s">
        <v>1623</v>
      </c>
      <c r="E178" t="s">
        <v>1691</v>
      </c>
      <c r="F178" t="s">
        <v>45</v>
      </c>
      <c r="G178" t="str">
        <f>HYPERLINK("https://www.visaliatimesdelta.com/story/news/nation/2020/07/29/covid-new-york-new-jersey-northeast-region-second-coronavirus-spike/5526854002")</f>
        <v>https://www.visaliatimesdelta.com/story/news/nation/2020/07/29/covid-new-york-new-jersey-northeast-region-second-coronavirus-spike/5526854002</v>
      </c>
      <c r="H178" t="s">
        <v>885</v>
      </c>
      <c r="I178" t="s">
        <v>1692</v>
      </c>
      <c r="J178" t="str">
        <f>HYPERLINK("https://www.visaliatimesdelta.com")</f>
        <v>https://www.visaliatimesdelta.com</v>
      </c>
      <c r="N178" t="s">
        <v>1693</v>
      </c>
      <c r="R178" t="s">
        <v>239</v>
      </c>
      <c r="S178" t="s">
        <v>425</v>
      </c>
      <c r="AJ178" t="s">
        <v>10</v>
      </c>
      <c r="AK178" t="s">
        <v>21</v>
      </c>
      <c r="AP178" t="s">
        <v>3241</v>
      </c>
      <c r="AS178" t="s">
        <v>3244</v>
      </c>
    </row>
    <row r="179" spans="1:52" x14ac:dyDescent="0.25">
      <c r="A179" t="s">
        <v>414</v>
      </c>
      <c r="B179" t="s">
        <v>559</v>
      </c>
      <c r="C179" t="s">
        <v>560</v>
      </c>
      <c r="D179" t="s">
        <v>24</v>
      </c>
      <c r="E179" t="s">
        <v>561</v>
      </c>
      <c r="F179" t="s">
        <v>26</v>
      </c>
      <c r="G179" t="str">
        <f>HYPERLINK("https://vk.com/wall-197114981_31?reply=1231&amp;thread=1098")</f>
        <v>https://vk.com/wall-197114981_31?reply=1231&amp;thread=1098</v>
      </c>
      <c r="H179" t="s">
        <v>13</v>
      </c>
      <c r="I179" t="s">
        <v>27</v>
      </c>
      <c r="J179" t="str">
        <f>HYPERLINK("http://vk.com/club197114981")</f>
        <v>http://vk.com/club197114981</v>
      </c>
      <c r="K179">
        <v>38</v>
      </c>
      <c r="L179" t="s">
        <v>28</v>
      </c>
      <c r="N179" t="s">
        <v>16</v>
      </c>
      <c r="O179" t="s">
        <v>27</v>
      </c>
      <c r="P179" t="str">
        <f>HYPERLINK("http://vk.com/club197114981")</f>
        <v>http://vk.com/club197114981</v>
      </c>
      <c r="Q179">
        <v>38</v>
      </c>
      <c r="R179" t="s">
        <v>17</v>
      </c>
      <c r="AJ179" t="s">
        <v>10</v>
      </c>
      <c r="AK179" t="s">
        <v>21</v>
      </c>
      <c r="AN179" t="s">
        <v>3239</v>
      </c>
      <c r="AO179" t="s">
        <v>3240</v>
      </c>
      <c r="AP179" t="s">
        <v>3241</v>
      </c>
      <c r="AY179" t="s">
        <v>3250</v>
      </c>
      <c r="AZ179" t="s">
        <v>3251</v>
      </c>
    </row>
    <row r="180" spans="1:52" x14ac:dyDescent="0.25">
      <c r="A180" t="s">
        <v>772</v>
      </c>
      <c r="B180" t="s">
        <v>565</v>
      </c>
      <c r="C180" t="s">
        <v>941</v>
      </c>
      <c r="D180" t="s">
        <v>24</v>
      </c>
      <c r="E180" t="s">
        <v>942</v>
      </c>
      <c r="F180" t="s">
        <v>26</v>
      </c>
      <c r="G180" t="str">
        <f>HYPERLINK("https://vk.com/wall-197114981_31?reply=1101&amp;thread=1098")</f>
        <v>https://vk.com/wall-197114981_31?reply=1101&amp;thread=1098</v>
      </c>
      <c r="H180" t="s">
        <v>885</v>
      </c>
      <c r="I180" t="s">
        <v>27</v>
      </c>
      <c r="J180" t="str">
        <f>HYPERLINK("http://vk.com/club197114981")</f>
        <v>http://vk.com/club197114981</v>
      </c>
      <c r="K180">
        <v>38</v>
      </c>
      <c r="L180" t="s">
        <v>28</v>
      </c>
      <c r="N180" t="s">
        <v>16</v>
      </c>
      <c r="O180" t="s">
        <v>27</v>
      </c>
      <c r="P180" t="str">
        <f>HYPERLINK("http://vk.com/club197114981")</f>
        <v>http://vk.com/club197114981</v>
      </c>
      <c r="Q180">
        <v>38</v>
      </c>
      <c r="R180" t="s">
        <v>17</v>
      </c>
      <c r="AJ180" t="s">
        <v>10</v>
      </c>
      <c r="AK180" t="s">
        <v>21</v>
      </c>
      <c r="AO180" t="s">
        <v>3240</v>
      </c>
      <c r="AP180" t="s">
        <v>3241</v>
      </c>
      <c r="AY180" t="s">
        <v>3250</v>
      </c>
      <c r="AZ180" t="s">
        <v>3251</v>
      </c>
    </row>
    <row r="181" spans="1:52" x14ac:dyDescent="0.25">
      <c r="A181" t="s">
        <v>1277</v>
      </c>
      <c r="B181" t="s">
        <v>379</v>
      </c>
      <c r="C181" t="s">
        <v>984</v>
      </c>
      <c r="D181" t="s">
        <v>10</v>
      </c>
      <c r="E181" t="s">
        <v>1347</v>
      </c>
      <c r="F181" t="s">
        <v>45</v>
      </c>
      <c r="G181" t="str">
        <f>HYPERLINK("https://www.facebook.com/361747920519484/posts/3770440489650193")</f>
        <v>https://www.facebook.com/361747920519484/posts/3770440489650193</v>
      </c>
      <c r="H181" t="s">
        <v>885</v>
      </c>
      <c r="I181" t="s">
        <v>1348</v>
      </c>
      <c r="J181" t="str">
        <f>HYPERLINK("https://www.facebook.com/361747920519484")</f>
        <v>https://www.facebook.com/361747920519484</v>
      </c>
      <c r="K181">
        <v>8159</v>
      </c>
      <c r="L181" t="s">
        <v>28</v>
      </c>
      <c r="N181" t="s">
        <v>179</v>
      </c>
      <c r="O181" t="s">
        <v>1348</v>
      </c>
      <c r="P181" t="str">
        <f>HYPERLINK("https://www.facebook.com/361747920519484")</f>
        <v>https://www.facebook.com/361747920519484</v>
      </c>
      <c r="Q181">
        <v>8159</v>
      </c>
      <c r="R181" t="s">
        <v>17</v>
      </c>
      <c r="S181" t="s">
        <v>1349</v>
      </c>
      <c r="T181" t="s">
        <v>1350</v>
      </c>
      <c r="U181" t="s">
        <v>1351</v>
      </c>
      <c r="W181">
        <v>1</v>
      </c>
      <c r="X181">
        <v>1</v>
      </c>
      <c r="Y181">
        <v>0</v>
      </c>
      <c r="Z181">
        <v>0</v>
      </c>
      <c r="AA181">
        <v>0</v>
      </c>
      <c r="AB181">
        <v>0</v>
      </c>
      <c r="AC181">
        <v>0</v>
      </c>
      <c r="AE181">
        <v>0</v>
      </c>
      <c r="AI181" t="str">
        <f>HYPERLINK("https://external-lga3-1.xx.fbcdn.net/safe_image.php?d=AQDltQ4lJnfroxAb&amp;w=1280&amp;h=720&amp;url=https%3A%2F%2Fi.ytimg.com%2Fvi%2FLOFv2MP257U%2Fmaxresdefault.jpg&amp;crop&amp;sx=0&amp;sy=0&amp;sw=1280&amp;sh=720&amp;_nc_hash=AQClLasrIDyBwCYu")</f>
        <v>https://external-lga3-1.xx.fbcdn.net/safe_image.php?d=AQDltQ4lJnfroxAb&amp;w=1280&amp;h=720&amp;url=https%3A%2F%2Fi.ytimg.com%2Fvi%2FLOFv2MP257U%2Fmaxresdefault.jpg&amp;crop&amp;sx=0&amp;sy=0&amp;sw=1280&amp;sh=720&amp;_nc_hash=AQClLasrIDyBwCYu</v>
      </c>
      <c r="AJ181" t="s">
        <v>10</v>
      </c>
      <c r="AK181" t="s">
        <v>21</v>
      </c>
      <c r="AN181" t="s">
        <v>3239</v>
      </c>
      <c r="AP181" t="s">
        <v>3241</v>
      </c>
      <c r="AY181" t="s">
        <v>3250</v>
      </c>
      <c r="AZ181" t="s">
        <v>3251</v>
      </c>
    </row>
    <row r="182" spans="1:52" x14ac:dyDescent="0.25">
      <c r="A182" t="s">
        <v>1518</v>
      </c>
      <c r="B182" t="s">
        <v>1564</v>
      </c>
      <c r="C182" t="s">
        <v>984</v>
      </c>
      <c r="D182" t="s">
        <v>10</v>
      </c>
      <c r="E182" t="s">
        <v>1565</v>
      </c>
      <c r="F182" t="s">
        <v>45</v>
      </c>
      <c r="G182" t="str">
        <f>HYPERLINK("https://www.instagram.com/p/CDQrT1YJhZq")</f>
        <v>https://www.instagram.com/p/CDQrT1YJhZq</v>
      </c>
      <c r="H182" t="s">
        <v>885</v>
      </c>
      <c r="I182" t="s">
        <v>1071</v>
      </c>
      <c r="J182" t="str">
        <f>HYPERLINK("http://instagram.com/mrtexpertmurmansk")</f>
        <v>http://instagram.com/mrtexpertmurmansk</v>
      </c>
      <c r="K182">
        <v>483</v>
      </c>
      <c r="N182" t="s">
        <v>69</v>
      </c>
      <c r="O182" t="s">
        <v>1071</v>
      </c>
      <c r="P182" t="str">
        <f>HYPERLINK("http://instagram.com/mrtexpertmurmansk")</f>
        <v>http://instagram.com/mrtexpertmurmansk</v>
      </c>
      <c r="Q182">
        <v>483</v>
      </c>
      <c r="R182" t="s">
        <v>17</v>
      </c>
      <c r="AI182" t="str">
        <f>HYPERLINK("https://www.instagram.com/p/CDQrT1YJhZq/media/?size=l")</f>
        <v>https://www.instagram.com/p/CDQrT1YJhZq/media/?size=l</v>
      </c>
      <c r="AJ182" t="s">
        <v>10</v>
      </c>
      <c r="AK182" t="s">
        <v>21</v>
      </c>
      <c r="AM182" t="s">
        <v>3238</v>
      </c>
      <c r="AN182" t="s">
        <v>3239</v>
      </c>
      <c r="AO182" t="s">
        <v>3240</v>
      </c>
      <c r="AP182" t="s">
        <v>3241</v>
      </c>
      <c r="AX182" t="s">
        <v>3249</v>
      </c>
      <c r="AY182" t="s">
        <v>3250</v>
      </c>
    </row>
    <row r="183" spans="1:52" x14ac:dyDescent="0.25">
      <c r="A183" t="s">
        <v>2589</v>
      </c>
      <c r="B183" t="s">
        <v>2668</v>
      </c>
      <c r="C183" t="s">
        <v>968</v>
      </c>
      <c r="D183" t="s">
        <v>10</v>
      </c>
      <c r="E183" t="s">
        <v>2669</v>
      </c>
      <c r="F183" t="s">
        <v>26</v>
      </c>
      <c r="G183" t="str">
        <f>HYPERLINK("https://twitter.com/969024646837407744/status/1283197244070658048")</f>
        <v>https://twitter.com/969024646837407744/status/1283197244070658048</v>
      </c>
      <c r="H183" t="s">
        <v>885</v>
      </c>
      <c r="I183" t="s">
        <v>2665</v>
      </c>
      <c r="J183" t="str">
        <f>HYPERLINK("http://twitter.com/realpritch9")</f>
        <v>http://twitter.com/realpritch9</v>
      </c>
      <c r="K183">
        <v>53</v>
      </c>
      <c r="N183" t="s">
        <v>54</v>
      </c>
      <c r="R183" t="s">
        <v>17</v>
      </c>
      <c r="S183" t="s">
        <v>425</v>
      </c>
      <c r="AI183" t="str">
        <f>HYPERLINK("https://pbs.twimg.com/ext_tw_video_thumb/1283186784189456384/pu/img/S0qKtZy0dgriWM-3.jpg")</f>
        <v>https://pbs.twimg.com/ext_tw_video_thumb/1283186784189456384/pu/img/S0qKtZy0dgriWM-3.jpg</v>
      </c>
      <c r="AJ183" t="s">
        <v>10</v>
      </c>
      <c r="AK183" t="s">
        <v>21</v>
      </c>
      <c r="AN183" t="s">
        <v>3239</v>
      </c>
      <c r="AP183" t="s">
        <v>3241</v>
      </c>
      <c r="AY183" t="s">
        <v>3250</v>
      </c>
    </row>
    <row r="184" spans="1:52" x14ac:dyDescent="0.25">
      <c r="A184" t="s">
        <v>414</v>
      </c>
      <c r="B184" t="s">
        <v>550</v>
      </c>
      <c r="C184" t="s">
        <v>551</v>
      </c>
      <c r="D184" t="s">
        <v>10</v>
      </c>
      <c r="E184" t="s">
        <v>552</v>
      </c>
      <c r="F184" t="s">
        <v>45</v>
      </c>
      <c r="G184" t="str">
        <f>HYPERLINK("https://vk.com/wall-184769332_16306")</f>
        <v>https://vk.com/wall-184769332_16306</v>
      </c>
      <c r="H184" t="s">
        <v>13</v>
      </c>
      <c r="I184" t="s">
        <v>553</v>
      </c>
      <c r="J184" t="str">
        <f>HYPERLINK("http://vk.com/club184769332")</f>
        <v>http://vk.com/club184769332</v>
      </c>
      <c r="K184">
        <v>6405</v>
      </c>
      <c r="L184" t="s">
        <v>28</v>
      </c>
      <c r="N184" t="s">
        <v>16</v>
      </c>
      <c r="O184" t="s">
        <v>553</v>
      </c>
      <c r="P184" t="str">
        <f>HYPERLINK("http://vk.com/club184769332")</f>
        <v>http://vk.com/club184769332</v>
      </c>
      <c r="Q184">
        <v>6405</v>
      </c>
      <c r="R184" t="s">
        <v>17</v>
      </c>
      <c r="W184">
        <v>13</v>
      </c>
      <c r="X184">
        <v>13</v>
      </c>
      <c r="AE184">
        <v>0</v>
      </c>
      <c r="AF184">
        <v>0</v>
      </c>
      <c r="AG184">
        <v>665</v>
      </c>
      <c r="AI184" t="str">
        <f>HYPERLINK("https://sun9-6.userapi.com/c857528/v857528147/2351b1/9o4956bHKiM.jpg")</f>
        <v>https://sun9-6.userapi.com/c857528/v857528147/2351b1/9o4956bHKiM.jpg</v>
      </c>
      <c r="AJ184" t="s">
        <v>10</v>
      </c>
      <c r="AK184" t="s">
        <v>21</v>
      </c>
      <c r="AL184" t="s">
        <v>3237</v>
      </c>
      <c r="AP184" t="s">
        <v>3241</v>
      </c>
      <c r="AY184" t="s">
        <v>3250</v>
      </c>
    </row>
    <row r="185" spans="1:52" x14ac:dyDescent="0.25">
      <c r="A185" t="s">
        <v>414</v>
      </c>
      <c r="B185" t="s">
        <v>90</v>
      </c>
      <c r="C185" t="s">
        <v>593</v>
      </c>
      <c r="D185" t="s">
        <v>24</v>
      </c>
      <c r="E185" t="s">
        <v>595</v>
      </c>
      <c r="F185" t="s">
        <v>26</v>
      </c>
      <c r="G185" t="str">
        <f>HYPERLINK("https://vk.com/wall-197114981_31?reply=1219")</f>
        <v>https://vk.com/wall-197114981_31?reply=1219</v>
      </c>
      <c r="H185" t="s">
        <v>13</v>
      </c>
      <c r="I185" t="s">
        <v>596</v>
      </c>
      <c r="J185" t="str">
        <f>HYPERLINK("http://vk.com/id229177703")</f>
        <v>http://vk.com/id229177703</v>
      </c>
      <c r="K185">
        <v>686</v>
      </c>
      <c r="L185" t="s">
        <v>80</v>
      </c>
      <c r="N185" t="s">
        <v>16</v>
      </c>
      <c r="O185" t="s">
        <v>27</v>
      </c>
      <c r="P185" t="str">
        <f>HYPERLINK("http://vk.com/club197114981")</f>
        <v>http://vk.com/club197114981</v>
      </c>
      <c r="Q185">
        <v>38</v>
      </c>
      <c r="R185" t="s">
        <v>17</v>
      </c>
      <c r="S185" t="s">
        <v>18</v>
      </c>
      <c r="T185" t="s">
        <v>231</v>
      </c>
      <c r="U185" t="s">
        <v>232</v>
      </c>
      <c r="AJ185" t="s">
        <v>10</v>
      </c>
      <c r="AK185" t="s">
        <v>21</v>
      </c>
      <c r="AP185" t="s">
        <v>3241</v>
      </c>
      <c r="AY185" t="s">
        <v>3250</v>
      </c>
    </row>
    <row r="186" spans="1:52" x14ac:dyDescent="0.25">
      <c r="A186" t="s">
        <v>414</v>
      </c>
      <c r="B186" t="s">
        <v>660</v>
      </c>
      <c r="C186" t="s">
        <v>661</v>
      </c>
      <c r="D186" t="s">
        <v>24</v>
      </c>
      <c r="E186" t="s">
        <v>662</v>
      </c>
      <c r="F186" t="s">
        <v>26</v>
      </c>
      <c r="G186" t="str">
        <f>HYPERLINK("https://vk.com/wall-197114981_31?reply=1194&amp;thread=1098")</f>
        <v>https://vk.com/wall-197114981_31?reply=1194&amp;thread=1098</v>
      </c>
      <c r="H186" t="s">
        <v>13</v>
      </c>
      <c r="I186" t="s">
        <v>27</v>
      </c>
      <c r="J186" t="str">
        <f>HYPERLINK("http://vk.com/club197114981")</f>
        <v>http://vk.com/club197114981</v>
      </c>
      <c r="K186">
        <v>38</v>
      </c>
      <c r="L186" t="s">
        <v>28</v>
      </c>
      <c r="N186" t="s">
        <v>16</v>
      </c>
      <c r="O186" t="s">
        <v>27</v>
      </c>
      <c r="P186" t="str">
        <f>HYPERLINK("http://vk.com/club197114981")</f>
        <v>http://vk.com/club197114981</v>
      </c>
      <c r="Q186">
        <v>38</v>
      </c>
      <c r="R186" t="s">
        <v>17</v>
      </c>
      <c r="AJ186" t="s">
        <v>10</v>
      </c>
      <c r="AK186" t="s">
        <v>21</v>
      </c>
      <c r="AL186" t="s">
        <v>3237</v>
      </c>
      <c r="AP186" t="s">
        <v>3241</v>
      </c>
    </row>
    <row r="187" spans="1:52" x14ac:dyDescent="0.25">
      <c r="A187" t="s">
        <v>414</v>
      </c>
      <c r="B187" t="s">
        <v>216</v>
      </c>
      <c r="C187" t="s">
        <v>685</v>
      </c>
      <c r="D187" t="s">
        <v>24</v>
      </c>
      <c r="E187" t="s">
        <v>564</v>
      </c>
      <c r="F187" t="s">
        <v>26</v>
      </c>
      <c r="G187" t="str">
        <f>HYPERLINK("https://vk.com/wall-197114981_31?reply=1191&amp;thread=1180")</f>
        <v>https://vk.com/wall-197114981_31?reply=1191&amp;thread=1180</v>
      </c>
      <c r="H187" t="s">
        <v>13</v>
      </c>
      <c r="I187" t="s">
        <v>27</v>
      </c>
      <c r="J187" t="str">
        <f>HYPERLINK("http://vk.com/club197114981")</f>
        <v>http://vk.com/club197114981</v>
      </c>
      <c r="K187">
        <v>38</v>
      </c>
      <c r="L187" t="s">
        <v>28</v>
      </c>
      <c r="N187" t="s">
        <v>16</v>
      </c>
      <c r="O187" t="s">
        <v>27</v>
      </c>
      <c r="P187" t="str">
        <f>HYPERLINK("http://vk.com/club197114981")</f>
        <v>http://vk.com/club197114981</v>
      </c>
      <c r="Q187">
        <v>38</v>
      </c>
      <c r="R187" t="s">
        <v>17</v>
      </c>
      <c r="AJ187" t="s">
        <v>10</v>
      </c>
      <c r="AK187" t="s">
        <v>21</v>
      </c>
      <c r="AP187" t="s">
        <v>3241</v>
      </c>
    </row>
    <row r="188" spans="1:52" x14ac:dyDescent="0.25">
      <c r="A188" t="s">
        <v>772</v>
      </c>
      <c r="B188" t="s">
        <v>864</v>
      </c>
      <c r="C188" t="s">
        <v>865</v>
      </c>
      <c r="D188" t="s">
        <v>24</v>
      </c>
      <c r="E188" t="s">
        <v>866</v>
      </c>
      <c r="F188" t="s">
        <v>26</v>
      </c>
      <c r="G188" t="str">
        <f>HYPERLINK("https://vk.com/wall-197114981_31?reply=1132&amp;thread=1131")</f>
        <v>https://vk.com/wall-197114981_31?reply=1132&amp;thread=1131</v>
      </c>
      <c r="H188" t="s">
        <v>13</v>
      </c>
      <c r="I188" t="s">
        <v>27</v>
      </c>
      <c r="J188" t="str">
        <f>HYPERLINK("http://vk.com/club197114981")</f>
        <v>http://vk.com/club197114981</v>
      </c>
      <c r="K188">
        <v>38</v>
      </c>
      <c r="L188" t="s">
        <v>28</v>
      </c>
      <c r="N188" t="s">
        <v>16</v>
      </c>
      <c r="O188" t="s">
        <v>27</v>
      </c>
      <c r="P188" t="str">
        <f>HYPERLINK("http://vk.com/club197114981")</f>
        <v>http://vk.com/club197114981</v>
      </c>
      <c r="Q188">
        <v>38</v>
      </c>
      <c r="R188" t="s">
        <v>17</v>
      </c>
      <c r="AJ188" t="s">
        <v>10</v>
      </c>
      <c r="AK188" t="s">
        <v>21</v>
      </c>
      <c r="AP188" t="s">
        <v>3241</v>
      </c>
    </row>
    <row r="189" spans="1:52" x14ac:dyDescent="0.25">
      <c r="A189" t="s">
        <v>772</v>
      </c>
      <c r="B189" t="s">
        <v>967</v>
      </c>
      <c r="C189" t="s">
        <v>968</v>
      </c>
      <c r="D189" t="s">
        <v>33</v>
      </c>
      <c r="E189" t="s">
        <v>969</v>
      </c>
      <c r="F189" t="s">
        <v>26</v>
      </c>
      <c r="G189" t="str">
        <f>HYPERLINK("https://vk.com/wall-97208796_931?reply=932")</f>
        <v>https://vk.com/wall-97208796_931?reply=932</v>
      </c>
      <c r="H189" t="s">
        <v>885</v>
      </c>
      <c r="I189" t="s">
        <v>970</v>
      </c>
      <c r="J189" t="str">
        <f>HYPERLINK("http://vk.com/id204937410")</f>
        <v>http://vk.com/id204937410</v>
      </c>
      <c r="K189">
        <v>117</v>
      </c>
      <c r="L189" t="s">
        <v>15</v>
      </c>
      <c r="M189">
        <v>35</v>
      </c>
      <c r="N189" t="s">
        <v>16</v>
      </c>
      <c r="O189" t="s">
        <v>36</v>
      </c>
      <c r="P189" t="str">
        <f>HYPERLINK("http://vk.com/club97208796")</f>
        <v>http://vk.com/club97208796</v>
      </c>
      <c r="Q189">
        <v>3425</v>
      </c>
      <c r="R189" t="s">
        <v>17</v>
      </c>
      <c r="S189" t="s">
        <v>18</v>
      </c>
      <c r="T189" t="s">
        <v>37</v>
      </c>
      <c r="U189" t="s">
        <v>971</v>
      </c>
      <c r="AJ189" t="s">
        <v>10</v>
      </c>
      <c r="AK189" t="s">
        <v>21</v>
      </c>
      <c r="AM189" t="s">
        <v>3238</v>
      </c>
      <c r="AP189" t="s">
        <v>3241</v>
      </c>
    </row>
    <row r="190" spans="1:52" x14ac:dyDescent="0.25">
      <c r="A190" t="s">
        <v>1462</v>
      </c>
      <c r="B190" t="s">
        <v>1501</v>
      </c>
      <c r="C190" t="s">
        <v>984</v>
      </c>
      <c r="D190" t="s">
        <v>10</v>
      </c>
      <c r="E190" t="s">
        <v>1490</v>
      </c>
      <c r="F190" t="s">
        <v>12</v>
      </c>
      <c r="G190" t="str">
        <f>HYPERLINK("https://vk.com/wall413405250_17006")</f>
        <v>https://vk.com/wall413405250_17006</v>
      </c>
      <c r="H190" t="s">
        <v>885</v>
      </c>
      <c r="I190" t="s">
        <v>1504</v>
      </c>
      <c r="J190" t="str">
        <f>HYPERLINK("http://vk.com/id413405250")</f>
        <v>http://vk.com/id413405250</v>
      </c>
      <c r="K190">
        <v>453</v>
      </c>
      <c r="L190" t="s">
        <v>80</v>
      </c>
      <c r="N190" t="s">
        <v>16</v>
      </c>
      <c r="O190" t="s">
        <v>1504</v>
      </c>
      <c r="P190" t="str">
        <f>HYPERLINK("http://vk.com/id413405250")</f>
        <v>http://vk.com/id413405250</v>
      </c>
      <c r="Q190">
        <v>453</v>
      </c>
      <c r="R190" t="s">
        <v>17</v>
      </c>
      <c r="S190" t="s">
        <v>18</v>
      </c>
      <c r="T190" t="s">
        <v>272</v>
      </c>
      <c r="U190" t="s">
        <v>1300</v>
      </c>
      <c r="W190">
        <v>0</v>
      </c>
      <c r="X190">
        <v>0</v>
      </c>
      <c r="AE190">
        <v>0</v>
      </c>
      <c r="AF190">
        <v>0</v>
      </c>
      <c r="AG190">
        <v>1</v>
      </c>
      <c r="AI190" t="str">
        <f>HYPERLINK("https://sun3-12.userapi.com/gFc6d3yZcEgg0XH8DyUn75HEceQKbAB_Nv7KkQ/CaUZut2MJYY.jpg")</f>
        <v>https://sun3-12.userapi.com/gFc6d3yZcEgg0XH8DyUn75HEceQKbAB_Nv7KkQ/CaUZut2MJYY.jpg</v>
      </c>
      <c r="AJ190" t="s">
        <v>10</v>
      </c>
      <c r="AK190" t="s">
        <v>21</v>
      </c>
      <c r="AM190" t="s">
        <v>3238</v>
      </c>
    </row>
    <row r="191" spans="1:52" x14ac:dyDescent="0.25">
      <c r="A191" t="s">
        <v>1838</v>
      </c>
      <c r="B191" t="s">
        <v>42</v>
      </c>
      <c r="C191" t="s">
        <v>984</v>
      </c>
      <c r="D191" t="s">
        <v>10</v>
      </c>
      <c r="E191" t="s">
        <v>1880</v>
      </c>
      <c r="F191" t="s">
        <v>45</v>
      </c>
      <c r="G191" t="str">
        <f>HYPERLINK("https://www.facebook.com/MayoClinic/posts/10157202527727517")</f>
        <v>https://www.facebook.com/MayoClinic/posts/10157202527727517</v>
      </c>
      <c r="H191" t="s">
        <v>885</v>
      </c>
      <c r="I191" t="s">
        <v>424</v>
      </c>
      <c r="J191" t="str">
        <f>HYPERLINK("https://www.facebook.com/7673082516")</f>
        <v>https://www.facebook.com/7673082516</v>
      </c>
      <c r="K191">
        <v>1171977</v>
      </c>
      <c r="L191" t="s">
        <v>28</v>
      </c>
      <c r="N191" t="s">
        <v>179</v>
      </c>
      <c r="O191" t="s">
        <v>424</v>
      </c>
      <c r="P191" t="str">
        <f>HYPERLINK("https://www.facebook.com/7673082516")</f>
        <v>https://www.facebook.com/7673082516</v>
      </c>
      <c r="Q191">
        <v>1171977</v>
      </c>
      <c r="R191" t="s">
        <v>17</v>
      </c>
      <c r="S191" t="s">
        <v>425</v>
      </c>
      <c r="T191" t="s">
        <v>1881</v>
      </c>
      <c r="U191" t="s">
        <v>1596</v>
      </c>
      <c r="W191">
        <v>73</v>
      </c>
      <c r="X191">
        <v>70</v>
      </c>
      <c r="Y191">
        <v>2</v>
      </c>
      <c r="Z191">
        <v>0</v>
      </c>
      <c r="AA191">
        <v>0</v>
      </c>
      <c r="AB191">
        <v>0</v>
      </c>
      <c r="AC191">
        <v>1</v>
      </c>
      <c r="AE191">
        <v>3</v>
      </c>
      <c r="AF191">
        <v>3</v>
      </c>
      <c r="AI191" t="str">
        <f>HYPERLINK("https://sprcdn-assets.sprinklr.com/171/WelcometoMCConnect-ad946d2e-23cd-4f1d-9d8a-ccd39434f3bb-1263628470.jpg")</f>
        <v>https://sprcdn-assets.sprinklr.com/171/WelcometoMCConnect-ad946d2e-23cd-4f1d-9d8a-ccd39434f3bb-1263628470.jpg</v>
      </c>
      <c r="AJ191" t="s">
        <v>10</v>
      </c>
      <c r="AK191" t="s">
        <v>21</v>
      </c>
      <c r="AY191" t="s">
        <v>3250</v>
      </c>
    </row>
    <row r="192" spans="1:52" x14ac:dyDescent="0.25">
      <c r="A192" t="s">
        <v>2589</v>
      </c>
      <c r="B192" t="s">
        <v>2648</v>
      </c>
      <c r="C192" t="s">
        <v>968</v>
      </c>
      <c r="D192" t="s">
        <v>10</v>
      </c>
      <c r="E192" t="s">
        <v>2649</v>
      </c>
      <c r="F192" t="s">
        <v>45</v>
      </c>
      <c r="G192" t="str">
        <f>HYPERLINK("https://vk.com/wall-97208796_926")</f>
        <v>https://vk.com/wall-97208796_926</v>
      </c>
      <c r="H192" t="s">
        <v>885</v>
      </c>
      <c r="I192" t="s">
        <v>36</v>
      </c>
      <c r="J192" t="str">
        <f>HYPERLINK("http://vk.com/club97208796")</f>
        <v>http://vk.com/club97208796</v>
      </c>
      <c r="K192">
        <v>3425</v>
      </c>
      <c r="L192" t="s">
        <v>28</v>
      </c>
      <c r="N192" t="s">
        <v>16</v>
      </c>
      <c r="O192" t="s">
        <v>36</v>
      </c>
      <c r="P192" t="str">
        <f>HYPERLINK("http://vk.com/club97208796")</f>
        <v>http://vk.com/club97208796</v>
      </c>
      <c r="Q192">
        <v>3425</v>
      </c>
      <c r="R192" t="s">
        <v>17</v>
      </c>
      <c r="S192" t="s">
        <v>18</v>
      </c>
      <c r="T192" t="s">
        <v>37</v>
      </c>
      <c r="U192" t="s">
        <v>38</v>
      </c>
      <c r="W192">
        <v>1</v>
      </c>
      <c r="X192">
        <v>1</v>
      </c>
      <c r="AE192">
        <v>0</v>
      </c>
      <c r="AF192">
        <v>0</v>
      </c>
      <c r="AG192">
        <v>455</v>
      </c>
      <c r="AI192" t="str">
        <f>HYPERLINK("https://sun9-54.userapi.com/JSB7WXHBP6rtzWmlk30Xf7LORncvraWasqqbDw/bzXqlYv82SE.jpg")</f>
        <v>https://sun9-54.userapi.com/JSB7WXHBP6rtzWmlk30Xf7LORncvraWasqqbDw/bzXqlYv82SE.jpg</v>
      </c>
      <c r="AJ192" t="s">
        <v>10</v>
      </c>
      <c r="AK192" t="s">
        <v>21</v>
      </c>
      <c r="AX192" t="s">
        <v>3249</v>
      </c>
      <c r="AY192" t="s">
        <v>3250</v>
      </c>
    </row>
    <row r="193" spans="1:52" x14ac:dyDescent="0.25">
      <c r="A193" t="s">
        <v>3021</v>
      </c>
      <c r="B193" t="s">
        <v>1484</v>
      </c>
      <c r="C193" t="s">
        <v>968</v>
      </c>
      <c r="D193" t="s">
        <v>10</v>
      </c>
      <c r="E193" t="s">
        <v>3071</v>
      </c>
      <c r="F193" t="s">
        <v>45</v>
      </c>
      <c r="G193" t="str">
        <f>HYPERLINK("https://www.facebook.com/mrtexpertrnd/photos/a.565935020817465/770199650391000/?type=3")</f>
        <v>https://www.facebook.com/mrtexpertrnd/photos/a.565935020817465/770199650391000/?type=3</v>
      </c>
      <c r="H193" t="s">
        <v>885</v>
      </c>
      <c r="I193" t="s">
        <v>125</v>
      </c>
      <c r="J193" t="str">
        <f>HYPERLINK("https://www.facebook.com/156600068417631")</f>
        <v>https://www.facebook.com/156600068417631</v>
      </c>
      <c r="K193">
        <v>236</v>
      </c>
      <c r="L193" t="s">
        <v>28</v>
      </c>
      <c r="N193" t="s">
        <v>179</v>
      </c>
      <c r="O193" t="s">
        <v>125</v>
      </c>
      <c r="P193" t="str">
        <f>HYPERLINK("https://www.facebook.com/156600068417631")</f>
        <v>https://www.facebook.com/156600068417631</v>
      </c>
      <c r="Q193">
        <v>236</v>
      </c>
      <c r="R193" t="s">
        <v>17</v>
      </c>
      <c r="S193" t="s">
        <v>18</v>
      </c>
      <c r="T193" t="s">
        <v>126</v>
      </c>
      <c r="U193" t="s">
        <v>127</v>
      </c>
      <c r="W193">
        <v>0</v>
      </c>
      <c r="X193">
        <v>0</v>
      </c>
      <c r="Y193">
        <v>0</v>
      </c>
      <c r="Z193">
        <v>0</v>
      </c>
      <c r="AA193">
        <v>0</v>
      </c>
      <c r="AB193">
        <v>0</v>
      </c>
      <c r="AC193">
        <v>0</v>
      </c>
      <c r="AE193">
        <v>0</v>
      </c>
      <c r="AI193" t="s">
        <v>3072</v>
      </c>
      <c r="AJ193" t="s">
        <v>10</v>
      </c>
      <c r="AK193" t="s">
        <v>21</v>
      </c>
      <c r="AL193" t="s">
        <v>3237</v>
      </c>
      <c r="AP193" t="s">
        <v>3241</v>
      </c>
      <c r="AY193" t="s">
        <v>3250</v>
      </c>
    </row>
    <row r="194" spans="1:52" x14ac:dyDescent="0.25">
      <c r="A194" t="s">
        <v>414</v>
      </c>
      <c r="B194" t="s">
        <v>163</v>
      </c>
      <c r="C194" t="s">
        <v>657</v>
      </c>
      <c r="D194" t="s">
        <v>24</v>
      </c>
      <c r="E194" t="s">
        <v>658</v>
      </c>
      <c r="F194" t="s">
        <v>26</v>
      </c>
      <c r="G194" t="str">
        <f>HYPERLINK("https://vk.com/wall-197114981_31?reply=1196&amp;thread=1195")</f>
        <v>https://vk.com/wall-197114981_31?reply=1196&amp;thread=1195</v>
      </c>
      <c r="H194" t="s">
        <v>13</v>
      </c>
      <c r="I194" t="s">
        <v>27</v>
      </c>
      <c r="J194" t="str">
        <f>HYPERLINK("http://vk.com/club197114981")</f>
        <v>http://vk.com/club197114981</v>
      </c>
      <c r="K194">
        <v>38</v>
      </c>
      <c r="L194" t="s">
        <v>28</v>
      </c>
      <c r="N194" t="s">
        <v>16</v>
      </c>
      <c r="O194" t="s">
        <v>27</v>
      </c>
      <c r="P194" t="str">
        <f>HYPERLINK("http://vk.com/club197114981")</f>
        <v>http://vk.com/club197114981</v>
      </c>
      <c r="Q194">
        <v>38</v>
      </c>
      <c r="R194" t="s">
        <v>17</v>
      </c>
      <c r="AJ194" t="s">
        <v>10</v>
      </c>
      <c r="AK194" t="s">
        <v>21</v>
      </c>
      <c r="AP194" t="s">
        <v>3241</v>
      </c>
    </row>
    <row r="195" spans="1:52" x14ac:dyDescent="0.25">
      <c r="A195" t="s">
        <v>414</v>
      </c>
      <c r="B195" t="s">
        <v>704</v>
      </c>
      <c r="C195" t="s">
        <v>699</v>
      </c>
      <c r="D195" t="s">
        <v>24</v>
      </c>
      <c r="E195" t="s">
        <v>705</v>
      </c>
      <c r="F195" t="s">
        <v>26</v>
      </c>
      <c r="G195" t="str">
        <f>HYPERLINK("https://vk.com/wall-197114981_31?reply=1185")</f>
        <v>https://vk.com/wall-197114981_31?reply=1185</v>
      </c>
      <c r="H195" t="s">
        <v>13</v>
      </c>
      <c r="I195" t="s">
        <v>633</v>
      </c>
      <c r="J195" t="str">
        <f>HYPERLINK("http://vk.com/id531667777")</f>
        <v>http://vk.com/id531667777</v>
      </c>
      <c r="K195">
        <v>756</v>
      </c>
      <c r="L195" t="s">
        <v>80</v>
      </c>
      <c r="M195">
        <v>24</v>
      </c>
      <c r="N195" t="s">
        <v>16</v>
      </c>
      <c r="O195" t="s">
        <v>27</v>
      </c>
      <c r="P195" t="str">
        <f>HYPERLINK("http://vk.com/club197114981")</f>
        <v>http://vk.com/club197114981</v>
      </c>
      <c r="Q195">
        <v>38</v>
      </c>
      <c r="R195" t="s">
        <v>17</v>
      </c>
      <c r="S195" t="s">
        <v>18</v>
      </c>
      <c r="T195" t="s">
        <v>231</v>
      </c>
      <c r="U195" t="s">
        <v>232</v>
      </c>
      <c r="AJ195" t="s">
        <v>10</v>
      </c>
      <c r="AK195" t="s">
        <v>21</v>
      </c>
      <c r="AX195" t="s">
        <v>3249</v>
      </c>
      <c r="AY195" t="s">
        <v>3250</v>
      </c>
    </row>
    <row r="196" spans="1:52" x14ac:dyDescent="0.25">
      <c r="A196" t="s">
        <v>1518</v>
      </c>
      <c r="B196" t="s">
        <v>1584</v>
      </c>
      <c r="C196" t="s">
        <v>984</v>
      </c>
      <c r="D196" t="s">
        <v>1585</v>
      </c>
      <c r="E196" t="s">
        <v>1586</v>
      </c>
      <c r="F196" t="s">
        <v>26</v>
      </c>
      <c r="G196" t="str">
        <f>HYPERLINK("https://www.youtube.com/watch?v=QJbSXsEHsvg&amp;lc=UgwuqAC8W9h2jDUShtR4AaABAg")</f>
        <v>https://www.youtube.com/watch?v=QJbSXsEHsvg&amp;lc=UgwuqAC8W9h2jDUShtR4AaABAg</v>
      </c>
      <c r="H196" t="s">
        <v>885</v>
      </c>
      <c r="I196" t="s">
        <v>1587</v>
      </c>
      <c r="J196" t="str">
        <f>HYPERLINK("https://www.youtube.com/channel/UCGHfzC4BslnQVGaRSraVmHw")</f>
        <v>https://www.youtube.com/channel/UCGHfzC4BslnQVGaRSraVmHw</v>
      </c>
      <c r="K196">
        <v>3</v>
      </c>
      <c r="L196" t="s">
        <v>15</v>
      </c>
      <c r="N196" t="s">
        <v>162</v>
      </c>
      <c r="O196" t="s">
        <v>1588</v>
      </c>
      <c r="P196" t="str">
        <f>HYPERLINK("https://www.youtube.com/channel/UCwOl8BHaN9Y3lZbzvkviGLQ")</f>
        <v>https://www.youtube.com/channel/UCwOl8BHaN9Y3lZbzvkviGLQ</v>
      </c>
      <c r="Q196">
        <v>20900</v>
      </c>
      <c r="R196" t="s">
        <v>17</v>
      </c>
      <c r="S196" t="s">
        <v>1165</v>
      </c>
      <c r="W196">
        <v>0</v>
      </c>
      <c r="X196">
        <v>0</v>
      </c>
      <c r="AE196">
        <v>0</v>
      </c>
      <c r="AJ196" t="s">
        <v>10</v>
      </c>
      <c r="AK196" t="s">
        <v>21</v>
      </c>
      <c r="AV196" t="s">
        <v>3247</v>
      </c>
      <c r="AW196" t="s">
        <v>3248</v>
      </c>
      <c r="AX196" t="s">
        <v>3249</v>
      </c>
      <c r="AY196" t="s">
        <v>3250</v>
      </c>
    </row>
    <row r="197" spans="1:52" x14ac:dyDescent="0.25">
      <c r="A197" t="s">
        <v>1597</v>
      </c>
      <c r="B197" t="s">
        <v>384</v>
      </c>
      <c r="C197" t="s">
        <v>984</v>
      </c>
      <c r="D197" t="s">
        <v>1712</v>
      </c>
      <c r="E197" t="s">
        <v>1719</v>
      </c>
      <c r="F197" t="s">
        <v>45</v>
      </c>
      <c r="G197" t="str">
        <f>HYPERLINK("https://www.michigan-sportsman.com/forum/threads/why-reply-covid-in-u-s-vs-the-world.697931/page-16")</f>
        <v>https://www.michigan-sportsman.com/forum/threads/why-reply-covid-in-u-s-vs-the-world.697931/page-16</v>
      </c>
      <c r="H197" t="s">
        <v>885</v>
      </c>
      <c r="I197" t="s">
        <v>1720</v>
      </c>
      <c r="J197" t="str">
        <f>HYPERLINK("https://www.michigan-sportsman.com/forum/members/birdhntr.93125/")</f>
        <v>https://www.michigan-sportsman.com/forum/members/birdhntr.93125/</v>
      </c>
      <c r="N197" t="s">
        <v>1715</v>
      </c>
      <c r="O197" t="s">
        <v>1716</v>
      </c>
      <c r="P197" t="str">
        <f>HYPERLINK("https://www.michigan-sportsman.com/forum/forums/sound-off.37/")</f>
        <v>https://www.michigan-sportsman.com/forum/forums/sound-off.37/</v>
      </c>
      <c r="R197" t="s">
        <v>1293</v>
      </c>
      <c r="S197" t="s">
        <v>425</v>
      </c>
      <c r="T197" t="s">
        <v>1721</v>
      </c>
      <c r="U197" t="s">
        <v>1722</v>
      </c>
      <c r="AJ197" t="s">
        <v>10</v>
      </c>
      <c r="AK197" t="s">
        <v>21</v>
      </c>
      <c r="AZ197" t="s">
        <v>3251</v>
      </c>
    </row>
    <row r="198" spans="1:52" x14ac:dyDescent="0.25">
      <c r="A198" t="s">
        <v>2057</v>
      </c>
      <c r="B198" t="s">
        <v>2069</v>
      </c>
      <c r="C198" t="s">
        <v>968</v>
      </c>
      <c r="D198" t="s">
        <v>1959</v>
      </c>
      <c r="E198" t="s">
        <v>2070</v>
      </c>
      <c r="F198" t="s">
        <v>26</v>
      </c>
      <c r="G198" t="str">
        <f>HYPERLINK("https://www.facebook.com/permalink.php?story_fbid=2626249161024079&amp;id=100009170625998&amp;comment_id=2626620777653584")</f>
        <v>https://www.facebook.com/permalink.php?story_fbid=2626249161024079&amp;id=100009170625998&amp;comment_id=2626620777653584</v>
      </c>
      <c r="H198" t="s">
        <v>885</v>
      </c>
      <c r="I198" t="s">
        <v>2071</v>
      </c>
      <c r="J198" t="str">
        <f>HYPERLINK("https://www.facebook.com/1586712562")</f>
        <v>https://www.facebook.com/1586712562</v>
      </c>
      <c r="K198">
        <v>2527</v>
      </c>
      <c r="L198" t="s">
        <v>15</v>
      </c>
      <c r="N198" t="s">
        <v>179</v>
      </c>
      <c r="O198" t="s">
        <v>1961</v>
      </c>
      <c r="P198" t="str">
        <f>HYPERLINK("https://www.facebook.com/100009170625998")</f>
        <v>https://www.facebook.com/100009170625998</v>
      </c>
      <c r="Q198">
        <v>759</v>
      </c>
      <c r="R198" t="s">
        <v>17</v>
      </c>
      <c r="S198" t="s">
        <v>18</v>
      </c>
      <c r="T198" t="s">
        <v>354</v>
      </c>
      <c r="U198" t="s">
        <v>354</v>
      </c>
      <c r="AJ198" t="s">
        <v>10</v>
      </c>
      <c r="AK198" t="s">
        <v>21</v>
      </c>
      <c r="AM198" t="s">
        <v>3238</v>
      </c>
      <c r="AU198" t="s">
        <v>3246</v>
      </c>
      <c r="AV198" t="s">
        <v>3247</v>
      </c>
    </row>
    <row r="199" spans="1:52" x14ac:dyDescent="0.25">
      <c r="A199" t="s">
        <v>2057</v>
      </c>
      <c r="B199" t="s">
        <v>277</v>
      </c>
      <c r="C199" t="s">
        <v>968</v>
      </c>
      <c r="D199" t="s">
        <v>10</v>
      </c>
      <c r="E199" t="s">
        <v>2121</v>
      </c>
      <c r="F199" t="s">
        <v>12</v>
      </c>
      <c r="G199" t="str">
        <f>HYPERLINK("https://www.facebook.com/568390943273818/posts/3011058445673710")</f>
        <v>https://www.facebook.com/568390943273818/posts/3011058445673710</v>
      </c>
      <c r="H199" t="s">
        <v>885</v>
      </c>
      <c r="I199" t="s">
        <v>280</v>
      </c>
      <c r="J199" t="str">
        <f>HYPERLINK("https://www.facebook.com/568390943273818")</f>
        <v>https://www.facebook.com/568390943273818</v>
      </c>
      <c r="K199">
        <v>18918</v>
      </c>
      <c r="L199" t="s">
        <v>28</v>
      </c>
      <c r="N199" t="s">
        <v>179</v>
      </c>
      <c r="O199" t="s">
        <v>280</v>
      </c>
      <c r="P199" t="str">
        <f>HYPERLINK("https://www.facebook.com/568390943273818")</f>
        <v>https://www.facebook.com/568390943273818</v>
      </c>
      <c r="Q199">
        <v>18918</v>
      </c>
      <c r="R199" t="s">
        <v>17</v>
      </c>
      <c r="S199" t="s">
        <v>281</v>
      </c>
      <c r="T199" t="s">
        <v>282</v>
      </c>
      <c r="U199" t="s">
        <v>282</v>
      </c>
      <c r="W199">
        <v>12</v>
      </c>
      <c r="X199">
        <v>12</v>
      </c>
      <c r="Y199">
        <v>0</v>
      </c>
      <c r="Z199">
        <v>0</v>
      </c>
      <c r="AA199">
        <v>0</v>
      </c>
      <c r="AB199">
        <v>0</v>
      </c>
      <c r="AC199">
        <v>0</v>
      </c>
      <c r="AE199">
        <v>0</v>
      </c>
      <c r="AF199">
        <v>3</v>
      </c>
      <c r="AI199" t="str">
        <f>HYPERLINK("https://scontent-fml2-1.xx.fbcdn.net/v/t15.13418-10/109651973_291386602294791_6268898370332894514_n.jpg?_nc_cat=111&amp;_nc_sid=ad6a45&amp;_nc_ohc=xMUEY5BJ0_kAX9y5ZXz&amp;_nc_ht=scontent-fml2-1.xx&amp;oh=3b2025f1fb520f010e8ac37dcb20eaab&amp;oe=5F4090DD")</f>
        <v>https://scontent-fml2-1.xx.fbcdn.net/v/t15.13418-10/109651973_291386602294791_6268898370332894514_n.jpg?_nc_cat=111&amp;_nc_sid=ad6a45&amp;_nc_ohc=xMUEY5BJ0_kAX9y5ZXz&amp;_nc_ht=scontent-fml2-1.xx&amp;oh=3b2025f1fb520f010e8ac37dcb20eaab&amp;oe=5F4090DD</v>
      </c>
      <c r="AJ199" t="s">
        <v>10</v>
      </c>
      <c r="AK199" t="s">
        <v>21</v>
      </c>
      <c r="AL199" t="s">
        <v>3237</v>
      </c>
      <c r="AT199" t="s">
        <v>3245</v>
      </c>
      <c r="AU199" t="s">
        <v>3246</v>
      </c>
    </row>
    <row r="200" spans="1:52" x14ac:dyDescent="0.25">
      <c r="A200" t="s">
        <v>2122</v>
      </c>
      <c r="B200" t="s">
        <v>1093</v>
      </c>
      <c r="C200" t="s">
        <v>968</v>
      </c>
      <c r="D200" t="s">
        <v>10</v>
      </c>
      <c r="E200" t="s">
        <v>2166</v>
      </c>
      <c r="F200" t="s">
        <v>45</v>
      </c>
      <c r="G200" t="str">
        <f>HYPERLINK("https://www.facebook.com/expert.klinika.stavropol/photos/a.108004590782008/168019944780472/?type=3")</f>
        <v>https://www.facebook.com/expert.klinika.stavropol/photos/a.108004590782008/168019944780472/?type=3</v>
      </c>
      <c r="H200" t="s">
        <v>889</v>
      </c>
      <c r="I200" t="s">
        <v>640</v>
      </c>
      <c r="J200" t="str">
        <f>HYPERLINK("https://www.facebook.com/107325724183228")</f>
        <v>https://www.facebook.com/107325724183228</v>
      </c>
      <c r="K200">
        <v>1</v>
      </c>
      <c r="L200" t="s">
        <v>28</v>
      </c>
      <c r="N200" t="s">
        <v>179</v>
      </c>
      <c r="O200" t="s">
        <v>640</v>
      </c>
      <c r="P200" t="str">
        <f>HYPERLINK("https://www.facebook.com/107325724183228")</f>
        <v>https://www.facebook.com/107325724183228</v>
      </c>
      <c r="Q200">
        <v>1</v>
      </c>
      <c r="R200" t="s">
        <v>17</v>
      </c>
      <c r="S200" t="s">
        <v>18</v>
      </c>
      <c r="T200" t="s">
        <v>641</v>
      </c>
      <c r="U200" t="s">
        <v>642</v>
      </c>
      <c r="W200">
        <v>0</v>
      </c>
      <c r="X200">
        <v>0</v>
      </c>
      <c r="Y200">
        <v>0</v>
      </c>
      <c r="Z200">
        <v>0</v>
      </c>
      <c r="AA200">
        <v>0</v>
      </c>
      <c r="AB200">
        <v>0</v>
      </c>
      <c r="AC200">
        <v>0</v>
      </c>
      <c r="AE200">
        <v>0</v>
      </c>
      <c r="AI200" t="str">
        <f>HYPERLINK("https://scontent-hel2-1.xx.fbcdn.net/v/t1.0-0/p180x540/109075735_168019948113805_5279754709026334293_n.jpg?_nc_cat=107&amp;_nc_sid=9267fe&amp;_nc_ohc=XvmuRuBVepAAX_Rf-0Z&amp;_nc_ht=scontent-hel2-1.xx&amp;_nc_tp=6&amp;oh=0e1feafd1946d3f9aee0452665596e15&amp;oe=5F3FCAA6")</f>
        <v>https://scontent-hel2-1.xx.fbcdn.net/v/t1.0-0/p180x540/109075735_168019948113805_5279754709026334293_n.jpg?_nc_cat=107&amp;_nc_sid=9267fe&amp;_nc_ohc=XvmuRuBVepAAX_Rf-0Z&amp;_nc_ht=scontent-hel2-1.xx&amp;_nc_tp=6&amp;oh=0e1feafd1946d3f9aee0452665596e15&amp;oe=5F3FCAA6</v>
      </c>
      <c r="AJ200" t="s">
        <v>10</v>
      </c>
      <c r="AK200" t="s">
        <v>21</v>
      </c>
      <c r="AT200" t="s">
        <v>3245</v>
      </c>
      <c r="AU200" t="s">
        <v>3246</v>
      </c>
      <c r="AV200" t="s">
        <v>3247</v>
      </c>
      <c r="AX200" t="s">
        <v>3249</v>
      </c>
    </row>
    <row r="201" spans="1:52" x14ac:dyDescent="0.25">
      <c r="A201" t="s">
        <v>2290</v>
      </c>
      <c r="B201" t="s">
        <v>664</v>
      </c>
      <c r="C201" t="s">
        <v>968</v>
      </c>
      <c r="D201" t="s">
        <v>421</v>
      </c>
      <c r="E201" t="s">
        <v>2351</v>
      </c>
      <c r="F201" t="s">
        <v>26</v>
      </c>
      <c r="G201" t="str">
        <f>HYPERLINK("https://www.youtube.com/watch?v=gaka1vqYFNs&amp;lc=UgyzhawA8xgBByLKCO94AaABAg")</f>
        <v>https://www.youtube.com/watch?v=gaka1vqYFNs&amp;lc=UgyzhawA8xgBByLKCO94AaABAg</v>
      </c>
      <c r="H201" t="s">
        <v>885</v>
      </c>
      <c r="I201" t="s">
        <v>2352</v>
      </c>
      <c r="J201" t="str">
        <f>HYPERLINK("https://www.youtube.com/channel/UCipI1deR3-B1_RMF8bazwfA")</f>
        <v>https://www.youtube.com/channel/UCipI1deR3-B1_RMF8bazwfA</v>
      </c>
      <c r="K201">
        <v>3</v>
      </c>
      <c r="N201" t="s">
        <v>162</v>
      </c>
      <c r="O201" t="s">
        <v>424</v>
      </c>
      <c r="P201" t="str">
        <f>HYPERLINK("https://www.youtube.com/channel/UC8fQzKHIhSoZeSq3bwQx4mw")</f>
        <v>https://www.youtube.com/channel/UC8fQzKHIhSoZeSq3bwQx4mw</v>
      </c>
      <c r="Q201">
        <v>517000</v>
      </c>
      <c r="R201" t="s">
        <v>17</v>
      </c>
      <c r="S201" t="s">
        <v>2353</v>
      </c>
      <c r="W201">
        <v>1</v>
      </c>
      <c r="X201">
        <v>1</v>
      </c>
      <c r="AE201">
        <v>0</v>
      </c>
      <c r="AJ201" t="s">
        <v>10</v>
      </c>
      <c r="AK201" t="s">
        <v>21</v>
      </c>
      <c r="AP201" t="s">
        <v>3241</v>
      </c>
      <c r="AX201" t="s">
        <v>3249</v>
      </c>
    </row>
    <row r="202" spans="1:52" x14ac:dyDescent="0.25">
      <c r="A202" t="s">
        <v>7</v>
      </c>
      <c r="B202" t="s">
        <v>286</v>
      </c>
      <c r="C202" t="s">
        <v>287</v>
      </c>
      <c r="D202" t="s">
        <v>288</v>
      </c>
      <c r="E202" t="s">
        <v>289</v>
      </c>
      <c r="F202" t="s">
        <v>45</v>
      </c>
      <c r="G202" t="str">
        <f>HYPERLINK("https://ok.ru/group/53752587223146/topic/152058578353002")</f>
        <v>https://ok.ru/group/53752587223146/topic/152058578353002</v>
      </c>
      <c r="H202" t="s">
        <v>13</v>
      </c>
      <c r="I202" t="s">
        <v>290</v>
      </c>
      <c r="J202" t="str">
        <f>HYPERLINK("https://ok.ru/group/53752587223146")</f>
        <v>https://ok.ru/group/53752587223146</v>
      </c>
      <c r="K202">
        <v>1865</v>
      </c>
      <c r="L202" t="s">
        <v>28</v>
      </c>
      <c r="N202" t="s">
        <v>135</v>
      </c>
      <c r="O202" t="s">
        <v>290</v>
      </c>
      <c r="P202" t="str">
        <f>HYPERLINK("https://ok.ru/group/53752587223146")</f>
        <v>https://ok.ru/group/53752587223146</v>
      </c>
      <c r="Q202">
        <v>1865</v>
      </c>
      <c r="R202" t="s">
        <v>17</v>
      </c>
      <c r="S202" t="s">
        <v>18</v>
      </c>
      <c r="T202" t="s">
        <v>291</v>
      </c>
      <c r="U202" t="s">
        <v>292</v>
      </c>
      <c r="W202">
        <v>0</v>
      </c>
      <c r="X202">
        <v>0</v>
      </c>
      <c r="Y202">
        <v>0</v>
      </c>
      <c r="Z202">
        <v>0</v>
      </c>
      <c r="AA202">
        <v>0</v>
      </c>
      <c r="AB202">
        <v>0</v>
      </c>
      <c r="AE202">
        <v>0</v>
      </c>
      <c r="AF202">
        <v>1</v>
      </c>
      <c r="AI202" t="str">
        <f>HYPERLINK("https://i.mycdn.me/image?id=899800842346&amp;t=20&amp;plc=API&amp;aid=1131601408&amp;tkn=*Uv8z9Un2KXvABZsq_bleaoz37ns")</f>
        <v>https://i.mycdn.me/image?id=899800842346&amp;t=20&amp;plc=API&amp;aid=1131601408&amp;tkn=*Uv8z9Un2KXvABZsq_bleaoz37ns</v>
      </c>
      <c r="AJ202" t="s">
        <v>10</v>
      </c>
      <c r="AK202" t="s">
        <v>21</v>
      </c>
      <c r="AO202" t="s">
        <v>3240</v>
      </c>
      <c r="AP202" t="s">
        <v>3241</v>
      </c>
    </row>
    <row r="203" spans="1:52" x14ac:dyDescent="0.25">
      <c r="A203" t="s">
        <v>772</v>
      </c>
      <c r="B203" t="s">
        <v>989</v>
      </c>
      <c r="C203" t="s">
        <v>984</v>
      </c>
      <c r="D203" t="s">
        <v>10</v>
      </c>
      <c r="E203" t="s">
        <v>730</v>
      </c>
      <c r="F203" t="s">
        <v>45</v>
      </c>
      <c r="G203" t="str">
        <f>HYPERLINK("https://www.facebook.com/nfilipenok/posts/2944293462464803")</f>
        <v>https://www.facebook.com/nfilipenok/posts/2944293462464803</v>
      </c>
      <c r="H203" t="s">
        <v>885</v>
      </c>
      <c r="I203" t="s">
        <v>990</v>
      </c>
      <c r="J203" t="str">
        <f>HYPERLINK("https://www.facebook.com/100006525343027")</f>
        <v>https://www.facebook.com/100006525343027</v>
      </c>
      <c r="K203">
        <v>415</v>
      </c>
      <c r="L203" t="s">
        <v>80</v>
      </c>
      <c r="N203" t="s">
        <v>179</v>
      </c>
      <c r="O203" t="s">
        <v>990</v>
      </c>
      <c r="P203" t="str">
        <f>HYPERLINK("https://www.facebook.com/100006525343027")</f>
        <v>https://www.facebook.com/100006525343027</v>
      </c>
      <c r="Q203">
        <v>415</v>
      </c>
      <c r="R203" t="s">
        <v>17</v>
      </c>
      <c r="S203" t="s">
        <v>18</v>
      </c>
      <c r="T203" t="s">
        <v>354</v>
      </c>
      <c r="U203" t="s">
        <v>354</v>
      </c>
      <c r="W203">
        <v>0</v>
      </c>
      <c r="X203">
        <v>0</v>
      </c>
      <c r="Y203">
        <v>0</v>
      </c>
      <c r="Z203">
        <v>0</v>
      </c>
      <c r="AA203">
        <v>0</v>
      </c>
      <c r="AB203">
        <v>0</v>
      </c>
      <c r="AC203">
        <v>0</v>
      </c>
      <c r="AE203">
        <v>0</v>
      </c>
      <c r="AI203" t="str">
        <f>HYPERLINK("https://vademec.ru/upload/iblock/488/48863db98d33de4541fe23b51a5b576f.jpg")</f>
        <v>https://vademec.ru/upload/iblock/488/48863db98d33de4541fe23b51a5b576f.jpg</v>
      </c>
      <c r="AJ203" t="s">
        <v>10</v>
      </c>
      <c r="AK203" t="s">
        <v>21</v>
      </c>
      <c r="AL203" t="s">
        <v>3237</v>
      </c>
      <c r="AO203" t="s">
        <v>3240</v>
      </c>
      <c r="AP203" t="s">
        <v>3241</v>
      </c>
    </row>
    <row r="204" spans="1:52" x14ac:dyDescent="0.25">
      <c r="A204" t="s">
        <v>1017</v>
      </c>
      <c r="B204" t="s">
        <v>1088</v>
      </c>
      <c r="C204" t="s">
        <v>1089</v>
      </c>
      <c r="D204" t="s">
        <v>10</v>
      </c>
      <c r="E204" t="s">
        <v>1008</v>
      </c>
      <c r="F204" t="s">
        <v>12</v>
      </c>
      <c r="G204" t="str">
        <f>HYPERLINK("https://www.facebook.com/permalink.php?story_fbid=699986560582245&amp;id=100017127228382")</f>
        <v>https://www.facebook.com/permalink.php?story_fbid=699986560582245&amp;id=100017127228382</v>
      </c>
      <c r="H204" t="s">
        <v>13</v>
      </c>
      <c r="I204" t="s">
        <v>1090</v>
      </c>
      <c r="J204" t="str">
        <f>HYPERLINK("https://www.facebook.com/100017127228382")</f>
        <v>https://www.facebook.com/100017127228382</v>
      </c>
      <c r="K204">
        <v>240</v>
      </c>
      <c r="L204" t="s">
        <v>15</v>
      </c>
      <c r="N204" t="s">
        <v>179</v>
      </c>
      <c r="O204" t="s">
        <v>1090</v>
      </c>
      <c r="P204" t="str">
        <f>HYPERLINK("https://www.facebook.com/100017127228382")</f>
        <v>https://www.facebook.com/100017127228382</v>
      </c>
      <c r="Q204">
        <v>240</v>
      </c>
      <c r="R204" t="s">
        <v>17</v>
      </c>
      <c r="W204">
        <v>0</v>
      </c>
      <c r="X204">
        <v>0</v>
      </c>
      <c r="Y204">
        <v>0</v>
      </c>
      <c r="Z204">
        <v>0</v>
      </c>
      <c r="AA204">
        <v>0</v>
      </c>
      <c r="AB204">
        <v>0</v>
      </c>
      <c r="AC204">
        <v>0</v>
      </c>
      <c r="AE204">
        <v>0</v>
      </c>
      <c r="AF204">
        <v>0</v>
      </c>
      <c r="AI204" t="str">
        <f>HYPERLINK("https://scontent-hel2-1.xx.fbcdn.net/v/t1.0-9/117343623_568421917161508_8241900155472477173_n.jpg?_nc_cat=106&amp;_nc_sid=b9115d&amp;_nc_ohc=d3SRxZxD1XMAX9L41DV&amp;_nc_ht=scontent-hel2-1.xx&amp;oh=2108174d355aa66005eeca4d84306849&amp;oe=5F5320A2")</f>
        <v>https://scontent-hel2-1.xx.fbcdn.net/v/t1.0-9/117343623_568421917161508_8241900155472477173_n.jpg?_nc_cat=106&amp;_nc_sid=b9115d&amp;_nc_ohc=d3SRxZxD1XMAX9L41DV&amp;_nc_ht=scontent-hel2-1.xx&amp;oh=2108174d355aa66005eeca4d84306849&amp;oe=5F5320A2</v>
      </c>
      <c r="AJ204" t="s">
        <v>10</v>
      </c>
      <c r="AK204" t="s">
        <v>21</v>
      </c>
      <c r="AO204" t="s">
        <v>3240</v>
      </c>
      <c r="AP204" t="s">
        <v>3241</v>
      </c>
      <c r="AW204" t="s">
        <v>3248</v>
      </c>
    </row>
    <row r="205" spans="1:52" x14ac:dyDescent="0.25">
      <c r="A205" t="s">
        <v>1352</v>
      </c>
      <c r="B205" t="s">
        <v>1361</v>
      </c>
      <c r="C205" t="s">
        <v>984</v>
      </c>
      <c r="D205" t="s">
        <v>10</v>
      </c>
      <c r="E205" t="s">
        <v>1362</v>
      </c>
      <c r="F205" t="s">
        <v>26</v>
      </c>
      <c r="G205" t="str">
        <f>HYPERLINK("https://twitter.com/1263106951669522432/status/1289967290377818112")</f>
        <v>https://twitter.com/1263106951669522432/status/1289967290377818112</v>
      </c>
      <c r="H205" t="s">
        <v>885</v>
      </c>
      <c r="I205" t="s">
        <v>1282</v>
      </c>
      <c r="J205" t="str">
        <f>HYPERLINK("http://twitter.com/sameSorbet")</f>
        <v>http://twitter.com/sameSorbet</v>
      </c>
      <c r="K205">
        <v>525</v>
      </c>
      <c r="N205" t="s">
        <v>54</v>
      </c>
      <c r="R205" t="s">
        <v>17</v>
      </c>
      <c r="W205">
        <v>0</v>
      </c>
      <c r="X205">
        <v>0</v>
      </c>
      <c r="AE205">
        <v>1</v>
      </c>
      <c r="AF205">
        <v>0</v>
      </c>
      <c r="AJ205" t="s">
        <v>10</v>
      </c>
      <c r="AK205" t="s">
        <v>21</v>
      </c>
      <c r="AP205" t="s">
        <v>3241</v>
      </c>
      <c r="AU205" t="s">
        <v>3246</v>
      </c>
      <c r="AV205" t="s">
        <v>3247</v>
      </c>
      <c r="AX205" t="s">
        <v>3249</v>
      </c>
    </row>
    <row r="206" spans="1:52" x14ac:dyDescent="0.25">
      <c r="A206" t="s">
        <v>1425</v>
      </c>
      <c r="B206" t="s">
        <v>226</v>
      </c>
      <c r="C206" t="s">
        <v>984</v>
      </c>
      <c r="D206" t="s">
        <v>10</v>
      </c>
      <c r="E206" t="s">
        <v>1441</v>
      </c>
      <c r="F206" t="s">
        <v>45</v>
      </c>
      <c r="G206" t="str">
        <f>HYPERLINK("https://vk.com/wall-8241837_1309")</f>
        <v>https://vk.com/wall-8241837_1309</v>
      </c>
      <c r="H206" t="s">
        <v>885</v>
      </c>
      <c r="I206" t="s">
        <v>1058</v>
      </c>
      <c r="J206" t="str">
        <f>HYPERLINK("http://vk.com/id71191578")</f>
        <v>http://vk.com/id71191578</v>
      </c>
      <c r="K206">
        <v>1008</v>
      </c>
      <c r="L206" t="s">
        <v>15</v>
      </c>
      <c r="M206">
        <v>55</v>
      </c>
      <c r="N206" t="s">
        <v>16</v>
      </c>
      <c r="O206" t="s">
        <v>1279</v>
      </c>
      <c r="P206" t="str">
        <f>HYPERLINK("http://vk.com/club8241837")</f>
        <v>http://vk.com/club8241837</v>
      </c>
      <c r="Q206">
        <v>3195</v>
      </c>
      <c r="R206" t="s">
        <v>17</v>
      </c>
      <c r="S206" t="s">
        <v>18</v>
      </c>
      <c r="T206" t="s">
        <v>1060</v>
      </c>
      <c r="U206" t="s">
        <v>1061</v>
      </c>
      <c r="W206">
        <v>1</v>
      </c>
      <c r="X206">
        <v>1</v>
      </c>
      <c r="AE206">
        <v>1</v>
      </c>
      <c r="AF206">
        <v>0</v>
      </c>
      <c r="AI206" t="str">
        <f>HYPERLINK("https://sun9-30.userapi.com/c857428/v857428338/22dfac/lH4VJChB90k.jpg")</f>
        <v>https://sun9-30.userapi.com/c857428/v857428338/22dfac/lH4VJChB90k.jpg</v>
      </c>
      <c r="AJ206" t="s">
        <v>10</v>
      </c>
      <c r="AK206" t="s">
        <v>21</v>
      </c>
      <c r="AP206" t="s">
        <v>3241</v>
      </c>
      <c r="AT206" t="s">
        <v>3245</v>
      </c>
      <c r="AU206" t="s">
        <v>3246</v>
      </c>
      <c r="AV206" t="s">
        <v>3247</v>
      </c>
    </row>
    <row r="207" spans="1:52" x14ac:dyDescent="0.25">
      <c r="A207" t="s">
        <v>1838</v>
      </c>
      <c r="B207" t="s">
        <v>338</v>
      </c>
      <c r="C207" t="s">
        <v>984</v>
      </c>
      <c r="D207" t="s">
        <v>1236</v>
      </c>
      <c r="E207" t="s">
        <v>1928</v>
      </c>
      <c r="F207" t="s">
        <v>26</v>
      </c>
      <c r="G207" t="str">
        <f>HYPERLINK("https://www.youtube.com/watch?v=laG_UAIUZ6w&amp;lc=Ugz3_zbsB_6shbt7a7J4AaABAg")</f>
        <v>https://www.youtube.com/watch?v=laG_UAIUZ6w&amp;lc=Ugz3_zbsB_6shbt7a7J4AaABAg</v>
      </c>
      <c r="H207" t="s">
        <v>885</v>
      </c>
      <c r="I207" t="s">
        <v>1929</v>
      </c>
      <c r="J207" t="str">
        <f>HYPERLINK("https://www.youtube.com/channel/UCWGTeYl3PNOdzXvVRot51ew")</f>
        <v>https://www.youtube.com/channel/UCWGTeYl3PNOdzXvVRot51ew</v>
      </c>
      <c r="K207">
        <v>39</v>
      </c>
      <c r="L207" t="s">
        <v>80</v>
      </c>
      <c r="N207" t="s">
        <v>162</v>
      </c>
      <c r="O207" t="s">
        <v>424</v>
      </c>
      <c r="P207" t="str">
        <f>HYPERLINK("https://www.youtube.com/channel/UC8fQzKHIhSoZeSq3bwQx4mw")</f>
        <v>https://www.youtube.com/channel/UC8fQzKHIhSoZeSq3bwQx4mw</v>
      </c>
      <c r="Q207">
        <v>517000</v>
      </c>
      <c r="R207" t="s">
        <v>17</v>
      </c>
      <c r="S207" t="s">
        <v>425</v>
      </c>
      <c r="W207">
        <v>0</v>
      </c>
      <c r="X207">
        <v>0</v>
      </c>
      <c r="AE207">
        <v>1</v>
      </c>
      <c r="AJ207" t="s">
        <v>10</v>
      </c>
      <c r="AK207" t="s">
        <v>21</v>
      </c>
      <c r="AP207" t="s">
        <v>3241</v>
      </c>
      <c r="AT207" t="s">
        <v>3245</v>
      </c>
      <c r="AV207" t="s">
        <v>3247</v>
      </c>
      <c r="AW207" t="s">
        <v>3248</v>
      </c>
      <c r="AZ207" t="s">
        <v>3251</v>
      </c>
    </row>
    <row r="208" spans="1:52" x14ac:dyDescent="0.25">
      <c r="A208" t="s">
        <v>7</v>
      </c>
      <c r="B208" t="s">
        <v>384</v>
      </c>
      <c r="C208" t="s">
        <v>385</v>
      </c>
      <c r="D208" t="s">
        <v>24</v>
      </c>
      <c r="E208" t="s">
        <v>389</v>
      </c>
      <c r="F208" t="s">
        <v>26</v>
      </c>
      <c r="G208" t="str">
        <f>HYPERLINK("https://vk.com/wall-197114981_31?reply=1302&amp;thread=1293")</f>
        <v>https://vk.com/wall-197114981_31?reply=1302&amp;thread=1293</v>
      </c>
      <c r="H208" t="s">
        <v>13</v>
      </c>
      <c r="I208" t="s">
        <v>27</v>
      </c>
      <c r="J208" t="str">
        <f>HYPERLINK("http://vk.com/club197114981")</f>
        <v>http://vk.com/club197114981</v>
      </c>
      <c r="K208">
        <v>38</v>
      </c>
      <c r="L208" t="s">
        <v>28</v>
      </c>
      <c r="N208" t="s">
        <v>16</v>
      </c>
      <c r="O208" t="s">
        <v>27</v>
      </c>
      <c r="P208" t="str">
        <f>HYPERLINK("http://vk.com/club197114981")</f>
        <v>http://vk.com/club197114981</v>
      </c>
      <c r="Q208">
        <v>38</v>
      </c>
      <c r="R208" t="s">
        <v>17</v>
      </c>
      <c r="AJ208" t="s">
        <v>10</v>
      </c>
      <c r="AK208" t="s">
        <v>21</v>
      </c>
      <c r="AN208" t="s">
        <v>3239</v>
      </c>
      <c r="AO208" t="s">
        <v>3240</v>
      </c>
      <c r="AP208" t="s">
        <v>3241</v>
      </c>
    </row>
    <row r="209" spans="1:50" x14ac:dyDescent="0.25">
      <c r="A209" t="s">
        <v>1723</v>
      </c>
      <c r="B209" t="s">
        <v>1783</v>
      </c>
      <c r="C209" t="s">
        <v>984</v>
      </c>
      <c r="D209" t="s">
        <v>1697</v>
      </c>
      <c r="E209" t="s">
        <v>1784</v>
      </c>
      <c r="F209" t="s">
        <v>45</v>
      </c>
      <c r="G209" t="str">
        <f>HYPERLINK("https://eu.mycentraljersey.com/story/news/coronavirus/2020/07/28/covid-northeast-better-prepared-second-spike/5449927002")</f>
        <v>https://eu.mycentraljersey.com/story/news/coronavirus/2020/07/28/covid-northeast-better-prepared-second-spike/5449927002</v>
      </c>
      <c r="H209" t="s">
        <v>885</v>
      </c>
      <c r="I209" t="s">
        <v>1682</v>
      </c>
      <c r="J209" t="str">
        <f>HYPERLINK("https://eu.mycentraljersey.com/story/news/coronavirus/2020/07/28/covid-northeast-better-prepared-second-spike/5449927002/")</f>
        <v>https://eu.mycentraljersey.com/story/news/coronavirus/2020/07/28/covid-northeast-better-prepared-second-spike/5449927002/</v>
      </c>
      <c r="L209" t="s">
        <v>15</v>
      </c>
      <c r="N209" t="s">
        <v>1785</v>
      </c>
      <c r="R209" t="s">
        <v>239</v>
      </c>
      <c r="S209" t="s">
        <v>425</v>
      </c>
      <c r="AJ209" t="s">
        <v>10</v>
      </c>
      <c r="AK209" t="s">
        <v>21</v>
      </c>
      <c r="AP209" t="s">
        <v>3241</v>
      </c>
      <c r="AW209" t="s">
        <v>3248</v>
      </c>
    </row>
    <row r="210" spans="1:50" x14ac:dyDescent="0.25">
      <c r="A210" t="s">
        <v>2260</v>
      </c>
      <c r="B210" t="s">
        <v>277</v>
      </c>
      <c r="C210" t="s">
        <v>968</v>
      </c>
      <c r="D210" t="s">
        <v>10</v>
      </c>
      <c r="E210" t="s">
        <v>2289</v>
      </c>
      <c r="F210" t="s">
        <v>12</v>
      </c>
      <c r="G210" t="str">
        <f>HYPERLINK("https://www.facebook.com/568390943273818/posts/2995039603942261")</f>
        <v>https://www.facebook.com/568390943273818/posts/2995039603942261</v>
      </c>
      <c r="H210" t="s">
        <v>885</v>
      </c>
      <c r="I210" t="s">
        <v>280</v>
      </c>
      <c r="J210" t="str">
        <f>HYPERLINK("https://www.facebook.com/568390943273818")</f>
        <v>https://www.facebook.com/568390943273818</v>
      </c>
      <c r="K210">
        <v>18918</v>
      </c>
      <c r="L210" t="s">
        <v>28</v>
      </c>
      <c r="N210" t="s">
        <v>179</v>
      </c>
      <c r="O210" t="s">
        <v>280</v>
      </c>
      <c r="P210" t="str">
        <f>HYPERLINK("https://www.facebook.com/568390943273818")</f>
        <v>https://www.facebook.com/568390943273818</v>
      </c>
      <c r="Q210">
        <v>18918</v>
      </c>
      <c r="R210" t="s">
        <v>17</v>
      </c>
      <c r="S210" t="s">
        <v>281</v>
      </c>
      <c r="T210" t="s">
        <v>282</v>
      </c>
      <c r="U210" t="s">
        <v>282</v>
      </c>
      <c r="AI210" t="str">
        <f>HYPERLINK("https://scontent-lht6-1.xx.fbcdn.net/v/t1.0-9/p720x720/108397123_2995024777277077_5979896755991696056_o.jpg?_nc_cat=108&amp;_nc_sid=8024bb&amp;_nc_ohc=Col20jUV65kAX87NIPA&amp;_nc_ht=scontent-lht6-1.xx&amp;_nc_tp=6&amp;oh=6d7166ed3bb10e07547373501665e0b1&amp;oe=5F3CFDB2")</f>
        <v>https://scontent-lht6-1.xx.fbcdn.net/v/t1.0-9/p720x720/108397123_2995024777277077_5979896755991696056_o.jpg?_nc_cat=108&amp;_nc_sid=8024bb&amp;_nc_ohc=Col20jUV65kAX87NIPA&amp;_nc_ht=scontent-lht6-1.xx&amp;_nc_tp=6&amp;oh=6d7166ed3bb10e07547373501665e0b1&amp;oe=5F3CFDB2</v>
      </c>
      <c r="AJ210" t="s">
        <v>10</v>
      </c>
      <c r="AK210" t="s">
        <v>21</v>
      </c>
      <c r="AP210" t="s">
        <v>3241</v>
      </c>
      <c r="AU210" t="s">
        <v>3246</v>
      </c>
    </row>
    <row r="211" spans="1:50" x14ac:dyDescent="0.25">
      <c r="A211" t="s">
        <v>2684</v>
      </c>
      <c r="B211" t="s">
        <v>42</v>
      </c>
      <c r="C211" t="s">
        <v>968</v>
      </c>
      <c r="D211" t="s">
        <v>10</v>
      </c>
      <c r="E211" t="s">
        <v>2745</v>
      </c>
      <c r="F211" t="s">
        <v>45</v>
      </c>
      <c r="G211" t="str">
        <f>HYPERLINK("https://www.facebook.com/mriexpert/photos/a.902990326434112/3184294918303630/?type=3")</f>
        <v>https://www.facebook.com/mriexpert/photos/a.902990326434112/3184294918303630/?type=3</v>
      </c>
      <c r="H211" t="s">
        <v>885</v>
      </c>
      <c r="I211" t="s">
        <v>46</v>
      </c>
      <c r="J211" t="str">
        <f>HYPERLINK("https://www.facebook.com/902980129768465")</f>
        <v>https://www.facebook.com/902980129768465</v>
      </c>
      <c r="K211">
        <v>1509</v>
      </c>
      <c r="L211" t="s">
        <v>28</v>
      </c>
      <c r="N211" t="s">
        <v>179</v>
      </c>
      <c r="O211" t="s">
        <v>46</v>
      </c>
      <c r="P211" t="str">
        <f>HYPERLINK("https://www.facebook.com/902980129768465")</f>
        <v>https://www.facebook.com/902980129768465</v>
      </c>
      <c r="Q211">
        <v>1509</v>
      </c>
      <c r="R211" t="s">
        <v>17</v>
      </c>
      <c r="W211">
        <v>4</v>
      </c>
      <c r="X211">
        <v>4</v>
      </c>
      <c r="Y211">
        <v>0</v>
      </c>
      <c r="Z211">
        <v>0</v>
      </c>
      <c r="AA211">
        <v>0</v>
      </c>
      <c r="AB211">
        <v>0</v>
      </c>
      <c r="AC211">
        <v>0</v>
      </c>
      <c r="AE211">
        <v>0</v>
      </c>
      <c r="AI211" t="str">
        <f>HYPERLINK("https://scontent-hel2-1.xx.fbcdn.net/v/t1.0-9/s960x960/109864057_3184294921636963_6591532005121040318_o.jpg?_nc_cat=103&amp;_nc_sid=9267fe&amp;_nc_ohc=6dszXm4SFUwAX-bPnNp&amp;_nc_ht=scontent-hel2-1.xx&amp;_nc_tp=7&amp;oh=8b98352b0f03ba6d008e60965c7b2d72&amp;oe=5F33B764")</f>
        <v>https://scontent-hel2-1.xx.fbcdn.net/v/t1.0-9/s960x960/109864057_3184294921636963_6591532005121040318_o.jpg?_nc_cat=103&amp;_nc_sid=9267fe&amp;_nc_ohc=6dszXm4SFUwAX-bPnNp&amp;_nc_ht=scontent-hel2-1.xx&amp;_nc_tp=7&amp;oh=8b98352b0f03ba6d008e60965c7b2d72&amp;oe=5F33B764</v>
      </c>
      <c r="AJ211" t="s">
        <v>10</v>
      </c>
      <c r="AK211" t="s">
        <v>21</v>
      </c>
      <c r="AM211" t="s">
        <v>3238</v>
      </c>
      <c r="AO211" t="s">
        <v>3240</v>
      </c>
      <c r="AP211" t="s">
        <v>3241</v>
      </c>
      <c r="AT211" t="s">
        <v>3245</v>
      </c>
      <c r="AV211" t="s">
        <v>3247</v>
      </c>
    </row>
    <row r="212" spans="1:50" x14ac:dyDescent="0.25">
      <c r="A212" t="s">
        <v>2978</v>
      </c>
      <c r="B212" t="s">
        <v>2135</v>
      </c>
      <c r="C212" t="s">
        <v>968</v>
      </c>
      <c r="D212" t="s">
        <v>10</v>
      </c>
      <c r="E212" t="s">
        <v>2212</v>
      </c>
      <c r="F212" t="s">
        <v>45</v>
      </c>
      <c r="G212" t="str">
        <f>HYPERLINK("https://www.facebook.com/mrtexpertrnd/photos/a.565935020817465/771086426968989/?type=3")</f>
        <v>https://www.facebook.com/mrtexpertrnd/photos/a.565935020817465/771086426968989/?type=3</v>
      </c>
      <c r="H212" t="s">
        <v>889</v>
      </c>
      <c r="I212" t="s">
        <v>125</v>
      </c>
      <c r="J212" t="str">
        <f>HYPERLINK("https://www.facebook.com/156600068417631")</f>
        <v>https://www.facebook.com/156600068417631</v>
      </c>
      <c r="K212">
        <v>236</v>
      </c>
      <c r="L212" t="s">
        <v>28</v>
      </c>
      <c r="N212" t="s">
        <v>179</v>
      </c>
      <c r="O212" t="s">
        <v>125</v>
      </c>
      <c r="P212" t="str">
        <f>HYPERLINK("https://www.facebook.com/156600068417631")</f>
        <v>https://www.facebook.com/156600068417631</v>
      </c>
      <c r="Q212">
        <v>236</v>
      </c>
      <c r="R212" t="s">
        <v>17</v>
      </c>
      <c r="S212" t="s">
        <v>18</v>
      </c>
      <c r="T212" t="s">
        <v>126</v>
      </c>
      <c r="U212" t="s">
        <v>127</v>
      </c>
      <c r="W212">
        <v>0</v>
      </c>
      <c r="X212">
        <v>0</v>
      </c>
      <c r="Y212">
        <v>0</v>
      </c>
      <c r="Z212">
        <v>0</v>
      </c>
      <c r="AA212">
        <v>0</v>
      </c>
      <c r="AB212">
        <v>0</v>
      </c>
      <c r="AC212">
        <v>0</v>
      </c>
      <c r="AE212">
        <v>0</v>
      </c>
      <c r="AI212" t="str">
        <f>HYPERLINK("https://scontent-hel2-1.xx.fbcdn.net/v/t1.0-0/p526x296/107813846_771086430302322_4456850151472740444_o.jpg?_nc_cat=110&amp;_nc_sid=9267fe&amp;_nc_ohc=mX2VQy3hLKQAX-5gde6&amp;_nc_ht=scontent-hel2-1.xx&amp;_nc_tp=6&amp;oh=5416c5e0b16fc02846aba09a2acd49cf&amp;oe=5F2C3628")</f>
        <v>https://scontent-hel2-1.xx.fbcdn.net/v/t1.0-0/p526x296/107813846_771086430302322_4456850151472740444_o.jpg?_nc_cat=110&amp;_nc_sid=9267fe&amp;_nc_ohc=mX2VQy3hLKQAX-5gde6&amp;_nc_ht=scontent-hel2-1.xx&amp;_nc_tp=6&amp;oh=5416c5e0b16fc02846aba09a2acd49cf&amp;oe=5F2C3628</v>
      </c>
      <c r="AJ212" t="s">
        <v>10</v>
      </c>
      <c r="AK212" t="s">
        <v>21</v>
      </c>
      <c r="AO212" t="s">
        <v>3240</v>
      </c>
      <c r="AP212" t="s">
        <v>3241</v>
      </c>
    </row>
    <row r="213" spans="1:50" x14ac:dyDescent="0.25">
      <c r="A213" t="s">
        <v>3100</v>
      </c>
      <c r="B213" t="s">
        <v>3191</v>
      </c>
      <c r="C213" t="s">
        <v>968</v>
      </c>
      <c r="D213" t="s">
        <v>10</v>
      </c>
      <c r="E213" t="s">
        <v>3192</v>
      </c>
      <c r="F213" t="s">
        <v>12</v>
      </c>
      <c r="G213" t="str">
        <f>HYPERLINK("https://www.facebook.com/105499154286978/posts/171732137663679")</f>
        <v>https://www.facebook.com/105499154286978/posts/171732137663679</v>
      </c>
      <c r="H213" t="s">
        <v>885</v>
      </c>
      <c r="I213" t="s">
        <v>188</v>
      </c>
      <c r="J213" t="str">
        <f>HYPERLINK("https://www.facebook.com/105499154286978")</f>
        <v>https://www.facebook.com/105499154286978</v>
      </c>
      <c r="K213">
        <v>6</v>
      </c>
      <c r="L213" t="s">
        <v>28</v>
      </c>
      <c r="N213" t="s">
        <v>179</v>
      </c>
      <c r="O213" t="s">
        <v>188</v>
      </c>
      <c r="P213" t="str">
        <f>HYPERLINK("https://www.facebook.com/105499154286978")</f>
        <v>https://www.facebook.com/105499154286978</v>
      </c>
      <c r="Q213">
        <v>6</v>
      </c>
      <c r="R213" t="s">
        <v>17</v>
      </c>
      <c r="S213" t="s">
        <v>18</v>
      </c>
      <c r="T213" t="s">
        <v>189</v>
      </c>
      <c r="U213" t="s">
        <v>190</v>
      </c>
      <c r="AI213" t="str">
        <f>HYPERLINK("https://scontent-frx5-1.xx.fbcdn.net/v/t1.0-9/s720x720/106988769_171732140997012_8899953572149100186_o.jpg?_nc_cat=105&amp;_nc_sid=2d5d41&amp;_nc_ohc=8tmB0Qk65VAAX8Mz51Q&amp;_nc_ht=scontent-frx5-1.xx&amp;_nc_tp=7&amp;oh=5a5a3f75242b61c9f46b07bc9263688d&amp;oe=5F297742")</f>
        <v>https://scontent-frx5-1.xx.fbcdn.net/v/t1.0-9/s720x720/106988769_171732140997012_8899953572149100186_o.jpg?_nc_cat=105&amp;_nc_sid=2d5d41&amp;_nc_ohc=8tmB0Qk65VAAX8Mz51Q&amp;_nc_ht=scontent-frx5-1.xx&amp;_nc_tp=7&amp;oh=5a5a3f75242b61c9f46b07bc9263688d&amp;oe=5F297742</v>
      </c>
      <c r="AJ213" t="s">
        <v>10</v>
      </c>
      <c r="AK213" t="s">
        <v>21</v>
      </c>
      <c r="AL213" t="s">
        <v>3237</v>
      </c>
      <c r="AP213" t="s">
        <v>3241</v>
      </c>
    </row>
    <row r="214" spans="1:50" x14ac:dyDescent="0.25">
      <c r="A214" t="s">
        <v>2122</v>
      </c>
      <c r="B214" t="s">
        <v>233</v>
      </c>
      <c r="C214" t="s">
        <v>968</v>
      </c>
      <c r="D214" t="s">
        <v>2169</v>
      </c>
      <c r="E214" t="s">
        <v>2170</v>
      </c>
      <c r="F214" t="s">
        <v>45</v>
      </c>
      <c r="G214" t="str">
        <f>HYPERLINK("https://www.google.com/maps/reviews/data=!4m5!14m4!1m3!1m2!1s104606074419357804703!2s0x0:0x3d25df736d9b0eab?hl=en-NL")</f>
        <v>https://www.google.com/maps/reviews/data=!4m5!14m4!1m3!1m2!1s104606074419357804703!2s0x0:0x3d25df736d9b0eab?hl=en-NL</v>
      </c>
      <c r="H214" t="s">
        <v>889</v>
      </c>
      <c r="I214" t="s">
        <v>2171</v>
      </c>
      <c r="J214" t="str">
        <f>HYPERLINK("https://maps.google.com/maps/contrib/104606074419357804703")</f>
        <v>https://maps.google.com/maps/contrib/104606074419357804703</v>
      </c>
      <c r="N214" t="s">
        <v>615</v>
      </c>
      <c r="O214" t="s">
        <v>2169</v>
      </c>
      <c r="P214" t="str">
        <f>HYPERLINK("https://maps.google.com/maps/place/data=!3m1!4b1!4m5!3m4!1s0x0:0x3d25df736d9b0eab!8m2!3d21.164300!4d79.079820")</f>
        <v>https://maps.google.com/maps/place/data=!3m1!4b1!4m5!3m4!1s0x0:0x3d25df736d9b0eab!8m2!3d21.164300!4d79.079820</v>
      </c>
      <c r="R214" t="s">
        <v>616</v>
      </c>
      <c r="S214" t="s">
        <v>1206</v>
      </c>
      <c r="T214" t="s">
        <v>1250</v>
      </c>
      <c r="U214" t="s">
        <v>2172</v>
      </c>
      <c r="AH214">
        <v>5</v>
      </c>
      <c r="AJ214" t="s">
        <v>10</v>
      </c>
      <c r="AK214" t="s">
        <v>21</v>
      </c>
      <c r="AL214" t="s">
        <v>3237</v>
      </c>
      <c r="AP214" t="s">
        <v>3241</v>
      </c>
      <c r="AX214" t="s">
        <v>3249</v>
      </c>
    </row>
    <row r="215" spans="1:50" x14ac:dyDescent="0.25">
      <c r="A215" t="s">
        <v>2767</v>
      </c>
      <c r="B215" t="s">
        <v>986</v>
      </c>
      <c r="C215" t="s">
        <v>968</v>
      </c>
      <c r="D215" t="s">
        <v>2839</v>
      </c>
      <c r="E215" t="s">
        <v>2840</v>
      </c>
      <c r="F215" t="s">
        <v>26</v>
      </c>
      <c r="G215" t="str">
        <f>HYPERLINK("https://vk.com/wall-125331076_741365?reply=752296")</f>
        <v>https://vk.com/wall-125331076_741365?reply=752296</v>
      </c>
      <c r="H215" t="s">
        <v>889</v>
      </c>
      <c r="I215" t="s">
        <v>2309</v>
      </c>
      <c r="J215" t="str">
        <f>HYPERLINK("http://vk.com/id14737732")</f>
        <v>http://vk.com/id14737732</v>
      </c>
      <c r="K215">
        <v>1091</v>
      </c>
      <c r="L215" t="s">
        <v>80</v>
      </c>
      <c r="N215" t="s">
        <v>16</v>
      </c>
      <c r="O215" t="s">
        <v>1154</v>
      </c>
      <c r="P215" t="str">
        <f>HYPERLINK("http://vk.com/club125331076")</f>
        <v>http://vk.com/club125331076</v>
      </c>
      <c r="Q215">
        <v>38231</v>
      </c>
      <c r="R215" t="s">
        <v>17</v>
      </c>
      <c r="AJ215" t="s">
        <v>10</v>
      </c>
      <c r="AK215" t="s">
        <v>21</v>
      </c>
      <c r="AO215" t="s">
        <v>3240</v>
      </c>
      <c r="AP215" t="s">
        <v>3241</v>
      </c>
      <c r="AW215" t="s">
        <v>3248</v>
      </c>
      <c r="AX215" t="s">
        <v>3249</v>
      </c>
    </row>
    <row r="216" spans="1:50" x14ac:dyDescent="0.25">
      <c r="A216" t="s">
        <v>7</v>
      </c>
      <c r="B216" t="s">
        <v>324</v>
      </c>
      <c r="C216" t="s">
        <v>322</v>
      </c>
      <c r="D216" t="s">
        <v>24</v>
      </c>
      <c r="E216" t="s">
        <v>325</v>
      </c>
      <c r="F216" t="s">
        <v>26</v>
      </c>
      <c r="G216" t="str">
        <f>HYPERLINK("https://vk.com/wall-197114981_31?reply=1330&amp;thread=1329")</f>
        <v>https://vk.com/wall-197114981_31?reply=1330&amp;thread=1329</v>
      </c>
      <c r="H216" t="s">
        <v>13</v>
      </c>
      <c r="I216" t="s">
        <v>27</v>
      </c>
      <c r="J216" t="str">
        <f>HYPERLINK("http://vk.com/club197114981")</f>
        <v>http://vk.com/club197114981</v>
      </c>
      <c r="K216">
        <v>38</v>
      </c>
      <c r="L216" t="s">
        <v>28</v>
      </c>
      <c r="N216" t="s">
        <v>16</v>
      </c>
      <c r="O216" t="s">
        <v>27</v>
      </c>
      <c r="P216" t="str">
        <f>HYPERLINK("http://vk.com/club197114981")</f>
        <v>http://vk.com/club197114981</v>
      </c>
      <c r="Q216">
        <v>38</v>
      </c>
      <c r="R216" t="s">
        <v>17</v>
      </c>
      <c r="AJ216" t="s">
        <v>10</v>
      </c>
      <c r="AK216" t="s">
        <v>21</v>
      </c>
      <c r="AO216" t="s">
        <v>3240</v>
      </c>
      <c r="AP216" t="s">
        <v>3241</v>
      </c>
      <c r="AX216" t="s">
        <v>3249</v>
      </c>
    </row>
    <row r="217" spans="1:50" x14ac:dyDescent="0.25">
      <c r="A217" t="s">
        <v>2193</v>
      </c>
      <c r="B217" t="s">
        <v>42</v>
      </c>
      <c r="C217" t="s">
        <v>968</v>
      </c>
      <c r="D217" t="s">
        <v>10</v>
      </c>
      <c r="E217" t="s">
        <v>2222</v>
      </c>
      <c r="F217" t="s">
        <v>45</v>
      </c>
      <c r="G217" t="str">
        <f>HYPERLINK("https://www.facebook.com/568390943273818/posts/3005668856212669")</f>
        <v>https://www.facebook.com/568390943273818/posts/3005668856212669</v>
      </c>
      <c r="H217" t="s">
        <v>885</v>
      </c>
      <c r="I217" t="s">
        <v>280</v>
      </c>
      <c r="J217" t="str">
        <f>HYPERLINK("https://www.facebook.com/568390943273818")</f>
        <v>https://www.facebook.com/568390943273818</v>
      </c>
      <c r="K217">
        <v>18918</v>
      </c>
      <c r="L217" t="s">
        <v>28</v>
      </c>
      <c r="N217" t="s">
        <v>179</v>
      </c>
      <c r="O217" t="s">
        <v>280</v>
      </c>
      <c r="P217" t="str">
        <f>HYPERLINK("https://www.facebook.com/568390943273818")</f>
        <v>https://www.facebook.com/568390943273818</v>
      </c>
      <c r="Q217">
        <v>18918</v>
      </c>
      <c r="R217" t="s">
        <v>17</v>
      </c>
      <c r="S217" t="s">
        <v>281</v>
      </c>
      <c r="T217" t="s">
        <v>282</v>
      </c>
      <c r="U217" t="s">
        <v>282</v>
      </c>
      <c r="W217">
        <v>66</v>
      </c>
      <c r="X217">
        <v>64</v>
      </c>
      <c r="Y217">
        <v>2</v>
      </c>
      <c r="Z217">
        <v>0</v>
      </c>
      <c r="AA217">
        <v>0</v>
      </c>
      <c r="AB217">
        <v>0</v>
      </c>
      <c r="AC217">
        <v>0</v>
      </c>
      <c r="AE217">
        <v>5</v>
      </c>
      <c r="AF217">
        <v>2</v>
      </c>
      <c r="AJ217" t="s">
        <v>10</v>
      </c>
      <c r="AK217" t="s">
        <v>21</v>
      </c>
      <c r="AO217" t="s">
        <v>3240</v>
      </c>
      <c r="AP217" t="s">
        <v>3241</v>
      </c>
    </row>
    <row r="218" spans="1:50" x14ac:dyDescent="0.25">
      <c r="A218" t="s">
        <v>2915</v>
      </c>
      <c r="B218" t="s">
        <v>2037</v>
      </c>
      <c r="C218" t="s">
        <v>968</v>
      </c>
      <c r="D218" t="s">
        <v>10</v>
      </c>
      <c r="E218" t="s">
        <v>2957</v>
      </c>
      <c r="F218" t="s">
        <v>45</v>
      </c>
      <c r="G218" t="str">
        <f>HYPERLINK("https://www.facebook.com/mriexpert/photos/a.902990326434112/3174621989270923/?type=3")</f>
        <v>https://www.facebook.com/mriexpert/photos/a.902990326434112/3174621989270923/?type=3</v>
      </c>
      <c r="H218" t="s">
        <v>885</v>
      </c>
      <c r="I218" t="s">
        <v>46</v>
      </c>
      <c r="J218" t="str">
        <f>HYPERLINK("https://www.facebook.com/902980129768465")</f>
        <v>https://www.facebook.com/902980129768465</v>
      </c>
      <c r="K218">
        <v>1509</v>
      </c>
      <c r="L218" t="s">
        <v>28</v>
      </c>
      <c r="N218" t="s">
        <v>179</v>
      </c>
      <c r="O218" t="s">
        <v>46</v>
      </c>
      <c r="P218" t="str">
        <f>HYPERLINK("https://www.facebook.com/902980129768465")</f>
        <v>https://www.facebook.com/902980129768465</v>
      </c>
      <c r="Q218">
        <v>1509</v>
      </c>
      <c r="R218" t="s">
        <v>17</v>
      </c>
      <c r="W218">
        <v>2</v>
      </c>
      <c r="X218">
        <v>2</v>
      </c>
      <c r="Y218">
        <v>0</v>
      </c>
      <c r="Z218">
        <v>0</v>
      </c>
      <c r="AA218">
        <v>0</v>
      </c>
      <c r="AB218">
        <v>0</v>
      </c>
      <c r="AC218">
        <v>0</v>
      </c>
      <c r="AE218">
        <v>0</v>
      </c>
      <c r="AF218">
        <v>2</v>
      </c>
      <c r="AI218" t="str">
        <f>HYPERLINK("https://scontent-hel2-1.xx.fbcdn.net/v/t1.0-9/s960x960/107821528_3174621995937589_8984687259510613626_o.jpg?_nc_cat=106&amp;_nc_sid=9267fe&amp;_nc_ohc=rsO01qmPWdAAX9Tg-jT&amp;_nc_ht=scontent-hel2-1.xx&amp;_nc_tp=7&amp;oh=cc009c9bd44c474a1747b102983dcc4b&amp;oe=5F2FCE6E")</f>
        <v>https://scontent-hel2-1.xx.fbcdn.net/v/t1.0-9/s960x960/107821528_3174621995937589_8984687259510613626_o.jpg?_nc_cat=106&amp;_nc_sid=9267fe&amp;_nc_ohc=rsO01qmPWdAAX9Tg-jT&amp;_nc_ht=scontent-hel2-1.xx&amp;_nc_tp=7&amp;oh=cc009c9bd44c474a1747b102983dcc4b&amp;oe=5F2FCE6E</v>
      </c>
      <c r="AJ218" t="s">
        <v>10</v>
      </c>
      <c r="AK218" t="s">
        <v>21</v>
      </c>
      <c r="AO218" t="s">
        <v>3240</v>
      </c>
    </row>
    <row r="219" spans="1:50" x14ac:dyDescent="0.25">
      <c r="A219" t="s">
        <v>7</v>
      </c>
      <c r="B219" t="s">
        <v>147</v>
      </c>
      <c r="C219" t="s">
        <v>148</v>
      </c>
      <c r="D219" t="s">
        <v>149</v>
      </c>
      <c r="E219" t="s">
        <v>150</v>
      </c>
      <c r="F219" t="s">
        <v>45</v>
      </c>
      <c r="G219" t="str">
        <f>HYPERLINK("https://ok.ru/group/54294124953607/topic/151842562411271")</f>
        <v>https://ok.ru/group/54294124953607/topic/151842562411271</v>
      </c>
      <c r="H219" t="s">
        <v>13</v>
      </c>
      <c r="I219" t="s">
        <v>151</v>
      </c>
      <c r="J219" t="str">
        <f>HYPERLINK("https://ok.ru/group/54294124953607")</f>
        <v>https://ok.ru/group/54294124953607</v>
      </c>
      <c r="K219">
        <v>15463</v>
      </c>
      <c r="L219" t="s">
        <v>28</v>
      </c>
      <c r="N219" t="s">
        <v>135</v>
      </c>
      <c r="O219" t="s">
        <v>151</v>
      </c>
      <c r="P219" t="str">
        <f>HYPERLINK("https://ok.ru/group/54294124953607")</f>
        <v>https://ok.ru/group/54294124953607</v>
      </c>
      <c r="Q219">
        <v>15463</v>
      </c>
      <c r="R219" t="s">
        <v>17</v>
      </c>
      <c r="S219" t="s">
        <v>18</v>
      </c>
      <c r="T219" t="s">
        <v>152</v>
      </c>
      <c r="U219" t="s">
        <v>153</v>
      </c>
      <c r="W219">
        <v>1</v>
      </c>
      <c r="X219">
        <v>1</v>
      </c>
      <c r="AE219">
        <v>0</v>
      </c>
      <c r="AF219">
        <v>0</v>
      </c>
      <c r="AI219" t="str">
        <f>HYPERLINK("https://cdnmyslo.ru/ImageGenerator/21/0c/210c9710-ed87-429a-b40c-3d890631552b.png")</f>
        <v>https://cdnmyslo.ru/ImageGenerator/21/0c/210c9710-ed87-429a-b40c-3d890631552b.png</v>
      </c>
      <c r="AJ219" t="s">
        <v>10</v>
      </c>
      <c r="AK219" t="s">
        <v>21</v>
      </c>
      <c r="AO219" t="s">
        <v>3240</v>
      </c>
    </row>
    <row r="220" spans="1:50" x14ac:dyDescent="0.25">
      <c r="A220" t="s">
        <v>7</v>
      </c>
      <c r="B220" t="s">
        <v>324</v>
      </c>
      <c r="C220" t="s">
        <v>322</v>
      </c>
      <c r="D220" t="s">
        <v>24</v>
      </c>
      <c r="E220" t="s">
        <v>326</v>
      </c>
      <c r="F220" t="s">
        <v>26</v>
      </c>
      <c r="G220" t="str">
        <f>HYPERLINK("https://vk.com/wall-197114981_31?reply=1329")</f>
        <v>https://vk.com/wall-197114981_31?reply=1329</v>
      </c>
      <c r="H220" t="s">
        <v>13</v>
      </c>
      <c r="I220" t="s">
        <v>306</v>
      </c>
      <c r="J220" t="str">
        <f>HYPERLINK("http://vk.com/id150258338")</f>
        <v>http://vk.com/id150258338</v>
      </c>
      <c r="K220">
        <v>125</v>
      </c>
      <c r="L220" t="s">
        <v>15</v>
      </c>
      <c r="N220" t="s">
        <v>16</v>
      </c>
      <c r="O220" t="s">
        <v>27</v>
      </c>
      <c r="P220" t="str">
        <f>HYPERLINK("http://vk.com/club197114981")</f>
        <v>http://vk.com/club197114981</v>
      </c>
      <c r="Q220">
        <v>38</v>
      </c>
      <c r="R220" t="s">
        <v>17</v>
      </c>
      <c r="S220" t="s">
        <v>18</v>
      </c>
      <c r="AJ220" t="s">
        <v>10</v>
      </c>
      <c r="AK220" t="s">
        <v>21</v>
      </c>
      <c r="AO220" t="s">
        <v>3240</v>
      </c>
    </row>
    <row r="221" spans="1:50" x14ac:dyDescent="0.25">
      <c r="A221" t="s">
        <v>1982</v>
      </c>
      <c r="B221" t="s">
        <v>2027</v>
      </c>
      <c r="C221" t="s">
        <v>968</v>
      </c>
      <c r="D221" t="s">
        <v>1959</v>
      </c>
      <c r="E221" t="s">
        <v>2028</v>
      </c>
      <c r="F221" t="s">
        <v>26</v>
      </c>
      <c r="G221" t="str">
        <f>HYPERLINK("https://www.facebook.com/permalink.php?story_fbid=2626249161024079&amp;id=100009170625998&amp;comment_id=2626327851016210&amp;reply_comment_id=2627326667582995")</f>
        <v>https://www.facebook.com/permalink.php?story_fbid=2626249161024079&amp;id=100009170625998&amp;comment_id=2626327851016210&amp;reply_comment_id=2627326667582995</v>
      </c>
      <c r="H221" t="s">
        <v>885</v>
      </c>
      <c r="I221" t="s">
        <v>1961</v>
      </c>
      <c r="J221" t="str">
        <f>HYPERLINK("https://www.facebook.com/100009170625998")</f>
        <v>https://www.facebook.com/100009170625998</v>
      </c>
      <c r="K221">
        <v>759</v>
      </c>
      <c r="L221" t="s">
        <v>80</v>
      </c>
      <c r="N221" t="s">
        <v>179</v>
      </c>
      <c r="O221" t="s">
        <v>1961</v>
      </c>
      <c r="P221" t="str">
        <f>HYPERLINK("https://www.facebook.com/100009170625998")</f>
        <v>https://www.facebook.com/100009170625998</v>
      </c>
      <c r="Q221">
        <v>759</v>
      </c>
      <c r="R221" t="s">
        <v>17</v>
      </c>
      <c r="S221" t="s">
        <v>18</v>
      </c>
      <c r="T221" t="s">
        <v>354</v>
      </c>
      <c r="U221" t="s">
        <v>354</v>
      </c>
      <c r="AJ221" t="s">
        <v>10</v>
      </c>
      <c r="AK221" t="s">
        <v>21</v>
      </c>
      <c r="AO221" t="s">
        <v>3240</v>
      </c>
    </row>
    <row r="222" spans="1:50" x14ac:dyDescent="0.25">
      <c r="A222" t="s">
        <v>2057</v>
      </c>
      <c r="B222" t="s">
        <v>2006</v>
      </c>
      <c r="C222" t="s">
        <v>968</v>
      </c>
      <c r="D222" t="s">
        <v>2074</v>
      </c>
      <c r="E222" t="s">
        <v>2075</v>
      </c>
      <c r="F222" t="s">
        <v>45</v>
      </c>
      <c r="G222" t="str">
        <f>HYPERLINK("https://www.google.com/maps/reviews/data=!4m5!14m4!1m3!1m2!1s100058337329369365189!2s0x0:0x7aa350319f05d5c6?hl=en-NL")</f>
        <v>https://www.google.com/maps/reviews/data=!4m5!14m4!1m3!1m2!1s100058337329369365189!2s0x0:0x7aa350319f05d5c6?hl=en-NL</v>
      </c>
      <c r="H222" t="s">
        <v>889</v>
      </c>
      <c r="I222" t="s">
        <v>2076</v>
      </c>
      <c r="J222" t="str">
        <f>HYPERLINK("https://maps.google.com/maps/contrib/100058337329369365189")</f>
        <v>https://maps.google.com/maps/contrib/100058337329369365189</v>
      </c>
      <c r="N222" t="s">
        <v>615</v>
      </c>
      <c r="O222" t="s">
        <v>2074</v>
      </c>
      <c r="P222" t="str">
        <f>HYPERLINK("https://maps.google.com/maps/place/data=!3m1!4b1!4m5!3m4!1s0x0:0x7aa350319f05d5c6!8m2!3d32.963120!4d-97.349740")</f>
        <v>https://maps.google.com/maps/place/data=!3m1!4b1!4m5!3m4!1s0x0:0x7aa350319f05d5c6!8m2!3d32.963120!4d-97.349740</v>
      </c>
      <c r="R222" t="s">
        <v>616</v>
      </c>
      <c r="S222" t="s">
        <v>425</v>
      </c>
      <c r="T222" t="s">
        <v>695</v>
      </c>
      <c r="U222" t="s">
        <v>2077</v>
      </c>
      <c r="AH222">
        <v>5</v>
      </c>
      <c r="AJ222" t="s">
        <v>10</v>
      </c>
      <c r="AK222" t="s">
        <v>21</v>
      </c>
      <c r="AO222" t="s">
        <v>3240</v>
      </c>
    </row>
    <row r="223" spans="1:50" x14ac:dyDescent="0.25">
      <c r="A223" t="s">
        <v>1158</v>
      </c>
      <c r="B223" t="s">
        <v>1159</v>
      </c>
      <c r="C223" t="s">
        <v>984</v>
      </c>
      <c r="D223" t="s">
        <v>10</v>
      </c>
      <c r="E223" t="s">
        <v>1160</v>
      </c>
      <c r="F223" t="s">
        <v>45</v>
      </c>
      <c r="G223" t="str">
        <f>HYPERLINK("https://vk.com/wall222824675_1854")</f>
        <v>https://vk.com/wall222824675_1854</v>
      </c>
      <c r="H223" t="s">
        <v>885</v>
      </c>
      <c r="I223" t="s">
        <v>1161</v>
      </c>
      <c r="J223" t="str">
        <f>HYPERLINK("http://vk.com/id222824675")</f>
        <v>http://vk.com/id222824675</v>
      </c>
      <c r="K223">
        <v>146</v>
      </c>
      <c r="L223" t="s">
        <v>80</v>
      </c>
      <c r="M223">
        <v>36</v>
      </c>
      <c r="N223" t="s">
        <v>16</v>
      </c>
      <c r="O223" t="s">
        <v>1161</v>
      </c>
      <c r="P223" t="str">
        <f>HYPERLINK("http://vk.com/id222824675")</f>
        <v>http://vk.com/id222824675</v>
      </c>
      <c r="Q223">
        <v>146</v>
      </c>
      <c r="R223" t="s">
        <v>17</v>
      </c>
      <c r="S223" t="s">
        <v>18</v>
      </c>
      <c r="T223" t="s">
        <v>266</v>
      </c>
      <c r="U223" t="s">
        <v>266</v>
      </c>
      <c r="AJ223" t="s">
        <v>10</v>
      </c>
      <c r="AK223" t="s">
        <v>21</v>
      </c>
      <c r="AM223" t="s">
        <v>3238</v>
      </c>
      <c r="AN223" t="s">
        <v>3239</v>
      </c>
      <c r="AT223" t="s">
        <v>3245</v>
      </c>
      <c r="AV223" t="s">
        <v>3247</v>
      </c>
      <c r="AW223" t="s">
        <v>3248</v>
      </c>
      <c r="AX223" t="s">
        <v>3249</v>
      </c>
    </row>
    <row r="224" spans="1:50" x14ac:dyDescent="0.25">
      <c r="A224" t="s">
        <v>1158</v>
      </c>
      <c r="B224" t="s">
        <v>1004</v>
      </c>
      <c r="C224" t="s">
        <v>984</v>
      </c>
      <c r="D224" t="s">
        <v>10</v>
      </c>
      <c r="E224" t="s">
        <v>1196</v>
      </c>
      <c r="F224" t="s">
        <v>45</v>
      </c>
      <c r="G224" t="str">
        <f>HYPERLINK("https://vk.com/wall-171669151_1134")</f>
        <v>https://vk.com/wall-171669151_1134</v>
      </c>
      <c r="H224" t="s">
        <v>885</v>
      </c>
      <c r="I224" t="s">
        <v>524</v>
      </c>
      <c r="J224" t="str">
        <f>HYPERLINK("http://vk.com/club171669151")</f>
        <v>http://vk.com/club171669151</v>
      </c>
      <c r="K224">
        <v>6183</v>
      </c>
      <c r="L224" t="s">
        <v>28</v>
      </c>
      <c r="N224" t="s">
        <v>16</v>
      </c>
      <c r="O224" t="s">
        <v>524</v>
      </c>
      <c r="P224" t="str">
        <f>HYPERLINK("http://vk.com/club171669151")</f>
        <v>http://vk.com/club171669151</v>
      </c>
      <c r="Q224">
        <v>6183</v>
      </c>
      <c r="R224" t="s">
        <v>17</v>
      </c>
      <c r="S224" t="s">
        <v>18</v>
      </c>
      <c r="T224" t="s">
        <v>525</v>
      </c>
      <c r="U224" t="s">
        <v>526</v>
      </c>
      <c r="W224">
        <v>3</v>
      </c>
      <c r="X224">
        <v>3</v>
      </c>
      <c r="AE224">
        <v>0</v>
      </c>
      <c r="AF224">
        <v>0</v>
      </c>
      <c r="AG224">
        <v>2057</v>
      </c>
      <c r="AI224" t="str">
        <f>HYPERLINK("https://sun9-57.userapi.com/c858124/v858124965/22ec71/Wbt9p09j1pI.jpg")</f>
        <v>https://sun9-57.userapi.com/c858124/v858124965/22ec71/Wbt9p09j1pI.jpg</v>
      </c>
      <c r="AJ224" t="s">
        <v>10</v>
      </c>
      <c r="AK224" t="s">
        <v>21</v>
      </c>
      <c r="AL224" t="s">
        <v>3237</v>
      </c>
      <c r="AN224" t="s">
        <v>3239</v>
      </c>
    </row>
    <row r="225" spans="1:52" x14ac:dyDescent="0.25">
      <c r="A225" t="s">
        <v>1518</v>
      </c>
      <c r="B225" t="s">
        <v>1533</v>
      </c>
      <c r="C225" t="s">
        <v>984</v>
      </c>
      <c r="D225" t="s">
        <v>10</v>
      </c>
      <c r="E225" t="s">
        <v>1534</v>
      </c>
      <c r="F225" t="s">
        <v>1020</v>
      </c>
      <c r="G225" t="str">
        <f>HYPERLINK("https://vk.com/wall177394877_587")</f>
        <v>https://vk.com/wall177394877_587</v>
      </c>
      <c r="H225" t="s">
        <v>885</v>
      </c>
      <c r="I225" t="s">
        <v>1535</v>
      </c>
      <c r="J225" t="str">
        <f>HYPERLINK("http://vk.com/id177394877")</f>
        <v>http://vk.com/id177394877</v>
      </c>
      <c r="K225">
        <v>129</v>
      </c>
      <c r="L225" t="s">
        <v>80</v>
      </c>
      <c r="M225">
        <v>42</v>
      </c>
      <c r="N225" t="s">
        <v>16</v>
      </c>
      <c r="O225" t="s">
        <v>1535</v>
      </c>
      <c r="P225" t="str">
        <f>HYPERLINK("http://vk.com/id177394877")</f>
        <v>http://vk.com/id177394877</v>
      </c>
      <c r="Q225">
        <v>129</v>
      </c>
      <c r="R225" t="s">
        <v>17</v>
      </c>
      <c r="S225" t="s">
        <v>18</v>
      </c>
      <c r="T225" t="s">
        <v>231</v>
      </c>
      <c r="U225" t="s">
        <v>232</v>
      </c>
      <c r="W225">
        <v>1</v>
      </c>
      <c r="X225">
        <v>1</v>
      </c>
      <c r="AE225">
        <v>0</v>
      </c>
      <c r="AF225">
        <v>0</v>
      </c>
      <c r="AG225">
        <v>27</v>
      </c>
      <c r="AI225" t="str">
        <f>HYPERLINK("https://sun9-51.userapi.com/c857624/v857624545/22e882/Vf5OaH3C2oc.jpg")</f>
        <v>https://sun9-51.userapi.com/c857624/v857624545/22e882/Vf5OaH3C2oc.jpg</v>
      </c>
      <c r="AJ225" t="s">
        <v>10</v>
      </c>
      <c r="AK225" t="s">
        <v>21</v>
      </c>
      <c r="AL225" t="s">
        <v>3237</v>
      </c>
      <c r="AN225" t="s">
        <v>3239</v>
      </c>
    </row>
    <row r="226" spans="1:52" x14ac:dyDescent="0.25">
      <c r="A226" t="s">
        <v>1723</v>
      </c>
      <c r="B226" t="s">
        <v>899</v>
      </c>
      <c r="C226" t="s">
        <v>984</v>
      </c>
      <c r="D226" t="s">
        <v>1749</v>
      </c>
      <c r="E226" t="s">
        <v>1750</v>
      </c>
      <c r="F226" t="s">
        <v>45</v>
      </c>
      <c r="G226" t="str">
        <f>HYPERLINK("http://novosibirsk.flamp.ru/firm/mrt_ehkspert_set_diagnosticheskikh_centrov-141265770896738/otzyv-6298699")</f>
        <v>http://novosibirsk.flamp.ru/firm/mrt_ehkspert_set_diagnosticheskikh_centrov-141265770896738/otzyv-6298699</v>
      </c>
      <c r="H226" t="s">
        <v>889</v>
      </c>
      <c r="I226" t="s">
        <v>1751</v>
      </c>
      <c r="J226" t="str">
        <f>HYPERLINK("http://flamp.ru/user292575")</f>
        <v>http://flamp.ru/user292575</v>
      </c>
      <c r="K226">
        <v>39</v>
      </c>
      <c r="L226" t="s">
        <v>80</v>
      </c>
      <c r="N226" t="s">
        <v>1752</v>
      </c>
      <c r="O226" t="s">
        <v>1749</v>
      </c>
      <c r="P226" t="str">
        <f>HYPERLINK("https://novosibirsk.flamp.ru/firm/mrt_ehkspert_set_diagnosticheskikh_centrov-141265770896738")</f>
        <v>https://novosibirsk.flamp.ru/firm/mrt_ehkspert_set_diagnosticheskikh_centrov-141265770896738</v>
      </c>
      <c r="R226" t="s">
        <v>616</v>
      </c>
      <c r="S226" t="s">
        <v>18</v>
      </c>
      <c r="T226" t="s">
        <v>1315</v>
      </c>
      <c r="U226" t="s">
        <v>1580</v>
      </c>
      <c r="AH226">
        <v>5</v>
      </c>
      <c r="AJ226" t="s">
        <v>10</v>
      </c>
      <c r="AK226" t="s">
        <v>21</v>
      </c>
      <c r="AN226" t="s">
        <v>3239</v>
      </c>
    </row>
    <row r="227" spans="1:52" x14ac:dyDescent="0.25">
      <c r="A227" t="s">
        <v>2057</v>
      </c>
      <c r="B227" t="s">
        <v>2078</v>
      </c>
      <c r="C227" t="s">
        <v>968</v>
      </c>
      <c r="D227" t="s">
        <v>2079</v>
      </c>
      <c r="E227" t="s">
        <v>2080</v>
      </c>
      <c r="F227" t="s">
        <v>26</v>
      </c>
      <c r="G227" t="str">
        <f>HYPERLINK("https://vk.com/wall-151342970_590479?reply=590499")</f>
        <v>https://vk.com/wall-151342970_590479?reply=590499</v>
      </c>
      <c r="H227" t="s">
        <v>885</v>
      </c>
      <c r="I227" t="s">
        <v>1179</v>
      </c>
      <c r="J227" t="str">
        <f>HYPERLINK("http://vk.com/id43531499")</f>
        <v>http://vk.com/id43531499</v>
      </c>
      <c r="K227">
        <v>535</v>
      </c>
      <c r="L227" t="s">
        <v>80</v>
      </c>
      <c r="N227" t="s">
        <v>16</v>
      </c>
      <c r="O227" t="s">
        <v>2081</v>
      </c>
      <c r="P227" t="str">
        <f>HYPERLINK("http://vk.com/club151342970")</f>
        <v>http://vk.com/club151342970</v>
      </c>
      <c r="Q227">
        <v>31538</v>
      </c>
      <c r="R227" t="s">
        <v>17</v>
      </c>
      <c r="S227" t="s">
        <v>18</v>
      </c>
      <c r="T227" t="s">
        <v>1181</v>
      </c>
      <c r="U227" t="s">
        <v>1182</v>
      </c>
      <c r="AJ227" t="s">
        <v>10</v>
      </c>
      <c r="AK227" t="s">
        <v>21</v>
      </c>
      <c r="AL227" t="s">
        <v>3237</v>
      </c>
      <c r="AT227" t="s">
        <v>3245</v>
      </c>
      <c r="AU227" t="s">
        <v>3246</v>
      </c>
      <c r="AX227" t="s">
        <v>3249</v>
      </c>
    </row>
    <row r="228" spans="1:52" x14ac:dyDescent="0.25">
      <c r="A228" t="s">
        <v>2193</v>
      </c>
      <c r="B228" t="s">
        <v>2204</v>
      </c>
      <c r="C228" t="s">
        <v>968</v>
      </c>
      <c r="D228" t="s">
        <v>421</v>
      </c>
      <c r="E228" t="s">
        <v>2205</v>
      </c>
      <c r="F228" t="s">
        <v>26</v>
      </c>
      <c r="G228" t="str">
        <f>HYPERLINK("https://www.youtube.com/watch?v=gaka1vqYFNs&amp;lc=Ugyo3OD5jlF8UJrLTn14AaABAg")</f>
        <v>https://www.youtube.com/watch?v=gaka1vqYFNs&amp;lc=Ugyo3OD5jlF8UJrLTn14AaABAg</v>
      </c>
      <c r="H228" t="s">
        <v>885</v>
      </c>
      <c r="I228" t="s">
        <v>2206</v>
      </c>
      <c r="J228" t="str">
        <f>HYPERLINK("https://www.youtube.com/channel/UCB_4XZJ-2qyPdfaakD1zO_Q")</f>
        <v>https://www.youtube.com/channel/UCB_4XZJ-2qyPdfaakD1zO_Q</v>
      </c>
      <c r="K228">
        <v>0</v>
      </c>
      <c r="L228" t="s">
        <v>15</v>
      </c>
      <c r="N228" t="s">
        <v>162</v>
      </c>
      <c r="O228" t="s">
        <v>424</v>
      </c>
      <c r="P228" t="str">
        <f>HYPERLINK("https://www.youtube.com/channel/UC8fQzKHIhSoZeSq3bwQx4mw")</f>
        <v>https://www.youtube.com/channel/UC8fQzKHIhSoZeSq3bwQx4mw</v>
      </c>
      <c r="Q228">
        <v>517000</v>
      </c>
      <c r="R228" t="s">
        <v>17</v>
      </c>
      <c r="S228" t="s">
        <v>425</v>
      </c>
      <c r="W228">
        <v>16</v>
      </c>
      <c r="X228">
        <v>16</v>
      </c>
      <c r="AE228">
        <v>0</v>
      </c>
      <c r="AJ228" t="s">
        <v>10</v>
      </c>
      <c r="AK228" t="s">
        <v>21</v>
      </c>
      <c r="AL228" t="s">
        <v>3237</v>
      </c>
    </row>
    <row r="229" spans="1:52" x14ac:dyDescent="0.25">
      <c r="A229" t="s">
        <v>2193</v>
      </c>
      <c r="B229" t="s">
        <v>1484</v>
      </c>
      <c r="C229" t="s">
        <v>968</v>
      </c>
      <c r="D229" t="s">
        <v>10</v>
      </c>
      <c r="E229" t="s">
        <v>2235</v>
      </c>
      <c r="F229" t="s">
        <v>45</v>
      </c>
      <c r="G229" t="str">
        <f>HYPERLINK("https://vk.com/wall-158633337_940")</f>
        <v>https://vk.com/wall-158633337_940</v>
      </c>
      <c r="H229" t="s">
        <v>885</v>
      </c>
      <c r="I229" t="s">
        <v>125</v>
      </c>
      <c r="J229" t="str">
        <f>HYPERLINK("http://vk.com/club158633337")</f>
        <v>http://vk.com/club158633337</v>
      </c>
      <c r="K229">
        <v>4852</v>
      </c>
      <c r="L229" t="s">
        <v>28</v>
      </c>
      <c r="N229" t="s">
        <v>16</v>
      </c>
      <c r="O229" t="s">
        <v>125</v>
      </c>
      <c r="P229" t="str">
        <f>HYPERLINK("http://vk.com/club158633337")</f>
        <v>http://vk.com/club158633337</v>
      </c>
      <c r="Q229">
        <v>4852</v>
      </c>
      <c r="R229" t="s">
        <v>17</v>
      </c>
      <c r="S229" t="s">
        <v>18</v>
      </c>
      <c r="T229" t="s">
        <v>126</v>
      </c>
      <c r="U229" t="s">
        <v>127</v>
      </c>
      <c r="W229">
        <v>0</v>
      </c>
      <c r="X229">
        <v>0</v>
      </c>
      <c r="AE229">
        <v>0</v>
      </c>
      <c r="AF229">
        <v>0</v>
      </c>
      <c r="AG229">
        <v>112</v>
      </c>
      <c r="AI229" t="str">
        <f>HYPERLINK("https://sun1-99.userapi.com/u85X4ZM9_w_6WK0RS4Fs6y9FOJ3V7PzXs1oW9A/dEZ7zJ55U3w.jpg")</f>
        <v>https://sun1-99.userapi.com/u85X4ZM9_w_6WK0RS4Fs6y9FOJ3V7PzXs1oW9A/dEZ7zJ55U3w.jpg</v>
      </c>
      <c r="AJ229" t="s">
        <v>10</v>
      </c>
      <c r="AK229" t="s">
        <v>21</v>
      </c>
      <c r="AW229" t="s">
        <v>3248</v>
      </c>
      <c r="AX229" t="s">
        <v>3249</v>
      </c>
    </row>
    <row r="230" spans="1:52" x14ac:dyDescent="0.25">
      <c r="A230" t="s">
        <v>2380</v>
      </c>
      <c r="B230" t="s">
        <v>2391</v>
      </c>
      <c r="C230" t="s">
        <v>968</v>
      </c>
      <c r="D230" t="s">
        <v>2392</v>
      </c>
      <c r="E230" t="s">
        <v>2393</v>
      </c>
      <c r="F230" t="s">
        <v>45</v>
      </c>
      <c r="G230" t="str">
        <f>HYPERLINK("https://zen.yandex.ru/media/id/5e414dabcbb49f45fcf938c0/5f14532baa42523e92228ed2")</f>
        <v>https://zen.yandex.ru/media/id/5e414dabcbb49f45fcf938c0/5f14532baa42523e92228ed2</v>
      </c>
      <c r="H230" t="s">
        <v>885</v>
      </c>
      <c r="I230" t="s">
        <v>1152</v>
      </c>
      <c r="J230" t="str">
        <f>HYPERLINK("https://zen.yandex.ru/id/5e414dabcbb49f45fcf938c0")</f>
        <v>https://zen.yandex.ru/id/5e414dabcbb49f45fcf938c0</v>
      </c>
      <c r="K230">
        <v>12</v>
      </c>
      <c r="N230" t="s">
        <v>1153</v>
      </c>
      <c r="R230" t="s">
        <v>966</v>
      </c>
      <c r="S230" t="s">
        <v>18</v>
      </c>
      <c r="AE230">
        <v>0</v>
      </c>
      <c r="AG230">
        <v>5</v>
      </c>
      <c r="AI230" t="str">
        <f>HYPERLINK("https://avatars.mds.yandex.net/get-zen_doc/3499786/pub_5f14532baa42523e92228ed2_5f1453803d899d7f9af7d18c/scale_1200")</f>
        <v>https://avatars.mds.yandex.net/get-zen_doc/3499786/pub_5f14532baa42523e92228ed2_5f1453803d899d7f9af7d18c/scale_1200</v>
      </c>
      <c r="AJ230" t="s">
        <v>10</v>
      </c>
      <c r="AK230" t="s">
        <v>21</v>
      </c>
      <c r="AT230" t="s">
        <v>3245</v>
      </c>
      <c r="AU230" t="s">
        <v>3246</v>
      </c>
      <c r="AW230" t="s">
        <v>3248</v>
      </c>
      <c r="AX230" t="s">
        <v>3249</v>
      </c>
    </row>
    <row r="231" spans="1:52" x14ac:dyDescent="0.25">
      <c r="A231" t="s">
        <v>2589</v>
      </c>
      <c r="B231" t="s">
        <v>2672</v>
      </c>
      <c r="C231" t="s">
        <v>968</v>
      </c>
      <c r="D231" t="s">
        <v>10</v>
      </c>
      <c r="E231" t="s">
        <v>2673</v>
      </c>
      <c r="F231" t="s">
        <v>26</v>
      </c>
      <c r="G231" t="str">
        <f>HYPERLINK("https://twitter.com/969024646837407744/status/1283195046980878339")</f>
        <v>https://twitter.com/969024646837407744/status/1283195046980878339</v>
      </c>
      <c r="H231" t="s">
        <v>885</v>
      </c>
      <c r="I231" t="s">
        <v>2665</v>
      </c>
      <c r="J231" t="str">
        <f>HYPERLINK("http://twitter.com/realpritch9")</f>
        <v>http://twitter.com/realpritch9</v>
      </c>
      <c r="K231">
        <v>53</v>
      </c>
      <c r="N231" t="s">
        <v>54</v>
      </c>
      <c r="R231" t="s">
        <v>17</v>
      </c>
      <c r="S231" t="s">
        <v>425</v>
      </c>
      <c r="AI231" t="str">
        <f>HYPERLINK("https://pbs.twimg.com/ext_tw_video_thumb/1283186784189456384/pu/img/S0qKtZy0dgriWM-3.jpg")</f>
        <v>https://pbs.twimg.com/ext_tw_video_thumb/1283186784189456384/pu/img/S0qKtZy0dgriWM-3.jpg</v>
      </c>
      <c r="AJ231" t="s">
        <v>10</v>
      </c>
      <c r="AK231" t="s">
        <v>21</v>
      </c>
      <c r="AV231" t="s">
        <v>3247</v>
      </c>
      <c r="AW231" t="s">
        <v>3248</v>
      </c>
      <c r="AX231" t="s">
        <v>3249</v>
      </c>
    </row>
    <row r="232" spans="1:52" x14ac:dyDescent="0.25">
      <c r="A232" t="s">
        <v>2684</v>
      </c>
      <c r="B232" t="s">
        <v>1564</v>
      </c>
      <c r="C232" t="s">
        <v>968</v>
      </c>
      <c r="D232" t="s">
        <v>10</v>
      </c>
      <c r="E232" t="s">
        <v>2752</v>
      </c>
      <c r="F232" t="s">
        <v>45</v>
      </c>
      <c r="G232" t="str">
        <f>HYPERLINK("https://www.facebook.com/permalink.php?story_fbid=3309588415753229&amp;id=100001063100518")</f>
        <v>https://www.facebook.com/permalink.php?story_fbid=3309588415753229&amp;id=100001063100518</v>
      </c>
      <c r="H232" t="s">
        <v>889</v>
      </c>
      <c r="I232" t="s">
        <v>2754</v>
      </c>
      <c r="J232" t="str">
        <f>HYPERLINK("https://www.facebook.com/100001063100518")</f>
        <v>https://www.facebook.com/100001063100518</v>
      </c>
      <c r="K232">
        <v>2154</v>
      </c>
      <c r="L232" t="s">
        <v>80</v>
      </c>
      <c r="N232" t="s">
        <v>179</v>
      </c>
      <c r="O232" t="s">
        <v>2754</v>
      </c>
      <c r="P232" t="str">
        <f>HYPERLINK("https://www.facebook.com/100001063100518")</f>
        <v>https://www.facebook.com/100001063100518</v>
      </c>
      <c r="Q232">
        <v>2154</v>
      </c>
      <c r="R232" t="s">
        <v>17</v>
      </c>
      <c r="S232" t="s">
        <v>18</v>
      </c>
      <c r="T232" t="s">
        <v>1015</v>
      </c>
      <c r="U232" t="s">
        <v>1016</v>
      </c>
      <c r="W232">
        <v>40</v>
      </c>
      <c r="X232">
        <v>39</v>
      </c>
      <c r="Y232">
        <v>1</v>
      </c>
      <c r="Z232">
        <v>0</v>
      </c>
      <c r="AA232">
        <v>0</v>
      </c>
      <c r="AB232">
        <v>0</v>
      </c>
      <c r="AC232">
        <v>0</v>
      </c>
      <c r="AE232">
        <v>8</v>
      </c>
      <c r="AF232">
        <v>1</v>
      </c>
      <c r="AI232" t="str">
        <f>HYPERLINK("https://scontent-hel2-1.xx.fbcdn.net/v/t1.0-9/107896233_3309584482420289_8432793678039861666_n.jpg?_nc_cat=107&amp;_nc_sid=0debeb&amp;_nc_ht=scontent-hel2-1.xx&amp;oh=b9c24f99cbb8b4a59a33413fdd2782b1&amp;oe=5F35C18E")</f>
        <v>https://scontent-hel2-1.xx.fbcdn.net/v/t1.0-9/107896233_3309584482420289_8432793678039861666_n.jpg?_nc_cat=107&amp;_nc_sid=0debeb&amp;_nc_ht=scontent-hel2-1.xx&amp;oh=b9c24f99cbb8b4a59a33413fdd2782b1&amp;oe=5F35C18E</v>
      </c>
      <c r="AJ232" t="s">
        <v>10</v>
      </c>
      <c r="AK232" t="s">
        <v>21</v>
      </c>
      <c r="AV232" t="s">
        <v>3247</v>
      </c>
      <c r="AX232" t="s">
        <v>3249</v>
      </c>
    </row>
    <row r="233" spans="1:52" x14ac:dyDescent="0.25">
      <c r="A233" t="s">
        <v>2865</v>
      </c>
      <c r="B233" t="s">
        <v>2881</v>
      </c>
      <c r="C233" t="s">
        <v>968</v>
      </c>
      <c r="D233" t="s">
        <v>10</v>
      </c>
      <c r="E233" t="s">
        <v>2882</v>
      </c>
      <c r="F233" t="s">
        <v>26</v>
      </c>
      <c r="G233" t="str">
        <f>HYPERLINK("https://twitter.com/16481548/status/1282194317260369922")</f>
        <v>https://twitter.com/16481548/status/1282194317260369922</v>
      </c>
      <c r="H233" t="s">
        <v>885</v>
      </c>
      <c r="I233" t="s">
        <v>115</v>
      </c>
      <c r="J233" t="str">
        <f>HYPERLINK("http://twitter.com/KCTaz")</f>
        <v>http://twitter.com/KCTaz</v>
      </c>
      <c r="K233">
        <v>2088</v>
      </c>
      <c r="N233" t="s">
        <v>54</v>
      </c>
      <c r="R233" t="s">
        <v>17</v>
      </c>
      <c r="W233">
        <v>0</v>
      </c>
      <c r="X233">
        <v>0</v>
      </c>
      <c r="AF233">
        <v>0</v>
      </c>
      <c r="AJ233" t="s">
        <v>10</v>
      </c>
      <c r="AK233" t="s">
        <v>21</v>
      </c>
      <c r="AU233" t="s">
        <v>3246</v>
      </c>
      <c r="AV233" t="s">
        <v>3247</v>
      </c>
    </row>
    <row r="234" spans="1:52" x14ac:dyDescent="0.25">
      <c r="A234" t="s">
        <v>2915</v>
      </c>
      <c r="B234" t="s">
        <v>2814</v>
      </c>
      <c r="C234" t="s">
        <v>968</v>
      </c>
      <c r="D234" t="s">
        <v>10</v>
      </c>
      <c r="E234" t="s">
        <v>2954</v>
      </c>
      <c r="F234" t="s">
        <v>45</v>
      </c>
      <c r="G234" t="str">
        <f>HYPERLINK("https://www.instagram.com/p/CCftdoMhLfD")</f>
        <v>https://www.instagram.com/p/CCftdoMhLfD</v>
      </c>
      <c r="H234" t="s">
        <v>885</v>
      </c>
      <c r="I234" t="s">
        <v>1145</v>
      </c>
      <c r="J234" t="str">
        <f>HYPERLINK("http://instagram.com/dr_kosmetolog_kursk")</f>
        <v>http://instagram.com/dr_kosmetolog_kursk</v>
      </c>
      <c r="K234">
        <v>1296</v>
      </c>
      <c r="N234" t="s">
        <v>69</v>
      </c>
      <c r="O234" t="s">
        <v>1145</v>
      </c>
      <c r="P234" t="str">
        <f>HYPERLINK("http://instagram.com/dr_kosmetolog_kursk")</f>
        <v>http://instagram.com/dr_kosmetolog_kursk</v>
      </c>
      <c r="Q234">
        <v>1296</v>
      </c>
      <c r="R234" t="s">
        <v>17</v>
      </c>
      <c r="S234" t="s">
        <v>18</v>
      </c>
      <c r="T234" t="s">
        <v>231</v>
      </c>
      <c r="U234" t="s">
        <v>1266</v>
      </c>
      <c r="AI234" t="str">
        <f>HYPERLINK("https://www.instagram.com/p/CCftdoMhLfD/media/?size=l")</f>
        <v>https://www.instagram.com/p/CCftdoMhLfD/media/?size=l</v>
      </c>
      <c r="AJ234" t="s">
        <v>10</v>
      </c>
      <c r="AK234" t="s">
        <v>21</v>
      </c>
      <c r="AN234" t="s">
        <v>3239</v>
      </c>
      <c r="AT234" t="s">
        <v>3245</v>
      </c>
      <c r="AX234" t="s">
        <v>3249</v>
      </c>
      <c r="AY234" t="s">
        <v>3250</v>
      </c>
    </row>
    <row r="235" spans="1:52" x14ac:dyDescent="0.25">
      <c r="A235" t="s">
        <v>2978</v>
      </c>
      <c r="B235" t="s">
        <v>926</v>
      </c>
      <c r="C235" t="s">
        <v>968</v>
      </c>
      <c r="D235" t="s">
        <v>2987</v>
      </c>
      <c r="E235" t="s">
        <v>2988</v>
      </c>
      <c r="F235" t="s">
        <v>45</v>
      </c>
      <c r="G235" t="str">
        <f>HYPERLINK("https://zen.yandex.ru/media/id/5e99570ef1710d606e93aa0d/5f086d9c18f9b81237d66c4d")</f>
        <v>https://zen.yandex.ru/media/id/5e99570ef1710d606e93aa0d/5f086d9c18f9b81237d66c4d</v>
      </c>
      <c r="H235" t="s">
        <v>885</v>
      </c>
      <c r="I235" t="s">
        <v>2231</v>
      </c>
      <c r="J235" t="str">
        <f>HYPERLINK("https://zen.yandex.ru/id/5e99570ef1710d606e93aa0d")</f>
        <v>https://zen.yandex.ru/id/5e99570ef1710d606e93aa0d</v>
      </c>
      <c r="K235">
        <v>7</v>
      </c>
      <c r="N235" t="s">
        <v>1153</v>
      </c>
      <c r="R235" t="s">
        <v>966</v>
      </c>
      <c r="S235" t="s">
        <v>18</v>
      </c>
      <c r="AE235">
        <v>0</v>
      </c>
      <c r="AG235">
        <v>56</v>
      </c>
      <c r="AI235" t="str">
        <f>HYPERLINK("https://avatars.mds.yandex.net/get-zen_doc/3507292/pub_5f086d9c18f9b81237d66c4d_5f0872df4eb46835c8fb1d0a/scale_1200")</f>
        <v>https://avatars.mds.yandex.net/get-zen_doc/3507292/pub_5f086d9c18f9b81237d66c4d_5f0872df4eb46835c8fb1d0a/scale_1200</v>
      </c>
      <c r="AJ235" t="s">
        <v>10</v>
      </c>
      <c r="AK235" t="s">
        <v>21</v>
      </c>
      <c r="AU235" t="s">
        <v>3246</v>
      </c>
      <c r="AV235" t="s">
        <v>3247</v>
      </c>
      <c r="AW235" t="s">
        <v>3248</v>
      </c>
      <c r="AY235" t="s">
        <v>3250</v>
      </c>
      <c r="AZ235" t="s">
        <v>3251</v>
      </c>
    </row>
    <row r="236" spans="1:52" x14ac:dyDescent="0.25">
      <c r="A236" t="s">
        <v>3021</v>
      </c>
      <c r="B236" t="s">
        <v>3026</v>
      </c>
      <c r="C236" t="s">
        <v>968</v>
      </c>
      <c r="D236" t="s">
        <v>421</v>
      </c>
      <c r="E236" t="s">
        <v>3027</v>
      </c>
      <c r="F236" t="s">
        <v>26</v>
      </c>
      <c r="G236" t="str">
        <f>HYPERLINK("https://www.youtube.com/watch?v=gaka1vqYFNs&amp;lc=UgwOfhMeozfbN9CpgvJ4AaABAg")</f>
        <v>https://www.youtube.com/watch?v=gaka1vqYFNs&amp;lc=UgwOfhMeozfbN9CpgvJ4AaABAg</v>
      </c>
      <c r="H236" t="s">
        <v>885</v>
      </c>
      <c r="I236" t="s">
        <v>3028</v>
      </c>
      <c r="J236" t="str">
        <f>HYPERLINK("https://www.youtube.com/channel/UC6XjfWRxLIeWl1ZP06UXObg")</f>
        <v>https://www.youtube.com/channel/UC6XjfWRxLIeWl1ZP06UXObg</v>
      </c>
      <c r="K236">
        <v>0</v>
      </c>
      <c r="L236" t="s">
        <v>15</v>
      </c>
      <c r="N236" t="s">
        <v>162</v>
      </c>
      <c r="O236" t="s">
        <v>424</v>
      </c>
      <c r="P236" t="str">
        <f>HYPERLINK("https://www.youtube.com/channel/UC8fQzKHIhSoZeSq3bwQx4mw")</f>
        <v>https://www.youtube.com/channel/UC8fQzKHIhSoZeSq3bwQx4mw</v>
      </c>
      <c r="Q236">
        <v>517000</v>
      </c>
      <c r="R236" t="s">
        <v>17</v>
      </c>
      <c r="S236" t="s">
        <v>425</v>
      </c>
      <c r="AJ236" t="s">
        <v>10</v>
      </c>
      <c r="AK236" t="s">
        <v>21</v>
      </c>
      <c r="AT236" t="s">
        <v>3245</v>
      </c>
      <c r="AU236" t="s">
        <v>3246</v>
      </c>
      <c r="AV236" t="s">
        <v>3247</v>
      </c>
    </row>
    <row r="237" spans="1:52" x14ac:dyDescent="0.25">
      <c r="A237" t="s">
        <v>2380</v>
      </c>
      <c r="B237" t="s">
        <v>1574</v>
      </c>
      <c r="C237" t="s">
        <v>968</v>
      </c>
      <c r="D237" t="s">
        <v>2414</v>
      </c>
      <c r="E237" t="s">
        <v>2415</v>
      </c>
      <c r="F237" t="s">
        <v>45</v>
      </c>
      <c r="G237" t="str">
        <f>HYPERLINK("https://vrachirf.ru/concilium/76598.html")</f>
        <v>https://vrachirf.ru/concilium/76598.html</v>
      </c>
      <c r="H237" t="s">
        <v>885</v>
      </c>
      <c r="I237" t="s">
        <v>1058</v>
      </c>
      <c r="J237" t="str">
        <f>HYPERLINK("https://vrachirf.ru/users/profile/684679")</f>
        <v>https://vrachirf.ru/users/profile/684679</v>
      </c>
      <c r="L237" t="s">
        <v>15</v>
      </c>
      <c r="N237" t="s">
        <v>1059</v>
      </c>
      <c r="O237" t="s">
        <v>1058</v>
      </c>
      <c r="P237" t="str">
        <f>HYPERLINK("https://vrachirf.ru/users/profile/684679")</f>
        <v>https://vrachirf.ru/users/profile/684679</v>
      </c>
      <c r="R237" t="s">
        <v>966</v>
      </c>
      <c r="S237" t="s">
        <v>18</v>
      </c>
      <c r="T237" t="s">
        <v>1060</v>
      </c>
      <c r="U237" t="s">
        <v>1061</v>
      </c>
      <c r="AJ237" t="s">
        <v>10</v>
      </c>
      <c r="AK237" t="s">
        <v>21</v>
      </c>
      <c r="AT237" t="s">
        <v>3245</v>
      </c>
      <c r="AU237" t="s">
        <v>3246</v>
      </c>
      <c r="AW237" t="s">
        <v>3248</v>
      </c>
      <c r="AX237" t="s">
        <v>3249</v>
      </c>
      <c r="AY237" t="s">
        <v>3250</v>
      </c>
      <c r="AZ237" t="s">
        <v>3251</v>
      </c>
    </row>
    <row r="238" spans="1:52" x14ac:dyDescent="0.25">
      <c r="A238" t="s">
        <v>2589</v>
      </c>
      <c r="B238" t="s">
        <v>42</v>
      </c>
      <c r="C238" t="s">
        <v>968</v>
      </c>
      <c r="D238" t="s">
        <v>10</v>
      </c>
      <c r="E238" t="s">
        <v>2625</v>
      </c>
      <c r="F238" t="s">
        <v>45</v>
      </c>
      <c r="G238" t="str">
        <f>HYPERLINK("https://vk.com/wall-48669646_10170")</f>
        <v>https://vk.com/wall-48669646_10170</v>
      </c>
      <c r="H238" t="s">
        <v>885</v>
      </c>
      <c r="I238" t="s">
        <v>46</v>
      </c>
      <c r="J238" t="str">
        <f>HYPERLINK("http://vk.com/club48669646")</f>
        <v>http://vk.com/club48669646</v>
      </c>
      <c r="K238">
        <v>5795</v>
      </c>
      <c r="L238" t="s">
        <v>28</v>
      </c>
      <c r="N238" t="s">
        <v>16</v>
      </c>
      <c r="O238" t="s">
        <v>46</v>
      </c>
      <c r="P238" t="str">
        <f>HYPERLINK("http://vk.com/club48669646")</f>
        <v>http://vk.com/club48669646</v>
      </c>
      <c r="Q238">
        <v>5795</v>
      </c>
      <c r="R238" t="s">
        <v>17</v>
      </c>
      <c r="S238" t="s">
        <v>18</v>
      </c>
      <c r="W238">
        <v>0</v>
      </c>
      <c r="X238">
        <v>0</v>
      </c>
      <c r="AE238">
        <v>0</v>
      </c>
      <c r="AF238">
        <v>0</v>
      </c>
      <c r="AG238">
        <v>318</v>
      </c>
      <c r="AI238" t="str">
        <f>HYPERLINK("https://sun1-87.userapi.com/aNSQhOKeyXA0-vw4XSvzD93mDb6EgOKXO67zrQ/_EIwB4_nqGE.jpg")</f>
        <v>https://sun1-87.userapi.com/aNSQhOKeyXA0-vw4XSvzD93mDb6EgOKXO67zrQ/_EIwB4_nqGE.jpg</v>
      </c>
      <c r="AJ238" t="s">
        <v>10</v>
      </c>
      <c r="AK238" t="s">
        <v>21</v>
      </c>
      <c r="AQ238" t="s">
        <v>3242</v>
      </c>
      <c r="AR238" t="s">
        <v>3243</v>
      </c>
      <c r="AS238" t="s">
        <v>3244</v>
      </c>
      <c r="AZ238" t="s">
        <v>3251</v>
      </c>
    </row>
    <row r="239" spans="1:52" x14ac:dyDescent="0.25">
      <c r="A239" t="s">
        <v>7</v>
      </c>
      <c r="B239" t="s">
        <v>402</v>
      </c>
      <c r="C239" t="s">
        <v>403</v>
      </c>
      <c r="D239" t="s">
        <v>24</v>
      </c>
      <c r="E239" t="s">
        <v>74</v>
      </c>
      <c r="F239" t="s">
        <v>26</v>
      </c>
      <c r="G239" t="str">
        <f>HYPERLINK("https://vk.com/wall-197114981_31?reply=1288&amp;thread=1243")</f>
        <v>https://vk.com/wall-197114981_31?reply=1288&amp;thread=1243</v>
      </c>
      <c r="H239" t="s">
        <v>13</v>
      </c>
      <c r="I239" t="s">
        <v>27</v>
      </c>
      <c r="J239" t="str">
        <f>HYPERLINK("http://vk.com/club197114981")</f>
        <v>http://vk.com/club197114981</v>
      </c>
      <c r="K239">
        <v>38</v>
      </c>
      <c r="L239" t="s">
        <v>28</v>
      </c>
      <c r="N239" t="s">
        <v>16</v>
      </c>
      <c r="O239" t="s">
        <v>27</v>
      </c>
      <c r="P239" t="str">
        <f>HYPERLINK("http://vk.com/club197114981")</f>
        <v>http://vk.com/club197114981</v>
      </c>
      <c r="Q239">
        <v>38</v>
      </c>
      <c r="R239" t="s">
        <v>17</v>
      </c>
      <c r="AJ239" t="s">
        <v>10</v>
      </c>
      <c r="AK239" t="s">
        <v>21</v>
      </c>
      <c r="AL239" t="s">
        <v>3237</v>
      </c>
      <c r="AO239" t="s">
        <v>3240</v>
      </c>
      <c r="AV239" t="s">
        <v>3247</v>
      </c>
      <c r="AX239" t="s">
        <v>3249</v>
      </c>
      <c r="AY239" t="s">
        <v>3250</v>
      </c>
    </row>
    <row r="240" spans="1:52" x14ac:dyDescent="0.25">
      <c r="A240" t="s">
        <v>414</v>
      </c>
      <c r="B240" t="s">
        <v>42</v>
      </c>
      <c r="C240" t="s">
        <v>571</v>
      </c>
      <c r="D240" t="s">
        <v>10</v>
      </c>
      <c r="E240" t="s">
        <v>572</v>
      </c>
      <c r="F240" t="s">
        <v>12</v>
      </c>
      <c r="G240" t="str">
        <f>HYPERLINK("https://www.facebook.com/568390943273818/posts/3055664667879754")</f>
        <v>https://www.facebook.com/568390943273818/posts/3055664667879754</v>
      </c>
      <c r="H240" t="s">
        <v>13</v>
      </c>
      <c r="I240" t="s">
        <v>280</v>
      </c>
      <c r="J240" t="str">
        <f>HYPERLINK("https://www.facebook.com/568390943273818")</f>
        <v>https://www.facebook.com/568390943273818</v>
      </c>
      <c r="K240">
        <v>18918</v>
      </c>
      <c r="L240" t="s">
        <v>28</v>
      </c>
      <c r="N240" t="s">
        <v>179</v>
      </c>
      <c r="O240" t="s">
        <v>280</v>
      </c>
      <c r="P240" t="str">
        <f>HYPERLINK("https://www.facebook.com/568390943273818")</f>
        <v>https://www.facebook.com/568390943273818</v>
      </c>
      <c r="Q240">
        <v>18918</v>
      </c>
      <c r="R240" t="s">
        <v>17</v>
      </c>
      <c r="S240" t="s">
        <v>281</v>
      </c>
      <c r="T240" t="s">
        <v>282</v>
      </c>
      <c r="U240" t="s">
        <v>282</v>
      </c>
      <c r="W240">
        <v>10</v>
      </c>
      <c r="X240">
        <v>10</v>
      </c>
      <c r="Y240">
        <v>0</v>
      </c>
      <c r="Z240">
        <v>0</v>
      </c>
      <c r="AA240">
        <v>0</v>
      </c>
      <c r="AB240">
        <v>0</v>
      </c>
      <c r="AC240">
        <v>0</v>
      </c>
      <c r="AE240">
        <v>0</v>
      </c>
      <c r="AF240">
        <v>0</v>
      </c>
      <c r="AI240" t="s">
        <v>573</v>
      </c>
      <c r="AJ240" t="s">
        <v>10</v>
      </c>
      <c r="AK240" t="s">
        <v>21</v>
      </c>
      <c r="AO240" t="s">
        <v>3240</v>
      </c>
      <c r="AT240" t="s">
        <v>3245</v>
      </c>
      <c r="AV240" t="s">
        <v>3247</v>
      </c>
      <c r="AX240" t="s">
        <v>3249</v>
      </c>
    </row>
    <row r="241" spans="1:52" x14ac:dyDescent="0.25">
      <c r="A241" t="s">
        <v>772</v>
      </c>
      <c r="B241" t="s">
        <v>783</v>
      </c>
      <c r="C241" t="s">
        <v>784</v>
      </c>
      <c r="D241" t="s">
        <v>24</v>
      </c>
      <c r="E241" t="s">
        <v>786</v>
      </c>
      <c r="F241" t="s">
        <v>26</v>
      </c>
      <c r="G241" t="str">
        <f>HYPERLINK("https://vk.com/wall-197114981_31?reply=1158")</f>
        <v>https://vk.com/wall-197114981_31?reply=1158</v>
      </c>
      <c r="H241" t="s">
        <v>13</v>
      </c>
      <c r="I241" t="s">
        <v>679</v>
      </c>
      <c r="J241" t="str">
        <f>HYPERLINK("http://vk.com/id12541741")</f>
        <v>http://vk.com/id12541741</v>
      </c>
      <c r="K241">
        <v>5833</v>
      </c>
      <c r="L241" t="s">
        <v>80</v>
      </c>
      <c r="M241">
        <v>37</v>
      </c>
      <c r="N241" t="s">
        <v>16</v>
      </c>
      <c r="O241" t="s">
        <v>27</v>
      </c>
      <c r="P241" t="str">
        <f>HYPERLINK("http://vk.com/club197114981")</f>
        <v>http://vk.com/club197114981</v>
      </c>
      <c r="Q241">
        <v>38</v>
      </c>
      <c r="R241" t="s">
        <v>17</v>
      </c>
      <c r="S241" t="s">
        <v>18</v>
      </c>
      <c r="T241" t="s">
        <v>231</v>
      </c>
      <c r="U241" t="s">
        <v>232</v>
      </c>
      <c r="AJ241" t="s">
        <v>10</v>
      </c>
      <c r="AK241" t="s">
        <v>21</v>
      </c>
      <c r="AN241" t="s">
        <v>3239</v>
      </c>
    </row>
    <row r="242" spans="1:52" x14ac:dyDescent="0.25">
      <c r="A242" t="s">
        <v>772</v>
      </c>
      <c r="B242" t="s">
        <v>821</v>
      </c>
      <c r="C242" t="s">
        <v>822</v>
      </c>
      <c r="D242" t="s">
        <v>10</v>
      </c>
      <c r="E242" t="s">
        <v>823</v>
      </c>
      <c r="F242" t="s">
        <v>45</v>
      </c>
      <c r="G242" t="str">
        <f>HYPERLINK("https://www.instagram.com/p/CDo7AXOHeEE")</f>
        <v>https://www.instagram.com/p/CDo7AXOHeEE</v>
      </c>
      <c r="H242" t="s">
        <v>13</v>
      </c>
      <c r="I242" t="s">
        <v>824</v>
      </c>
      <c r="J242" t="str">
        <f>HYPERLINK("http://instagram.com/dr.olga_balakhontseva")</f>
        <v>http://instagram.com/dr.olga_balakhontseva</v>
      </c>
      <c r="K242">
        <v>15064</v>
      </c>
      <c r="N242" t="s">
        <v>69</v>
      </c>
      <c r="O242" t="s">
        <v>824</v>
      </c>
      <c r="P242" t="str">
        <f>HYPERLINK("http://instagram.com/dr.olga_balakhontseva")</f>
        <v>http://instagram.com/dr.olga_balakhontseva</v>
      </c>
      <c r="Q242">
        <v>15064</v>
      </c>
      <c r="R242" t="s">
        <v>17</v>
      </c>
      <c r="S242" t="s">
        <v>18</v>
      </c>
      <c r="T242" t="s">
        <v>825</v>
      </c>
      <c r="U242" t="s">
        <v>826</v>
      </c>
      <c r="W242">
        <v>58</v>
      </c>
      <c r="X242">
        <v>58</v>
      </c>
      <c r="AE242">
        <v>0</v>
      </c>
      <c r="AI242" t="str">
        <f>HYPERLINK("https://www.instagram.com/p/CDo7AXOHeEE/media/?size=l")</f>
        <v>https://www.instagram.com/p/CDo7AXOHeEE/media/?size=l</v>
      </c>
      <c r="AJ242" t="s">
        <v>10</v>
      </c>
      <c r="AK242" t="s">
        <v>21</v>
      </c>
      <c r="AL242" t="s">
        <v>3237</v>
      </c>
    </row>
    <row r="243" spans="1:52" x14ac:dyDescent="0.25">
      <c r="A243" t="s">
        <v>1597</v>
      </c>
      <c r="B243" t="s">
        <v>1615</v>
      </c>
      <c r="C243" t="s">
        <v>984</v>
      </c>
      <c r="D243" t="s">
        <v>421</v>
      </c>
      <c r="E243" t="s">
        <v>1616</v>
      </c>
      <c r="F243" t="s">
        <v>26</v>
      </c>
      <c r="G243" t="str">
        <f>HYPERLINK("https://www.youtube.com/watch?v=gaka1vqYFNs&amp;lc=Ugx67DU64B3YV8Evj6N4AaABAg")</f>
        <v>https://www.youtube.com/watch?v=gaka1vqYFNs&amp;lc=Ugx67DU64B3YV8Evj6N4AaABAg</v>
      </c>
      <c r="H243" t="s">
        <v>885</v>
      </c>
      <c r="I243" t="s">
        <v>1617</v>
      </c>
      <c r="J243" t="str">
        <f>HYPERLINK("https://www.youtube.com/channel/UCQc0XXl_82LnJ4hRLQnWLCg")</f>
        <v>https://www.youtube.com/channel/UCQc0XXl_82LnJ4hRLQnWLCg</v>
      </c>
      <c r="K243">
        <v>0</v>
      </c>
      <c r="L243" t="s">
        <v>80</v>
      </c>
      <c r="N243" t="s">
        <v>162</v>
      </c>
      <c r="O243" t="s">
        <v>424</v>
      </c>
      <c r="P243" t="str">
        <f>HYPERLINK("https://www.youtube.com/channel/UC8fQzKHIhSoZeSq3bwQx4mw")</f>
        <v>https://www.youtube.com/channel/UC8fQzKHIhSoZeSq3bwQx4mw</v>
      </c>
      <c r="Q243">
        <v>517000</v>
      </c>
      <c r="R243" t="s">
        <v>17</v>
      </c>
      <c r="S243" t="s">
        <v>425</v>
      </c>
      <c r="AJ243" t="s">
        <v>10</v>
      </c>
      <c r="AK243" t="s">
        <v>21</v>
      </c>
      <c r="AL243" t="s">
        <v>3237</v>
      </c>
      <c r="AQ243" t="s">
        <v>3242</v>
      </c>
      <c r="AR243" t="s">
        <v>3243</v>
      </c>
      <c r="AS243" t="s">
        <v>3244</v>
      </c>
      <c r="AT243" t="s">
        <v>3245</v>
      </c>
      <c r="AW243" t="s">
        <v>3248</v>
      </c>
      <c r="AX243" t="s">
        <v>3249</v>
      </c>
      <c r="AY243" t="s">
        <v>3250</v>
      </c>
    </row>
    <row r="244" spans="1:52" x14ac:dyDescent="0.25">
      <c r="A244" t="s">
        <v>2589</v>
      </c>
      <c r="B244" t="s">
        <v>2668</v>
      </c>
      <c r="C244" t="s">
        <v>968</v>
      </c>
      <c r="D244" t="s">
        <v>10</v>
      </c>
      <c r="E244" t="s">
        <v>2670</v>
      </c>
      <c r="F244" t="s">
        <v>26</v>
      </c>
      <c r="G244" t="str">
        <f>HYPERLINK("https://twitter.com/969024646837407744/status/1283197158158733312")</f>
        <v>https://twitter.com/969024646837407744/status/1283197158158733312</v>
      </c>
      <c r="H244" t="s">
        <v>885</v>
      </c>
      <c r="I244" t="s">
        <v>2665</v>
      </c>
      <c r="J244" t="str">
        <f>HYPERLINK("http://twitter.com/realpritch9")</f>
        <v>http://twitter.com/realpritch9</v>
      </c>
      <c r="K244">
        <v>53</v>
      </c>
      <c r="N244" t="s">
        <v>54</v>
      </c>
      <c r="R244" t="s">
        <v>17</v>
      </c>
      <c r="S244" t="s">
        <v>425</v>
      </c>
      <c r="AI244" t="str">
        <f>HYPERLINK("https://pbs.twimg.com/ext_tw_video_thumb/1283186784189456384/pu/img/S0qKtZy0dgriWM-3.jpg")</f>
        <v>https://pbs.twimg.com/ext_tw_video_thumb/1283186784189456384/pu/img/S0qKtZy0dgriWM-3.jpg</v>
      </c>
      <c r="AJ244" t="s">
        <v>10</v>
      </c>
      <c r="AK244" t="s">
        <v>21</v>
      </c>
      <c r="AO244" t="s">
        <v>3240</v>
      </c>
      <c r="AQ244" t="s">
        <v>3242</v>
      </c>
      <c r="AR244" t="s">
        <v>3243</v>
      </c>
      <c r="AS244" t="s">
        <v>3244</v>
      </c>
      <c r="AT244" t="s">
        <v>3245</v>
      </c>
      <c r="AU244" t="s">
        <v>3246</v>
      </c>
      <c r="AW244" t="s">
        <v>3248</v>
      </c>
      <c r="AZ244" t="s">
        <v>3251</v>
      </c>
    </row>
    <row r="245" spans="1:52" x14ac:dyDescent="0.25">
      <c r="A245" t="s">
        <v>1158</v>
      </c>
      <c r="B245" t="s">
        <v>1171</v>
      </c>
      <c r="C245" t="s">
        <v>984</v>
      </c>
      <c r="D245" t="s">
        <v>10</v>
      </c>
      <c r="E245" t="s">
        <v>1174</v>
      </c>
      <c r="F245" t="s">
        <v>45</v>
      </c>
      <c r="G245" t="str">
        <f>HYPERLINK("https://vk.com/wall-122327832_629")</f>
        <v>https://vk.com/wall-122327832_629</v>
      </c>
      <c r="H245" t="s">
        <v>885</v>
      </c>
      <c r="I245" t="s">
        <v>1170</v>
      </c>
      <c r="J245" t="str">
        <f>HYPERLINK("http://vk.com/club122327832")</f>
        <v>http://vk.com/club122327832</v>
      </c>
      <c r="K245">
        <v>891</v>
      </c>
      <c r="L245" t="s">
        <v>28</v>
      </c>
      <c r="N245" t="s">
        <v>16</v>
      </c>
      <c r="O245" t="s">
        <v>1170</v>
      </c>
      <c r="P245" t="str">
        <f>HYPERLINK("http://vk.com/club122327832")</f>
        <v>http://vk.com/club122327832</v>
      </c>
      <c r="Q245">
        <v>891</v>
      </c>
      <c r="R245" t="s">
        <v>17</v>
      </c>
      <c r="S245" t="s">
        <v>18</v>
      </c>
      <c r="T245" t="s">
        <v>70</v>
      </c>
      <c r="U245" t="s">
        <v>71</v>
      </c>
      <c r="W245">
        <v>2</v>
      </c>
      <c r="X245">
        <v>2</v>
      </c>
      <c r="AE245">
        <v>0</v>
      </c>
      <c r="AF245">
        <v>1</v>
      </c>
      <c r="AG245">
        <v>153</v>
      </c>
      <c r="AI245" t="str">
        <f>HYPERLINK("https://sun9-18.userapi.com/c206628/v206628496/1753ef/0KWfRc5Uw64.jpg")</f>
        <v>https://sun9-18.userapi.com/c206628/v206628496/1753ef/0KWfRc5Uw64.jpg</v>
      </c>
      <c r="AJ245" t="s">
        <v>10</v>
      </c>
      <c r="AK245" t="s">
        <v>21</v>
      </c>
      <c r="AO245" t="s">
        <v>3240</v>
      </c>
      <c r="AQ245" t="s">
        <v>3242</v>
      </c>
      <c r="AZ245" t="s">
        <v>3251</v>
      </c>
    </row>
    <row r="246" spans="1:52" x14ac:dyDescent="0.25">
      <c r="A246" t="s">
        <v>3100</v>
      </c>
      <c r="B246" t="s">
        <v>3198</v>
      </c>
      <c r="C246" t="s">
        <v>968</v>
      </c>
      <c r="D246" t="s">
        <v>3199</v>
      </c>
      <c r="E246" t="s">
        <v>3200</v>
      </c>
      <c r="F246" t="s">
        <v>45</v>
      </c>
      <c r="G246" t="str">
        <f>HYPERLINK("https://www.youtube.com/watch?v=LsAhziNSKkI")</f>
        <v>https://www.youtube.com/watch?v=LsAhziNSKkI</v>
      </c>
      <c r="H246" t="s">
        <v>885</v>
      </c>
      <c r="I246" t="s">
        <v>2294</v>
      </c>
      <c r="J246" t="str">
        <f>HYPERLINK("https://www.youtube.com/channel/UC7CCLGuvHnJvLJRa0rGeksw")</f>
        <v>https://www.youtube.com/channel/UC7CCLGuvHnJvLJRa0rGeksw</v>
      </c>
      <c r="K246">
        <v>2850</v>
      </c>
      <c r="N246" t="s">
        <v>162</v>
      </c>
      <c r="O246" t="s">
        <v>2294</v>
      </c>
      <c r="P246" t="str">
        <f>HYPERLINK("https://www.youtube.com/channel/UC7CCLGuvHnJvLJRa0rGeksw")</f>
        <v>https://www.youtube.com/channel/UC7CCLGuvHnJvLJRa0rGeksw</v>
      </c>
      <c r="Q246">
        <v>2850</v>
      </c>
      <c r="R246" t="s">
        <v>17</v>
      </c>
      <c r="S246" t="s">
        <v>2297</v>
      </c>
      <c r="W246">
        <v>0</v>
      </c>
      <c r="X246">
        <v>0</v>
      </c>
      <c r="AD246">
        <v>0</v>
      </c>
      <c r="AE246">
        <v>0</v>
      </c>
      <c r="AG246">
        <v>15</v>
      </c>
      <c r="AI246" t="str">
        <f>HYPERLINK("https://i.ytimg.com/vi/LsAhziNSKkI/sddefault.jpg")</f>
        <v>https://i.ytimg.com/vi/LsAhziNSKkI/sddefault.jpg</v>
      </c>
      <c r="AJ246" t="s">
        <v>10</v>
      </c>
      <c r="AK246" t="s">
        <v>21</v>
      </c>
      <c r="AM246" t="s">
        <v>3238</v>
      </c>
      <c r="AN246" t="s">
        <v>3239</v>
      </c>
      <c r="AQ246" t="s">
        <v>3242</v>
      </c>
      <c r="AZ246" t="s">
        <v>3251</v>
      </c>
    </row>
    <row r="247" spans="1:52" x14ac:dyDescent="0.25">
      <c r="A247" t="s">
        <v>414</v>
      </c>
      <c r="B247" t="s">
        <v>513</v>
      </c>
      <c r="C247" t="s">
        <v>514</v>
      </c>
      <c r="D247" t="s">
        <v>10</v>
      </c>
      <c r="E247" t="s">
        <v>515</v>
      </c>
      <c r="F247" t="s">
        <v>45</v>
      </c>
      <c r="G247" t="str">
        <f>HYPERLINK("https://vk.com/wall-189946230_10097")</f>
        <v>https://vk.com/wall-189946230_10097</v>
      </c>
      <c r="H247" t="s">
        <v>13</v>
      </c>
      <c r="I247" t="s">
        <v>516</v>
      </c>
      <c r="J247" t="str">
        <f>HYPERLINK("http://vk.com/club189946230")</f>
        <v>http://vk.com/club189946230</v>
      </c>
      <c r="K247">
        <v>105</v>
      </c>
      <c r="L247" t="s">
        <v>28</v>
      </c>
      <c r="N247" t="s">
        <v>16</v>
      </c>
      <c r="O247" t="s">
        <v>516</v>
      </c>
      <c r="P247" t="str">
        <f>HYPERLINK("http://vk.com/club189946230")</f>
        <v>http://vk.com/club189946230</v>
      </c>
      <c r="Q247">
        <v>105</v>
      </c>
      <c r="R247" t="s">
        <v>17</v>
      </c>
      <c r="W247">
        <v>0</v>
      </c>
      <c r="X247">
        <v>0</v>
      </c>
      <c r="AE247">
        <v>0</v>
      </c>
      <c r="AF247">
        <v>0</v>
      </c>
      <c r="AG247">
        <v>1</v>
      </c>
      <c r="AJ247" t="s">
        <v>10</v>
      </c>
      <c r="AK247" t="s">
        <v>21</v>
      </c>
      <c r="AN247" t="s">
        <v>3239</v>
      </c>
      <c r="AQ247" t="s">
        <v>3242</v>
      </c>
      <c r="AZ247" t="s">
        <v>3251</v>
      </c>
    </row>
    <row r="248" spans="1:52" x14ac:dyDescent="0.25">
      <c r="A248" t="s">
        <v>772</v>
      </c>
      <c r="B248" t="s">
        <v>787</v>
      </c>
      <c r="C248" t="s">
        <v>788</v>
      </c>
      <c r="D248" t="s">
        <v>24</v>
      </c>
      <c r="E248" t="s">
        <v>790</v>
      </c>
      <c r="F248" t="s">
        <v>26</v>
      </c>
      <c r="G248" t="str">
        <f>HYPERLINK("https://vk.com/wall-197114981_31?reply=1156")</f>
        <v>https://vk.com/wall-197114981_31?reply=1156</v>
      </c>
      <c r="H248" t="s">
        <v>13</v>
      </c>
      <c r="I248" t="s">
        <v>679</v>
      </c>
      <c r="J248" t="str">
        <f>HYPERLINK("http://vk.com/id12541741")</f>
        <v>http://vk.com/id12541741</v>
      </c>
      <c r="K248">
        <v>5833</v>
      </c>
      <c r="L248" t="s">
        <v>80</v>
      </c>
      <c r="M248">
        <v>37</v>
      </c>
      <c r="N248" t="s">
        <v>16</v>
      </c>
      <c r="O248" t="s">
        <v>27</v>
      </c>
      <c r="P248" t="str">
        <f>HYPERLINK("http://vk.com/club197114981")</f>
        <v>http://vk.com/club197114981</v>
      </c>
      <c r="Q248">
        <v>38</v>
      </c>
      <c r="R248" t="s">
        <v>17</v>
      </c>
      <c r="S248" t="s">
        <v>18</v>
      </c>
      <c r="T248" t="s">
        <v>231</v>
      </c>
      <c r="U248" t="s">
        <v>232</v>
      </c>
      <c r="AJ248" t="s">
        <v>10</v>
      </c>
      <c r="AK248" t="s">
        <v>21</v>
      </c>
      <c r="AM248" t="s">
        <v>3238</v>
      </c>
      <c r="AQ248" t="s">
        <v>3242</v>
      </c>
      <c r="AZ248" t="s">
        <v>3251</v>
      </c>
    </row>
    <row r="249" spans="1:52" x14ac:dyDescent="0.25">
      <c r="A249" t="s">
        <v>1597</v>
      </c>
      <c r="B249" t="s">
        <v>1652</v>
      </c>
      <c r="C249" t="s">
        <v>984</v>
      </c>
      <c r="D249" t="s">
        <v>1653</v>
      </c>
      <c r="E249" t="s">
        <v>1654</v>
      </c>
      <c r="F249" t="s">
        <v>45</v>
      </c>
      <c r="G249" t="str">
        <f>HYPERLINK("https://zen.yandex.ru/media/id/5e414dabcbb49f45fcf938c0/5f2171dc9f844058459788d7")</f>
        <v>https://zen.yandex.ru/media/id/5e414dabcbb49f45fcf938c0/5f2171dc9f844058459788d7</v>
      </c>
      <c r="H249" t="s">
        <v>885</v>
      </c>
      <c r="I249" t="s">
        <v>1152</v>
      </c>
      <c r="J249" t="str">
        <f>HYPERLINK("https://zen.yandex.ru/id/5e414dabcbb49f45fcf938c0")</f>
        <v>https://zen.yandex.ru/id/5e414dabcbb49f45fcf938c0</v>
      </c>
      <c r="K249">
        <v>12</v>
      </c>
      <c r="N249" t="s">
        <v>1153</v>
      </c>
      <c r="R249" t="s">
        <v>966</v>
      </c>
      <c r="S249" t="s">
        <v>18</v>
      </c>
      <c r="AE249">
        <v>0</v>
      </c>
      <c r="AG249">
        <v>2</v>
      </c>
      <c r="AI249" t="str">
        <f>HYPERLINK("https://avatars.mds.yandex.net/get-zen_doc/1628837/pub_5f2171dc9f844058459788d7_5f2172e4f01f506fcb9d01f5/scale_1200")</f>
        <v>https://avatars.mds.yandex.net/get-zen_doc/1628837/pub_5f2171dc9f844058459788d7_5f2172e4f01f506fcb9d01f5/scale_1200</v>
      </c>
      <c r="AJ249" t="s">
        <v>10</v>
      </c>
      <c r="AK249" t="s">
        <v>21</v>
      </c>
      <c r="AL249" t="s">
        <v>3237</v>
      </c>
      <c r="AQ249" t="s">
        <v>3242</v>
      </c>
      <c r="AZ249" t="s">
        <v>3251</v>
      </c>
    </row>
    <row r="250" spans="1:52" x14ac:dyDescent="0.25">
      <c r="A250" t="s">
        <v>1723</v>
      </c>
      <c r="B250" t="s">
        <v>986</v>
      </c>
      <c r="C250" t="s">
        <v>984</v>
      </c>
      <c r="D250" t="s">
        <v>10</v>
      </c>
      <c r="E250" t="s">
        <v>1813</v>
      </c>
      <c r="F250" t="s">
        <v>12</v>
      </c>
      <c r="G250" t="str">
        <f>HYPERLINK("https://vk.com/wall50283993_2988")</f>
        <v>https://vk.com/wall50283993_2988</v>
      </c>
      <c r="H250" t="s">
        <v>885</v>
      </c>
      <c r="I250" t="s">
        <v>1814</v>
      </c>
      <c r="J250" t="str">
        <f>HYPERLINK("http://vk.com/id50283993")</f>
        <v>http://vk.com/id50283993</v>
      </c>
      <c r="K250">
        <v>342</v>
      </c>
      <c r="L250" t="s">
        <v>80</v>
      </c>
      <c r="M250">
        <v>22</v>
      </c>
      <c r="N250" t="s">
        <v>16</v>
      </c>
      <c r="O250" t="s">
        <v>1814</v>
      </c>
      <c r="P250" t="str">
        <f>HYPERLINK("http://vk.com/id50283993")</f>
        <v>http://vk.com/id50283993</v>
      </c>
      <c r="Q250">
        <v>342</v>
      </c>
      <c r="R250" t="s">
        <v>17</v>
      </c>
      <c r="S250" t="s">
        <v>18</v>
      </c>
      <c r="AI250" t="str">
        <f>HYPERLINK("https://sun3-12.userapi.com/dBZNOMsavd6eqTof62YcT1OMIU9e6kK3a-qkNw/v41qL4rTBs4.jpg")</f>
        <v>https://sun3-12.userapi.com/dBZNOMsavd6eqTof62YcT1OMIU9e6kK3a-qkNw/v41qL4rTBs4.jpg</v>
      </c>
      <c r="AJ250" t="s">
        <v>10</v>
      </c>
      <c r="AK250" t="s">
        <v>21</v>
      </c>
      <c r="AL250" t="s">
        <v>3237</v>
      </c>
      <c r="AQ250" t="s">
        <v>3242</v>
      </c>
      <c r="AZ250" t="s">
        <v>3251</v>
      </c>
    </row>
    <row r="251" spans="1:52" x14ac:dyDescent="0.25">
      <c r="A251" t="s">
        <v>1930</v>
      </c>
      <c r="B251" t="s">
        <v>143</v>
      </c>
      <c r="C251" t="s">
        <v>984</v>
      </c>
      <c r="D251" t="s">
        <v>1959</v>
      </c>
      <c r="E251" t="s">
        <v>1966</v>
      </c>
      <c r="F251" t="s">
        <v>26</v>
      </c>
      <c r="G251" t="str">
        <f>HYPERLINK("https://www.facebook.com/permalink.php?story_fbid=2626249161024079&amp;id=100009170625998&amp;comment_id=2628184197497242&amp;reply_comment_id=2628227817492880")</f>
        <v>https://www.facebook.com/permalink.php?story_fbid=2626249161024079&amp;id=100009170625998&amp;comment_id=2628184197497242&amp;reply_comment_id=2628227817492880</v>
      </c>
      <c r="H251" t="s">
        <v>885</v>
      </c>
      <c r="I251" t="s">
        <v>1961</v>
      </c>
      <c r="J251" t="str">
        <f>HYPERLINK("https://www.facebook.com/100009170625998")</f>
        <v>https://www.facebook.com/100009170625998</v>
      </c>
      <c r="K251">
        <v>759</v>
      </c>
      <c r="L251" t="s">
        <v>80</v>
      </c>
      <c r="N251" t="s">
        <v>179</v>
      </c>
      <c r="O251" t="s">
        <v>1961</v>
      </c>
      <c r="P251" t="str">
        <f>HYPERLINK("https://www.facebook.com/100009170625998")</f>
        <v>https://www.facebook.com/100009170625998</v>
      </c>
      <c r="Q251">
        <v>759</v>
      </c>
      <c r="R251" t="s">
        <v>17</v>
      </c>
      <c r="S251" t="s">
        <v>18</v>
      </c>
      <c r="T251" t="s">
        <v>354</v>
      </c>
      <c r="U251" t="s">
        <v>354</v>
      </c>
      <c r="AJ251" t="s">
        <v>10</v>
      </c>
      <c r="AK251" t="s">
        <v>21</v>
      </c>
      <c r="AL251" t="s">
        <v>3237</v>
      </c>
      <c r="AO251" t="s">
        <v>3240</v>
      </c>
    </row>
    <row r="252" spans="1:52" x14ac:dyDescent="0.25">
      <c r="A252" t="s">
        <v>2290</v>
      </c>
      <c r="B252" t="s">
        <v>1468</v>
      </c>
      <c r="C252" t="s">
        <v>968</v>
      </c>
      <c r="D252" t="s">
        <v>10</v>
      </c>
      <c r="E252" t="s">
        <v>2328</v>
      </c>
      <c r="F252" t="s">
        <v>45</v>
      </c>
      <c r="G252" t="str">
        <f>HYPERLINK("https://www.facebook.com/mriexpert/posts/3201557033244085")</f>
        <v>https://www.facebook.com/mriexpert/posts/3201557033244085</v>
      </c>
      <c r="H252" t="s">
        <v>885</v>
      </c>
      <c r="I252" t="s">
        <v>46</v>
      </c>
      <c r="J252" t="str">
        <f>HYPERLINK("https://www.facebook.com/902980129768465")</f>
        <v>https://www.facebook.com/902980129768465</v>
      </c>
      <c r="K252">
        <v>1509</v>
      </c>
      <c r="L252" t="s">
        <v>28</v>
      </c>
      <c r="N252" t="s">
        <v>179</v>
      </c>
      <c r="O252" t="s">
        <v>46</v>
      </c>
      <c r="P252" t="str">
        <f>HYPERLINK("https://www.facebook.com/902980129768465")</f>
        <v>https://www.facebook.com/902980129768465</v>
      </c>
      <c r="Q252">
        <v>1509</v>
      </c>
      <c r="R252" t="s">
        <v>17</v>
      </c>
      <c r="W252">
        <v>1</v>
      </c>
      <c r="X252">
        <v>1</v>
      </c>
      <c r="Y252">
        <v>0</v>
      </c>
      <c r="Z252">
        <v>0</v>
      </c>
      <c r="AA252">
        <v>0</v>
      </c>
      <c r="AB252">
        <v>0</v>
      </c>
      <c r="AC252">
        <v>0</v>
      </c>
      <c r="AE252">
        <v>0</v>
      </c>
      <c r="AI252" t="str">
        <f>HYPERLINK("https://scontent-hel2-1.xx.fbcdn.net/v/t1.0-9/s960x960/115711367_3201556626577459_2616699283497630384_o.jpg?_nc_cat=109&amp;_nc_sid=730e14&amp;_nc_ohc=rm-2b0hl9_wAX9JXL9f&amp;_nc_ht=scontent-hel2-1.xx&amp;_nc_tp=7&amp;oh=df3cf326d4c2a069b36c8c7e114c30e9&amp;oe=5F3C095A")</f>
        <v>https://scontent-hel2-1.xx.fbcdn.net/v/t1.0-9/s960x960/115711367_3201556626577459_2616699283497630384_o.jpg?_nc_cat=109&amp;_nc_sid=730e14&amp;_nc_ohc=rm-2b0hl9_wAX9JXL9f&amp;_nc_ht=scontent-hel2-1.xx&amp;_nc_tp=7&amp;oh=df3cf326d4c2a069b36c8c7e114c30e9&amp;oe=5F3C095A</v>
      </c>
      <c r="AJ252" t="s">
        <v>10</v>
      </c>
      <c r="AK252" t="s">
        <v>21</v>
      </c>
      <c r="AL252" t="s">
        <v>3237</v>
      </c>
      <c r="AO252" t="s">
        <v>3240</v>
      </c>
    </row>
    <row r="253" spans="1:52" x14ac:dyDescent="0.25">
      <c r="A253" t="s">
        <v>2915</v>
      </c>
      <c r="B253" t="s">
        <v>274</v>
      </c>
      <c r="C253" t="s">
        <v>968</v>
      </c>
      <c r="D253" t="s">
        <v>1236</v>
      </c>
      <c r="E253" t="s">
        <v>2959</v>
      </c>
      <c r="F253" t="s">
        <v>26</v>
      </c>
      <c r="G253" t="str">
        <f>HYPERLINK("https://www.youtube.com/watch?v=laG_UAIUZ6w&amp;lc=Ugw2Y7oJZfw7JlxuPfZ4AaABAg")</f>
        <v>https://www.youtube.com/watch?v=laG_UAIUZ6w&amp;lc=Ugw2Y7oJZfw7JlxuPfZ4AaABAg</v>
      </c>
      <c r="H253" t="s">
        <v>885</v>
      </c>
      <c r="I253" t="s">
        <v>2960</v>
      </c>
      <c r="J253" t="str">
        <f>HYPERLINK("https://www.youtube.com/channel/UCZ-70wnHci8w03t_05wbmFQ")</f>
        <v>https://www.youtube.com/channel/UCZ-70wnHci8w03t_05wbmFQ</v>
      </c>
      <c r="K253">
        <v>15</v>
      </c>
      <c r="L253" t="s">
        <v>15</v>
      </c>
      <c r="N253" t="s">
        <v>162</v>
      </c>
      <c r="O253" t="s">
        <v>424</v>
      </c>
      <c r="P253" t="str">
        <f>HYPERLINK("https://www.youtube.com/channel/UC8fQzKHIhSoZeSq3bwQx4mw")</f>
        <v>https://www.youtube.com/channel/UC8fQzKHIhSoZeSq3bwQx4mw</v>
      </c>
      <c r="Q253">
        <v>517000</v>
      </c>
      <c r="R253" t="s">
        <v>17</v>
      </c>
      <c r="S253" t="s">
        <v>425</v>
      </c>
      <c r="W253">
        <v>0</v>
      </c>
      <c r="X253">
        <v>0</v>
      </c>
      <c r="AE253">
        <v>1</v>
      </c>
      <c r="AJ253" t="s">
        <v>10</v>
      </c>
      <c r="AK253" t="s">
        <v>21</v>
      </c>
      <c r="AO253" t="s">
        <v>3240</v>
      </c>
    </row>
    <row r="254" spans="1:52" x14ac:dyDescent="0.25">
      <c r="A254" t="s">
        <v>7</v>
      </c>
      <c r="B254" t="s">
        <v>394</v>
      </c>
      <c r="C254" t="s">
        <v>385</v>
      </c>
      <c r="D254" t="s">
        <v>24</v>
      </c>
      <c r="E254" t="s">
        <v>395</v>
      </c>
      <c r="F254" t="s">
        <v>26</v>
      </c>
      <c r="G254" t="str">
        <f>HYPERLINK("https://vk.com/wall-197114981_31?reply=1297&amp;thread=1293")</f>
        <v>https://vk.com/wall-197114981_31?reply=1297&amp;thread=1293</v>
      </c>
      <c r="H254" t="s">
        <v>13</v>
      </c>
      <c r="I254" t="s">
        <v>388</v>
      </c>
      <c r="J254" t="str">
        <f>HYPERLINK("http://vk.com/id169523743")</f>
        <v>http://vk.com/id169523743</v>
      </c>
      <c r="K254">
        <v>50</v>
      </c>
      <c r="L254" t="s">
        <v>80</v>
      </c>
      <c r="M254">
        <v>24</v>
      </c>
      <c r="N254" t="s">
        <v>16</v>
      </c>
      <c r="O254" t="s">
        <v>27</v>
      </c>
      <c r="P254" t="str">
        <f>HYPERLINK("http://vk.com/club197114981")</f>
        <v>http://vk.com/club197114981</v>
      </c>
      <c r="Q254">
        <v>38</v>
      </c>
      <c r="R254" t="s">
        <v>17</v>
      </c>
      <c r="S254" t="s">
        <v>18</v>
      </c>
      <c r="T254" t="s">
        <v>231</v>
      </c>
      <c r="U254" t="s">
        <v>232</v>
      </c>
      <c r="AJ254" t="s">
        <v>10</v>
      </c>
      <c r="AK254" t="s">
        <v>21</v>
      </c>
      <c r="AN254" t="s">
        <v>3239</v>
      </c>
    </row>
    <row r="255" spans="1:52" x14ac:dyDescent="0.25">
      <c r="A255" t="s">
        <v>772</v>
      </c>
      <c r="B255" t="s">
        <v>868</v>
      </c>
      <c r="C255" t="s">
        <v>869</v>
      </c>
      <c r="D255" t="s">
        <v>10</v>
      </c>
      <c r="E255" t="s">
        <v>819</v>
      </c>
      <c r="F255" t="s">
        <v>45</v>
      </c>
      <c r="G255" t="str">
        <f>HYPERLINK("https://www.facebook.com/800174143677308/photos/a.817619995266056/1210267942667924/?type=3")</f>
        <v>https://www.facebook.com/800174143677308/photos/a.817619995266056/1210267942667924/?type=3</v>
      </c>
      <c r="H255" t="s">
        <v>13</v>
      </c>
      <c r="I255" t="s">
        <v>870</v>
      </c>
      <c r="J255" t="str">
        <f>HYPERLINK("https://www.facebook.com/800174143677308")</f>
        <v>https://www.facebook.com/800174143677308</v>
      </c>
      <c r="K255">
        <v>38</v>
      </c>
      <c r="L255" t="s">
        <v>28</v>
      </c>
      <c r="N255" t="s">
        <v>179</v>
      </c>
      <c r="O255" t="s">
        <v>870</v>
      </c>
      <c r="P255" t="str">
        <f>HYPERLINK("https://www.facebook.com/800174143677308")</f>
        <v>https://www.facebook.com/800174143677308</v>
      </c>
      <c r="Q255">
        <v>38</v>
      </c>
      <c r="R255" t="s">
        <v>17</v>
      </c>
      <c r="S255" t="s">
        <v>18</v>
      </c>
      <c r="T255" t="s">
        <v>354</v>
      </c>
      <c r="U255" t="s">
        <v>354</v>
      </c>
      <c r="W255">
        <v>4</v>
      </c>
      <c r="X255">
        <v>4</v>
      </c>
      <c r="Y255">
        <v>0</v>
      </c>
      <c r="Z255">
        <v>0</v>
      </c>
      <c r="AA255">
        <v>0</v>
      </c>
      <c r="AB255">
        <v>0</v>
      </c>
      <c r="AC255">
        <v>0</v>
      </c>
      <c r="AE255">
        <v>0</v>
      </c>
      <c r="AF255">
        <v>1</v>
      </c>
      <c r="AI255" t="str">
        <f>HYPERLINK("https://scontent-hel2-1.xx.fbcdn.net/v/t1.0-0/p526x296/117233918_1210267949334590_8605273806224843754_o.jpg?_nc_cat=106&amp;_nc_sid=9267fe&amp;_nc_ohc=sbh2yAVucBYAX-i7cS9&amp;_nc_ht=scontent-hel2-1.xx&amp;_nc_tp=6&amp;oh=bacc071fd2b50fc37788c1ced99be1a8&amp;oe=5F586716")</f>
        <v>https://scontent-hel2-1.xx.fbcdn.net/v/t1.0-0/p526x296/117233918_1210267949334590_8605273806224843754_o.jpg?_nc_cat=106&amp;_nc_sid=9267fe&amp;_nc_ohc=sbh2yAVucBYAX-i7cS9&amp;_nc_ht=scontent-hel2-1.xx&amp;_nc_tp=6&amp;oh=bacc071fd2b50fc37788c1ced99be1a8&amp;oe=5F586716</v>
      </c>
      <c r="AJ255" t="s">
        <v>10</v>
      </c>
      <c r="AK255" t="s">
        <v>21</v>
      </c>
      <c r="AN255" t="s">
        <v>3239</v>
      </c>
      <c r="AS255" t="s">
        <v>3244</v>
      </c>
      <c r="AT255" t="s">
        <v>3245</v>
      </c>
    </row>
    <row r="256" spans="1:52" x14ac:dyDescent="0.25">
      <c r="A256" t="s">
        <v>1277</v>
      </c>
      <c r="B256" t="s">
        <v>1296</v>
      </c>
      <c r="C256" t="s">
        <v>984</v>
      </c>
      <c r="D256" t="s">
        <v>1297</v>
      </c>
      <c r="E256" t="s">
        <v>1298</v>
      </c>
      <c r="F256" t="s">
        <v>26</v>
      </c>
      <c r="G256" t="str">
        <f>HYPERLINK("https://vk.com/wall-125331076_762906?reply=762950")</f>
        <v>https://vk.com/wall-125331076_762906?reply=762950</v>
      </c>
      <c r="H256" t="s">
        <v>889</v>
      </c>
      <c r="I256" t="s">
        <v>1299</v>
      </c>
      <c r="J256" t="str">
        <f>HYPERLINK("http://vk.com/id152172862")</f>
        <v>http://vk.com/id152172862</v>
      </c>
      <c r="K256">
        <v>55</v>
      </c>
      <c r="L256" t="s">
        <v>80</v>
      </c>
      <c r="N256" t="s">
        <v>16</v>
      </c>
      <c r="O256" t="s">
        <v>1154</v>
      </c>
      <c r="P256" t="str">
        <f>HYPERLINK("http://vk.com/club125331076")</f>
        <v>http://vk.com/club125331076</v>
      </c>
      <c r="Q256">
        <v>38231</v>
      </c>
      <c r="R256" t="s">
        <v>17</v>
      </c>
      <c r="S256" t="s">
        <v>18</v>
      </c>
      <c r="T256" t="s">
        <v>272</v>
      </c>
      <c r="U256" t="s">
        <v>1300</v>
      </c>
      <c r="AJ256" t="s">
        <v>10</v>
      </c>
      <c r="AK256" t="s">
        <v>21</v>
      </c>
      <c r="AL256" t="s">
        <v>3237</v>
      </c>
      <c r="AS256" t="s">
        <v>3244</v>
      </c>
      <c r="AT256" t="s">
        <v>3245</v>
      </c>
      <c r="AU256" t="s">
        <v>3246</v>
      </c>
      <c r="AV256" t="s">
        <v>3247</v>
      </c>
      <c r="AW256" t="s">
        <v>3248</v>
      </c>
      <c r="AX256" t="s">
        <v>3249</v>
      </c>
    </row>
    <row r="257" spans="1:52" x14ac:dyDescent="0.25">
      <c r="A257" t="s">
        <v>1425</v>
      </c>
      <c r="B257" t="s">
        <v>1445</v>
      </c>
      <c r="C257" t="s">
        <v>984</v>
      </c>
      <c r="D257" t="s">
        <v>10</v>
      </c>
      <c r="E257" t="s">
        <v>1446</v>
      </c>
      <c r="F257" t="s">
        <v>12</v>
      </c>
      <c r="G257" t="str">
        <f>HYPERLINK("https://www.facebook.com/897382823651918/posts/3268029253253918")</f>
        <v>https://www.facebook.com/897382823651918/posts/3268029253253918</v>
      </c>
      <c r="H257" t="s">
        <v>885</v>
      </c>
      <c r="I257" t="s">
        <v>1447</v>
      </c>
      <c r="J257" t="str">
        <f>HYPERLINK("https://www.facebook.com/897382823651918")</f>
        <v>https://www.facebook.com/897382823651918</v>
      </c>
      <c r="K257">
        <v>13726</v>
      </c>
      <c r="L257" t="s">
        <v>28</v>
      </c>
      <c r="N257" t="s">
        <v>179</v>
      </c>
      <c r="O257" t="s">
        <v>1447</v>
      </c>
      <c r="P257" t="str">
        <f>HYPERLINK("https://www.facebook.com/897382823651918")</f>
        <v>https://www.facebook.com/897382823651918</v>
      </c>
      <c r="Q257">
        <v>13726</v>
      </c>
      <c r="R257" t="s">
        <v>17</v>
      </c>
      <c r="S257" t="s">
        <v>1349</v>
      </c>
      <c r="AI257" t="str">
        <f>HYPERLINK("https://scontent-lga3-1.xx.fbcdn.net/v/t1.0-9/113811455_3268019209921589_7847485550272511555_n.png?_nc_cat=106&amp;_nc_sid=8024bb&amp;_nc_ohc=8RQm2KvgDUwAX9WwTAu&amp;_nc_ht=scontent-lga3-1.xx&amp;oh=b816a273e191129f5b6febe172eaf5c0&amp;oe=5F494697")</f>
        <v>https://scontent-lga3-1.xx.fbcdn.net/v/t1.0-9/113811455_3268019209921589_7847485550272511555_n.png?_nc_cat=106&amp;_nc_sid=8024bb&amp;_nc_ohc=8RQm2KvgDUwAX9WwTAu&amp;_nc_ht=scontent-lga3-1.xx&amp;oh=b816a273e191129f5b6febe172eaf5c0&amp;oe=5F494697</v>
      </c>
      <c r="AJ257" t="s">
        <v>10</v>
      </c>
      <c r="AK257" t="s">
        <v>21</v>
      </c>
      <c r="AS257" t="s">
        <v>3244</v>
      </c>
      <c r="AV257" t="s">
        <v>3247</v>
      </c>
    </row>
    <row r="258" spans="1:52" x14ac:dyDescent="0.25">
      <c r="A258" t="s">
        <v>1723</v>
      </c>
      <c r="B258" t="s">
        <v>277</v>
      </c>
      <c r="C258" t="s">
        <v>984</v>
      </c>
      <c r="D258" t="s">
        <v>10</v>
      </c>
      <c r="E258" t="s">
        <v>1704</v>
      </c>
      <c r="F258" t="s">
        <v>45</v>
      </c>
      <c r="G258" t="str">
        <f>HYPERLINK("https://www.facebook.com/NoSweatClinic/posts/3010271062417409")</f>
        <v>https://www.facebook.com/NoSweatClinic/posts/3010271062417409</v>
      </c>
      <c r="H258" t="s">
        <v>885</v>
      </c>
      <c r="I258" t="s">
        <v>1705</v>
      </c>
      <c r="J258" t="str">
        <f>HYPERLINK("https://www.facebook.com/502928053151735")</f>
        <v>https://www.facebook.com/502928053151735</v>
      </c>
      <c r="K258">
        <v>398</v>
      </c>
      <c r="L258" t="s">
        <v>28</v>
      </c>
      <c r="N258" t="s">
        <v>179</v>
      </c>
      <c r="O258" t="s">
        <v>1705</v>
      </c>
      <c r="P258" t="str">
        <f>HYPERLINK("https://www.facebook.com/502928053151735")</f>
        <v>https://www.facebook.com/502928053151735</v>
      </c>
      <c r="Q258">
        <v>398</v>
      </c>
      <c r="R258" t="s">
        <v>17</v>
      </c>
      <c r="S258" t="s">
        <v>1349</v>
      </c>
      <c r="T258" t="s">
        <v>1706</v>
      </c>
      <c r="U258" t="s">
        <v>1707</v>
      </c>
      <c r="W258">
        <v>0</v>
      </c>
      <c r="X258">
        <v>0</v>
      </c>
      <c r="Y258">
        <v>0</v>
      </c>
      <c r="Z258">
        <v>0</v>
      </c>
      <c r="AA258">
        <v>0</v>
      </c>
      <c r="AB258">
        <v>0</v>
      </c>
      <c r="AC258">
        <v>0</v>
      </c>
      <c r="AE258">
        <v>0</v>
      </c>
      <c r="AI258" t="str">
        <f>HYPERLINK("https://scontent-hel2-1.xx.fbcdn.net/v/t1.0-9/115718656_3010269962417519_2576238412147940744_n.jpg?_nc_cat=111&amp;_nc_sid=730e14&amp;_nc_ohc=-O8sx9CM-rwAX9FzXxv&amp;_nc_ht=scontent-hel2-1.xx&amp;oh=f3af1bf0b8fea8104ffd9ce64f923f9b&amp;oe=5F499A81")</f>
        <v>https://scontent-hel2-1.xx.fbcdn.net/v/t1.0-9/115718656_3010269962417519_2576238412147940744_n.jpg?_nc_cat=111&amp;_nc_sid=730e14&amp;_nc_ohc=-O8sx9CM-rwAX9FzXxv&amp;_nc_ht=scontent-hel2-1.xx&amp;oh=f3af1bf0b8fea8104ffd9ce64f923f9b&amp;oe=5F499A81</v>
      </c>
      <c r="AJ258" t="s">
        <v>10</v>
      </c>
      <c r="AK258" t="s">
        <v>21</v>
      </c>
      <c r="AM258" t="s">
        <v>3238</v>
      </c>
    </row>
    <row r="259" spans="1:52" x14ac:dyDescent="0.25">
      <c r="A259" t="s">
        <v>2767</v>
      </c>
      <c r="B259" t="s">
        <v>2469</v>
      </c>
      <c r="C259" t="s">
        <v>968</v>
      </c>
      <c r="D259" t="s">
        <v>1236</v>
      </c>
      <c r="E259" t="s">
        <v>2863</v>
      </c>
      <c r="F259" t="s">
        <v>26</v>
      </c>
      <c r="G259" t="str">
        <f>HYPERLINK("https://www.youtube.com/watch?v=laG_UAIUZ6w&amp;lc=Ugxi0NWKOyRMPLv4wOF4AaABAg")</f>
        <v>https://www.youtube.com/watch?v=laG_UAIUZ6w&amp;lc=Ugxi0NWKOyRMPLv4wOF4AaABAg</v>
      </c>
      <c r="H259" t="s">
        <v>885</v>
      </c>
      <c r="I259" t="s">
        <v>2864</v>
      </c>
      <c r="J259" t="str">
        <f>HYPERLINK("https://www.youtube.com/channel/UC30yc78tYx48TP9ghoXOqAA")</f>
        <v>https://www.youtube.com/channel/UC30yc78tYx48TP9ghoXOqAA</v>
      </c>
      <c r="K259">
        <v>3</v>
      </c>
      <c r="N259" t="s">
        <v>162</v>
      </c>
      <c r="O259" t="s">
        <v>424</v>
      </c>
      <c r="P259" t="str">
        <f>HYPERLINK("https://www.youtube.com/channel/UC8fQzKHIhSoZeSq3bwQx4mw")</f>
        <v>https://www.youtube.com/channel/UC8fQzKHIhSoZeSq3bwQx4mw</v>
      </c>
      <c r="Q259">
        <v>517000</v>
      </c>
      <c r="R259" t="s">
        <v>17</v>
      </c>
      <c r="S259" t="s">
        <v>425</v>
      </c>
      <c r="W259">
        <v>0</v>
      </c>
      <c r="X259">
        <v>0</v>
      </c>
      <c r="AE259">
        <v>1</v>
      </c>
      <c r="AJ259" t="s">
        <v>10</v>
      </c>
      <c r="AK259" t="s">
        <v>21</v>
      </c>
      <c r="AX259" t="s">
        <v>3249</v>
      </c>
    </row>
    <row r="260" spans="1:52" x14ac:dyDescent="0.25">
      <c r="A260" t="s">
        <v>2915</v>
      </c>
      <c r="B260" t="s">
        <v>220</v>
      </c>
      <c r="C260" t="s">
        <v>968</v>
      </c>
      <c r="D260" t="s">
        <v>2955</v>
      </c>
      <c r="E260" t="s">
        <v>2956</v>
      </c>
      <c r="F260" t="s">
        <v>26</v>
      </c>
      <c r="G260" t="str">
        <f>HYPERLINK("https://vk.com/wall-164876701_53042?reply=53053")</f>
        <v>https://vk.com/wall-164876701_53042?reply=53053</v>
      </c>
      <c r="H260" t="s">
        <v>885</v>
      </c>
      <c r="I260" t="s">
        <v>1975</v>
      </c>
      <c r="J260" t="str">
        <f>HYPERLINK("http://vk.com/id35803130")</f>
        <v>http://vk.com/id35803130</v>
      </c>
      <c r="K260">
        <v>553</v>
      </c>
      <c r="L260" t="s">
        <v>80</v>
      </c>
      <c r="M260">
        <v>33</v>
      </c>
      <c r="N260" t="s">
        <v>16</v>
      </c>
      <c r="O260" t="s">
        <v>1976</v>
      </c>
      <c r="P260" t="str">
        <f>HYPERLINK("http://vk.com/club164876701")</f>
        <v>http://vk.com/club164876701</v>
      </c>
      <c r="Q260">
        <v>3250</v>
      </c>
      <c r="R260" t="s">
        <v>17</v>
      </c>
      <c r="S260" t="s">
        <v>18</v>
      </c>
      <c r="T260" t="s">
        <v>37</v>
      </c>
      <c r="U260" t="s">
        <v>38</v>
      </c>
      <c r="AJ260" t="s">
        <v>10</v>
      </c>
      <c r="AK260" t="s">
        <v>21</v>
      </c>
      <c r="AL260" t="s">
        <v>3237</v>
      </c>
    </row>
    <row r="261" spans="1:52" x14ac:dyDescent="0.25">
      <c r="A261" t="s">
        <v>3100</v>
      </c>
      <c r="B261" t="s">
        <v>42</v>
      </c>
      <c r="C261" t="s">
        <v>968</v>
      </c>
      <c r="D261" t="s">
        <v>10</v>
      </c>
      <c r="E261" t="s">
        <v>3134</v>
      </c>
      <c r="F261" t="s">
        <v>45</v>
      </c>
      <c r="G261" t="str">
        <f>HYPERLINK("https://www.facebook.com/mriexpert/photos/a.902990326434112/3167536493312806/?type=3")</f>
        <v>https://www.facebook.com/mriexpert/photos/a.902990326434112/3167536493312806/?type=3</v>
      </c>
      <c r="H261" t="s">
        <v>885</v>
      </c>
      <c r="I261" t="s">
        <v>46</v>
      </c>
      <c r="J261" t="str">
        <f>HYPERLINK("https://www.facebook.com/902980129768465")</f>
        <v>https://www.facebook.com/902980129768465</v>
      </c>
      <c r="K261">
        <v>1509</v>
      </c>
      <c r="L261" t="s">
        <v>28</v>
      </c>
      <c r="N261" t="s">
        <v>179</v>
      </c>
      <c r="O261" t="s">
        <v>46</v>
      </c>
      <c r="P261" t="str">
        <f>HYPERLINK("https://www.facebook.com/902980129768465")</f>
        <v>https://www.facebook.com/902980129768465</v>
      </c>
      <c r="Q261">
        <v>1509</v>
      </c>
      <c r="R261" t="s">
        <v>17</v>
      </c>
      <c r="W261">
        <v>0</v>
      </c>
      <c r="X261">
        <v>0</v>
      </c>
      <c r="Y261">
        <v>0</v>
      </c>
      <c r="Z261">
        <v>0</v>
      </c>
      <c r="AA261">
        <v>0</v>
      </c>
      <c r="AB261">
        <v>0</v>
      </c>
      <c r="AC261">
        <v>0</v>
      </c>
      <c r="AE261">
        <v>0</v>
      </c>
      <c r="AI261" t="str">
        <f>HYPERLINK("https://scontent-hel2-1.xx.fbcdn.net/v/t1.0-9/s960x960/107604483_3167536503312805_594295178180843816_o.jpg?_nc_cat=110&amp;_nc_sid=9267fe&amp;_nc_ohc=1qitvRr56T4AX9USnC2&amp;_nc_ht=scontent-hel2-1.xx&amp;_nc_tp=7&amp;oh=d37234451af81378b4c0143737989aba&amp;oe=5F2B2940")</f>
        <v>https://scontent-hel2-1.xx.fbcdn.net/v/t1.0-9/s960x960/107604483_3167536503312805_594295178180843816_o.jpg?_nc_cat=110&amp;_nc_sid=9267fe&amp;_nc_ohc=1qitvRr56T4AX9USnC2&amp;_nc_ht=scontent-hel2-1.xx&amp;_nc_tp=7&amp;oh=d37234451af81378b4c0143737989aba&amp;oe=5F2B2940</v>
      </c>
      <c r="AJ261" t="s">
        <v>10</v>
      </c>
      <c r="AK261" t="s">
        <v>21</v>
      </c>
      <c r="AX261" t="s">
        <v>3249</v>
      </c>
    </row>
    <row r="262" spans="1:52" x14ac:dyDescent="0.25">
      <c r="A262" t="s">
        <v>7</v>
      </c>
      <c r="B262" t="s">
        <v>90</v>
      </c>
      <c r="C262" t="s">
        <v>87</v>
      </c>
      <c r="D262" t="s">
        <v>10</v>
      </c>
      <c r="E262" t="s">
        <v>91</v>
      </c>
      <c r="F262" t="s">
        <v>45</v>
      </c>
      <c r="G262" t="str">
        <f>HYPERLINK("https://vk.com/wall-34688160_8174")</f>
        <v>https://vk.com/wall-34688160_8174</v>
      </c>
      <c r="H262" t="s">
        <v>13</v>
      </c>
      <c r="I262" t="s">
        <v>92</v>
      </c>
      <c r="J262" t="str">
        <f>HYPERLINK("http://vk.com/club34688160")</f>
        <v>http://vk.com/club34688160</v>
      </c>
      <c r="K262">
        <v>1442</v>
      </c>
      <c r="L262" t="s">
        <v>28</v>
      </c>
      <c r="N262" t="s">
        <v>16</v>
      </c>
      <c r="O262" t="s">
        <v>92</v>
      </c>
      <c r="P262" t="str">
        <f>HYPERLINK("http://vk.com/club34688160")</f>
        <v>http://vk.com/club34688160</v>
      </c>
      <c r="Q262">
        <v>1442</v>
      </c>
      <c r="R262" t="s">
        <v>17</v>
      </c>
      <c r="S262" t="s">
        <v>18</v>
      </c>
      <c r="T262" t="s">
        <v>19</v>
      </c>
      <c r="U262" t="s">
        <v>93</v>
      </c>
      <c r="W262">
        <v>3</v>
      </c>
      <c r="X262">
        <v>3</v>
      </c>
      <c r="AE262">
        <v>0</v>
      </c>
      <c r="AF262">
        <v>0</v>
      </c>
      <c r="AG262">
        <v>85</v>
      </c>
      <c r="AJ262" t="s">
        <v>10</v>
      </c>
      <c r="AK262" t="s">
        <v>21</v>
      </c>
    </row>
    <row r="263" spans="1:52" x14ac:dyDescent="0.25">
      <c r="A263" t="s">
        <v>414</v>
      </c>
      <c r="B263" t="s">
        <v>470</v>
      </c>
      <c r="C263" t="s">
        <v>471</v>
      </c>
      <c r="D263" t="s">
        <v>24</v>
      </c>
      <c r="E263" t="s">
        <v>473</v>
      </c>
      <c r="F263" t="s">
        <v>26</v>
      </c>
      <c r="G263" t="str">
        <f>HYPERLINK("https://vk.com/wall-197114981_31?reply=1257")</f>
        <v>https://vk.com/wall-197114981_31?reply=1257</v>
      </c>
      <c r="H263" t="s">
        <v>13</v>
      </c>
      <c r="I263" t="s">
        <v>461</v>
      </c>
      <c r="J263" t="str">
        <f>HYPERLINK("http://vk.com/id17469829")</f>
        <v>http://vk.com/id17469829</v>
      </c>
      <c r="K263">
        <v>374</v>
      </c>
      <c r="L263" t="s">
        <v>80</v>
      </c>
      <c r="M263">
        <v>28</v>
      </c>
      <c r="N263" t="s">
        <v>16</v>
      </c>
      <c r="O263" t="s">
        <v>27</v>
      </c>
      <c r="P263" t="str">
        <f>HYPERLINK("http://vk.com/club197114981")</f>
        <v>http://vk.com/club197114981</v>
      </c>
      <c r="Q263">
        <v>38</v>
      </c>
      <c r="R263" t="s">
        <v>17</v>
      </c>
      <c r="S263" t="s">
        <v>18</v>
      </c>
      <c r="AJ263" t="s">
        <v>10</v>
      </c>
      <c r="AK263" t="s">
        <v>21</v>
      </c>
      <c r="AL263" t="s">
        <v>3237</v>
      </c>
      <c r="AS263" t="s">
        <v>3244</v>
      </c>
      <c r="AX263" t="s">
        <v>3249</v>
      </c>
    </row>
    <row r="264" spans="1:52" x14ac:dyDescent="0.25">
      <c r="A264" t="s">
        <v>414</v>
      </c>
      <c r="B264" t="s">
        <v>750</v>
      </c>
      <c r="C264" t="s">
        <v>751</v>
      </c>
      <c r="D264" t="s">
        <v>24</v>
      </c>
      <c r="E264" t="s">
        <v>561</v>
      </c>
      <c r="F264" t="s">
        <v>26</v>
      </c>
      <c r="G264" t="str">
        <f>HYPERLINK("https://vk.com/wall-197114981_31?reply=1171&amp;thread=1098")</f>
        <v>https://vk.com/wall-197114981_31?reply=1171&amp;thread=1098</v>
      </c>
      <c r="H264" t="s">
        <v>13</v>
      </c>
      <c r="I264" t="s">
        <v>27</v>
      </c>
      <c r="J264" t="str">
        <f>HYPERLINK("http://vk.com/club197114981")</f>
        <v>http://vk.com/club197114981</v>
      </c>
      <c r="K264">
        <v>38</v>
      </c>
      <c r="L264" t="s">
        <v>28</v>
      </c>
      <c r="N264" t="s">
        <v>16</v>
      </c>
      <c r="O264" t="s">
        <v>27</v>
      </c>
      <c r="P264" t="str">
        <f>HYPERLINK("http://vk.com/club197114981")</f>
        <v>http://vk.com/club197114981</v>
      </c>
      <c r="Q264">
        <v>38</v>
      </c>
      <c r="R264" t="s">
        <v>17</v>
      </c>
      <c r="AJ264" t="s">
        <v>10</v>
      </c>
      <c r="AK264" t="s">
        <v>21</v>
      </c>
      <c r="AQ264" t="s">
        <v>3242</v>
      </c>
      <c r="AR264" t="s">
        <v>3243</v>
      </c>
      <c r="AS264" t="s">
        <v>3244</v>
      </c>
      <c r="AT264" t="s">
        <v>3245</v>
      </c>
      <c r="AX264" t="s">
        <v>3249</v>
      </c>
    </row>
    <row r="265" spans="1:52" x14ac:dyDescent="0.25">
      <c r="A265" t="s">
        <v>772</v>
      </c>
      <c r="B265" t="s">
        <v>835</v>
      </c>
      <c r="C265" t="s">
        <v>836</v>
      </c>
      <c r="D265" t="s">
        <v>24</v>
      </c>
      <c r="E265" t="s">
        <v>837</v>
      </c>
      <c r="F265" t="s">
        <v>26</v>
      </c>
      <c r="G265" t="str">
        <f>HYPERLINK("https://vk.com/wall-197114981_31?reply=1143&amp;thread=294")</f>
        <v>https://vk.com/wall-197114981_31?reply=1143&amp;thread=294</v>
      </c>
      <c r="H265" t="s">
        <v>13</v>
      </c>
      <c r="I265" t="s">
        <v>27</v>
      </c>
      <c r="J265" t="str">
        <f>HYPERLINK("http://vk.com/club197114981")</f>
        <v>http://vk.com/club197114981</v>
      </c>
      <c r="K265">
        <v>38</v>
      </c>
      <c r="L265" t="s">
        <v>28</v>
      </c>
      <c r="N265" t="s">
        <v>16</v>
      </c>
      <c r="O265" t="s">
        <v>27</v>
      </c>
      <c r="P265" t="str">
        <f>HYPERLINK("http://vk.com/club197114981")</f>
        <v>http://vk.com/club197114981</v>
      </c>
      <c r="Q265">
        <v>38</v>
      </c>
      <c r="R265" t="s">
        <v>17</v>
      </c>
      <c r="AJ265" t="s">
        <v>10</v>
      </c>
      <c r="AK265" t="s">
        <v>21</v>
      </c>
      <c r="AM265" t="s">
        <v>3238</v>
      </c>
      <c r="AN265" t="s">
        <v>3239</v>
      </c>
      <c r="AQ265" t="s">
        <v>3242</v>
      </c>
      <c r="AR265" t="s">
        <v>3243</v>
      </c>
      <c r="AT265" t="s">
        <v>3245</v>
      </c>
      <c r="AZ265" t="s">
        <v>3251</v>
      </c>
    </row>
    <row r="266" spans="1:52" x14ac:dyDescent="0.25">
      <c r="A266" t="s">
        <v>772</v>
      </c>
      <c r="B266" t="s">
        <v>922</v>
      </c>
      <c r="C266" t="s">
        <v>923</v>
      </c>
      <c r="D266" t="s">
        <v>24</v>
      </c>
      <c r="E266" t="s">
        <v>924</v>
      </c>
      <c r="F266" t="s">
        <v>26</v>
      </c>
      <c r="G266" t="str">
        <f>HYPERLINK("https://vk.com/wall-40067852_1122368?reply=1124242")</f>
        <v>https://vk.com/wall-40067852_1122368?reply=1124242</v>
      </c>
      <c r="H266" t="s">
        <v>885</v>
      </c>
      <c r="I266" t="s">
        <v>917</v>
      </c>
      <c r="J266" t="str">
        <f>HYPERLINK("http://vk.com/id603151212")</f>
        <v>http://vk.com/id603151212</v>
      </c>
      <c r="L266" t="s">
        <v>80</v>
      </c>
      <c r="N266" t="s">
        <v>16</v>
      </c>
      <c r="O266" t="s">
        <v>925</v>
      </c>
      <c r="P266" t="str">
        <f>HYPERLINK("http://vk.com/club40067852")</f>
        <v>http://vk.com/club40067852</v>
      </c>
      <c r="Q266">
        <v>152940</v>
      </c>
      <c r="R266" t="s">
        <v>17</v>
      </c>
      <c r="S266" t="s">
        <v>18</v>
      </c>
      <c r="T266" t="s">
        <v>231</v>
      </c>
      <c r="U266" t="s">
        <v>232</v>
      </c>
      <c r="AJ266" t="s">
        <v>10</v>
      </c>
      <c r="AK266" t="s">
        <v>21</v>
      </c>
      <c r="AL266" t="s">
        <v>3237</v>
      </c>
      <c r="AO266" t="s">
        <v>3240</v>
      </c>
      <c r="AQ266" t="s">
        <v>3242</v>
      </c>
      <c r="AR266" t="s">
        <v>3243</v>
      </c>
      <c r="AT266" t="s">
        <v>3245</v>
      </c>
    </row>
    <row r="267" spans="1:52" x14ac:dyDescent="0.25">
      <c r="A267" t="s">
        <v>1122</v>
      </c>
      <c r="B267" t="s">
        <v>1126</v>
      </c>
      <c r="C267" t="s">
        <v>984</v>
      </c>
      <c r="D267" t="s">
        <v>10</v>
      </c>
      <c r="E267" t="s">
        <v>1127</v>
      </c>
      <c r="F267" t="s">
        <v>45</v>
      </c>
      <c r="G267" t="str">
        <f>HYPERLINK("https://www.instagram.com/p/CDjDxAMlPRi")</f>
        <v>https://www.instagram.com/p/CDjDxAMlPRi</v>
      </c>
      <c r="H267" t="s">
        <v>885</v>
      </c>
      <c r="I267" t="s">
        <v>1128</v>
      </c>
      <c r="J267" t="str">
        <f>HYPERLINK("http://instagram.com/mrt_ekspert_sochi")</f>
        <v>http://instagram.com/mrt_ekspert_sochi</v>
      </c>
      <c r="K267">
        <v>657</v>
      </c>
      <c r="L267" t="s">
        <v>28</v>
      </c>
      <c r="N267" t="s">
        <v>69</v>
      </c>
      <c r="O267" t="s">
        <v>1128</v>
      </c>
      <c r="P267" t="str">
        <f>HYPERLINK("http://instagram.com/mrt_ekspert_sochi")</f>
        <v>http://instagram.com/mrt_ekspert_sochi</v>
      </c>
      <c r="Q267">
        <v>657</v>
      </c>
      <c r="R267" t="s">
        <v>17</v>
      </c>
      <c r="S267" t="s">
        <v>18</v>
      </c>
      <c r="T267" t="s">
        <v>617</v>
      </c>
      <c r="U267" t="s">
        <v>1034</v>
      </c>
      <c r="W267">
        <v>21</v>
      </c>
      <c r="X267">
        <v>21</v>
      </c>
      <c r="AE267">
        <v>0</v>
      </c>
      <c r="AI267" t="str">
        <f>HYPERLINK("https://www.instagram.com/p/CDjDxAMlPRi/media/?size=l")</f>
        <v>https://www.instagram.com/p/CDjDxAMlPRi/media/?size=l</v>
      </c>
      <c r="AJ267" t="s">
        <v>10</v>
      </c>
      <c r="AK267" t="s">
        <v>21</v>
      </c>
      <c r="AO267" t="s">
        <v>3240</v>
      </c>
      <c r="AQ267" t="s">
        <v>3242</v>
      </c>
      <c r="AR267" t="s">
        <v>3243</v>
      </c>
      <c r="AT267" t="s">
        <v>3245</v>
      </c>
      <c r="AX267" t="s">
        <v>3249</v>
      </c>
      <c r="AY267" t="s">
        <v>3250</v>
      </c>
      <c r="AZ267" t="s">
        <v>3251</v>
      </c>
    </row>
    <row r="268" spans="1:52" x14ac:dyDescent="0.25">
      <c r="A268" t="s">
        <v>1225</v>
      </c>
      <c r="B268" t="s">
        <v>1235</v>
      </c>
      <c r="C268" t="s">
        <v>984</v>
      </c>
      <c r="D268" t="s">
        <v>1236</v>
      </c>
      <c r="E268" t="s">
        <v>1237</v>
      </c>
      <c r="F268" t="s">
        <v>26</v>
      </c>
      <c r="G268" t="str">
        <f>HYPERLINK("https://www.youtube.com/watch?v=laG_UAIUZ6w&amp;lc=UgzB45btdMzrhXeX-J14AaABAg")</f>
        <v>https://www.youtube.com/watch?v=laG_UAIUZ6w&amp;lc=UgzB45btdMzrhXeX-J14AaABAg</v>
      </c>
      <c r="H268" t="s">
        <v>889</v>
      </c>
      <c r="I268" t="s">
        <v>1238</v>
      </c>
      <c r="J268" t="str">
        <f>HYPERLINK("https://www.youtube.com/channel/UCyctl2e8n6J2rtKFepm-VCg")</f>
        <v>https://www.youtube.com/channel/UCyctl2e8n6J2rtKFepm-VCg</v>
      </c>
      <c r="K268">
        <v>3</v>
      </c>
      <c r="N268" t="s">
        <v>162</v>
      </c>
      <c r="O268" t="s">
        <v>424</v>
      </c>
      <c r="P268" t="str">
        <f>HYPERLINK("https://www.youtube.com/channel/UC8fQzKHIhSoZeSq3bwQx4mw")</f>
        <v>https://www.youtube.com/channel/UC8fQzKHIhSoZeSq3bwQx4mw</v>
      </c>
      <c r="Q268">
        <v>517000</v>
      </c>
      <c r="R268" t="s">
        <v>17</v>
      </c>
      <c r="S268" t="s">
        <v>425</v>
      </c>
      <c r="W268">
        <v>0</v>
      </c>
      <c r="X268">
        <v>0</v>
      </c>
      <c r="AE268">
        <v>7</v>
      </c>
      <c r="AJ268" t="s">
        <v>10</v>
      </c>
      <c r="AK268" t="s">
        <v>21</v>
      </c>
      <c r="AN268" t="s">
        <v>3239</v>
      </c>
      <c r="AQ268" t="s">
        <v>3242</v>
      </c>
      <c r="AR268" t="s">
        <v>3243</v>
      </c>
      <c r="AY268" t="s">
        <v>3250</v>
      </c>
    </row>
    <row r="269" spans="1:52" x14ac:dyDescent="0.25">
      <c r="A269" t="s">
        <v>1982</v>
      </c>
      <c r="B269" t="s">
        <v>864</v>
      </c>
      <c r="C269" t="s">
        <v>968</v>
      </c>
      <c r="D269" t="s">
        <v>10</v>
      </c>
      <c r="E269" t="s">
        <v>1947</v>
      </c>
      <c r="F269" t="s">
        <v>45</v>
      </c>
      <c r="G269" t="str">
        <f>HYPERLINK("https://www.facebook.com/mrtexpertrnd/photos/a.565935020817465/781382599272705/?type=3")</f>
        <v>https://www.facebook.com/mrtexpertrnd/photos/a.565935020817465/781382599272705/?type=3</v>
      </c>
      <c r="H269" t="s">
        <v>889</v>
      </c>
      <c r="I269" t="s">
        <v>125</v>
      </c>
      <c r="J269" t="str">
        <f>HYPERLINK("https://www.facebook.com/156600068417631")</f>
        <v>https://www.facebook.com/156600068417631</v>
      </c>
      <c r="K269">
        <v>236</v>
      </c>
      <c r="L269" t="s">
        <v>28</v>
      </c>
      <c r="N269" t="s">
        <v>179</v>
      </c>
      <c r="O269" t="s">
        <v>125</v>
      </c>
      <c r="P269" t="str">
        <f>HYPERLINK("https://www.facebook.com/156600068417631")</f>
        <v>https://www.facebook.com/156600068417631</v>
      </c>
      <c r="Q269">
        <v>236</v>
      </c>
      <c r="R269" t="s">
        <v>17</v>
      </c>
      <c r="S269" t="s">
        <v>18</v>
      </c>
      <c r="T269" t="s">
        <v>126</v>
      </c>
      <c r="U269" t="s">
        <v>127</v>
      </c>
      <c r="W269">
        <v>0</v>
      </c>
      <c r="X269">
        <v>0</v>
      </c>
      <c r="Y269">
        <v>0</v>
      </c>
      <c r="Z269">
        <v>0</v>
      </c>
      <c r="AA269">
        <v>0</v>
      </c>
      <c r="AB269">
        <v>0</v>
      </c>
      <c r="AC269">
        <v>0</v>
      </c>
      <c r="AE269">
        <v>0</v>
      </c>
      <c r="AI269" t="str">
        <f>HYPERLINK("https://scontent-hel2-1.xx.fbcdn.net/v/t1.0-0/p526x296/111447995_781382609272704_3770627269224813749_o.jpg?_nc_cat=100&amp;_nc_sid=9267fe&amp;_nc_ohc=TRqnpZ9c67IAX_JpEj_&amp;_nc_ht=scontent-hel2-1.xx&amp;_nc_tp=6&amp;oh=2072aee27c864fafd55420ac8ffc82fd&amp;oe=5F42F840")</f>
        <v>https://scontent-hel2-1.xx.fbcdn.net/v/t1.0-0/p526x296/111447995_781382609272704_3770627269224813749_o.jpg?_nc_cat=100&amp;_nc_sid=9267fe&amp;_nc_ohc=TRqnpZ9c67IAX_JpEj_&amp;_nc_ht=scontent-hel2-1.xx&amp;_nc_tp=6&amp;oh=2072aee27c864fafd55420ac8ffc82fd&amp;oe=5F42F840</v>
      </c>
      <c r="AJ269" t="s">
        <v>10</v>
      </c>
      <c r="AK269" t="s">
        <v>21</v>
      </c>
      <c r="AN269" t="s">
        <v>3239</v>
      </c>
      <c r="AQ269" t="s">
        <v>3242</v>
      </c>
      <c r="AR269" t="s">
        <v>3243</v>
      </c>
      <c r="AY269" t="s">
        <v>3250</v>
      </c>
    </row>
    <row r="270" spans="1:52" x14ac:dyDescent="0.25">
      <c r="A270" t="s">
        <v>2260</v>
      </c>
      <c r="B270" t="s">
        <v>42</v>
      </c>
      <c r="C270" t="s">
        <v>968</v>
      </c>
      <c r="D270" t="s">
        <v>10</v>
      </c>
      <c r="E270" t="s">
        <v>2267</v>
      </c>
      <c r="F270" t="s">
        <v>45</v>
      </c>
      <c r="G270" t="str">
        <f>HYPERLINK("https://vk.com/wall-48669646_10197")</f>
        <v>https://vk.com/wall-48669646_10197</v>
      </c>
      <c r="H270" t="s">
        <v>885</v>
      </c>
      <c r="I270" t="s">
        <v>46</v>
      </c>
      <c r="J270" t="str">
        <f>HYPERLINK("http://vk.com/club48669646")</f>
        <v>http://vk.com/club48669646</v>
      </c>
      <c r="K270">
        <v>5795</v>
      </c>
      <c r="L270" t="s">
        <v>28</v>
      </c>
      <c r="N270" t="s">
        <v>16</v>
      </c>
      <c r="O270" t="s">
        <v>46</v>
      </c>
      <c r="P270" t="str">
        <f>HYPERLINK("http://vk.com/club48669646")</f>
        <v>http://vk.com/club48669646</v>
      </c>
      <c r="Q270">
        <v>5795</v>
      </c>
      <c r="R270" t="s">
        <v>17</v>
      </c>
      <c r="S270" t="s">
        <v>18</v>
      </c>
      <c r="W270">
        <v>1</v>
      </c>
      <c r="X270">
        <v>1</v>
      </c>
      <c r="AE270">
        <v>0</v>
      </c>
      <c r="AF270">
        <v>0</v>
      </c>
      <c r="AG270">
        <v>330</v>
      </c>
      <c r="AI270" t="str">
        <f>HYPERLINK("https://sun9-6.userapi.com/lg-MW0Lh4hlyUdiRDsOFtKLWgkk4fMsxDWQ5SA/RiA87eJYTLQ.jpg")</f>
        <v>https://sun9-6.userapi.com/lg-MW0Lh4hlyUdiRDsOFtKLWgkk4fMsxDWQ5SA/RiA87eJYTLQ.jpg</v>
      </c>
      <c r="AJ270" t="s">
        <v>10</v>
      </c>
      <c r="AK270" t="s">
        <v>21</v>
      </c>
      <c r="AM270" t="s">
        <v>3238</v>
      </c>
      <c r="AX270" t="s">
        <v>3249</v>
      </c>
      <c r="AY270" t="s">
        <v>3250</v>
      </c>
    </row>
    <row r="271" spans="1:52" x14ac:dyDescent="0.25">
      <c r="A271" t="s">
        <v>2380</v>
      </c>
      <c r="B271" t="s">
        <v>637</v>
      </c>
      <c r="C271" t="s">
        <v>968</v>
      </c>
      <c r="D271" t="s">
        <v>10</v>
      </c>
      <c r="E271" t="s">
        <v>2382</v>
      </c>
      <c r="F271" t="s">
        <v>45</v>
      </c>
      <c r="G271" t="str">
        <f>HYPERLINK("https://vk.com/wall-48669646_10186")</f>
        <v>https://vk.com/wall-48669646_10186</v>
      </c>
      <c r="H271" t="s">
        <v>885</v>
      </c>
      <c r="I271" t="s">
        <v>46</v>
      </c>
      <c r="J271" t="str">
        <f>HYPERLINK("http://vk.com/club48669646")</f>
        <v>http://vk.com/club48669646</v>
      </c>
      <c r="K271">
        <v>5795</v>
      </c>
      <c r="L271" t="s">
        <v>28</v>
      </c>
      <c r="N271" t="s">
        <v>16</v>
      </c>
      <c r="O271" t="s">
        <v>46</v>
      </c>
      <c r="P271" t="str">
        <f>HYPERLINK("http://vk.com/club48669646")</f>
        <v>http://vk.com/club48669646</v>
      </c>
      <c r="Q271">
        <v>5795</v>
      </c>
      <c r="R271" t="s">
        <v>17</v>
      </c>
      <c r="S271" t="s">
        <v>18</v>
      </c>
      <c r="W271">
        <v>3</v>
      </c>
      <c r="X271">
        <v>3</v>
      </c>
      <c r="AE271">
        <v>0</v>
      </c>
      <c r="AF271">
        <v>1</v>
      </c>
      <c r="AG271">
        <v>549</v>
      </c>
      <c r="AI271" t="str">
        <f>HYPERLINK("https://sun1-84.userapi.com/JuWuwN7NeHfTrVjTImimKV5V78VxY1UCdAd5Kw/_cP025Sz5rA.jpg")</f>
        <v>https://sun1-84.userapi.com/JuWuwN7NeHfTrVjTImimKV5V78VxY1UCdAd5Kw/_cP025Sz5rA.jpg</v>
      </c>
      <c r="AJ271" t="s">
        <v>10</v>
      </c>
      <c r="AK271" t="s">
        <v>21</v>
      </c>
      <c r="AX271" t="s">
        <v>3249</v>
      </c>
      <c r="AY271" t="s">
        <v>3250</v>
      </c>
      <c r="AZ271" t="s">
        <v>3251</v>
      </c>
    </row>
    <row r="272" spans="1:52" x14ac:dyDescent="0.25">
      <c r="A272" t="s">
        <v>2541</v>
      </c>
      <c r="B272" t="s">
        <v>2560</v>
      </c>
      <c r="C272" t="s">
        <v>968</v>
      </c>
      <c r="D272" t="s">
        <v>10</v>
      </c>
      <c r="E272" t="s">
        <v>2504</v>
      </c>
      <c r="F272" t="s">
        <v>45</v>
      </c>
      <c r="G272" t="str">
        <f>HYPERLINK("https://vk.com/wall-122327832_624")</f>
        <v>https://vk.com/wall-122327832_624</v>
      </c>
      <c r="H272" t="s">
        <v>885</v>
      </c>
      <c r="I272" t="s">
        <v>1170</v>
      </c>
      <c r="J272" t="str">
        <f>HYPERLINK("http://vk.com/club122327832")</f>
        <v>http://vk.com/club122327832</v>
      </c>
      <c r="K272">
        <v>891</v>
      </c>
      <c r="L272" t="s">
        <v>28</v>
      </c>
      <c r="N272" t="s">
        <v>16</v>
      </c>
      <c r="O272" t="s">
        <v>1170</v>
      </c>
      <c r="P272" t="str">
        <f>HYPERLINK("http://vk.com/club122327832")</f>
        <v>http://vk.com/club122327832</v>
      </c>
      <c r="Q272">
        <v>891</v>
      </c>
      <c r="R272" t="s">
        <v>17</v>
      </c>
      <c r="S272" t="s">
        <v>18</v>
      </c>
      <c r="T272" t="s">
        <v>70</v>
      </c>
      <c r="U272" t="s">
        <v>71</v>
      </c>
      <c r="W272">
        <v>2</v>
      </c>
      <c r="X272">
        <v>2</v>
      </c>
      <c r="AE272">
        <v>0</v>
      </c>
      <c r="AF272">
        <v>1</v>
      </c>
      <c r="AG272">
        <v>271</v>
      </c>
      <c r="AI272" t="str">
        <f>HYPERLINK("https://sun1-22.userapi.com/YUL4c39I2jlByCKkXesWhlRfPX9WXqE32zZ64w/oAQVDiOpYfc.jpg")</f>
        <v>https://sun1-22.userapi.com/YUL4c39I2jlByCKkXesWhlRfPX9WXqE32zZ64w/oAQVDiOpYfc.jpg</v>
      </c>
      <c r="AJ272" t="s">
        <v>10</v>
      </c>
      <c r="AK272" t="s">
        <v>21</v>
      </c>
      <c r="AL272" t="s">
        <v>3237</v>
      </c>
      <c r="AW272" t="s">
        <v>3248</v>
      </c>
      <c r="AY272" t="s">
        <v>3250</v>
      </c>
      <c r="AZ272" t="s">
        <v>3251</v>
      </c>
    </row>
    <row r="273" spans="1:52" x14ac:dyDescent="0.25">
      <c r="A273" t="s">
        <v>2541</v>
      </c>
      <c r="B273" t="s">
        <v>2579</v>
      </c>
      <c r="C273" t="s">
        <v>968</v>
      </c>
      <c r="D273" t="s">
        <v>2580</v>
      </c>
      <c r="E273" t="s">
        <v>2581</v>
      </c>
      <c r="F273" t="s">
        <v>45</v>
      </c>
      <c r="G273" t="str">
        <f>HYPERLINK("https://operativno.net/kak-sohranit-zdorove-zheludochno-kishechnogo-trakta")</f>
        <v>https://operativno.net/kak-sohranit-zdorove-zheludochno-kishechnogo-trakta</v>
      </c>
      <c r="H273" t="s">
        <v>889</v>
      </c>
      <c r="I273" t="s">
        <v>2582</v>
      </c>
      <c r="J273" t="str">
        <f>HYPERLINK("http://operativno.net")</f>
        <v>http://operativno.net</v>
      </c>
      <c r="N273" t="s">
        <v>2583</v>
      </c>
      <c r="R273" t="s">
        <v>239</v>
      </c>
      <c r="S273" t="s">
        <v>180</v>
      </c>
      <c r="AJ273" t="s">
        <v>10</v>
      </c>
      <c r="AK273" t="s">
        <v>21</v>
      </c>
      <c r="AL273" t="s">
        <v>3237</v>
      </c>
      <c r="AY273" t="s">
        <v>3250</v>
      </c>
      <c r="AZ273" t="s">
        <v>3251</v>
      </c>
    </row>
    <row r="274" spans="1:52" x14ac:dyDescent="0.25">
      <c r="A274" t="s">
        <v>2915</v>
      </c>
      <c r="B274" t="s">
        <v>2905</v>
      </c>
      <c r="C274" t="s">
        <v>968</v>
      </c>
      <c r="D274" t="s">
        <v>10</v>
      </c>
      <c r="E274" t="s">
        <v>2974</v>
      </c>
      <c r="F274" t="s">
        <v>45</v>
      </c>
      <c r="G274" t="str">
        <f>HYPERLINK("https://twitter.com/4245831732/status/1281704720265084928")</f>
        <v>https://twitter.com/4245831732/status/1281704720265084928</v>
      </c>
      <c r="H274" t="s">
        <v>885</v>
      </c>
      <c r="I274" t="s">
        <v>2975</v>
      </c>
      <c r="J274" t="str">
        <f>HYPERLINK("http://twitter.com/DarkerJackal")</f>
        <v>http://twitter.com/DarkerJackal</v>
      </c>
      <c r="K274">
        <v>4</v>
      </c>
      <c r="N274" t="s">
        <v>54</v>
      </c>
      <c r="R274" t="s">
        <v>17</v>
      </c>
      <c r="S274" t="s">
        <v>425</v>
      </c>
      <c r="T274" t="s">
        <v>2976</v>
      </c>
      <c r="U274" t="s">
        <v>2977</v>
      </c>
      <c r="W274">
        <v>0</v>
      </c>
      <c r="X274">
        <v>0</v>
      </c>
      <c r="AF274">
        <v>0</v>
      </c>
      <c r="AJ274" t="s">
        <v>10</v>
      </c>
      <c r="AK274" t="s">
        <v>21</v>
      </c>
      <c r="AW274" t="s">
        <v>3248</v>
      </c>
      <c r="AX274" t="s">
        <v>3249</v>
      </c>
      <c r="AZ274" t="s">
        <v>3251</v>
      </c>
    </row>
    <row r="275" spans="1:52" x14ac:dyDescent="0.25">
      <c r="A275" t="s">
        <v>772</v>
      </c>
      <c r="B275" t="s">
        <v>932</v>
      </c>
      <c r="C275" t="s">
        <v>933</v>
      </c>
      <c r="D275" t="s">
        <v>24</v>
      </c>
      <c r="E275" t="s">
        <v>834</v>
      </c>
      <c r="F275" t="s">
        <v>26</v>
      </c>
      <c r="G275" t="str">
        <f>HYPERLINK("https://vk.com/wall-197114981_31?reply=1106&amp;thread=294")</f>
        <v>https://vk.com/wall-197114981_31?reply=1106&amp;thread=294</v>
      </c>
      <c r="H275" t="s">
        <v>889</v>
      </c>
      <c r="I275" t="s">
        <v>27</v>
      </c>
      <c r="J275" t="str">
        <f>HYPERLINK("http://vk.com/club197114981")</f>
        <v>http://vk.com/club197114981</v>
      </c>
      <c r="K275">
        <v>38</v>
      </c>
      <c r="L275" t="s">
        <v>28</v>
      </c>
      <c r="N275" t="s">
        <v>16</v>
      </c>
      <c r="O275" t="s">
        <v>27</v>
      </c>
      <c r="P275" t="str">
        <f>HYPERLINK("http://vk.com/club197114981")</f>
        <v>http://vk.com/club197114981</v>
      </c>
      <c r="Q275">
        <v>38</v>
      </c>
      <c r="R275" t="s">
        <v>17</v>
      </c>
      <c r="AJ275" t="s">
        <v>10</v>
      </c>
      <c r="AK275" t="s">
        <v>21</v>
      </c>
      <c r="AN275" t="s">
        <v>3239</v>
      </c>
      <c r="AO275" t="s">
        <v>3240</v>
      </c>
      <c r="AX275" t="s">
        <v>3249</v>
      </c>
    </row>
    <row r="276" spans="1:52" x14ac:dyDescent="0.25">
      <c r="A276" t="s">
        <v>2589</v>
      </c>
      <c r="B276" t="s">
        <v>582</v>
      </c>
      <c r="C276" t="s">
        <v>968</v>
      </c>
      <c r="D276" t="s">
        <v>10</v>
      </c>
      <c r="E276" t="s">
        <v>1124</v>
      </c>
      <c r="F276" t="s">
        <v>45</v>
      </c>
      <c r="G276" t="str">
        <f>HYPERLINK("https://vk.com/wall-121026450_24580")</f>
        <v>https://vk.com/wall-121026450_24580</v>
      </c>
      <c r="H276" t="s">
        <v>885</v>
      </c>
      <c r="I276" t="s">
        <v>1822</v>
      </c>
      <c r="J276" t="str">
        <f>HYPERLINK("http://vk.com/club121026450")</f>
        <v>http://vk.com/club121026450</v>
      </c>
      <c r="K276">
        <v>11822</v>
      </c>
      <c r="L276" t="s">
        <v>28</v>
      </c>
      <c r="N276" t="s">
        <v>16</v>
      </c>
      <c r="O276" t="s">
        <v>1822</v>
      </c>
      <c r="P276" t="str">
        <f>HYPERLINK("http://vk.com/club121026450")</f>
        <v>http://vk.com/club121026450</v>
      </c>
      <c r="Q276">
        <v>11822</v>
      </c>
      <c r="R276" t="s">
        <v>17</v>
      </c>
      <c r="W276">
        <v>25</v>
      </c>
      <c r="X276">
        <v>25</v>
      </c>
      <c r="AE276">
        <v>0</v>
      </c>
      <c r="AF276">
        <v>6</v>
      </c>
      <c r="AG276">
        <v>2906</v>
      </c>
      <c r="AI276" t="str">
        <f>HYPERLINK("https://sun9-30.userapi.com/c858436/v858436720/210a56/VTJvowMGSNI.jpg")</f>
        <v>https://sun9-30.userapi.com/c858436/v858436720/210a56/VTJvowMGSNI.jpg</v>
      </c>
      <c r="AJ276" t="s">
        <v>10</v>
      </c>
      <c r="AK276" t="s">
        <v>21</v>
      </c>
      <c r="AO276" t="s">
        <v>3240</v>
      </c>
      <c r="AW276" t="s">
        <v>3248</v>
      </c>
      <c r="AY276" t="s">
        <v>3250</v>
      </c>
    </row>
    <row r="277" spans="1:52" x14ac:dyDescent="0.25">
      <c r="A277" t="s">
        <v>2767</v>
      </c>
      <c r="B277" t="s">
        <v>128</v>
      </c>
      <c r="C277" t="s">
        <v>968</v>
      </c>
      <c r="D277" t="s">
        <v>10</v>
      </c>
      <c r="E277" t="s">
        <v>2554</v>
      </c>
      <c r="F277" t="s">
        <v>45</v>
      </c>
      <c r="G277" t="str">
        <f>HYPERLINK("https://www.facebook.com/mrtexpertrnd/posts/772945403449758")</f>
        <v>https://www.facebook.com/mrtexpertrnd/posts/772945403449758</v>
      </c>
      <c r="H277" t="s">
        <v>889</v>
      </c>
      <c r="I277" t="s">
        <v>125</v>
      </c>
      <c r="J277" t="str">
        <f>HYPERLINK("https://www.facebook.com/156600068417631")</f>
        <v>https://www.facebook.com/156600068417631</v>
      </c>
      <c r="K277">
        <v>236</v>
      </c>
      <c r="L277" t="s">
        <v>28</v>
      </c>
      <c r="N277" t="s">
        <v>179</v>
      </c>
      <c r="O277" t="s">
        <v>125</v>
      </c>
      <c r="P277" t="str">
        <f>HYPERLINK("https://www.facebook.com/156600068417631")</f>
        <v>https://www.facebook.com/156600068417631</v>
      </c>
      <c r="Q277">
        <v>236</v>
      </c>
      <c r="R277" t="s">
        <v>17</v>
      </c>
      <c r="S277" t="s">
        <v>18</v>
      </c>
      <c r="T277" t="s">
        <v>126</v>
      </c>
      <c r="U277" t="s">
        <v>127</v>
      </c>
      <c r="W277">
        <v>1</v>
      </c>
      <c r="X277">
        <v>1</v>
      </c>
      <c r="Y277">
        <v>0</v>
      </c>
      <c r="Z277">
        <v>0</v>
      </c>
      <c r="AA277">
        <v>0</v>
      </c>
      <c r="AB277">
        <v>0</v>
      </c>
      <c r="AC277">
        <v>0</v>
      </c>
      <c r="AE277">
        <v>0</v>
      </c>
      <c r="AF277">
        <v>1</v>
      </c>
      <c r="AI277" t="str">
        <f>HYPERLINK("https://scontent-hel2-1.xx.fbcdn.net/v/t1.0-9/108493448_772945330116432_6016167691027308133_o.jpg?_nc_cat=108&amp;_nc_sid=730e14&amp;_nc_ohc=TZKgk3FXqmcAX-NSqad&amp;_nc_ht=scontent-hel2-1.xx&amp;oh=9e44a6c7387e6f41b668102a48844c85&amp;oe=5F33733E")</f>
        <v>https://scontent-hel2-1.xx.fbcdn.net/v/t1.0-9/108493448_772945330116432_6016167691027308133_o.jpg?_nc_cat=108&amp;_nc_sid=730e14&amp;_nc_ohc=TZKgk3FXqmcAX-NSqad&amp;_nc_ht=scontent-hel2-1.xx&amp;oh=9e44a6c7387e6f41b668102a48844c85&amp;oe=5F33733E</v>
      </c>
      <c r="AJ277" t="s">
        <v>10</v>
      </c>
      <c r="AK277" t="s">
        <v>21</v>
      </c>
      <c r="AQ277" t="s">
        <v>3242</v>
      </c>
      <c r="AR277" t="s">
        <v>3243</v>
      </c>
      <c r="AT277" t="s">
        <v>3245</v>
      </c>
    </row>
    <row r="278" spans="1:52" x14ac:dyDescent="0.25">
      <c r="A278" t="s">
        <v>2865</v>
      </c>
      <c r="B278" t="s">
        <v>1201</v>
      </c>
      <c r="C278" t="s">
        <v>968</v>
      </c>
      <c r="D278" t="s">
        <v>10</v>
      </c>
      <c r="E278" t="s">
        <v>2884</v>
      </c>
      <c r="F278" t="s">
        <v>45</v>
      </c>
      <c r="G278" t="str">
        <f>HYPERLINK("https://vk.com/wall-48669646_10156")</f>
        <v>https://vk.com/wall-48669646_10156</v>
      </c>
      <c r="H278" t="s">
        <v>885</v>
      </c>
      <c r="I278" t="s">
        <v>46</v>
      </c>
      <c r="J278" t="str">
        <f>HYPERLINK("http://vk.com/club48669646")</f>
        <v>http://vk.com/club48669646</v>
      </c>
      <c r="K278">
        <v>5795</v>
      </c>
      <c r="L278" t="s">
        <v>28</v>
      </c>
      <c r="N278" t="s">
        <v>16</v>
      </c>
      <c r="O278" t="s">
        <v>46</v>
      </c>
      <c r="P278" t="str">
        <f>HYPERLINK("http://vk.com/club48669646")</f>
        <v>http://vk.com/club48669646</v>
      </c>
      <c r="Q278">
        <v>5795</v>
      </c>
      <c r="R278" t="s">
        <v>17</v>
      </c>
      <c r="S278" t="s">
        <v>18</v>
      </c>
      <c r="W278">
        <v>1</v>
      </c>
      <c r="X278">
        <v>1</v>
      </c>
      <c r="AE278">
        <v>0</v>
      </c>
      <c r="AF278">
        <v>0</v>
      </c>
      <c r="AG278">
        <v>300</v>
      </c>
      <c r="AI278" t="str">
        <f>HYPERLINK("https://sun1-98.userapi.com/sX-BQx7KjqUSz8T6rBmL6vqhxjB0dZwLiZzE-w/BNzqkpP-LFo.jpg")</f>
        <v>https://sun1-98.userapi.com/sX-BQx7KjqUSz8T6rBmL6vqhxjB0dZwLiZzE-w/BNzqkpP-LFo.jpg</v>
      </c>
      <c r="AJ278" t="s">
        <v>10</v>
      </c>
      <c r="AK278" t="s">
        <v>21</v>
      </c>
      <c r="AN278" t="s">
        <v>3239</v>
      </c>
      <c r="AQ278" t="s">
        <v>3242</v>
      </c>
      <c r="AR278" t="s">
        <v>3243</v>
      </c>
      <c r="AW278" t="s">
        <v>3248</v>
      </c>
      <c r="AX278" t="s">
        <v>3249</v>
      </c>
      <c r="AY278" t="s">
        <v>3250</v>
      </c>
    </row>
    <row r="279" spans="1:52" x14ac:dyDescent="0.25">
      <c r="A279" t="s">
        <v>7</v>
      </c>
      <c r="B279" t="s">
        <v>62</v>
      </c>
      <c r="C279" t="s">
        <v>63</v>
      </c>
      <c r="D279" t="s">
        <v>10</v>
      </c>
      <c r="E279" t="s">
        <v>64</v>
      </c>
      <c r="F279" t="s">
        <v>45</v>
      </c>
      <c r="G279" t="str">
        <f>HYPERLINK("https://vk.com/wall-197114981_1376")</f>
        <v>https://vk.com/wall-197114981_1376</v>
      </c>
      <c r="H279" t="s">
        <v>13</v>
      </c>
      <c r="I279" t="s">
        <v>27</v>
      </c>
      <c r="J279" t="str">
        <f>HYPERLINK("http://vk.com/club197114981")</f>
        <v>http://vk.com/club197114981</v>
      </c>
      <c r="K279">
        <v>38</v>
      </c>
      <c r="L279" t="s">
        <v>28</v>
      </c>
      <c r="N279" t="s">
        <v>16</v>
      </c>
      <c r="O279" t="s">
        <v>27</v>
      </c>
      <c r="P279" t="str">
        <f>HYPERLINK("http://vk.com/club197114981")</f>
        <v>http://vk.com/club197114981</v>
      </c>
      <c r="Q279">
        <v>38</v>
      </c>
      <c r="R279" t="s">
        <v>17</v>
      </c>
      <c r="AI279" t="str">
        <f>HYPERLINK("https://sun1-97.userapi.com/8G4OBc0hO73IpV6DvdDJZZeHFV38L4lsu-C70Q/YIrSJ4e44wk.jpg")</f>
        <v>https://sun1-97.userapi.com/8G4OBc0hO73IpV6DvdDJZZeHFV38L4lsu-C70Q/YIrSJ4e44wk.jpg</v>
      </c>
      <c r="AJ279" t="s">
        <v>10</v>
      </c>
      <c r="AK279" t="s">
        <v>21</v>
      </c>
      <c r="AQ279" t="s">
        <v>3242</v>
      </c>
      <c r="AR279" t="s">
        <v>3243</v>
      </c>
      <c r="AV279" t="s">
        <v>3247</v>
      </c>
    </row>
    <row r="280" spans="1:52" x14ac:dyDescent="0.25">
      <c r="A280" t="s">
        <v>3021</v>
      </c>
      <c r="B280" t="s">
        <v>3023</v>
      </c>
      <c r="C280" t="s">
        <v>968</v>
      </c>
      <c r="D280" t="s">
        <v>421</v>
      </c>
      <c r="E280" t="s">
        <v>3024</v>
      </c>
      <c r="F280" t="s">
        <v>26</v>
      </c>
      <c r="G280" t="str">
        <f>HYPERLINK("https://www.youtube.com/watch?v=gaka1vqYFNs&amp;lc=UgxG3hYa8mqYbr7cx4d4AaABAg")</f>
        <v>https://www.youtube.com/watch?v=gaka1vqYFNs&amp;lc=UgxG3hYa8mqYbr7cx4d4AaABAg</v>
      </c>
      <c r="H280" t="s">
        <v>885</v>
      </c>
      <c r="I280" t="s">
        <v>3025</v>
      </c>
      <c r="J280" t="str">
        <f>HYPERLINK("https://www.youtube.com/channel/UCv9AJAfCI8VSezxZs-xSUUQ")</f>
        <v>https://www.youtube.com/channel/UCv9AJAfCI8VSezxZs-xSUUQ</v>
      </c>
      <c r="K280">
        <v>25</v>
      </c>
      <c r="N280" t="s">
        <v>162</v>
      </c>
      <c r="O280" t="s">
        <v>424</v>
      </c>
      <c r="P280" t="str">
        <f>HYPERLINK("https://www.youtube.com/channel/UC8fQzKHIhSoZeSq3bwQx4mw")</f>
        <v>https://www.youtube.com/channel/UC8fQzKHIhSoZeSq3bwQx4mw</v>
      </c>
      <c r="Q280">
        <v>517000</v>
      </c>
      <c r="R280" t="s">
        <v>17</v>
      </c>
      <c r="S280" t="s">
        <v>1349</v>
      </c>
      <c r="W280">
        <v>3</v>
      </c>
      <c r="X280">
        <v>3</v>
      </c>
      <c r="AE280">
        <v>4</v>
      </c>
      <c r="AJ280" t="s">
        <v>10</v>
      </c>
      <c r="AK280" t="s">
        <v>21</v>
      </c>
      <c r="AL280" t="s">
        <v>3237</v>
      </c>
      <c r="AQ280" t="s">
        <v>3242</v>
      </c>
      <c r="AR280" t="s">
        <v>3243</v>
      </c>
      <c r="AU280" t="s">
        <v>3246</v>
      </c>
    </row>
    <row r="281" spans="1:52" x14ac:dyDescent="0.25">
      <c r="A281" t="s">
        <v>1277</v>
      </c>
      <c r="B281" t="s">
        <v>1323</v>
      </c>
      <c r="C281" t="s">
        <v>984</v>
      </c>
      <c r="D281" t="s">
        <v>10</v>
      </c>
      <c r="E281" t="s">
        <v>1196</v>
      </c>
      <c r="F281" t="s">
        <v>45</v>
      </c>
      <c r="G281" t="str">
        <f>HYPERLINK("https://vk.com/wall-171669151_1132")</f>
        <v>https://vk.com/wall-171669151_1132</v>
      </c>
      <c r="H281" t="s">
        <v>885</v>
      </c>
      <c r="I281" t="s">
        <v>524</v>
      </c>
      <c r="J281" t="str">
        <f>HYPERLINK("http://vk.com/club171669151")</f>
        <v>http://vk.com/club171669151</v>
      </c>
      <c r="K281">
        <v>6183</v>
      </c>
      <c r="L281" t="s">
        <v>28</v>
      </c>
      <c r="N281" t="s">
        <v>16</v>
      </c>
      <c r="O281" t="s">
        <v>524</v>
      </c>
      <c r="P281" t="str">
        <f>HYPERLINK("http://vk.com/club171669151")</f>
        <v>http://vk.com/club171669151</v>
      </c>
      <c r="Q281">
        <v>6183</v>
      </c>
      <c r="R281" t="s">
        <v>17</v>
      </c>
      <c r="S281" t="s">
        <v>18</v>
      </c>
      <c r="T281" t="s">
        <v>525</v>
      </c>
      <c r="U281" t="s">
        <v>526</v>
      </c>
      <c r="AI281" t="str">
        <f>HYPERLINK("https://sun9-2.userapi.com/2g1gwYxiBAAjoVm2H12X_U6xXYBKSGirdOoH3w/ykC5S6PhNP0.jpg")</f>
        <v>https://sun9-2.userapi.com/2g1gwYxiBAAjoVm2H12X_U6xXYBKSGirdOoH3w/ykC5S6PhNP0.jpg</v>
      </c>
      <c r="AJ281" t="s">
        <v>10</v>
      </c>
      <c r="AK281" t="s">
        <v>21</v>
      </c>
      <c r="AQ281" t="s">
        <v>3242</v>
      </c>
      <c r="AR281" t="s">
        <v>3243</v>
      </c>
      <c r="AY281" t="s">
        <v>3250</v>
      </c>
    </row>
    <row r="282" spans="1:52" x14ac:dyDescent="0.25">
      <c r="A282" t="s">
        <v>1425</v>
      </c>
      <c r="B282" t="s">
        <v>277</v>
      </c>
      <c r="C282" t="s">
        <v>984</v>
      </c>
      <c r="D282" t="s">
        <v>10</v>
      </c>
      <c r="E282" t="s">
        <v>1442</v>
      </c>
      <c r="F282" t="s">
        <v>12</v>
      </c>
      <c r="G282" t="str">
        <f>HYPERLINK("https://www.facebook.com/568390943273818/posts/3033644223415132")</f>
        <v>https://www.facebook.com/568390943273818/posts/3033644223415132</v>
      </c>
      <c r="H282" t="s">
        <v>885</v>
      </c>
      <c r="I282" t="s">
        <v>280</v>
      </c>
      <c r="J282" t="str">
        <f>HYPERLINK("https://www.facebook.com/568390943273818")</f>
        <v>https://www.facebook.com/568390943273818</v>
      </c>
      <c r="K282">
        <v>18918</v>
      </c>
      <c r="L282" t="s">
        <v>28</v>
      </c>
      <c r="N282" t="s">
        <v>179</v>
      </c>
      <c r="O282" t="s">
        <v>280</v>
      </c>
      <c r="P282" t="str">
        <f>HYPERLINK("https://www.facebook.com/568390943273818")</f>
        <v>https://www.facebook.com/568390943273818</v>
      </c>
      <c r="Q282">
        <v>18918</v>
      </c>
      <c r="R282" t="s">
        <v>17</v>
      </c>
      <c r="S282" t="s">
        <v>281</v>
      </c>
      <c r="T282" t="s">
        <v>282</v>
      </c>
      <c r="U282" t="s">
        <v>282</v>
      </c>
      <c r="W282">
        <v>12</v>
      </c>
      <c r="X282">
        <v>12</v>
      </c>
      <c r="Y282">
        <v>0</v>
      </c>
      <c r="Z282">
        <v>0</v>
      </c>
      <c r="AA282">
        <v>0</v>
      </c>
      <c r="AB282">
        <v>0</v>
      </c>
      <c r="AC282">
        <v>0</v>
      </c>
      <c r="AE282">
        <v>1</v>
      </c>
      <c r="AI282" t="str">
        <f>HYPERLINK("https://scontent-ort2-1.xx.fbcdn.net/v/t15.5256-10/116842764_296102574783455_6623598069055257482_n.jpg?_nc_cat=101&amp;_nc_sid=ad6a45&amp;_nc_ohc=IYD2biq_VKUAX84baQx&amp;_nc_ht=scontent-ort2-1.xx&amp;oh=3d82874b722a45536b59de95834d539b&amp;oe=5F49A446")</f>
        <v>https://scontent-ort2-1.xx.fbcdn.net/v/t15.5256-10/116842764_296102574783455_6623598069055257482_n.jpg?_nc_cat=101&amp;_nc_sid=ad6a45&amp;_nc_ohc=IYD2biq_VKUAX84baQx&amp;_nc_ht=scontent-ort2-1.xx&amp;oh=3d82874b722a45536b59de95834d539b&amp;oe=5F49A446</v>
      </c>
      <c r="AJ282" t="s">
        <v>10</v>
      </c>
      <c r="AK282" t="s">
        <v>21</v>
      </c>
    </row>
    <row r="283" spans="1:52" x14ac:dyDescent="0.25">
      <c r="A283" t="s">
        <v>1597</v>
      </c>
      <c r="B283" t="s">
        <v>1470</v>
      </c>
      <c r="C283" t="s">
        <v>984</v>
      </c>
      <c r="D283" t="s">
        <v>1623</v>
      </c>
      <c r="E283" t="s">
        <v>1649</v>
      </c>
      <c r="F283" t="s">
        <v>45</v>
      </c>
      <c r="G283" t="str">
        <f>HYPERLINK("https://www.elpasotimes.com/story/news/nation/2020/07/29/covid-new-york-new-jersey-northeast-region-second-coronavirus-spike/5526854002")</f>
        <v>https://www.elpasotimes.com/story/news/nation/2020/07/29/covid-new-york-new-jersey-northeast-region-second-coronavirus-spike/5526854002</v>
      </c>
      <c r="H283" t="s">
        <v>885</v>
      </c>
      <c r="I283" t="s">
        <v>1650</v>
      </c>
      <c r="J283" t="str">
        <f>HYPERLINK("http://elpasotimes.com")</f>
        <v>http://elpasotimes.com</v>
      </c>
      <c r="N283" t="s">
        <v>1651</v>
      </c>
      <c r="R283" t="s">
        <v>239</v>
      </c>
      <c r="S283" t="s">
        <v>425</v>
      </c>
      <c r="AJ283" t="s">
        <v>10</v>
      </c>
      <c r="AK283" t="s">
        <v>21</v>
      </c>
    </row>
    <row r="284" spans="1:52" x14ac:dyDescent="0.25">
      <c r="A284" t="s">
        <v>1723</v>
      </c>
      <c r="B284" t="s">
        <v>1798</v>
      </c>
      <c r="C284" t="s">
        <v>984</v>
      </c>
      <c r="D284" t="s">
        <v>1697</v>
      </c>
      <c r="E284" t="s">
        <v>1778</v>
      </c>
      <c r="F284" t="s">
        <v>45</v>
      </c>
      <c r="G284" t="str">
        <f>HYPERLINK("https://www.delawareonline.com/story/news/coronavirus/2020/07/28/covid-northeast-better-prepared-second-spike/5449927002")</f>
        <v>https://www.delawareonline.com/story/news/coronavirus/2020/07/28/covid-northeast-better-prepared-second-spike/5449927002</v>
      </c>
      <c r="H284" t="s">
        <v>885</v>
      </c>
      <c r="I284" t="s">
        <v>1801</v>
      </c>
      <c r="J284" t="str">
        <f>HYPERLINK("https://www.delawareonline.com")</f>
        <v>https://www.delawareonline.com</v>
      </c>
      <c r="N284" t="s">
        <v>1802</v>
      </c>
      <c r="R284" t="s">
        <v>239</v>
      </c>
      <c r="S284" t="s">
        <v>425</v>
      </c>
      <c r="AJ284" t="s">
        <v>10</v>
      </c>
      <c r="AK284" t="s">
        <v>21</v>
      </c>
    </row>
    <row r="285" spans="1:52" x14ac:dyDescent="0.25">
      <c r="A285" t="s">
        <v>2057</v>
      </c>
      <c r="B285" t="s">
        <v>2118</v>
      </c>
      <c r="C285" t="s">
        <v>968</v>
      </c>
      <c r="D285" t="s">
        <v>10</v>
      </c>
      <c r="E285" t="s">
        <v>2119</v>
      </c>
      <c r="F285" t="s">
        <v>26</v>
      </c>
      <c r="G285" t="str">
        <f>HYPERLINK("https://twitter.com/4805058166/status/1286519885330296837")</f>
        <v>https://twitter.com/4805058166/status/1286519885330296837</v>
      </c>
      <c r="H285" t="s">
        <v>885</v>
      </c>
      <c r="I285" t="s">
        <v>2120</v>
      </c>
      <c r="J285" t="str">
        <f>HYPERLINK("http://twitter.com/Jurassicparkfa2")</f>
        <v>http://twitter.com/Jurassicparkfa2</v>
      </c>
      <c r="K285">
        <v>456</v>
      </c>
      <c r="N285" t="s">
        <v>54</v>
      </c>
      <c r="R285" t="s">
        <v>17</v>
      </c>
      <c r="AJ285" t="s">
        <v>10</v>
      </c>
      <c r="AK285" t="s">
        <v>21</v>
      </c>
    </row>
    <row r="286" spans="1:52" x14ac:dyDescent="0.25">
      <c r="A286" t="s">
        <v>1158</v>
      </c>
      <c r="B286" t="s">
        <v>1162</v>
      </c>
      <c r="C286" t="s">
        <v>984</v>
      </c>
      <c r="D286" t="s">
        <v>10</v>
      </c>
      <c r="E286" t="s">
        <v>1163</v>
      </c>
      <c r="F286" t="s">
        <v>45</v>
      </c>
      <c r="G286" t="str">
        <f>HYPERLINK("https://www.instagram.com/p/CDgiducHzKk")</f>
        <v>https://www.instagram.com/p/CDgiducHzKk</v>
      </c>
      <c r="H286" t="s">
        <v>885</v>
      </c>
      <c r="I286" t="s">
        <v>1164</v>
      </c>
      <c r="J286" t="str">
        <f>HYPERLINK("http://instagram.com/scaleup42")</f>
        <v>http://instagram.com/scaleup42</v>
      </c>
      <c r="K286">
        <v>74</v>
      </c>
      <c r="N286" t="s">
        <v>69</v>
      </c>
      <c r="O286" t="s">
        <v>1164</v>
      </c>
      <c r="P286" t="str">
        <f>HYPERLINK("http://instagram.com/scaleup42")</f>
        <v>http://instagram.com/scaleup42</v>
      </c>
      <c r="Q286">
        <v>74</v>
      </c>
      <c r="R286" t="s">
        <v>17</v>
      </c>
      <c r="S286" t="s">
        <v>1165</v>
      </c>
      <c r="T286" t="s">
        <v>1166</v>
      </c>
      <c r="U286" t="s">
        <v>1167</v>
      </c>
      <c r="W286">
        <v>6</v>
      </c>
      <c r="X286">
        <v>6</v>
      </c>
      <c r="AE286">
        <v>0</v>
      </c>
      <c r="AG286">
        <v>14</v>
      </c>
      <c r="AI286" t="str">
        <f>HYPERLINK("https://www.instagram.com/p/CDgiducHzKk/media/?size=l")</f>
        <v>https://www.instagram.com/p/CDgiducHzKk/media/?size=l</v>
      </c>
      <c r="AJ286" t="s">
        <v>10</v>
      </c>
      <c r="AK286" t="s">
        <v>21</v>
      </c>
      <c r="AL286" t="s">
        <v>3237</v>
      </c>
      <c r="AO286" t="s">
        <v>3240</v>
      </c>
      <c r="AQ286" t="s">
        <v>3242</v>
      </c>
      <c r="AR286" t="s">
        <v>3243</v>
      </c>
    </row>
    <row r="287" spans="1:52" x14ac:dyDescent="0.25">
      <c r="A287" t="s">
        <v>1462</v>
      </c>
      <c r="B287" t="s">
        <v>1189</v>
      </c>
      <c r="C287" t="s">
        <v>984</v>
      </c>
      <c r="D287" t="s">
        <v>10</v>
      </c>
      <c r="E287" t="s">
        <v>1483</v>
      </c>
      <c r="F287" t="s">
        <v>45</v>
      </c>
      <c r="G287" t="str">
        <f>HYPERLINK("https://vk.com/wall-158633337_955")</f>
        <v>https://vk.com/wall-158633337_955</v>
      </c>
      <c r="H287" t="s">
        <v>885</v>
      </c>
      <c r="I287" t="s">
        <v>125</v>
      </c>
      <c r="J287" t="str">
        <f>HYPERLINK("http://vk.com/club158633337")</f>
        <v>http://vk.com/club158633337</v>
      </c>
      <c r="K287">
        <v>4852</v>
      </c>
      <c r="L287" t="s">
        <v>28</v>
      </c>
      <c r="N287" t="s">
        <v>16</v>
      </c>
      <c r="O287" t="s">
        <v>125</v>
      </c>
      <c r="P287" t="str">
        <f>HYPERLINK("http://vk.com/club158633337")</f>
        <v>http://vk.com/club158633337</v>
      </c>
      <c r="Q287">
        <v>4852</v>
      </c>
      <c r="R287" t="s">
        <v>17</v>
      </c>
      <c r="S287" t="s">
        <v>18</v>
      </c>
      <c r="T287" t="s">
        <v>126</v>
      </c>
      <c r="U287" t="s">
        <v>127</v>
      </c>
      <c r="W287">
        <v>0</v>
      </c>
      <c r="X287">
        <v>0</v>
      </c>
      <c r="AE287">
        <v>0</v>
      </c>
      <c r="AF287">
        <v>0</v>
      </c>
      <c r="AG287">
        <v>135</v>
      </c>
      <c r="AI287" t="str">
        <f>HYPERLINK("https://sun1-47.userapi.com/u2TglLxwS9vBSHcYfHKE71GwhsE8SoI-H9Cmmg/U3sdL6kODhQ.jpg")</f>
        <v>https://sun1-47.userapi.com/u2TglLxwS9vBSHcYfHKE71GwhsE8SoI-H9Cmmg/U3sdL6kODhQ.jpg</v>
      </c>
      <c r="AJ287" t="s">
        <v>10</v>
      </c>
      <c r="AK287" t="s">
        <v>21</v>
      </c>
      <c r="AL287" t="s">
        <v>3237</v>
      </c>
      <c r="AO287" t="s">
        <v>3240</v>
      </c>
      <c r="AQ287" t="s">
        <v>3242</v>
      </c>
      <c r="AR287" t="s">
        <v>3243</v>
      </c>
      <c r="AU287" t="s">
        <v>3246</v>
      </c>
      <c r="AV287" t="s">
        <v>3247</v>
      </c>
      <c r="AW287" t="s">
        <v>3248</v>
      </c>
    </row>
    <row r="288" spans="1:52" x14ac:dyDescent="0.25">
      <c r="A288" t="s">
        <v>2057</v>
      </c>
      <c r="B288" t="s">
        <v>2111</v>
      </c>
      <c r="C288" t="s">
        <v>968</v>
      </c>
      <c r="D288" t="s">
        <v>10</v>
      </c>
      <c r="E288" t="s">
        <v>2112</v>
      </c>
      <c r="F288" t="s">
        <v>45</v>
      </c>
      <c r="G288" t="str">
        <f>HYPERLINK("https://www.instagram.com/p/CDBBNxGgBQN")</f>
        <v>https://www.instagram.com/p/CDBBNxGgBQN</v>
      </c>
      <c r="H288" t="s">
        <v>1057</v>
      </c>
      <c r="I288" t="s">
        <v>2113</v>
      </c>
      <c r="J288" t="str">
        <f>HYPERLINK("http://instagram.com/supranovich_yuliya")</f>
        <v>http://instagram.com/supranovich_yuliya</v>
      </c>
      <c r="K288">
        <v>358</v>
      </c>
      <c r="N288" t="s">
        <v>69</v>
      </c>
      <c r="O288" t="s">
        <v>2113</v>
      </c>
      <c r="P288" t="str">
        <f>HYPERLINK("http://instagram.com/supranovich_yuliya")</f>
        <v>http://instagram.com/supranovich_yuliya</v>
      </c>
      <c r="Q288">
        <v>358</v>
      </c>
      <c r="R288" t="s">
        <v>17</v>
      </c>
      <c r="S288" t="s">
        <v>18</v>
      </c>
      <c r="AI288" t="str">
        <f>HYPERLINK("https://www.instagram.com/p/CDBBNxGgBQN/media/?size=l")</f>
        <v>https://www.instagram.com/p/CDBBNxGgBQN/media/?size=l</v>
      </c>
      <c r="AJ288" t="s">
        <v>10</v>
      </c>
      <c r="AK288" t="s">
        <v>21</v>
      </c>
      <c r="AO288" t="s">
        <v>3240</v>
      </c>
      <c r="AQ288" t="s">
        <v>3242</v>
      </c>
      <c r="AR288" t="s">
        <v>3243</v>
      </c>
      <c r="AU288" t="s">
        <v>3246</v>
      </c>
      <c r="AX288" t="s">
        <v>3249</v>
      </c>
      <c r="AZ288" t="s">
        <v>3251</v>
      </c>
    </row>
    <row r="289" spans="1:52" x14ac:dyDescent="0.25">
      <c r="A289" t="s">
        <v>2541</v>
      </c>
      <c r="B289" t="s">
        <v>864</v>
      </c>
      <c r="C289" t="s">
        <v>968</v>
      </c>
      <c r="D289" t="s">
        <v>10</v>
      </c>
      <c r="E289" t="s">
        <v>2212</v>
      </c>
      <c r="F289" t="s">
        <v>45</v>
      </c>
      <c r="G289" t="str">
        <f>HYPERLINK("https://www.facebook.com/mrtexpertrnd/photos/a.565935020817465/775202996557332/?type=3")</f>
        <v>https://www.facebook.com/mrtexpertrnd/photos/a.565935020817465/775202996557332/?type=3</v>
      </c>
      <c r="H289" t="s">
        <v>889</v>
      </c>
      <c r="I289" t="s">
        <v>125</v>
      </c>
      <c r="J289" t="str">
        <f>HYPERLINK("https://www.facebook.com/156600068417631")</f>
        <v>https://www.facebook.com/156600068417631</v>
      </c>
      <c r="K289">
        <v>236</v>
      </c>
      <c r="L289" t="s">
        <v>28</v>
      </c>
      <c r="N289" t="s">
        <v>179</v>
      </c>
      <c r="O289" t="s">
        <v>125</v>
      </c>
      <c r="P289" t="str">
        <f>HYPERLINK("https://www.facebook.com/156600068417631")</f>
        <v>https://www.facebook.com/156600068417631</v>
      </c>
      <c r="Q289">
        <v>236</v>
      </c>
      <c r="R289" t="s">
        <v>17</v>
      </c>
      <c r="S289" t="s">
        <v>18</v>
      </c>
      <c r="T289" t="s">
        <v>126</v>
      </c>
      <c r="U289" t="s">
        <v>127</v>
      </c>
      <c r="W289">
        <v>0</v>
      </c>
      <c r="X289">
        <v>0</v>
      </c>
      <c r="Y289">
        <v>0</v>
      </c>
      <c r="Z289">
        <v>0</v>
      </c>
      <c r="AA289">
        <v>0</v>
      </c>
      <c r="AB289">
        <v>0</v>
      </c>
      <c r="AC289">
        <v>0</v>
      </c>
      <c r="AE289">
        <v>0</v>
      </c>
      <c r="AI289" t="str">
        <f>HYPERLINK("https://scontent-hel2-1.xx.fbcdn.net/v/t1.0-0/p526x296/108685488_775203003223998_2334868372382232199_o.jpg?_nc_cat=104&amp;_nc_sid=9267fe&amp;_nc_ohc=FTlDsMiDfOsAX_qd2Qe&amp;_nc_ht=scontent-hel2-1.xx&amp;_nc_tp=6&amp;oh=e9b8057c1728194c1bf62717cf2640b6&amp;oe=5F35F611")</f>
        <v>https://scontent-hel2-1.xx.fbcdn.net/v/t1.0-0/p526x296/108685488_775203003223998_2334868372382232199_o.jpg?_nc_cat=104&amp;_nc_sid=9267fe&amp;_nc_ohc=FTlDsMiDfOsAX_qd2Qe&amp;_nc_ht=scontent-hel2-1.xx&amp;_nc_tp=6&amp;oh=e9b8057c1728194c1bf62717cf2640b6&amp;oe=5F35F611</v>
      </c>
      <c r="AJ289" t="s">
        <v>10</v>
      </c>
      <c r="AK289" t="s">
        <v>21</v>
      </c>
      <c r="AO289" t="s">
        <v>3240</v>
      </c>
      <c r="AZ289" t="s">
        <v>3251</v>
      </c>
    </row>
    <row r="290" spans="1:52" x14ac:dyDescent="0.25">
      <c r="A290" t="s">
        <v>2915</v>
      </c>
      <c r="B290" t="s">
        <v>1999</v>
      </c>
      <c r="C290" t="s">
        <v>968</v>
      </c>
      <c r="D290" t="s">
        <v>2925</v>
      </c>
      <c r="E290" t="s">
        <v>2934</v>
      </c>
      <c r="F290" t="s">
        <v>45</v>
      </c>
      <c r="G290" t="str">
        <f>HYPERLINK("http://forum.smolensk.ws/viewtopic.php?f=2&amp;t=86378&amp;start=60#p10029375")</f>
        <v>http://forum.smolensk.ws/viewtopic.php?f=2&amp;t=86378&amp;start=60#p10029375</v>
      </c>
      <c r="H290" t="s">
        <v>885</v>
      </c>
      <c r="I290" t="s">
        <v>2935</v>
      </c>
      <c r="J290" t="str">
        <f>HYPERLINK("http://forum.smolensk.ws/memberlist.php?mode=viewprofile&amp;u=54741")</f>
        <v>http://forum.smolensk.ws/memberlist.php?mode=viewprofile&amp;u=54741</v>
      </c>
      <c r="N290" t="s">
        <v>2928</v>
      </c>
      <c r="O290" t="s">
        <v>2929</v>
      </c>
      <c r="P290" t="str">
        <f>HYPERLINK("http://forum.smolensk.ws/viewforum.php?f=2")</f>
        <v>http://forum.smolensk.ws/viewforum.php?f=2</v>
      </c>
      <c r="R290" t="s">
        <v>1293</v>
      </c>
      <c r="S290" t="s">
        <v>18</v>
      </c>
      <c r="AJ290" t="s">
        <v>10</v>
      </c>
      <c r="AK290" t="s">
        <v>21</v>
      </c>
      <c r="AN290" t="s">
        <v>3239</v>
      </c>
      <c r="AZ290" t="s">
        <v>3251</v>
      </c>
    </row>
    <row r="291" spans="1:52" x14ac:dyDescent="0.25">
      <c r="A291" t="s">
        <v>1518</v>
      </c>
      <c r="B291" t="s">
        <v>1581</v>
      </c>
      <c r="C291" t="s">
        <v>984</v>
      </c>
      <c r="D291" t="s">
        <v>421</v>
      </c>
      <c r="E291" t="s">
        <v>1582</v>
      </c>
      <c r="F291" t="s">
        <v>26</v>
      </c>
      <c r="G291" t="str">
        <f>HYPERLINK("https://www.youtube.com/watch?v=gaka1vqYFNs&amp;lc=UgzdjukmawPcPRu4MN14AaABAg")</f>
        <v>https://www.youtube.com/watch?v=gaka1vqYFNs&amp;lc=UgzdjukmawPcPRu4MN14AaABAg</v>
      </c>
      <c r="H291" t="s">
        <v>885</v>
      </c>
      <c r="I291" t="s">
        <v>1583</v>
      </c>
      <c r="J291" t="str">
        <f>HYPERLINK("https://www.youtube.com/channel/UCOg0Yp5dd3Gx8PVXBXQjeXg")</f>
        <v>https://www.youtube.com/channel/UCOg0Yp5dd3Gx8PVXBXQjeXg</v>
      </c>
      <c r="K291">
        <v>4</v>
      </c>
      <c r="L291" t="s">
        <v>15</v>
      </c>
      <c r="N291" t="s">
        <v>162</v>
      </c>
      <c r="O291" t="s">
        <v>424</v>
      </c>
      <c r="P291" t="str">
        <f>HYPERLINK("https://www.youtube.com/channel/UC8fQzKHIhSoZeSq3bwQx4mw")</f>
        <v>https://www.youtube.com/channel/UC8fQzKHIhSoZeSq3bwQx4mw</v>
      </c>
      <c r="Q291">
        <v>517000</v>
      </c>
      <c r="R291" t="s">
        <v>17</v>
      </c>
      <c r="S291" t="s">
        <v>425</v>
      </c>
      <c r="AJ291" t="s">
        <v>10</v>
      </c>
      <c r="AK291" t="s">
        <v>21</v>
      </c>
      <c r="AN291" t="s">
        <v>3239</v>
      </c>
      <c r="AZ291" t="s">
        <v>3251</v>
      </c>
    </row>
    <row r="292" spans="1:52" x14ac:dyDescent="0.25">
      <c r="A292" t="s">
        <v>1597</v>
      </c>
      <c r="B292" t="s">
        <v>1667</v>
      </c>
      <c r="C292" t="s">
        <v>984</v>
      </c>
      <c r="D292" t="s">
        <v>1623</v>
      </c>
      <c r="E292" t="s">
        <v>1668</v>
      </c>
      <c r="F292" t="s">
        <v>45</v>
      </c>
      <c r="G292" t="str">
        <f>HYPERLINK("http://rssfeeds.usatoday.com/~/631777842/_/usatoday-newstopstories~What-went-wrong-during-the-Northeasts-first-COVID-spike-and-is-the-region-ready-for-another")</f>
        <v>http://rssfeeds.usatoday.com/~/631777842/_/usatoday-newstopstories~What-went-wrong-during-the-Northeasts-first-COVID-spike-and-is-the-region-ready-for-another</v>
      </c>
      <c r="H292" t="s">
        <v>885</v>
      </c>
      <c r="I292" t="s">
        <v>1669</v>
      </c>
      <c r="J292" t="str">
        <f>HYPERLINK("http://www.wopular.com")</f>
        <v>http://www.wopular.com</v>
      </c>
      <c r="N292" t="s">
        <v>1670</v>
      </c>
      <c r="R292" t="s">
        <v>239</v>
      </c>
      <c r="S292" t="s">
        <v>425</v>
      </c>
      <c r="AJ292" t="s">
        <v>10</v>
      </c>
      <c r="AK292" t="s">
        <v>21</v>
      </c>
      <c r="AN292" t="s">
        <v>3239</v>
      </c>
      <c r="AQ292" t="s">
        <v>3242</v>
      </c>
      <c r="AR292" t="s">
        <v>3243</v>
      </c>
      <c r="AW292" t="s">
        <v>3248</v>
      </c>
      <c r="AX292" t="s">
        <v>3249</v>
      </c>
      <c r="AZ292" t="s">
        <v>3251</v>
      </c>
    </row>
    <row r="293" spans="1:52" x14ac:dyDescent="0.25">
      <c r="A293" t="s">
        <v>2193</v>
      </c>
      <c r="B293" t="s">
        <v>2135</v>
      </c>
      <c r="C293" t="s">
        <v>968</v>
      </c>
      <c r="D293" t="s">
        <v>10</v>
      </c>
      <c r="E293" t="s">
        <v>2212</v>
      </c>
      <c r="F293" t="s">
        <v>45</v>
      </c>
      <c r="G293" t="str">
        <f>HYPERLINK("https://www.facebook.com/mrtexpertrnd/photos/a.565935020817465/779268529484112/?type=3")</f>
        <v>https://www.facebook.com/mrtexpertrnd/photos/a.565935020817465/779268529484112/?type=3</v>
      </c>
      <c r="H293" t="s">
        <v>889</v>
      </c>
      <c r="I293" t="s">
        <v>125</v>
      </c>
      <c r="J293" t="str">
        <f>HYPERLINK("https://www.facebook.com/156600068417631")</f>
        <v>https://www.facebook.com/156600068417631</v>
      </c>
      <c r="K293">
        <v>236</v>
      </c>
      <c r="L293" t="s">
        <v>28</v>
      </c>
      <c r="N293" t="s">
        <v>179</v>
      </c>
      <c r="O293" t="s">
        <v>125</v>
      </c>
      <c r="P293" t="str">
        <f>HYPERLINK("https://www.facebook.com/156600068417631")</f>
        <v>https://www.facebook.com/156600068417631</v>
      </c>
      <c r="Q293">
        <v>236</v>
      </c>
      <c r="R293" t="s">
        <v>17</v>
      </c>
      <c r="S293" t="s">
        <v>18</v>
      </c>
      <c r="T293" t="s">
        <v>126</v>
      </c>
      <c r="U293" t="s">
        <v>127</v>
      </c>
      <c r="W293">
        <v>0</v>
      </c>
      <c r="X293">
        <v>0</v>
      </c>
      <c r="Y293">
        <v>0</v>
      </c>
      <c r="Z293">
        <v>0</v>
      </c>
      <c r="AA293">
        <v>0</v>
      </c>
      <c r="AB293">
        <v>0</v>
      </c>
      <c r="AC293">
        <v>0</v>
      </c>
      <c r="AE293">
        <v>0</v>
      </c>
      <c r="AI293" t="str">
        <f>HYPERLINK("https://scontent-hel2-1.xx.fbcdn.net/v/t1.0-0/p526x296/115718661_779268532817445_7367985747718690899_o.jpg?_nc_cat=101&amp;_nc_sid=9267fe&amp;_nc_ohc=n47VV1v6FokAX8b9jhc&amp;_nc_ht=scontent-hel2-1.xx&amp;_nc_tp=6&amp;oh=d68a0e6ada9412dac9a8339b85b2a43c&amp;oe=5F3CD120")</f>
        <v>https://scontent-hel2-1.xx.fbcdn.net/v/t1.0-0/p526x296/115718661_779268532817445_7367985747718690899_o.jpg?_nc_cat=101&amp;_nc_sid=9267fe&amp;_nc_ohc=n47VV1v6FokAX8b9jhc&amp;_nc_ht=scontent-hel2-1.xx&amp;_nc_tp=6&amp;oh=d68a0e6ada9412dac9a8339b85b2a43c&amp;oe=5F3CD120</v>
      </c>
      <c r="AJ293" t="s">
        <v>10</v>
      </c>
      <c r="AK293" t="s">
        <v>21</v>
      </c>
      <c r="AM293" t="s">
        <v>3238</v>
      </c>
      <c r="AQ293" t="s">
        <v>3242</v>
      </c>
      <c r="AR293" t="s">
        <v>3243</v>
      </c>
      <c r="AU293" t="s">
        <v>3246</v>
      </c>
      <c r="AW293" t="s">
        <v>3248</v>
      </c>
      <c r="AZ293" t="s">
        <v>3251</v>
      </c>
    </row>
    <row r="294" spans="1:52" x14ac:dyDescent="0.25">
      <c r="A294" t="s">
        <v>2541</v>
      </c>
      <c r="B294" t="s">
        <v>2553</v>
      </c>
      <c r="C294" t="s">
        <v>968</v>
      </c>
      <c r="D294" t="s">
        <v>10</v>
      </c>
      <c r="E294" t="s">
        <v>2554</v>
      </c>
      <c r="F294" t="s">
        <v>12</v>
      </c>
      <c r="G294" t="str">
        <f>HYPERLINK("https://www.facebook.com/permalink.php?story_fbid=926288501222868&amp;id=100015251794464")</f>
        <v>https://www.facebook.com/permalink.php?story_fbid=926288501222868&amp;id=100015251794464</v>
      </c>
      <c r="H294" t="s">
        <v>889</v>
      </c>
      <c r="I294" t="s">
        <v>2555</v>
      </c>
      <c r="J294" t="str">
        <f>HYPERLINK("https://www.facebook.com/100015251794464")</f>
        <v>https://www.facebook.com/100015251794464</v>
      </c>
      <c r="K294">
        <v>156</v>
      </c>
      <c r="L294" t="s">
        <v>15</v>
      </c>
      <c r="N294" t="s">
        <v>179</v>
      </c>
      <c r="O294" t="s">
        <v>2555</v>
      </c>
      <c r="P294" t="str">
        <f>HYPERLINK("https://www.facebook.com/100015251794464")</f>
        <v>https://www.facebook.com/100015251794464</v>
      </c>
      <c r="Q294">
        <v>156</v>
      </c>
      <c r="R294" t="s">
        <v>17</v>
      </c>
      <c r="W294">
        <v>0</v>
      </c>
      <c r="X294">
        <v>0</v>
      </c>
      <c r="Y294">
        <v>0</v>
      </c>
      <c r="Z294">
        <v>0</v>
      </c>
      <c r="AA294">
        <v>0</v>
      </c>
      <c r="AB294">
        <v>0</v>
      </c>
      <c r="AC294">
        <v>0</v>
      </c>
      <c r="AE294">
        <v>0</v>
      </c>
      <c r="AI294" t="str">
        <f>HYPERLINK("https://scontent-hel2-1.xx.fbcdn.net/v/t1.0-9/108493448_772945330116432_6016167691027308133_o.jpg?_nc_cat=108&amp;_nc_sid=730e14&amp;_nc_ohc=Ir2ST8gcmpcAX9VwT07&amp;_nc_ht=scontent-hel2-1.xx&amp;oh=aa1587cc6a3ca4b7401b1c10bf513731&amp;oe=5F3767BE")</f>
        <v>https://scontent-hel2-1.xx.fbcdn.net/v/t1.0-9/108493448_772945330116432_6016167691027308133_o.jpg?_nc_cat=108&amp;_nc_sid=730e14&amp;_nc_ohc=Ir2ST8gcmpcAX9VwT07&amp;_nc_ht=scontent-hel2-1.xx&amp;oh=aa1587cc6a3ca4b7401b1c10bf513731&amp;oe=5F3767BE</v>
      </c>
      <c r="AJ294" t="s">
        <v>10</v>
      </c>
      <c r="AK294" t="s">
        <v>21</v>
      </c>
      <c r="AQ294" t="s">
        <v>3242</v>
      </c>
      <c r="AR294" t="s">
        <v>3243</v>
      </c>
      <c r="AT294" t="s">
        <v>3245</v>
      </c>
      <c r="AZ294" t="s">
        <v>3251</v>
      </c>
    </row>
    <row r="295" spans="1:52" x14ac:dyDescent="0.25">
      <c r="A295" t="s">
        <v>2589</v>
      </c>
      <c r="B295" t="s">
        <v>2590</v>
      </c>
      <c r="C295" t="s">
        <v>968</v>
      </c>
      <c r="D295" t="s">
        <v>1232</v>
      </c>
      <c r="E295" t="s">
        <v>2591</v>
      </c>
      <c r="F295" t="s">
        <v>26</v>
      </c>
      <c r="G295" t="str">
        <f>HYPERLINK("https://vk.com/topic-48669646_34303966?post=2521")</f>
        <v>https://vk.com/topic-48669646_34303966?post=2521</v>
      </c>
      <c r="H295" t="s">
        <v>885</v>
      </c>
      <c r="I295" t="s">
        <v>2544</v>
      </c>
      <c r="J295" t="str">
        <f>HYPERLINK("http://vk.com/id413536550")</f>
        <v>http://vk.com/id413536550</v>
      </c>
      <c r="K295">
        <v>4</v>
      </c>
      <c r="L295" t="s">
        <v>80</v>
      </c>
      <c r="N295" t="s">
        <v>16</v>
      </c>
      <c r="O295" t="s">
        <v>46</v>
      </c>
      <c r="P295" t="str">
        <f>HYPERLINK("http://vk.com/club48669646")</f>
        <v>http://vk.com/club48669646</v>
      </c>
      <c r="Q295">
        <v>5795</v>
      </c>
      <c r="R295" t="s">
        <v>17</v>
      </c>
      <c r="S295" t="s">
        <v>18</v>
      </c>
      <c r="AJ295" t="s">
        <v>10</v>
      </c>
      <c r="AK295" t="s">
        <v>21</v>
      </c>
      <c r="AL295" t="s">
        <v>3237</v>
      </c>
      <c r="AX295" t="s">
        <v>3249</v>
      </c>
      <c r="AZ295" t="s">
        <v>3251</v>
      </c>
    </row>
    <row r="296" spans="1:52" x14ac:dyDescent="0.25">
      <c r="A296" t="s">
        <v>2589</v>
      </c>
      <c r="B296" t="s">
        <v>2650</v>
      </c>
      <c r="C296" t="s">
        <v>968</v>
      </c>
      <c r="D296" t="s">
        <v>2651</v>
      </c>
      <c r="E296" t="s">
        <v>2652</v>
      </c>
      <c r="F296" t="s">
        <v>45</v>
      </c>
      <c r="G296" t="str">
        <f>HYPERLINK("https://ok.ru/group/53591009591548/topic/151736404607228")</f>
        <v>https://ok.ru/group/53591009591548/topic/151736404607228</v>
      </c>
      <c r="H296" t="s">
        <v>885</v>
      </c>
      <c r="I296" t="s">
        <v>2653</v>
      </c>
      <c r="J296" t="str">
        <f>HYPERLINK("https://ok.ru/group/53591009591548")</f>
        <v>https://ok.ru/group/53591009591548</v>
      </c>
      <c r="K296">
        <v>2532</v>
      </c>
      <c r="L296" t="s">
        <v>28</v>
      </c>
      <c r="N296" t="s">
        <v>135</v>
      </c>
      <c r="O296" t="s">
        <v>2653</v>
      </c>
      <c r="P296" t="str">
        <f>HYPERLINK("https://ok.ru/group/53591009591548")</f>
        <v>https://ok.ru/group/53591009591548</v>
      </c>
      <c r="Q296">
        <v>2532</v>
      </c>
      <c r="R296" t="s">
        <v>17</v>
      </c>
      <c r="W296">
        <v>7</v>
      </c>
      <c r="X296">
        <v>7</v>
      </c>
      <c r="Y296">
        <v>0</v>
      </c>
      <c r="Z296">
        <v>0</v>
      </c>
      <c r="AA296">
        <v>0</v>
      </c>
      <c r="AB296">
        <v>0</v>
      </c>
      <c r="AE296">
        <v>0</v>
      </c>
      <c r="AF296">
        <v>0</v>
      </c>
      <c r="AI296" t="str">
        <f>HYPERLINK("https://i.mycdn.me/image?id=897036341210&amp;t=20&amp;plc=API&amp;aid=1131601408&amp;tkn=*sX0LF7vYxpssIg-UfQDEZ2b3WgY")</f>
        <v>https://i.mycdn.me/image?id=897036341210&amp;t=20&amp;plc=API&amp;aid=1131601408&amp;tkn=*sX0LF7vYxpssIg-UfQDEZ2b3WgY</v>
      </c>
      <c r="AJ296" t="s">
        <v>10</v>
      </c>
      <c r="AK296" t="s">
        <v>21</v>
      </c>
      <c r="AW296" t="s">
        <v>3248</v>
      </c>
      <c r="AZ296" t="s">
        <v>3251</v>
      </c>
    </row>
    <row r="297" spans="1:52" x14ac:dyDescent="0.25">
      <c r="A297" t="s">
        <v>2767</v>
      </c>
      <c r="B297" t="s">
        <v>128</v>
      </c>
      <c r="C297" t="s">
        <v>968</v>
      </c>
      <c r="D297" t="s">
        <v>10</v>
      </c>
      <c r="E297" t="s">
        <v>2806</v>
      </c>
      <c r="F297" t="s">
        <v>45</v>
      </c>
      <c r="G297" t="str">
        <f>HYPERLINK("https://www.facebook.com/mriexpert/photos/a.902990326434112/3181027941963661/?type=3")</f>
        <v>https://www.facebook.com/mriexpert/photos/a.902990326434112/3181027941963661/?type=3</v>
      </c>
      <c r="H297" t="s">
        <v>885</v>
      </c>
      <c r="I297" t="s">
        <v>46</v>
      </c>
      <c r="J297" t="str">
        <f>HYPERLINK("https://www.facebook.com/902980129768465")</f>
        <v>https://www.facebook.com/902980129768465</v>
      </c>
      <c r="K297">
        <v>1509</v>
      </c>
      <c r="L297" t="s">
        <v>28</v>
      </c>
      <c r="N297" t="s">
        <v>179</v>
      </c>
      <c r="O297" t="s">
        <v>46</v>
      </c>
      <c r="P297" t="str">
        <f>HYPERLINK("https://www.facebook.com/902980129768465")</f>
        <v>https://www.facebook.com/902980129768465</v>
      </c>
      <c r="Q297">
        <v>1509</v>
      </c>
      <c r="R297" t="s">
        <v>17</v>
      </c>
      <c r="W297">
        <v>4</v>
      </c>
      <c r="X297">
        <v>4</v>
      </c>
      <c r="Y297">
        <v>0</v>
      </c>
      <c r="Z297">
        <v>0</v>
      </c>
      <c r="AA297">
        <v>0</v>
      </c>
      <c r="AB297">
        <v>0</v>
      </c>
      <c r="AC297">
        <v>0</v>
      </c>
      <c r="AE297">
        <v>0</v>
      </c>
      <c r="AF297">
        <v>3</v>
      </c>
      <c r="AI297" t="str">
        <f>HYPERLINK("https://scontent-hel2-1.xx.fbcdn.net/v/t1.0-9/s960x960/109283377_3181027948630327_8155939757774769633_o.jpg?_nc_cat=107&amp;_nc_sid=9267fe&amp;_nc_ohc=gqLC6MRXPWMAX8ejnC0&amp;_nc_ht=scontent-hel2-1.xx&amp;_nc_tp=7&amp;oh=21367c50abdcc9089b648ed530769538&amp;oe=5F304B69")</f>
        <v>https://scontent-hel2-1.xx.fbcdn.net/v/t1.0-9/s960x960/109283377_3181027948630327_8155939757774769633_o.jpg?_nc_cat=107&amp;_nc_sid=9267fe&amp;_nc_ohc=gqLC6MRXPWMAX8ejnC0&amp;_nc_ht=scontent-hel2-1.xx&amp;_nc_tp=7&amp;oh=21367c50abdcc9089b648ed530769538&amp;oe=5F304B69</v>
      </c>
      <c r="AJ297" t="s">
        <v>10</v>
      </c>
      <c r="AK297" t="s">
        <v>21</v>
      </c>
      <c r="AW297" t="s">
        <v>3248</v>
      </c>
      <c r="AX297" t="s">
        <v>3249</v>
      </c>
      <c r="AZ297" t="s">
        <v>3251</v>
      </c>
    </row>
    <row r="298" spans="1:52" x14ac:dyDescent="0.25">
      <c r="A298" t="s">
        <v>7</v>
      </c>
      <c r="B298" t="s">
        <v>157</v>
      </c>
      <c r="C298" t="s">
        <v>158</v>
      </c>
      <c r="D298" t="s">
        <v>159</v>
      </c>
      <c r="E298" t="s">
        <v>160</v>
      </c>
      <c r="F298" t="s">
        <v>45</v>
      </c>
      <c r="G298" t="str">
        <f>HYPERLINK("https://www.youtube.com/watch?v=BXr0RLTS16s")</f>
        <v>https://www.youtube.com/watch?v=BXr0RLTS16s</v>
      </c>
      <c r="H298" t="s">
        <v>13</v>
      </c>
      <c r="I298" t="s">
        <v>161</v>
      </c>
      <c r="J298" t="str">
        <f>HYPERLINK("https://www.youtube.com/channel/UCfSow90yHNdguv82Vbq58EA")</f>
        <v>https://www.youtube.com/channel/UCfSow90yHNdguv82Vbq58EA</v>
      </c>
      <c r="K298">
        <v>1</v>
      </c>
      <c r="L298" t="s">
        <v>80</v>
      </c>
      <c r="N298" t="s">
        <v>162</v>
      </c>
      <c r="O298" t="s">
        <v>161</v>
      </c>
      <c r="P298" t="str">
        <f>HYPERLINK("https://www.youtube.com/channel/UCfSow90yHNdguv82Vbq58EA")</f>
        <v>https://www.youtube.com/channel/UCfSow90yHNdguv82Vbq58EA</v>
      </c>
      <c r="Q298">
        <v>1</v>
      </c>
      <c r="R298" t="s">
        <v>17</v>
      </c>
      <c r="W298">
        <v>0</v>
      </c>
      <c r="X298">
        <v>0</v>
      </c>
      <c r="AE298">
        <v>0</v>
      </c>
      <c r="AG298">
        <v>0</v>
      </c>
      <c r="AI298" t="str">
        <f>HYPERLINK("https://i.ytimg.com/vi/BXr0RLTS16s/sddefault.jpg")</f>
        <v>https://i.ytimg.com/vi/BXr0RLTS16s/sddefault.jpg</v>
      </c>
      <c r="AJ298" t="s">
        <v>10</v>
      </c>
      <c r="AK298" t="s">
        <v>21</v>
      </c>
      <c r="AM298" t="s">
        <v>3238</v>
      </c>
      <c r="AX298" t="s">
        <v>3249</v>
      </c>
      <c r="AZ298" t="s">
        <v>3251</v>
      </c>
    </row>
    <row r="299" spans="1:52" x14ac:dyDescent="0.25">
      <c r="A299" t="s">
        <v>772</v>
      </c>
      <c r="B299" t="s">
        <v>879</v>
      </c>
      <c r="C299" t="s">
        <v>880</v>
      </c>
      <c r="D299" t="s">
        <v>10</v>
      </c>
      <c r="E299" t="s">
        <v>730</v>
      </c>
      <c r="F299" t="s">
        <v>45</v>
      </c>
      <c r="G299" t="str">
        <f>HYPERLINK("https://www.facebook.com/groups/1055908084432561/permalink/3261537917202889")</f>
        <v>https://www.facebook.com/groups/1055908084432561/permalink/3261537917202889</v>
      </c>
      <c r="H299" t="s">
        <v>13</v>
      </c>
      <c r="I299" t="s">
        <v>881</v>
      </c>
      <c r="J299" t="str">
        <f>HYPERLINK("https://www.facebook.com/100005005655613")</f>
        <v>https://www.facebook.com/100005005655613</v>
      </c>
      <c r="K299">
        <v>34</v>
      </c>
      <c r="L299" t="s">
        <v>15</v>
      </c>
      <c r="N299" t="s">
        <v>179</v>
      </c>
      <c r="O299" t="s">
        <v>882</v>
      </c>
      <c r="P299" t="str">
        <f>HYPERLINK("https://www.facebook.com/1055908084432561")</f>
        <v>https://www.facebook.com/1055908084432561</v>
      </c>
      <c r="Q299">
        <v>1250</v>
      </c>
      <c r="R299" t="s">
        <v>17</v>
      </c>
      <c r="S299" t="s">
        <v>18</v>
      </c>
      <c r="W299">
        <v>2</v>
      </c>
      <c r="X299">
        <v>2</v>
      </c>
      <c r="Y299">
        <v>0</v>
      </c>
      <c r="Z299">
        <v>0</v>
      </c>
      <c r="AA299">
        <v>0</v>
      </c>
      <c r="AB299">
        <v>0</v>
      </c>
      <c r="AC299">
        <v>0</v>
      </c>
      <c r="AE299">
        <v>0</v>
      </c>
      <c r="AF299">
        <v>0</v>
      </c>
      <c r="AI299" t="str">
        <f>HYPERLINK("https://vademec.ru/upload/iblock/488/48863db98d33de4541fe23b51a5b576f.jpg")</f>
        <v>https://vademec.ru/upload/iblock/488/48863db98d33de4541fe23b51a5b576f.jpg</v>
      </c>
      <c r="AJ299" t="s">
        <v>10</v>
      </c>
      <c r="AK299" t="s">
        <v>21</v>
      </c>
      <c r="AM299" t="s">
        <v>3238</v>
      </c>
      <c r="AX299" t="s">
        <v>3249</v>
      </c>
      <c r="AZ299" t="s">
        <v>3251</v>
      </c>
    </row>
    <row r="300" spans="1:52" x14ac:dyDescent="0.25">
      <c r="A300" t="s">
        <v>1462</v>
      </c>
      <c r="B300" t="s">
        <v>1505</v>
      </c>
      <c r="C300" t="s">
        <v>984</v>
      </c>
      <c r="D300" t="s">
        <v>10</v>
      </c>
      <c r="E300" t="s">
        <v>1490</v>
      </c>
      <c r="F300" t="s">
        <v>12</v>
      </c>
      <c r="G300" t="str">
        <f>HYPERLINK("https://vk.com/wall600664769_431")</f>
        <v>https://vk.com/wall600664769_431</v>
      </c>
      <c r="H300" t="s">
        <v>885</v>
      </c>
      <c r="I300" t="s">
        <v>1503</v>
      </c>
      <c r="J300" t="str">
        <f>HYPERLINK("http://vk.com/id600664769")</f>
        <v>http://vk.com/id600664769</v>
      </c>
      <c r="K300">
        <v>55</v>
      </c>
      <c r="L300" t="s">
        <v>80</v>
      </c>
      <c r="M300">
        <v>69</v>
      </c>
      <c r="N300" t="s">
        <v>16</v>
      </c>
      <c r="O300" t="s">
        <v>1503</v>
      </c>
      <c r="P300" t="str">
        <f>HYPERLINK("http://vk.com/id600664769")</f>
        <v>http://vk.com/id600664769</v>
      </c>
      <c r="Q300">
        <v>55</v>
      </c>
      <c r="R300" t="s">
        <v>17</v>
      </c>
      <c r="S300" t="s">
        <v>18</v>
      </c>
      <c r="T300" t="s">
        <v>272</v>
      </c>
      <c r="U300" t="s">
        <v>1300</v>
      </c>
      <c r="AI300" t="str">
        <f>HYPERLINK("https://sun3-12.userapi.com/gFc6d3yZcEgg0XH8DyUn75HEceQKbAB_Nv7KkQ/CaUZut2MJYY.jpg")</f>
        <v>https://sun3-12.userapi.com/gFc6d3yZcEgg0XH8DyUn75HEceQKbAB_Nv7KkQ/CaUZut2MJYY.jpg</v>
      </c>
      <c r="AJ300" t="s">
        <v>10</v>
      </c>
      <c r="AK300" t="s">
        <v>21</v>
      </c>
      <c r="AZ300" t="s">
        <v>3251</v>
      </c>
    </row>
    <row r="301" spans="1:52" x14ac:dyDescent="0.25">
      <c r="A301" t="s">
        <v>2684</v>
      </c>
      <c r="B301" t="s">
        <v>2706</v>
      </c>
      <c r="C301" t="s">
        <v>968</v>
      </c>
      <c r="D301" t="s">
        <v>10</v>
      </c>
      <c r="E301" t="s">
        <v>2688</v>
      </c>
      <c r="F301" t="s">
        <v>12</v>
      </c>
      <c r="G301" t="str">
        <f>HYPERLINK("https://www.facebook.com/taya.martirossyan/posts/3687351474626577")</f>
        <v>https://www.facebook.com/taya.martirossyan/posts/3687351474626577</v>
      </c>
      <c r="H301" t="s">
        <v>885</v>
      </c>
      <c r="I301" t="s">
        <v>2707</v>
      </c>
      <c r="J301" t="str">
        <f>HYPERLINK("https://www.facebook.com/100000552820799")</f>
        <v>https://www.facebook.com/100000552820799</v>
      </c>
      <c r="K301">
        <v>0</v>
      </c>
      <c r="L301" t="s">
        <v>80</v>
      </c>
      <c r="N301" t="s">
        <v>179</v>
      </c>
      <c r="O301" t="s">
        <v>2707</v>
      </c>
      <c r="P301" t="str">
        <f>HYPERLINK("https://www.facebook.com/100000552820799")</f>
        <v>https://www.facebook.com/100000552820799</v>
      </c>
      <c r="Q301">
        <v>0</v>
      </c>
      <c r="R301" t="s">
        <v>17</v>
      </c>
      <c r="S301" t="s">
        <v>1165</v>
      </c>
      <c r="T301" t="s">
        <v>2708</v>
      </c>
      <c r="U301" t="s">
        <v>2709</v>
      </c>
      <c r="W301">
        <v>1</v>
      </c>
      <c r="X301">
        <v>1</v>
      </c>
      <c r="Y301">
        <v>0</v>
      </c>
      <c r="Z301">
        <v>0</v>
      </c>
      <c r="AA301">
        <v>0</v>
      </c>
      <c r="AB301">
        <v>0</v>
      </c>
      <c r="AC301">
        <v>0</v>
      </c>
      <c r="AE301">
        <v>0</v>
      </c>
      <c r="AF301">
        <v>5</v>
      </c>
      <c r="AI301" t="str">
        <f>HYPERLINK("https://scontent-hel2-1.xx.fbcdn.net/v/t15.13418-10/107718255_3109660389083815_8825691245568026571_n.jpg?_nc_cat=108&amp;_nc_sid=ad6a45&amp;_nc_ohc=fyWVkB1ebcUAX-x2f3Z&amp;_nc_ht=scontent-hel2-1.xx&amp;oh=11af0ed4b9d2141fabde4b8cabf0ce68&amp;oe=5F34D9DA")</f>
        <v>https://scontent-hel2-1.xx.fbcdn.net/v/t15.13418-10/107718255_3109660389083815_8825691245568026571_n.jpg?_nc_cat=108&amp;_nc_sid=ad6a45&amp;_nc_ohc=fyWVkB1ebcUAX-x2f3Z&amp;_nc_ht=scontent-hel2-1.xx&amp;oh=11af0ed4b9d2141fabde4b8cabf0ce68&amp;oe=5F34D9DA</v>
      </c>
      <c r="AJ301" t="s">
        <v>10</v>
      </c>
      <c r="AK301" t="s">
        <v>21</v>
      </c>
      <c r="AZ301" t="s">
        <v>3251</v>
      </c>
    </row>
    <row r="302" spans="1:52" x14ac:dyDescent="0.25">
      <c r="A302" t="s">
        <v>7</v>
      </c>
      <c r="B302" t="s">
        <v>274</v>
      </c>
      <c r="C302" t="s">
        <v>275</v>
      </c>
      <c r="D302" t="s">
        <v>24</v>
      </c>
      <c r="E302" t="s">
        <v>276</v>
      </c>
      <c r="F302" t="s">
        <v>26</v>
      </c>
      <c r="G302" t="str">
        <f>HYPERLINK("https://vk.com/wall-197114981_31?reply=1346&amp;thread=1263")</f>
        <v>https://vk.com/wall-197114981_31?reply=1346&amp;thread=1263</v>
      </c>
      <c r="H302" t="s">
        <v>13</v>
      </c>
      <c r="I302" t="s">
        <v>27</v>
      </c>
      <c r="J302" t="str">
        <f>HYPERLINK("http://vk.com/club197114981")</f>
        <v>http://vk.com/club197114981</v>
      </c>
      <c r="K302">
        <v>38</v>
      </c>
      <c r="L302" t="s">
        <v>28</v>
      </c>
      <c r="N302" t="s">
        <v>16</v>
      </c>
      <c r="O302" t="s">
        <v>27</v>
      </c>
      <c r="P302" t="str">
        <f>HYPERLINK("http://vk.com/club197114981")</f>
        <v>http://vk.com/club197114981</v>
      </c>
      <c r="Q302">
        <v>38</v>
      </c>
      <c r="R302" t="s">
        <v>17</v>
      </c>
      <c r="AJ302" t="s">
        <v>10</v>
      </c>
      <c r="AK302" t="s">
        <v>21</v>
      </c>
      <c r="AW302" t="s">
        <v>3248</v>
      </c>
      <c r="AZ302" t="s">
        <v>3251</v>
      </c>
    </row>
    <row r="303" spans="1:52" x14ac:dyDescent="0.25">
      <c r="A303" t="s">
        <v>772</v>
      </c>
      <c r="B303" t="s">
        <v>773</v>
      </c>
      <c r="C303" t="s">
        <v>774</v>
      </c>
      <c r="D303" t="s">
        <v>24</v>
      </c>
      <c r="E303" t="s">
        <v>775</v>
      </c>
      <c r="F303" t="s">
        <v>26</v>
      </c>
      <c r="G303" t="str">
        <f>HYPERLINK("https://vk.com/wall-197114981_31?reply=1164&amp;thread=1162")</f>
        <v>https://vk.com/wall-197114981_31?reply=1164&amp;thread=1162</v>
      </c>
      <c r="H303" t="s">
        <v>13</v>
      </c>
      <c r="I303" t="s">
        <v>679</v>
      </c>
      <c r="J303" t="str">
        <f>HYPERLINK("http://vk.com/id12541741")</f>
        <v>http://vk.com/id12541741</v>
      </c>
      <c r="K303">
        <v>5833</v>
      </c>
      <c r="L303" t="s">
        <v>80</v>
      </c>
      <c r="M303">
        <v>37</v>
      </c>
      <c r="N303" t="s">
        <v>16</v>
      </c>
      <c r="O303" t="s">
        <v>27</v>
      </c>
      <c r="P303" t="str">
        <f>HYPERLINK("http://vk.com/club197114981")</f>
        <v>http://vk.com/club197114981</v>
      </c>
      <c r="Q303">
        <v>38</v>
      </c>
      <c r="R303" t="s">
        <v>17</v>
      </c>
      <c r="S303" t="s">
        <v>18</v>
      </c>
      <c r="T303" t="s">
        <v>231</v>
      </c>
      <c r="U303" t="s">
        <v>232</v>
      </c>
      <c r="AJ303" t="s">
        <v>10</v>
      </c>
      <c r="AK303" t="s">
        <v>21</v>
      </c>
      <c r="AM303" t="s">
        <v>3238</v>
      </c>
      <c r="AN303" t="s">
        <v>3239</v>
      </c>
      <c r="AW303" t="s">
        <v>3248</v>
      </c>
    </row>
    <row r="304" spans="1:52" x14ac:dyDescent="0.25">
      <c r="A304" t="s">
        <v>1017</v>
      </c>
      <c r="B304" t="s">
        <v>1077</v>
      </c>
      <c r="C304" t="s">
        <v>984</v>
      </c>
      <c r="D304" t="s">
        <v>10</v>
      </c>
      <c r="E304" t="s">
        <v>1078</v>
      </c>
      <c r="F304" t="s">
        <v>45</v>
      </c>
      <c r="G304" t="str">
        <f>HYPERLINK("https://www.facebook.com/olha.bulava.3/posts/792302871512683")</f>
        <v>https://www.facebook.com/olha.bulava.3/posts/792302871512683</v>
      </c>
      <c r="H304" t="s">
        <v>885</v>
      </c>
      <c r="I304" t="s">
        <v>1079</v>
      </c>
      <c r="J304" t="str">
        <f>HYPERLINK("https://www.facebook.com/100021989320538")</f>
        <v>https://www.facebook.com/100021989320538</v>
      </c>
      <c r="K304">
        <v>561</v>
      </c>
      <c r="L304" t="s">
        <v>80</v>
      </c>
      <c r="N304" t="s">
        <v>179</v>
      </c>
      <c r="O304" t="s">
        <v>1079</v>
      </c>
      <c r="P304" t="str">
        <f>HYPERLINK("https://www.facebook.com/100021989320538")</f>
        <v>https://www.facebook.com/100021989320538</v>
      </c>
      <c r="Q304">
        <v>561</v>
      </c>
      <c r="R304" t="s">
        <v>17</v>
      </c>
      <c r="W304">
        <v>0</v>
      </c>
      <c r="X304">
        <v>0</v>
      </c>
      <c r="Y304">
        <v>0</v>
      </c>
      <c r="Z304">
        <v>0</v>
      </c>
      <c r="AA304">
        <v>0</v>
      </c>
      <c r="AB304">
        <v>0</v>
      </c>
      <c r="AC304">
        <v>0</v>
      </c>
      <c r="AE304">
        <v>0</v>
      </c>
      <c r="AJ304" t="s">
        <v>10</v>
      </c>
      <c r="AK304" t="s">
        <v>21</v>
      </c>
      <c r="AN304" t="s">
        <v>3239</v>
      </c>
      <c r="AO304" t="s">
        <v>3240</v>
      </c>
    </row>
    <row r="305" spans="1:52" x14ac:dyDescent="0.25">
      <c r="A305" t="s">
        <v>2380</v>
      </c>
      <c r="B305" t="s">
        <v>2416</v>
      </c>
      <c r="C305" t="s">
        <v>968</v>
      </c>
      <c r="D305" t="s">
        <v>421</v>
      </c>
      <c r="E305" t="s">
        <v>2417</v>
      </c>
      <c r="F305" t="s">
        <v>26</v>
      </c>
      <c r="G305" t="str">
        <f>HYPERLINK("https://www.youtube.com/watch?v=gaka1vqYFNs&amp;lc=UgwBNMq5GOxfGBn9lkt4AaABAg")</f>
        <v>https://www.youtube.com/watch?v=gaka1vqYFNs&amp;lc=UgwBNMq5GOxfGBn9lkt4AaABAg</v>
      </c>
      <c r="H305" t="s">
        <v>885</v>
      </c>
      <c r="I305" t="s">
        <v>2418</v>
      </c>
      <c r="J305" t="str">
        <f>HYPERLINK("https://www.youtube.com/channel/UCM7nRc5-CSeLWbeB8M4aA_A")</f>
        <v>https://www.youtube.com/channel/UCM7nRc5-CSeLWbeB8M4aA_A</v>
      </c>
      <c r="K305">
        <v>1</v>
      </c>
      <c r="N305" t="s">
        <v>162</v>
      </c>
      <c r="O305" t="s">
        <v>424</v>
      </c>
      <c r="P305" t="str">
        <f>HYPERLINK("https://www.youtube.com/channel/UC8fQzKHIhSoZeSq3bwQx4mw")</f>
        <v>https://www.youtube.com/channel/UC8fQzKHIhSoZeSq3bwQx4mw</v>
      </c>
      <c r="Q305">
        <v>517000</v>
      </c>
      <c r="R305" t="s">
        <v>17</v>
      </c>
      <c r="S305" t="s">
        <v>425</v>
      </c>
      <c r="W305">
        <v>1</v>
      </c>
      <c r="X305">
        <v>1</v>
      </c>
      <c r="AE305">
        <v>0</v>
      </c>
      <c r="AJ305" t="s">
        <v>10</v>
      </c>
      <c r="AK305" t="s">
        <v>21</v>
      </c>
      <c r="AM305" t="s">
        <v>3238</v>
      </c>
      <c r="AO305" t="s">
        <v>3240</v>
      </c>
      <c r="AW305" t="s">
        <v>3248</v>
      </c>
      <c r="AX305" t="s">
        <v>3249</v>
      </c>
    </row>
    <row r="306" spans="1:52" x14ac:dyDescent="0.25">
      <c r="A306" t="s">
        <v>414</v>
      </c>
      <c r="B306" t="s">
        <v>645</v>
      </c>
      <c r="C306" t="s">
        <v>646</v>
      </c>
      <c r="D306" t="s">
        <v>24</v>
      </c>
      <c r="E306" t="s">
        <v>259</v>
      </c>
      <c r="F306" t="s">
        <v>26</v>
      </c>
      <c r="G306" t="str">
        <f>HYPERLINK("https://vk.com/wall-197114981_31?reply=1200&amp;thread=1195")</f>
        <v>https://vk.com/wall-197114981_31?reply=1200&amp;thread=1195</v>
      </c>
      <c r="H306" t="s">
        <v>13</v>
      </c>
      <c r="I306" t="s">
        <v>27</v>
      </c>
      <c r="J306" t="str">
        <f>HYPERLINK("http://vk.com/club197114981")</f>
        <v>http://vk.com/club197114981</v>
      </c>
      <c r="K306">
        <v>38</v>
      </c>
      <c r="L306" t="s">
        <v>28</v>
      </c>
      <c r="N306" t="s">
        <v>16</v>
      </c>
      <c r="O306" t="s">
        <v>27</v>
      </c>
      <c r="P306" t="str">
        <f>HYPERLINK("http://vk.com/club197114981")</f>
        <v>http://vk.com/club197114981</v>
      </c>
      <c r="Q306">
        <v>38</v>
      </c>
      <c r="R306" t="s">
        <v>17</v>
      </c>
      <c r="AJ306" t="s">
        <v>10</v>
      </c>
      <c r="AK306" t="s">
        <v>21</v>
      </c>
      <c r="AL306" t="s">
        <v>3237</v>
      </c>
      <c r="AO306" t="s">
        <v>3240</v>
      </c>
      <c r="AQ306" t="s">
        <v>3242</v>
      </c>
      <c r="AV306" t="s">
        <v>3247</v>
      </c>
    </row>
    <row r="307" spans="1:52" x14ac:dyDescent="0.25">
      <c r="A307" t="s">
        <v>1017</v>
      </c>
      <c r="B307" t="s">
        <v>1054</v>
      </c>
      <c r="C307" t="s">
        <v>984</v>
      </c>
      <c r="D307" t="s">
        <v>1055</v>
      </c>
      <c r="E307" t="s">
        <v>1056</v>
      </c>
      <c r="F307" t="s">
        <v>45</v>
      </c>
      <c r="G307" t="str">
        <f>HYPERLINK("https://vrachirf.ru/concilium/77381.html")</f>
        <v>https://vrachirf.ru/concilium/77381.html</v>
      </c>
      <c r="H307" t="s">
        <v>1057</v>
      </c>
      <c r="I307" t="s">
        <v>1058</v>
      </c>
      <c r="J307" t="str">
        <f>HYPERLINK("https://vrachirf.ru/users/profile/684679")</f>
        <v>https://vrachirf.ru/users/profile/684679</v>
      </c>
      <c r="L307" t="s">
        <v>15</v>
      </c>
      <c r="N307" t="s">
        <v>1059</v>
      </c>
      <c r="O307" t="s">
        <v>1058</v>
      </c>
      <c r="P307" t="str">
        <f>HYPERLINK("https://vrachirf.ru/users/profile/684679")</f>
        <v>https://vrachirf.ru/users/profile/684679</v>
      </c>
      <c r="R307" t="s">
        <v>966</v>
      </c>
      <c r="S307" t="s">
        <v>18</v>
      </c>
      <c r="T307" t="s">
        <v>1060</v>
      </c>
      <c r="U307" t="s">
        <v>1061</v>
      </c>
      <c r="AJ307" t="s">
        <v>10</v>
      </c>
      <c r="AK307" t="s">
        <v>21</v>
      </c>
      <c r="AO307" t="s">
        <v>3240</v>
      </c>
      <c r="AQ307" t="s">
        <v>3242</v>
      </c>
      <c r="AV307" t="s">
        <v>3247</v>
      </c>
      <c r="AW307" t="s">
        <v>3248</v>
      </c>
    </row>
    <row r="308" spans="1:52" x14ac:dyDescent="0.25">
      <c r="A308" t="s">
        <v>414</v>
      </c>
      <c r="B308" t="s">
        <v>565</v>
      </c>
      <c r="C308" t="s">
        <v>566</v>
      </c>
      <c r="D308" t="s">
        <v>24</v>
      </c>
      <c r="E308" t="s">
        <v>567</v>
      </c>
      <c r="F308" t="s">
        <v>26</v>
      </c>
      <c r="G308" t="str">
        <f>HYPERLINK("https://vk.com/wall-197114981_31?reply=1229&amp;thread=1228")</f>
        <v>https://vk.com/wall-197114981_31?reply=1229&amp;thread=1228</v>
      </c>
      <c r="H308" t="s">
        <v>13</v>
      </c>
      <c r="I308" t="s">
        <v>27</v>
      </c>
      <c r="J308" t="str">
        <f>HYPERLINK("http://vk.com/club197114981")</f>
        <v>http://vk.com/club197114981</v>
      </c>
      <c r="K308">
        <v>38</v>
      </c>
      <c r="L308" t="s">
        <v>28</v>
      </c>
      <c r="N308" t="s">
        <v>16</v>
      </c>
      <c r="O308" t="s">
        <v>27</v>
      </c>
      <c r="P308" t="str">
        <f>HYPERLINK("http://vk.com/club197114981")</f>
        <v>http://vk.com/club197114981</v>
      </c>
      <c r="Q308">
        <v>38</v>
      </c>
      <c r="R308" t="s">
        <v>17</v>
      </c>
      <c r="AJ308" t="s">
        <v>10</v>
      </c>
      <c r="AK308" t="s">
        <v>21</v>
      </c>
      <c r="AO308" t="s">
        <v>3240</v>
      </c>
      <c r="AQ308" t="s">
        <v>3242</v>
      </c>
      <c r="AU308" t="s">
        <v>3246</v>
      </c>
    </row>
    <row r="309" spans="1:52" x14ac:dyDescent="0.25">
      <c r="A309" t="s">
        <v>1017</v>
      </c>
      <c r="B309" t="s">
        <v>1025</v>
      </c>
      <c r="C309" t="s">
        <v>984</v>
      </c>
      <c r="D309" t="s">
        <v>10</v>
      </c>
      <c r="E309" t="s">
        <v>1026</v>
      </c>
      <c r="F309" t="s">
        <v>45</v>
      </c>
      <c r="G309" t="str">
        <f>HYPERLINK("https://vk.com/wall-54006548_8324")</f>
        <v>https://vk.com/wall-54006548_8324</v>
      </c>
      <c r="H309" t="s">
        <v>885</v>
      </c>
      <c r="I309" t="s">
        <v>1027</v>
      </c>
      <c r="J309" t="str">
        <f>HYPERLINK("http://vk.com/club54006548")</f>
        <v>http://vk.com/club54006548</v>
      </c>
      <c r="K309">
        <v>915</v>
      </c>
      <c r="L309" t="s">
        <v>28</v>
      </c>
      <c r="N309" t="s">
        <v>16</v>
      </c>
      <c r="O309" t="s">
        <v>1027</v>
      </c>
      <c r="P309" t="str">
        <f>HYPERLINK("http://vk.com/club54006548")</f>
        <v>http://vk.com/club54006548</v>
      </c>
      <c r="Q309">
        <v>915</v>
      </c>
      <c r="R309" t="s">
        <v>17</v>
      </c>
      <c r="W309">
        <v>1</v>
      </c>
      <c r="X309">
        <v>1</v>
      </c>
      <c r="AE309">
        <v>0</v>
      </c>
      <c r="AF309">
        <v>0</v>
      </c>
      <c r="AG309">
        <v>63</v>
      </c>
      <c r="AI309" t="str">
        <f>HYPERLINK("https://sun1-97.userapi.com/P2RBPxx1JGYvbfDIszNAW89VMjwchB_67AW9Bw/fW25tRua6AY.jpg")</f>
        <v>https://sun1-97.userapi.com/P2RBPxx1JGYvbfDIszNAW89VMjwchB_67AW9Bw/fW25tRua6AY.jpg</v>
      </c>
      <c r="AJ309" t="s">
        <v>10</v>
      </c>
      <c r="AK309" t="s">
        <v>21</v>
      </c>
      <c r="AO309" t="s">
        <v>3240</v>
      </c>
      <c r="AQ309" t="s">
        <v>3242</v>
      </c>
      <c r="AT309" t="s">
        <v>3245</v>
      </c>
      <c r="AU309" t="s">
        <v>3246</v>
      </c>
      <c r="AX309" t="s">
        <v>3249</v>
      </c>
    </row>
    <row r="310" spans="1:52" x14ac:dyDescent="0.25">
      <c r="A310" t="s">
        <v>1158</v>
      </c>
      <c r="B310" t="s">
        <v>1168</v>
      </c>
      <c r="C310" t="s">
        <v>984</v>
      </c>
      <c r="D310" t="s">
        <v>10</v>
      </c>
      <c r="E310" t="s">
        <v>1169</v>
      </c>
      <c r="F310" t="s">
        <v>45</v>
      </c>
      <c r="G310" t="str">
        <f>HYPERLINK("https://vk.com/wall-122327832_630")</f>
        <v>https://vk.com/wall-122327832_630</v>
      </c>
      <c r="H310" t="s">
        <v>885</v>
      </c>
      <c r="I310" t="s">
        <v>1170</v>
      </c>
      <c r="J310" t="str">
        <f>HYPERLINK("http://vk.com/club122327832")</f>
        <v>http://vk.com/club122327832</v>
      </c>
      <c r="K310">
        <v>891</v>
      </c>
      <c r="L310" t="s">
        <v>28</v>
      </c>
      <c r="N310" t="s">
        <v>16</v>
      </c>
      <c r="O310" t="s">
        <v>1170</v>
      </c>
      <c r="P310" t="str">
        <f>HYPERLINK("http://vk.com/club122327832")</f>
        <v>http://vk.com/club122327832</v>
      </c>
      <c r="Q310">
        <v>891</v>
      </c>
      <c r="R310" t="s">
        <v>17</v>
      </c>
      <c r="S310" t="s">
        <v>18</v>
      </c>
      <c r="T310" t="s">
        <v>70</v>
      </c>
      <c r="U310" t="s">
        <v>71</v>
      </c>
      <c r="W310">
        <v>0</v>
      </c>
      <c r="X310">
        <v>0</v>
      </c>
      <c r="AE310">
        <v>0</v>
      </c>
      <c r="AF310">
        <v>0</v>
      </c>
      <c r="AG310">
        <v>59</v>
      </c>
      <c r="AI310" t="str">
        <f>HYPERLINK("https://sun9-1.userapi.com/c206628/v206628496/1753f8/qbzOdbJUwPA.jpg")</f>
        <v>https://sun9-1.userapi.com/c206628/v206628496/1753f8/qbzOdbJUwPA.jpg</v>
      </c>
      <c r="AJ310" t="s">
        <v>10</v>
      </c>
      <c r="AK310" t="s">
        <v>21</v>
      </c>
      <c r="AN310" t="s">
        <v>3239</v>
      </c>
      <c r="AQ310" t="s">
        <v>3242</v>
      </c>
      <c r="AV310" t="s">
        <v>3247</v>
      </c>
      <c r="AW310" t="s">
        <v>3248</v>
      </c>
    </row>
    <row r="311" spans="1:52" x14ac:dyDescent="0.25">
      <c r="A311" t="s">
        <v>1723</v>
      </c>
      <c r="B311" t="s">
        <v>1803</v>
      </c>
      <c r="C311" t="s">
        <v>984</v>
      </c>
      <c r="D311" t="s">
        <v>1697</v>
      </c>
      <c r="E311" t="s">
        <v>1778</v>
      </c>
      <c r="F311" t="s">
        <v>45</v>
      </c>
      <c r="G311" t="str">
        <f>HYPERLINK("https://eu.lohud.com/story/news/coronavirus/2020/07/28/covid-northeast-better-prepared-second-spike/5449927002")</f>
        <v>https://eu.lohud.com/story/news/coronavirus/2020/07/28/covid-northeast-better-prepared-second-spike/5449927002</v>
      </c>
      <c r="H311" t="s">
        <v>885</v>
      </c>
      <c r="I311" t="s">
        <v>1804</v>
      </c>
      <c r="J311" t="str">
        <f>HYPERLINK("https://www.lohud.com")</f>
        <v>https://www.lohud.com</v>
      </c>
      <c r="N311" t="s">
        <v>1805</v>
      </c>
      <c r="R311" t="s">
        <v>239</v>
      </c>
      <c r="S311" t="s">
        <v>425</v>
      </c>
      <c r="AJ311" t="s">
        <v>10</v>
      </c>
      <c r="AK311" t="s">
        <v>21</v>
      </c>
      <c r="AN311" t="s">
        <v>3239</v>
      </c>
      <c r="AQ311" t="s">
        <v>3242</v>
      </c>
      <c r="AT311" t="s">
        <v>3245</v>
      </c>
      <c r="AU311" t="s">
        <v>3246</v>
      </c>
      <c r="AV311" t="s">
        <v>3247</v>
      </c>
    </row>
    <row r="312" spans="1:52" x14ac:dyDescent="0.25">
      <c r="A312" t="s">
        <v>1982</v>
      </c>
      <c r="B312" t="s">
        <v>864</v>
      </c>
      <c r="C312" t="s">
        <v>968</v>
      </c>
      <c r="D312" t="s">
        <v>10</v>
      </c>
      <c r="E312" t="s">
        <v>1948</v>
      </c>
      <c r="F312" t="s">
        <v>45</v>
      </c>
      <c r="G312" t="str">
        <f>HYPERLINK("https://vk.com/wall-158633337_947")</f>
        <v>https://vk.com/wall-158633337_947</v>
      </c>
      <c r="H312" t="s">
        <v>889</v>
      </c>
      <c r="I312" t="s">
        <v>125</v>
      </c>
      <c r="J312" t="str">
        <f>HYPERLINK("http://vk.com/club158633337")</f>
        <v>http://vk.com/club158633337</v>
      </c>
      <c r="K312">
        <v>4852</v>
      </c>
      <c r="L312" t="s">
        <v>28</v>
      </c>
      <c r="N312" t="s">
        <v>16</v>
      </c>
      <c r="O312" t="s">
        <v>125</v>
      </c>
      <c r="P312" t="str">
        <f>HYPERLINK("http://vk.com/club158633337")</f>
        <v>http://vk.com/club158633337</v>
      </c>
      <c r="Q312">
        <v>4852</v>
      </c>
      <c r="R312" t="s">
        <v>17</v>
      </c>
      <c r="S312" t="s">
        <v>18</v>
      </c>
      <c r="T312" t="s">
        <v>126</v>
      </c>
      <c r="U312" t="s">
        <v>127</v>
      </c>
      <c r="W312">
        <v>1</v>
      </c>
      <c r="X312">
        <v>1</v>
      </c>
      <c r="AE312">
        <v>0</v>
      </c>
      <c r="AF312">
        <v>0</v>
      </c>
      <c r="AG312">
        <v>112</v>
      </c>
      <c r="AI312" t="str">
        <f>HYPERLINK("https://sun1-26.userapi.com/yMGuTIeCdpv9fT7_A9Inyqx6HE6n9jy7yqwE_w/MExu17Xz1OQ.jpg")</f>
        <v>https://sun1-26.userapi.com/yMGuTIeCdpv9fT7_A9Inyqx6HE6n9jy7yqwE_w/MExu17Xz1OQ.jpg</v>
      </c>
      <c r="AJ312" t="s">
        <v>10</v>
      </c>
      <c r="AK312" t="s">
        <v>21</v>
      </c>
      <c r="AN312" t="s">
        <v>3239</v>
      </c>
      <c r="AQ312" t="s">
        <v>3242</v>
      </c>
      <c r="AT312" t="s">
        <v>3245</v>
      </c>
      <c r="AW312" t="s">
        <v>3248</v>
      </c>
      <c r="AX312" t="s">
        <v>3249</v>
      </c>
    </row>
    <row r="313" spans="1:52" x14ac:dyDescent="0.25">
      <c r="A313" t="s">
        <v>2122</v>
      </c>
      <c r="B313" t="s">
        <v>1383</v>
      </c>
      <c r="C313" t="s">
        <v>968</v>
      </c>
      <c r="D313" t="s">
        <v>2155</v>
      </c>
      <c r="E313" t="s">
        <v>2156</v>
      </c>
      <c r="F313" t="s">
        <v>26</v>
      </c>
      <c r="G313" t="str">
        <f>HYPERLINK("https://vk.com/wall-63328264_1424938?reply=1424961&amp;thread=1424958")</f>
        <v>https://vk.com/wall-63328264_1424938?reply=1424961&amp;thread=1424958</v>
      </c>
      <c r="H313" t="s">
        <v>885</v>
      </c>
      <c r="I313" t="s">
        <v>2157</v>
      </c>
      <c r="J313" t="str">
        <f>HYPERLINK("http://vk.com/id474756824")</f>
        <v>http://vk.com/id474756824</v>
      </c>
      <c r="K313">
        <v>21</v>
      </c>
      <c r="L313" t="s">
        <v>15</v>
      </c>
      <c r="N313" t="s">
        <v>16</v>
      </c>
      <c r="O313" t="s">
        <v>2158</v>
      </c>
      <c r="P313" t="str">
        <f>HYPERLINK("http://vk.com/club63328264")</f>
        <v>http://vk.com/club63328264</v>
      </c>
      <c r="Q313">
        <v>31770</v>
      </c>
      <c r="R313" t="s">
        <v>17</v>
      </c>
      <c r="S313" t="s">
        <v>18</v>
      </c>
      <c r="T313" t="s">
        <v>1923</v>
      </c>
      <c r="U313" t="s">
        <v>1924</v>
      </c>
      <c r="AJ313" t="s">
        <v>10</v>
      </c>
      <c r="AK313" t="s">
        <v>21</v>
      </c>
      <c r="AQ313" t="s">
        <v>3242</v>
      </c>
      <c r="AV313" t="s">
        <v>3247</v>
      </c>
    </row>
    <row r="314" spans="1:52" x14ac:dyDescent="0.25">
      <c r="A314" t="s">
        <v>2428</v>
      </c>
      <c r="B314" t="s">
        <v>2469</v>
      </c>
      <c r="C314" t="s">
        <v>968</v>
      </c>
      <c r="D314" t="s">
        <v>421</v>
      </c>
      <c r="E314" t="s">
        <v>2470</v>
      </c>
      <c r="F314" t="s">
        <v>26</v>
      </c>
      <c r="G314" t="str">
        <f>HYPERLINK("https://www.youtube.com/watch?v=gaka1vqYFNs&amp;lc=UgyTUZkWigLRdi2iR6V4AaABAg")</f>
        <v>https://www.youtube.com/watch?v=gaka1vqYFNs&amp;lc=UgyTUZkWigLRdi2iR6V4AaABAg</v>
      </c>
      <c r="H314" t="s">
        <v>885</v>
      </c>
      <c r="I314" t="s">
        <v>2471</v>
      </c>
      <c r="J314" t="str">
        <f>HYPERLINK("https://www.youtube.com/channel/UCJfTPk-O5qwsP4Tdj9uw-6Q")</f>
        <v>https://www.youtube.com/channel/UCJfTPk-O5qwsP4Tdj9uw-6Q</v>
      </c>
      <c r="K314">
        <v>13</v>
      </c>
      <c r="N314" t="s">
        <v>162</v>
      </c>
      <c r="O314" t="s">
        <v>424</v>
      </c>
      <c r="P314" t="str">
        <f>HYPERLINK("https://www.youtube.com/channel/UC8fQzKHIhSoZeSq3bwQx4mw")</f>
        <v>https://www.youtube.com/channel/UC8fQzKHIhSoZeSq3bwQx4mw</v>
      </c>
      <c r="Q314">
        <v>517000</v>
      </c>
      <c r="R314" t="s">
        <v>17</v>
      </c>
      <c r="S314" t="s">
        <v>425</v>
      </c>
      <c r="W314">
        <v>2</v>
      </c>
      <c r="X314">
        <v>2</v>
      </c>
      <c r="AE314">
        <v>0</v>
      </c>
      <c r="AJ314" t="s">
        <v>10</v>
      </c>
      <c r="AK314" t="s">
        <v>21</v>
      </c>
      <c r="AM314" t="s">
        <v>3238</v>
      </c>
      <c r="AQ314" t="s">
        <v>3242</v>
      </c>
      <c r="AT314" t="s">
        <v>3245</v>
      </c>
      <c r="AU314" t="s">
        <v>3246</v>
      </c>
      <c r="AX314" t="s">
        <v>3249</v>
      </c>
    </row>
    <row r="315" spans="1:52" x14ac:dyDescent="0.25">
      <c r="A315" t="s">
        <v>2589</v>
      </c>
      <c r="B315" t="s">
        <v>2616</v>
      </c>
      <c r="C315" t="s">
        <v>968</v>
      </c>
      <c r="D315" t="s">
        <v>2617</v>
      </c>
      <c r="E315" t="s">
        <v>2618</v>
      </c>
      <c r="F315" t="s">
        <v>45</v>
      </c>
      <c r="G315" t="str">
        <f>HYPERLINK("https://zen.yandex.ru/media/id/5e414dabcbb49f45fcf938c0/5f0efcacd1d2ee6b5268374d")</f>
        <v>https://zen.yandex.ru/media/id/5e414dabcbb49f45fcf938c0/5f0efcacd1d2ee6b5268374d</v>
      </c>
      <c r="H315" t="s">
        <v>885</v>
      </c>
      <c r="I315" t="s">
        <v>1152</v>
      </c>
      <c r="J315" t="str">
        <f>HYPERLINK("https://zen.yandex.ru/id/5e414dabcbb49f45fcf938c0")</f>
        <v>https://zen.yandex.ru/id/5e414dabcbb49f45fcf938c0</v>
      </c>
      <c r="K315">
        <v>12</v>
      </c>
      <c r="N315" t="s">
        <v>1153</v>
      </c>
      <c r="R315" t="s">
        <v>966</v>
      </c>
      <c r="S315" t="s">
        <v>18</v>
      </c>
      <c r="AE315">
        <v>0</v>
      </c>
      <c r="AG315">
        <v>6</v>
      </c>
      <c r="AI315" t="str">
        <f>HYPERLINK("https://avatars.mds.yandex.net/get-zen_doc/3418917/pub_5f0efcacd1d2ee6b5268374d_5f0efcbba44e9628b5fb571a/scale_1200")</f>
        <v>https://avatars.mds.yandex.net/get-zen_doc/3418917/pub_5f0efcacd1d2ee6b5268374d_5f0efcbba44e9628b5fb571a/scale_1200</v>
      </c>
      <c r="AJ315" t="s">
        <v>10</v>
      </c>
      <c r="AK315" t="s">
        <v>21</v>
      </c>
      <c r="AQ315" t="s">
        <v>3242</v>
      </c>
      <c r="AT315" t="s">
        <v>3245</v>
      </c>
      <c r="AV315" t="s">
        <v>3247</v>
      </c>
      <c r="AW315" t="s">
        <v>3248</v>
      </c>
    </row>
    <row r="316" spans="1:52" x14ac:dyDescent="0.25">
      <c r="A316" t="s">
        <v>2915</v>
      </c>
      <c r="B316" t="s">
        <v>2949</v>
      </c>
      <c r="C316" t="s">
        <v>968</v>
      </c>
      <c r="D316" t="s">
        <v>10</v>
      </c>
      <c r="E316" t="s">
        <v>2950</v>
      </c>
      <c r="F316" t="s">
        <v>12</v>
      </c>
      <c r="G316" t="str">
        <f>HYPERLINK("https://vk.com/wall-100242215_719")</f>
        <v>https://vk.com/wall-100242215_719</v>
      </c>
      <c r="H316" t="s">
        <v>885</v>
      </c>
      <c r="I316" t="s">
        <v>2951</v>
      </c>
      <c r="J316" t="str">
        <f>HYPERLINK("http://vk.com/club100242215")</f>
        <v>http://vk.com/club100242215</v>
      </c>
      <c r="K316">
        <v>1967</v>
      </c>
      <c r="L316" t="s">
        <v>28</v>
      </c>
      <c r="N316" t="s">
        <v>16</v>
      </c>
      <c r="O316" t="s">
        <v>2951</v>
      </c>
      <c r="P316" t="str">
        <f>HYPERLINK("http://vk.com/club100242215")</f>
        <v>http://vk.com/club100242215</v>
      </c>
      <c r="Q316">
        <v>1967</v>
      </c>
      <c r="R316" t="s">
        <v>17</v>
      </c>
      <c r="S316" t="s">
        <v>18</v>
      </c>
      <c r="T316" t="s">
        <v>1015</v>
      </c>
      <c r="U316" t="s">
        <v>1016</v>
      </c>
      <c r="W316">
        <v>3</v>
      </c>
      <c r="X316">
        <v>3</v>
      </c>
      <c r="AE316">
        <v>0</v>
      </c>
      <c r="AF316">
        <v>0</v>
      </c>
      <c r="AG316">
        <v>104</v>
      </c>
      <c r="AI316" t="str">
        <f>HYPERLINK("https://sun1-18.userapi.com/m1BupXmhTxYyOvwViOhGuCHJFWE3XQdGIV-3dw/q9WH6w9VhqA.jpg")</f>
        <v>https://sun1-18.userapi.com/m1BupXmhTxYyOvwViOhGuCHJFWE3XQdGIV-3dw/q9WH6w9VhqA.jpg</v>
      </c>
      <c r="AJ316" t="s">
        <v>10</v>
      </c>
      <c r="AK316" t="s">
        <v>21</v>
      </c>
      <c r="AO316" t="s">
        <v>3240</v>
      </c>
      <c r="AQ316" t="s">
        <v>3242</v>
      </c>
      <c r="AS316" t="s">
        <v>3244</v>
      </c>
      <c r="AY316" t="s">
        <v>3250</v>
      </c>
      <c r="AZ316" t="s">
        <v>3251</v>
      </c>
    </row>
    <row r="317" spans="1:52" x14ac:dyDescent="0.25">
      <c r="A317" t="s">
        <v>1597</v>
      </c>
      <c r="B317" t="s">
        <v>1680</v>
      </c>
      <c r="C317" t="s">
        <v>984</v>
      </c>
      <c r="D317" t="s">
        <v>1623</v>
      </c>
      <c r="E317" t="s">
        <v>1681</v>
      </c>
      <c r="F317" t="s">
        <v>45</v>
      </c>
      <c r="G317" t="str">
        <f>HYPERLINK("https://www.usatoday.com/story/news/nation/2020/07/29/covid-new-york-new-jersey-northeast-region-second-coronavirus-spike/5526854002")</f>
        <v>https://www.usatoday.com/story/news/nation/2020/07/29/covid-new-york-new-jersey-northeast-region-second-coronavirus-spike/5526854002</v>
      </c>
      <c r="H317" t="s">
        <v>885</v>
      </c>
      <c r="I317" t="s">
        <v>1682</v>
      </c>
      <c r="J317" t="str">
        <f>HYPERLINK("https://www.usatoday.com/story/news/nation/2020/07/29/covid-new-york-new-jersey-northeast-region-second-coronavirus-spike/5526854002/")</f>
        <v>https://www.usatoday.com/story/news/nation/2020/07/29/covid-new-york-new-jersey-northeast-region-second-coronavirus-spike/5526854002/</v>
      </c>
      <c r="L317" t="s">
        <v>15</v>
      </c>
      <c r="N317" t="s">
        <v>1683</v>
      </c>
      <c r="R317" t="s">
        <v>239</v>
      </c>
      <c r="S317" t="s">
        <v>425</v>
      </c>
      <c r="AJ317" t="s">
        <v>10</v>
      </c>
      <c r="AK317" t="s">
        <v>21</v>
      </c>
      <c r="AL317" t="s">
        <v>3237</v>
      </c>
      <c r="AO317" t="s">
        <v>3240</v>
      </c>
      <c r="AQ317" t="s">
        <v>3242</v>
      </c>
      <c r="AS317" t="s">
        <v>3244</v>
      </c>
      <c r="AY317" t="s">
        <v>3250</v>
      </c>
      <c r="AZ317" t="s">
        <v>3251</v>
      </c>
    </row>
    <row r="318" spans="1:52" x14ac:dyDescent="0.25">
      <c r="A318" t="s">
        <v>1982</v>
      </c>
      <c r="B318" t="s">
        <v>2027</v>
      </c>
      <c r="C318" t="s">
        <v>968</v>
      </c>
      <c r="D318" t="s">
        <v>1959</v>
      </c>
      <c r="E318" t="s">
        <v>2029</v>
      </c>
      <c r="F318" t="s">
        <v>26</v>
      </c>
      <c r="G318" t="str">
        <f>HYPERLINK("https://www.facebook.com/permalink.php?story_fbid=2626249161024079&amp;id=100009170625998&amp;comment_id=2626285047687157&amp;reply_comment_id=2627326527583009")</f>
        <v>https://www.facebook.com/permalink.php?story_fbid=2626249161024079&amp;id=100009170625998&amp;comment_id=2626285047687157&amp;reply_comment_id=2627326527583009</v>
      </c>
      <c r="H318" t="s">
        <v>885</v>
      </c>
      <c r="I318" t="s">
        <v>1961</v>
      </c>
      <c r="J318" t="str">
        <f>HYPERLINK("https://www.facebook.com/100009170625998")</f>
        <v>https://www.facebook.com/100009170625998</v>
      </c>
      <c r="K318">
        <v>759</v>
      </c>
      <c r="L318" t="s">
        <v>80</v>
      </c>
      <c r="N318" t="s">
        <v>179</v>
      </c>
      <c r="O318" t="s">
        <v>1961</v>
      </c>
      <c r="P318" t="str">
        <f>HYPERLINK("https://www.facebook.com/100009170625998")</f>
        <v>https://www.facebook.com/100009170625998</v>
      </c>
      <c r="Q318">
        <v>759</v>
      </c>
      <c r="R318" t="s">
        <v>17</v>
      </c>
      <c r="S318" t="s">
        <v>18</v>
      </c>
      <c r="T318" t="s">
        <v>354</v>
      </c>
      <c r="U318" t="s">
        <v>354</v>
      </c>
      <c r="AJ318" t="s">
        <v>10</v>
      </c>
      <c r="AK318" t="s">
        <v>21</v>
      </c>
      <c r="AQ318" t="s">
        <v>3242</v>
      </c>
      <c r="AS318" t="s">
        <v>3244</v>
      </c>
    </row>
    <row r="319" spans="1:52" x14ac:dyDescent="0.25">
      <c r="A319" t="s">
        <v>414</v>
      </c>
      <c r="B319" t="s">
        <v>450</v>
      </c>
      <c r="C319" t="s">
        <v>451</v>
      </c>
      <c r="D319" t="s">
        <v>24</v>
      </c>
      <c r="E319" t="s">
        <v>452</v>
      </c>
      <c r="F319" t="s">
        <v>26</v>
      </c>
      <c r="G319" t="str">
        <f>HYPERLINK("https://vk.com/wall-197114981_31?reply=1267&amp;thread=1266")</f>
        <v>https://vk.com/wall-197114981_31?reply=1267&amp;thread=1266</v>
      </c>
      <c r="H319" t="s">
        <v>13</v>
      </c>
      <c r="I319" t="s">
        <v>27</v>
      </c>
      <c r="J319" t="str">
        <f>HYPERLINK("http://vk.com/club197114981")</f>
        <v>http://vk.com/club197114981</v>
      </c>
      <c r="K319">
        <v>38</v>
      </c>
      <c r="L319" t="s">
        <v>28</v>
      </c>
      <c r="N319" t="s">
        <v>16</v>
      </c>
      <c r="O319" t="s">
        <v>27</v>
      </c>
      <c r="P319" t="str">
        <f>HYPERLINK("http://vk.com/club197114981")</f>
        <v>http://vk.com/club197114981</v>
      </c>
      <c r="Q319">
        <v>38</v>
      </c>
      <c r="R319" t="s">
        <v>17</v>
      </c>
      <c r="AJ319" t="s">
        <v>10</v>
      </c>
      <c r="AK319" t="s">
        <v>21</v>
      </c>
      <c r="AL319" t="s">
        <v>3237</v>
      </c>
      <c r="AQ319" t="s">
        <v>3242</v>
      </c>
      <c r="AS319" t="s">
        <v>3244</v>
      </c>
    </row>
    <row r="320" spans="1:52" x14ac:dyDescent="0.25">
      <c r="A320" t="s">
        <v>772</v>
      </c>
      <c r="B320" t="s">
        <v>798</v>
      </c>
      <c r="C320" t="s">
        <v>799</v>
      </c>
      <c r="D320" t="s">
        <v>24</v>
      </c>
      <c r="E320" t="s">
        <v>800</v>
      </c>
      <c r="F320" t="s">
        <v>26</v>
      </c>
      <c r="G320" t="str">
        <f>HYPERLINK("https://vk.com/wall-197114981_31?reply=1151&amp;thread=1150")</f>
        <v>https://vk.com/wall-197114981_31?reply=1151&amp;thread=1150</v>
      </c>
      <c r="H320" t="s">
        <v>13</v>
      </c>
      <c r="I320" t="s">
        <v>27</v>
      </c>
      <c r="J320" t="str">
        <f>HYPERLINK("http://vk.com/club197114981")</f>
        <v>http://vk.com/club197114981</v>
      </c>
      <c r="K320">
        <v>38</v>
      </c>
      <c r="L320" t="s">
        <v>28</v>
      </c>
      <c r="N320" t="s">
        <v>16</v>
      </c>
      <c r="O320" t="s">
        <v>27</v>
      </c>
      <c r="P320" t="str">
        <f>HYPERLINK("http://vk.com/club197114981")</f>
        <v>http://vk.com/club197114981</v>
      </c>
      <c r="Q320">
        <v>38</v>
      </c>
      <c r="R320" t="s">
        <v>17</v>
      </c>
      <c r="AJ320" t="s">
        <v>10</v>
      </c>
      <c r="AK320" t="s">
        <v>21</v>
      </c>
      <c r="AQ320" t="s">
        <v>3242</v>
      </c>
      <c r="AS320" t="s">
        <v>3244</v>
      </c>
      <c r="AZ320" t="s">
        <v>3251</v>
      </c>
    </row>
    <row r="321" spans="1:52" x14ac:dyDescent="0.25">
      <c r="A321" t="s">
        <v>772</v>
      </c>
      <c r="B321" t="s">
        <v>983</v>
      </c>
      <c r="C321" t="s">
        <v>984</v>
      </c>
      <c r="D321" t="s">
        <v>10</v>
      </c>
      <c r="E321" t="s">
        <v>985</v>
      </c>
      <c r="F321" t="s">
        <v>45</v>
      </c>
      <c r="G321" t="str">
        <f>HYPERLINK("https://vk.com/wall-158633337_963")</f>
        <v>https://vk.com/wall-158633337_963</v>
      </c>
      <c r="H321" t="s">
        <v>889</v>
      </c>
      <c r="I321" t="s">
        <v>125</v>
      </c>
      <c r="J321" t="str">
        <f>HYPERLINK("http://vk.com/club158633337")</f>
        <v>http://vk.com/club158633337</v>
      </c>
      <c r="K321">
        <v>4852</v>
      </c>
      <c r="L321" t="s">
        <v>28</v>
      </c>
      <c r="N321" t="s">
        <v>16</v>
      </c>
      <c r="O321" t="s">
        <v>125</v>
      </c>
      <c r="P321" t="str">
        <f>HYPERLINK("http://vk.com/club158633337")</f>
        <v>http://vk.com/club158633337</v>
      </c>
      <c r="Q321">
        <v>4852</v>
      </c>
      <c r="R321" t="s">
        <v>17</v>
      </c>
      <c r="S321" t="s">
        <v>18</v>
      </c>
      <c r="T321" t="s">
        <v>126</v>
      </c>
      <c r="U321" t="s">
        <v>127</v>
      </c>
      <c r="W321">
        <v>0</v>
      </c>
      <c r="X321">
        <v>0</v>
      </c>
      <c r="AE321">
        <v>0</v>
      </c>
      <c r="AF321">
        <v>0</v>
      </c>
      <c r="AG321">
        <v>98</v>
      </c>
      <c r="AI321" t="str">
        <f>HYPERLINK("https://sun1-22.userapi.com/hf8NPW2sZw7Q_2liIh8WcpLMv6NxWoIbIGLOhg/z-fHGSikuXA.jpg")</f>
        <v>https://sun1-22.userapi.com/hf8NPW2sZw7Q_2liIh8WcpLMv6NxWoIbIGLOhg/z-fHGSikuXA.jpg</v>
      </c>
      <c r="AJ321" t="s">
        <v>10</v>
      </c>
      <c r="AK321" t="s">
        <v>21</v>
      </c>
      <c r="AN321" t="s">
        <v>3239</v>
      </c>
      <c r="AO321" t="s">
        <v>3240</v>
      </c>
      <c r="AQ321" t="s">
        <v>3242</v>
      </c>
      <c r="AS321" t="s">
        <v>3244</v>
      </c>
      <c r="AT321" t="s">
        <v>3245</v>
      </c>
    </row>
    <row r="322" spans="1:52" x14ac:dyDescent="0.25">
      <c r="A322" t="s">
        <v>2122</v>
      </c>
      <c r="B322" t="s">
        <v>122</v>
      </c>
      <c r="C322" t="s">
        <v>968</v>
      </c>
      <c r="D322" t="s">
        <v>10</v>
      </c>
      <c r="E322" t="s">
        <v>2165</v>
      </c>
      <c r="F322" t="s">
        <v>45</v>
      </c>
      <c r="G322" t="str">
        <f>HYPERLINK("https://vk.com/wall-158633337_942")</f>
        <v>https://vk.com/wall-158633337_942</v>
      </c>
      <c r="H322" t="s">
        <v>885</v>
      </c>
      <c r="I322" t="s">
        <v>125</v>
      </c>
      <c r="J322" t="str">
        <f>HYPERLINK("http://vk.com/club158633337")</f>
        <v>http://vk.com/club158633337</v>
      </c>
      <c r="K322">
        <v>4852</v>
      </c>
      <c r="L322" t="s">
        <v>28</v>
      </c>
      <c r="N322" t="s">
        <v>16</v>
      </c>
      <c r="O322" t="s">
        <v>125</v>
      </c>
      <c r="P322" t="str">
        <f>HYPERLINK("http://vk.com/club158633337")</f>
        <v>http://vk.com/club158633337</v>
      </c>
      <c r="Q322">
        <v>4852</v>
      </c>
      <c r="R322" t="s">
        <v>17</v>
      </c>
      <c r="S322" t="s">
        <v>18</v>
      </c>
      <c r="T322" t="s">
        <v>126</v>
      </c>
      <c r="U322" t="s">
        <v>127</v>
      </c>
      <c r="W322">
        <v>0</v>
      </c>
      <c r="X322">
        <v>0</v>
      </c>
      <c r="AE322">
        <v>0</v>
      </c>
      <c r="AF322">
        <v>0</v>
      </c>
      <c r="AG322">
        <v>122</v>
      </c>
      <c r="AI322" t="str">
        <f>HYPERLINK("https://sun1-96.userapi.com/gWnsvnBRlsVBJxYyuWpUOEKI4m2-gn_CwG-tfg/vpVtEV2K0Fc.jpg")</f>
        <v>https://sun1-96.userapi.com/gWnsvnBRlsVBJxYyuWpUOEKI4m2-gn_CwG-tfg/vpVtEV2K0Fc.jpg</v>
      </c>
      <c r="AJ322" t="s">
        <v>10</v>
      </c>
      <c r="AK322" t="s">
        <v>21</v>
      </c>
      <c r="AL322" t="s">
        <v>3237</v>
      </c>
      <c r="AO322" t="s">
        <v>3240</v>
      </c>
      <c r="AQ322" t="s">
        <v>3242</v>
      </c>
      <c r="AS322" t="s">
        <v>3244</v>
      </c>
      <c r="AT322" t="s">
        <v>3245</v>
      </c>
      <c r="AY322" t="s">
        <v>3250</v>
      </c>
    </row>
    <row r="323" spans="1:52" x14ac:dyDescent="0.25">
      <c r="A323" t="s">
        <v>2193</v>
      </c>
      <c r="B323" t="s">
        <v>2006</v>
      </c>
      <c r="C323" t="s">
        <v>968</v>
      </c>
      <c r="D323" t="s">
        <v>10</v>
      </c>
      <c r="E323" t="s">
        <v>2213</v>
      </c>
      <c r="F323" t="s">
        <v>45</v>
      </c>
      <c r="G323" t="str">
        <f>HYPERLINK("https://www.facebook.com/mriexpert/photos/a.902990326434112/3207258762673912/?type=3")</f>
        <v>https://www.facebook.com/mriexpert/photos/a.902990326434112/3207258762673912/?type=3</v>
      </c>
      <c r="H323" t="s">
        <v>885</v>
      </c>
      <c r="I323" t="s">
        <v>46</v>
      </c>
      <c r="J323" t="str">
        <f>HYPERLINK("https://www.facebook.com/902980129768465")</f>
        <v>https://www.facebook.com/902980129768465</v>
      </c>
      <c r="K323">
        <v>1509</v>
      </c>
      <c r="L323" t="s">
        <v>28</v>
      </c>
      <c r="N323" t="s">
        <v>179</v>
      </c>
      <c r="O323" t="s">
        <v>46</v>
      </c>
      <c r="P323" t="str">
        <f>HYPERLINK("https://www.facebook.com/902980129768465")</f>
        <v>https://www.facebook.com/902980129768465</v>
      </c>
      <c r="Q323">
        <v>1509</v>
      </c>
      <c r="R323" t="s">
        <v>17</v>
      </c>
      <c r="W323">
        <v>2</v>
      </c>
      <c r="X323">
        <v>2</v>
      </c>
      <c r="Y323">
        <v>0</v>
      </c>
      <c r="Z323">
        <v>0</v>
      </c>
      <c r="AA323">
        <v>0</v>
      </c>
      <c r="AB323">
        <v>0</v>
      </c>
      <c r="AC323">
        <v>0</v>
      </c>
      <c r="AE323">
        <v>0</v>
      </c>
      <c r="AF323">
        <v>1</v>
      </c>
      <c r="AI323" t="str">
        <f>HYPERLINK("https://scontent-hel2-1.xx.fbcdn.net/v/t1.0-9/s960x960/115801803_3207258782673910_4741097814308636043_o.jpg?_nc_cat=107&amp;_nc_sid=9267fe&amp;_nc_ohc=3OvLwe0QXaEAX88aFLM&amp;_nc_ht=scontent-hel2-1.xx&amp;_nc_tp=7&amp;oh=533b895ac967af628c9a4ec3ee7c8478&amp;oe=5F420C98")</f>
        <v>https://scontent-hel2-1.xx.fbcdn.net/v/t1.0-9/s960x960/115801803_3207258782673910_4741097814308636043_o.jpg?_nc_cat=107&amp;_nc_sid=9267fe&amp;_nc_ohc=3OvLwe0QXaEAX88aFLM&amp;_nc_ht=scontent-hel2-1.xx&amp;_nc_tp=7&amp;oh=533b895ac967af628c9a4ec3ee7c8478&amp;oe=5F420C98</v>
      </c>
      <c r="AJ323" t="s">
        <v>10</v>
      </c>
      <c r="AK323" t="s">
        <v>21</v>
      </c>
      <c r="AN323" t="s">
        <v>3239</v>
      </c>
      <c r="AQ323" t="s">
        <v>3242</v>
      </c>
      <c r="AS323" t="s">
        <v>3244</v>
      </c>
      <c r="AY323" t="s">
        <v>3250</v>
      </c>
    </row>
    <row r="324" spans="1:52" x14ac:dyDescent="0.25">
      <c r="A324" t="s">
        <v>2380</v>
      </c>
      <c r="B324" t="s">
        <v>2385</v>
      </c>
      <c r="C324" t="s">
        <v>968</v>
      </c>
      <c r="D324" t="s">
        <v>10</v>
      </c>
      <c r="E324" t="s">
        <v>2386</v>
      </c>
      <c r="F324" t="s">
        <v>45</v>
      </c>
      <c r="G324" t="str">
        <f>HYPERLINK("https://www.instagram.com/p/CC1LaTODATU")</f>
        <v>https://www.instagram.com/p/CC1LaTODATU</v>
      </c>
      <c r="H324" t="s">
        <v>885</v>
      </c>
      <c r="I324" t="s">
        <v>1241</v>
      </c>
      <c r="J324" t="str">
        <f>HYPERLINK("http://instagram.com/dr.jdinkha")</f>
        <v>http://instagram.com/dr.jdinkha</v>
      </c>
      <c r="K324">
        <v>13350</v>
      </c>
      <c r="N324" t="s">
        <v>69</v>
      </c>
      <c r="O324" t="s">
        <v>1241</v>
      </c>
      <c r="P324" t="str">
        <f>HYPERLINK("http://instagram.com/dr.jdinkha")</f>
        <v>http://instagram.com/dr.jdinkha</v>
      </c>
      <c r="Q324">
        <v>13350</v>
      </c>
      <c r="R324" t="s">
        <v>17</v>
      </c>
      <c r="S324" t="s">
        <v>1242</v>
      </c>
      <c r="AI324" t="str">
        <f>HYPERLINK("https://www.instagram.com/p/CC1LaTODATU/media/?size=l")</f>
        <v>https://www.instagram.com/p/CC1LaTODATU/media/?size=l</v>
      </c>
      <c r="AJ324" t="s">
        <v>10</v>
      </c>
      <c r="AK324" t="s">
        <v>21</v>
      </c>
      <c r="AQ324" t="s">
        <v>3242</v>
      </c>
      <c r="AS324" t="s">
        <v>3244</v>
      </c>
      <c r="AY324" t="s">
        <v>3250</v>
      </c>
    </row>
    <row r="325" spans="1:52" x14ac:dyDescent="0.25">
      <c r="A325" t="s">
        <v>2767</v>
      </c>
      <c r="B325" t="s">
        <v>813</v>
      </c>
      <c r="C325" t="s">
        <v>968</v>
      </c>
      <c r="D325" t="s">
        <v>421</v>
      </c>
      <c r="E325" t="s">
        <v>2779</v>
      </c>
      <c r="F325" t="s">
        <v>26</v>
      </c>
      <c r="G325" t="str">
        <f>HYPERLINK("https://www.youtube.com/watch?v=gaka1vqYFNs&amp;lc=UgzttEpaoboMgGASWx94AaABAg")</f>
        <v>https://www.youtube.com/watch?v=gaka1vqYFNs&amp;lc=UgzttEpaoboMgGASWx94AaABAg</v>
      </c>
      <c r="H325" t="s">
        <v>885</v>
      </c>
      <c r="I325" t="s">
        <v>2780</v>
      </c>
      <c r="J325" t="str">
        <f>HYPERLINK("https://www.youtube.com/channel/UCcoh4F2eAimnOHWszUoHEHw")</f>
        <v>https://www.youtube.com/channel/UCcoh4F2eAimnOHWszUoHEHw</v>
      </c>
      <c r="K325">
        <v>2</v>
      </c>
      <c r="L325" t="s">
        <v>15</v>
      </c>
      <c r="N325" t="s">
        <v>162</v>
      </c>
      <c r="O325" t="s">
        <v>424</v>
      </c>
      <c r="P325" t="str">
        <f>HYPERLINK("https://www.youtube.com/channel/UC8fQzKHIhSoZeSq3bwQx4mw")</f>
        <v>https://www.youtube.com/channel/UC8fQzKHIhSoZeSq3bwQx4mw</v>
      </c>
      <c r="Q325">
        <v>517000</v>
      </c>
      <c r="R325" t="s">
        <v>17</v>
      </c>
      <c r="S325" t="s">
        <v>425</v>
      </c>
      <c r="W325">
        <v>7</v>
      </c>
      <c r="X325">
        <v>7</v>
      </c>
      <c r="AE325">
        <v>1</v>
      </c>
      <c r="AJ325" t="s">
        <v>10</v>
      </c>
      <c r="AK325" t="s">
        <v>21</v>
      </c>
      <c r="AQ325" t="s">
        <v>3242</v>
      </c>
      <c r="AS325" t="s">
        <v>3244</v>
      </c>
      <c r="AY325" t="s">
        <v>3250</v>
      </c>
    </row>
    <row r="326" spans="1:52" x14ac:dyDescent="0.25">
      <c r="A326" t="s">
        <v>7</v>
      </c>
      <c r="B326" t="s">
        <v>250</v>
      </c>
      <c r="C326" t="s">
        <v>251</v>
      </c>
      <c r="D326" t="s">
        <v>24</v>
      </c>
      <c r="E326" t="s">
        <v>252</v>
      </c>
      <c r="F326" t="s">
        <v>26</v>
      </c>
      <c r="G326" t="str">
        <f>HYPERLINK("https://vk.com/wall-197114981_31?reply=1351&amp;thread=1350")</f>
        <v>https://vk.com/wall-197114981_31?reply=1351&amp;thread=1350</v>
      </c>
      <c r="H326" t="s">
        <v>13</v>
      </c>
      <c r="I326" t="s">
        <v>27</v>
      </c>
      <c r="J326" t="str">
        <f>HYPERLINK("http://vk.com/club197114981")</f>
        <v>http://vk.com/club197114981</v>
      </c>
      <c r="K326">
        <v>38</v>
      </c>
      <c r="L326" t="s">
        <v>28</v>
      </c>
      <c r="N326" t="s">
        <v>16</v>
      </c>
      <c r="O326" t="s">
        <v>27</v>
      </c>
      <c r="P326" t="str">
        <f>HYPERLINK("http://vk.com/club197114981")</f>
        <v>http://vk.com/club197114981</v>
      </c>
      <c r="Q326">
        <v>38</v>
      </c>
      <c r="R326" t="s">
        <v>17</v>
      </c>
      <c r="AJ326" t="s">
        <v>10</v>
      </c>
      <c r="AK326" t="s">
        <v>21</v>
      </c>
      <c r="AQ326" t="s">
        <v>3242</v>
      </c>
      <c r="AS326" t="s">
        <v>3244</v>
      </c>
    </row>
    <row r="327" spans="1:52" x14ac:dyDescent="0.25">
      <c r="A327" t="s">
        <v>7</v>
      </c>
      <c r="B327" t="s">
        <v>327</v>
      </c>
      <c r="C327" t="s">
        <v>328</v>
      </c>
      <c r="D327" t="s">
        <v>24</v>
      </c>
      <c r="E327" t="s">
        <v>330</v>
      </c>
      <c r="F327" t="s">
        <v>26</v>
      </c>
      <c r="G327" t="str">
        <f>HYPERLINK("https://vk.com/wall-197114981_31?reply=1327")</f>
        <v>https://vk.com/wall-197114981_31?reply=1327</v>
      </c>
      <c r="H327" t="s">
        <v>13</v>
      </c>
      <c r="I327" t="s">
        <v>306</v>
      </c>
      <c r="J327" t="str">
        <f>HYPERLINK("http://vk.com/id150258338")</f>
        <v>http://vk.com/id150258338</v>
      </c>
      <c r="K327">
        <v>125</v>
      </c>
      <c r="L327" t="s">
        <v>15</v>
      </c>
      <c r="N327" t="s">
        <v>16</v>
      </c>
      <c r="O327" t="s">
        <v>27</v>
      </c>
      <c r="P327" t="str">
        <f>HYPERLINK("http://vk.com/club197114981")</f>
        <v>http://vk.com/club197114981</v>
      </c>
      <c r="Q327">
        <v>38</v>
      </c>
      <c r="R327" t="s">
        <v>17</v>
      </c>
      <c r="S327" t="s">
        <v>18</v>
      </c>
      <c r="AJ327" t="s">
        <v>10</v>
      </c>
      <c r="AK327" t="s">
        <v>21</v>
      </c>
      <c r="AN327" t="s">
        <v>3239</v>
      </c>
      <c r="AO327" t="s">
        <v>3240</v>
      </c>
      <c r="AQ327" t="s">
        <v>3242</v>
      </c>
      <c r="AS327" t="s">
        <v>3244</v>
      </c>
    </row>
    <row r="328" spans="1:52" x14ac:dyDescent="0.25">
      <c r="A328" t="s">
        <v>1122</v>
      </c>
      <c r="B328" t="s">
        <v>1138</v>
      </c>
      <c r="C328" t="s">
        <v>1139</v>
      </c>
      <c r="D328" t="s">
        <v>1140</v>
      </c>
      <c r="E328" t="s">
        <v>1141</v>
      </c>
      <c r="F328" t="s">
        <v>45</v>
      </c>
      <c r="G328" t="str">
        <f>HYPERLINK("https://www.youtube.com/watch?v=AWKN_0DDbFs")</f>
        <v>https://www.youtube.com/watch?v=AWKN_0DDbFs</v>
      </c>
      <c r="H328" t="s">
        <v>13</v>
      </c>
      <c r="I328" t="s">
        <v>1142</v>
      </c>
      <c r="J328" t="str">
        <f>HYPERLINK("https://www.youtube.com/channel/UCfwBKmYgvdi0Vu4qu9ggbDQ")</f>
        <v>https://www.youtube.com/channel/UCfwBKmYgvdi0Vu4qu9ggbDQ</v>
      </c>
      <c r="K328">
        <v>19500</v>
      </c>
      <c r="N328" t="s">
        <v>162</v>
      </c>
      <c r="O328" t="s">
        <v>1142</v>
      </c>
      <c r="P328" t="str">
        <f>HYPERLINK("https://www.youtube.com/channel/UCfwBKmYgvdi0Vu4qu9ggbDQ")</f>
        <v>https://www.youtube.com/channel/UCfwBKmYgvdi0Vu4qu9ggbDQ</v>
      </c>
      <c r="Q328">
        <v>19500</v>
      </c>
      <c r="R328" t="s">
        <v>17</v>
      </c>
      <c r="S328" t="s">
        <v>18</v>
      </c>
      <c r="W328">
        <v>8</v>
      </c>
      <c r="X328">
        <v>8</v>
      </c>
      <c r="AD328">
        <v>3</v>
      </c>
      <c r="AE328">
        <v>0</v>
      </c>
      <c r="AG328">
        <v>477</v>
      </c>
      <c r="AI328" t="str">
        <f>HYPERLINK("https://i.ytimg.com/vi/AWKN_0DDbFs/hqdefault.jpg?sqp=-oaymwEZCNACELwBSFXyq4qpAwsIARUAAIhCGAFwAQ==&amp;rs=AOn4CLD9XMfBGX5xC3x58ozovT8wuKDzOg")</f>
        <v>https://i.ytimg.com/vi/AWKN_0DDbFs/hqdefault.jpg?sqp=-oaymwEZCNACELwBSFXyq4qpAwsIARUAAIhCGAFwAQ==&amp;rs=AOn4CLD9XMfBGX5xC3x58ozovT8wuKDzOg</v>
      </c>
      <c r="AJ328" t="s">
        <v>10</v>
      </c>
      <c r="AK328" t="s">
        <v>21</v>
      </c>
      <c r="AN328" t="s">
        <v>3239</v>
      </c>
      <c r="AO328" t="s">
        <v>3240</v>
      </c>
      <c r="AQ328" t="s">
        <v>3242</v>
      </c>
      <c r="AS328" t="s">
        <v>3244</v>
      </c>
    </row>
    <row r="329" spans="1:52" x14ac:dyDescent="0.25">
      <c r="A329" t="s">
        <v>2260</v>
      </c>
      <c r="B329" t="s">
        <v>895</v>
      </c>
      <c r="C329" t="s">
        <v>968</v>
      </c>
      <c r="D329" t="s">
        <v>10</v>
      </c>
      <c r="E329" t="s">
        <v>2265</v>
      </c>
      <c r="F329" t="s">
        <v>26</v>
      </c>
      <c r="G329" t="str">
        <f>HYPERLINK("https://twitter.com/450945920/status/1285587971505348609")</f>
        <v>https://twitter.com/450945920/status/1285587971505348609</v>
      </c>
      <c r="H329" t="s">
        <v>885</v>
      </c>
      <c r="I329" t="s">
        <v>2266</v>
      </c>
      <c r="J329" t="str">
        <f>HYPERLINK("http://twitter.com/wealthianloring")</f>
        <v>http://twitter.com/wealthianloring</v>
      </c>
      <c r="K329">
        <v>196</v>
      </c>
      <c r="L329" t="s">
        <v>80</v>
      </c>
      <c r="N329" t="s">
        <v>54</v>
      </c>
      <c r="R329" t="s">
        <v>17</v>
      </c>
      <c r="W329">
        <v>1</v>
      </c>
      <c r="X329">
        <v>1</v>
      </c>
      <c r="AE329">
        <v>1</v>
      </c>
      <c r="AF329">
        <v>0</v>
      </c>
      <c r="AJ329" t="s">
        <v>10</v>
      </c>
      <c r="AK329" t="s">
        <v>21</v>
      </c>
      <c r="AN329" t="s">
        <v>3239</v>
      </c>
      <c r="AO329" t="s">
        <v>3240</v>
      </c>
      <c r="AQ329" t="s">
        <v>3242</v>
      </c>
      <c r="AS329" t="s">
        <v>3244</v>
      </c>
      <c r="AZ329" t="s">
        <v>3251</v>
      </c>
    </row>
    <row r="330" spans="1:52" x14ac:dyDescent="0.25">
      <c r="A330" t="s">
        <v>414</v>
      </c>
      <c r="B330" t="s">
        <v>761</v>
      </c>
      <c r="C330" t="s">
        <v>762</v>
      </c>
      <c r="D330" t="s">
        <v>763</v>
      </c>
      <c r="E330" t="s">
        <v>764</v>
      </c>
      <c r="F330" t="s">
        <v>26</v>
      </c>
      <c r="G330" t="str">
        <f>HYPERLINK("https://vk.com/wall470548199_1249?w=wall470548199_1249_r1254")</f>
        <v>https://vk.com/wall470548199_1249?w=wall470548199_1249_r1254</v>
      </c>
      <c r="H330" t="s">
        <v>13</v>
      </c>
      <c r="I330" t="s">
        <v>765</v>
      </c>
      <c r="J330" t="str">
        <f>HYPERLINK("http://vk.com/id470548199")</f>
        <v>http://vk.com/id470548199</v>
      </c>
      <c r="K330">
        <v>2592</v>
      </c>
      <c r="L330" t="s">
        <v>80</v>
      </c>
      <c r="N330" t="s">
        <v>16</v>
      </c>
      <c r="O330" t="s">
        <v>765</v>
      </c>
      <c r="P330" t="str">
        <f>HYPERLINK("http://vk.com/id470548199")</f>
        <v>http://vk.com/id470548199</v>
      </c>
      <c r="Q330">
        <v>2592</v>
      </c>
      <c r="R330" t="s">
        <v>17</v>
      </c>
      <c r="S330" t="s">
        <v>18</v>
      </c>
      <c r="T330" t="s">
        <v>766</v>
      </c>
      <c r="U330" t="s">
        <v>767</v>
      </c>
      <c r="W330">
        <v>0</v>
      </c>
      <c r="X330">
        <v>0</v>
      </c>
      <c r="AJ330" t="s">
        <v>10</v>
      </c>
      <c r="AK330" t="s">
        <v>21</v>
      </c>
      <c r="AM330" t="s">
        <v>3238</v>
      </c>
      <c r="AO330" t="s">
        <v>3240</v>
      </c>
      <c r="AQ330" t="s">
        <v>3242</v>
      </c>
      <c r="AS330" t="s">
        <v>3244</v>
      </c>
    </row>
    <row r="331" spans="1:52" x14ac:dyDescent="0.25">
      <c r="A331" t="s">
        <v>1982</v>
      </c>
      <c r="B331" t="s">
        <v>2011</v>
      </c>
      <c r="C331" t="s">
        <v>968</v>
      </c>
      <c r="D331" t="s">
        <v>421</v>
      </c>
      <c r="E331" t="s">
        <v>2012</v>
      </c>
      <c r="F331" t="s">
        <v>26</v>
      </c>
      <c r="G331" t="str">
        <f>HYPERLINK("https://www.youtube.com/watch?v=gaka1vqYFNs&amp;lc=UgzHwES7Irbjl3W_4kZ4AaABAg")</f>
        <v>https://www.youtube.com/watch?v=gaka1vqYFNs&amp;lc=UgzHwES7Irbjl3W_4kZ4AaABAg</v>
      </c>
      <c r="H331" t="s">
        <v>885</v>
      </c>
      <c r="I331" t="s">
        <v>2013</v>
      </c>
      <c r="J331" t="str">
        <f>HYPERLINK("https://www.youtube.com/channel/UC2cm4vubUwALMwmHhL5TFuA")</f>
        <v>https://www.youtube.com/channel/UC2cm4vubUwALMwmHhL5TFuA</v>
      </c>
      <c r="K331">
        <v>746</v>
      </c>
      <c r="N331" t="s">
        <v>162</v>
      </c>
      <c r="O331" t="s">
        <v>424</v>
      </c>
      <c r="P331" t="str">
        <f>HYPERLINK("https://www.youtube.com/channel/UC8fQzKHIhSoZeSq3bwQx4mw")</f>
        <v>https://www.youtube.com/channel/UC8fQzKHIhSoZeSq3bwQx4mw</v>
      </c>
      <c r="Q331">
        <v>517000</v>
      </c>
      <c r="R331" t="s">
        <v>17</v>
      </c>
      <c r="S331" t="s">
        <v>425</v>
      </c>
      <c r="W331">
        <v>0</v>
      </c>
      <c r="X331">
        <v>0</v>
      </c>
      <c r="AE331">
        <v>0</v>
      </c>
      <c r="AJ331" t="s">
        <v>10</v>
      </c>
      <c r="AK331" t="s">
        <v>21</v>
      </c>
      <c r="AO331" t="s">
        <v>3240</v>
      </c>
      <c r="AZ331" t="s">
        <v>3251</v>
      </c>
    </row>
    <row r="332" spans="1:52" x14ac:dyDescent="0.25">
      <c r="A332" t="s">
        <v>2290</v>
      </c>
      <c r="B332" t="s">
        <v>2300</v>
      </c>
      <c r="C332" t="s">
        <v>968</v>
      </c>
      <c r="D332" t="s">
        <v>2301</v>
      </c>
      <c r="E332" t="s">
        <v>2302</v>
      </c>
      <c r="F332" t="s">
        <v>26</v>
      </c>
      <c r="G332" t="str">
        <f>HYPERLINK("https://vk.com/wall-86168582_1052496?reply=1053315")</f>
        <v>https://vk.com/wall-86168582_1052496?reply=1053315</v>
      </c>
      <c r="H332" t="s">
        <v>885</v>
      </c>
      <c r="I332" t="s">
        <v>2303</v>
      </c>
      <c r="J332" t="str">
        <f>HYPERLINK("http://vk.com/id197572119")</f>
        <v>http://vk.com/id197572119</v>
      </c>
      <c r="K332">
        <v>225</v>
      </c>
      <c r="L332" t="s">
        <v>80</v>
      </c>
      <c r="M332">
        <v>30</v>
      </c>
      <c r="N332" t="s">
        <v>16</v>
      </c>
      <c r="O332" t="s">
        <v>1922</v>
      </c>
      <c r="P332" t="str">
        <f>HYPERLINK("http://vk.com/club86168582")</f>
        <v>http://vk.com/club86168582</v>
      </c>
      <c r="Q332">
        <v>66398</v>
      </c>
      <c r="R332" t="s">
        <v>17</v>
      </c>
      <c r="S332" t="s">
        <v>18</v>
      </c>
      <c r="T332" t="s">
        <v>1923</v>
      </c>
      <c r="U332" t="s">
        <v>2304</v>
      </c>
      <c r="AJ332" t="s">
        <v>10</v>
      </c>
      <c r="AK332" t="s">
        <v>21</v>
      </c>
      <c r="AO332" t="s">
        <v>3240</v>
      </c>
      <c r="AV332" t="s">
        <v>3247</v>
      </c>
      <c r="AX332" t="s">
        <v>3249</v>
      </c>
      <c r="AZ332" t="s">
        <v>3251</v>
      </c>
    </row>
    <row r="333" spans="1:52" x14ac:dyDescent="0.25">
      <c r="A333" t="s">
        <v>2767</v>
      </c>
      <c r="B333" t="s">
        <v>2458</v>
      </c>
      <c r="C333" t="s">
        <v>968</v>
      </c>
      <c r="D333" t="s">
        <v>2830</v>
      </c>
      <c r="E333" t="s">
        <v>2831</v>
      </c>
      <c r="F333" t="s">
        <v>26</v>
      </c>
      <c r="G333" t="str">
        <f>HYPERLINK("https://vk.com/wall-125331076_739164?reply=752312")</f>
        <v>https://vk.com/wall-125331076_739164?reply=752312</v>
      </c>
      <c r="H333" t="s">
        <v>885</v>
      </c>
      <c r="I333" t="s">
        <v>2309</v>
      </c>
      <c r="J333" t="str">
        <f>HYPERLINK("http://vk.com/id14737732")</f>
        <v>http://vk.com/id14737732</v>
      </c>
      <c r="K333">
        <v>1091</v>
      </c>
      <c r="L333" t="s">
        <v>80</v>
      </c>
      <c r="N333" t="s">
        <v>16</v>
      </c>
      <c r="O333" t="s">
        <v>1154</v>
      </c>
      <c r="P333" t="str">
        <f>HYPERLINK("http://vk.com/club125331076")</f>
        <v>http://vk.com/club125331076</v>
      </c>
      <c r="Q333">
        <v>38231</v>
      </c>
      <c r="R333" t="s">
        <v>17</v>
      </c>
      <c r="AJ333" t="s">
        <v>10</v>
      </c>
      <c r="AK333" t="s">
        <v>21</v>
      </c>
      <c r="AO333" t="s">
        <v>3240</v>
      </c>
      <c r="AU333" t="s">
        <v>3246</v>
      </c>
      <c r="AV333" t="s">
        <v>3247</v>
      </c>
      <c r="AW333" t="s">
        <v>3248</v>
      </c>
      <c r="AX333" t="s">
        <v>3249</v>
      </c>
      <c r="AZ333" t="s">
        <v>3251</v>
      </c>
    </row>
    <row r="334" spans="1:52" x14ac:dyDescent="0.25">
      <c r="A334" t="s">
        <v>3021</v>
      </c>
      <c r="B334" t="s">
        <v>3042</v>
      </c>
      <c r="C334" t="s">
        <v>968</v>
      </c>
      <c r="D334" t="s">
        <v>10</v>
      </c>
      <c r="E334" t="s">
        <v>1947</v>
      </c>
      <c r="F334" t="s">
        <v>45</v>
      </c>
      <c r="G334" t="str">
        <f>HYPERLINK("https://www.facebook.com/mrtexpertrnd/photos/a.565935020817465/770468390364126/?type=3")</f>
        <v>https://www.facebook.com/mrtexpertrnd/photos/a.565935020817465/770468390364126/?type=3</v>
      </c>
      <c r="H334" t="s">
        <v>889</v>
      </c>
      <c r="I334" t="s">
        <v>125</v>
      </c>
      <c r="J334" t="str">
        <f>HYPERLINK("https://www.facebook.com/156600068417631")</f>
        <v>https://www.facebook.com/156600068417631</v>
      </c>
      <c r="K334">
        <v>236</v>
      </c>
      <c r="L334" t="s">
        <v>28</v>
      </c>
      <c r="N334" t="s">
        <v>179</v>
      </c>
      <c r="O334" t="s">
        <v>125</v>
      </c>
      <c r="P334" t="str">
        <f>HYPERLINK("https://www.facebook.com/156600068417631")</f>
        <v>https://www.facebook.com/156600068417631</v>
      </c>
      <c r="Q334">
        <v>236</v>
      </c>
      <c r="R334" t="s">
        <v>17</v>
      </c>
      <c r="S334" t="s">
        <v>18</v>
      </c>
      <c r="T334" t="s">
        <v>126</v>
      </c>
      <c r="U334" t="s">
        <v>127</v>
      </c>
      <c r="W334">
        <v>0</v>
      </c>
      <c r="X334">
        <v>0</v>
      </c>
      <c r="Y334">
        <v>0</v>
      </c>
      <c r="Z334">
        <v>0</v>
      </c>
      <c r="AA334">
        <v>0</v>
      </c>
      <c r="AB334">
        <v>0</v>
      </c>
      <c r="AC334">
        <v>0</v>
      </c>
      <c r="AE334">
        <v>0</v>
      </c>
      <c r="AI334" t="str">
        <f>HYPERLINK("https://scontent-hel2-1.xx.fbcdn.net/v/t1.0-0/p526x296/107887807_770468393697459_172780404068712775_o.jpg?_nc_cat=103&amp;_nc_sid=9267fe&amp;_nc_ohc=bv6100r3zCUAX_ZZ3Tz&amp;_nc_ht=scontent-hel2-1.xx&amp;_nc_tp=6&amp;oh=f869042659faefc8d3277c490f2fda98&amp;oe=5F2B5C64")</f>
        <v>https://scontent-hel2-1.xx.fbcdn.net/v/t1.0-0/p526x296/107887807_770468393697459_172780404068712775_o.jpg?_nc_cat=103&amp;_nc_sid=9267fe&amp;_nc_ohc=bv6100r3zCUAX_ZZ3Tz&amp;_nc_ht=scontent-hel2-1.xx&amp;_nc_tp=6&amp;oh=f869042659faefc8d3277c490f2fda98&amp;oe=5F2B5C64</v>
      </c>
      <c r="AJ334" t="s">
        <v>10</v>
      </c>
      <c r="AK334" t="s">
        <v>21</v>
      </c>
      <c r="AL334" t="s">
        <v>3237</v>
      </c>
      <c r="AO334" t="s">
        <v>3240</v>
      </c>
      <c r="AU334" t="s">
        <v>3246</v>
      </c>
      <c r="AZ334" t="s">
        <v>3251</v>
      </c>
    </row>
    <row r="335" spans="1:52" x14ac:dyDescent="0.25">
      <c r="A335" t="s">
        <v>2428</v>
      </c>
      <c r="B335" t="s">
        <v>2135</v>
      </c>
      <c r="C335" t="s">
        <v>968</v>
      </c>
      <c r="D335" t="s">
        <v>10</v>
      </c>
      <c r="E335" t="s">
        <v>1857</v>
      </c>
      <c r="F335" t="s">
        <v>45</v>
      </c>
      <c r="G335" t="str">
        <f>HYPERLINK("https://vk.com/wall-158633337_933")</f>
        <v>https://vk.com/wall-158633337_933</v>
      </c>
      <c r="H335" t="s">
        <v>885</v>
      </c>
      <c r="I335" t="s">
        <v>125</v>
      </c>
      <c r="J335" t="str">
        <f>HYPERLINK("http://vk.com/club158633337")</f>
        <v>http://vk.com/club158633337</v>
      </c>
      <c r="K335">
        <v>4852</v>
      </c>
      <c r="L335" t="s">
        <v>28</v>
      </c>
      <c r="N335" t="s">
        <v>16</v>
      </c>
      <c r="O335" t="s">
        <v>125</v>
      </c>
      <c r="P335" t="str">
        <f>HYPERLINK("http://vk.com/club158633337")</f>
        <v>http://vk.com/club158633337</v>
      </c>
      <c r="Q335">
        <v>4852</v>
      </c>
      <c r="R335" t="s">
        <v>17</v>
      </c>
      <c r="S335" t="s">
        <v>18</v>
      </c>
      <c r="T335" t="s">
        <v>126</v>
      </c>
      <c r="U335" t="s">
        <v>127</v>
      </c>
      <c r="W335">
        <v>0</v>
      </c>
      <c r="X335">
        <v>0</v>
      </c>
      <c r="AE335">
        <v>0</v>
      </c>
      <c r="AF335">
        <v>0</v>
      </c>
      <c r="AG335">
        <v>121</v>
      </c>
      <c r="AI335" t="str">
        <f>HYPERLINK("https://sun1-83.userapi.com/6nwED_J1zDr8DLroaD13Wehn3M18QoJbhJ8Zlw/0b9q7nNaYJc.jpg")</f>
        <v>https://sun1-83.userapi.com/6nwED_J1zDr8DLroaD13Wehn3M18QoJbhJ8Zlw/0b9q7nNaYJc.jpg</v>
      </c>
      <c r="AJ335" t="s">
        <v>10</v>
      </c>
      <c r="AK335" t="s">
        <v>21</v>
      </c>
      <c r="AO335" t="s">
        <v>3240</v>
      </c>
      <c r="AZ335" t="s">
        <v>3251</v>
      </c>
    </row>
    <row r="336" spans="1:52" x14ac:dyDescent="0.25">
      <c r="A336" t="s">
        <v>2380</v>
      </c>
      <c r="B336" t="s">
        <v>2209</v>
      </c>
      <c r="C336" t="s">
        <v>968</v>
      </c>
      <c r="D336" t="s">
        <v>421</v>
      </c>
      <c r="E336" t="s">
        <v>2383</v>
      </c>
      <c r="F336" t="s">
        <v>26</v>
      </c>
      <c r="G336" t="str">
        <f>HYPERLINK("https://www.youtube.com/watch?v=gaka1vqYFNs&amp;lc=UgxLLcb5bD2PVJaJ69x4AaABAg")</f>
        <v>https://www.youtube.com/watch?v=gaka1vqYFNs&amp;lc=UgxLLcb5bD2PVJaJ69x4AaABAg</v>
      </c>
      <c r="H336" t="s">
        <v>885</v>
      </c>
      <c r="I336" t="s">
        <v>2384</v>
      </c>
      <c r="J336" t="str">
        <f>HYPERLINK("https://www.youtube.com/channel/UCziEKLm4wnsa_g-L6MQ-aYQ")</f>
        <v>https://www.youtube.com/channel/UCziEKLm4wnsa_g-L6MQ-aYQ</v>
      </c>
      <c r="K336">
        <v>702</v>
      </c>
      <c r="L336" t="s">
        <v>15</v>
      </c>
      <c r="N336" t="s">
        <v>162</v>
      </c>
      <c r="O336" t="s">
        <v>424</v>
      </c>
      <c r="P336" t="str">
        <f>HYPERLINK("https://www.youtube.com/channel/UC8fQzKHIhSoZeSq3bwQx4mw")</f>
        <v>https://www.youtube.com/channel/UC8fQzKHIhSoZeSq3bwQx4mw</v>
      </c>
      <c r="Q336">
        <v>517000</v>
      </c>
      <c r="R336" t="s">
        <v>17</v>
      </c>
      <c r="S336" t="s">
        <v>425</v>
      </c>
      <c r="AJ336" t="s">
        <v>10</v>
      </c>
      <c r="AK336" t="s">
        <v>21</v>
      </c>
      <c r="AO336" t="s">
        <v>3240</v>
      </c>
      <c r="AT336" t="s">
        <v>3245</v>
      </c>
      <c r="AU336" t="s">
        <v>3246</v>
      </c>
      <c r="AW336" t="s">
        <v>3248</v>
      </c>
      <c r="AX336" t="s">
        <v>3249</v>
      </c>
      <c r="AZ336" t="s">
        <v>3251</v>
      </c>
    </row>
    <row r="337" spans="1:40" x14ac:dyDescent="0.25">
      <c r="A337" t="s">
        <v>2865</v>
      </c>
      <c r="B337" t="s">
        <v>2902</v>
      </c>
      <c r="C337" t="s">
        <v>968</v>
      </c>
      <c r="D337" t="s">
        <v>10</v>
      </c>
      <c r="E337" t="s">
        <v>2903</v>
      </c>
      <c r="F337" t="s">
        <v>26</v>
      </c>
      <c r="G337" t="str">
        <f>HYPERLINK("https://twitter.com/1047276116413538304/status/1282081808302043136")</f>
        <v>https://twitter.com/1047276116413538304/status/1282081808302043136</v>
      </c>
      <c r="H337" t="s">
        <v>885</v>
      </c>
      <c r="I337" t="s">
        <v>2904</v>
      </c>
      <c r="J337" t="str">
        <f>HYPERLINK("http://twitter.com/armisicster")</f>
        <v>http://twitter.com/armisicster</v>
      </c>
      <c r="K337">
        <v>848</v>
      </c>
      <c r="N337" t="s">
        <v>54</v>
      </c>
      <c r="R337" t="s">
        <v>17</v>
      </c>
      <c r="W337">
        <v>0</v>
      </c>
      <c r="X337">
        <v>0</v>
      </c>
      <c r="AE337">
        <v>1</v>
      </c>
      <c r="AF337">
        <v>0</v>
      </c>
      <c r="AJ337" t="s">
        <v>10</v>
      </c>
      <c r="AK337" t="s">
        <v>21</v>
      </c>
    </row>
    <row r="338" spans="1:40" x14ac:dyDescent="0.25">
      <c r="A338" t="s">
        <v>1723</v>
      </c>
      <c r="B338" t="s">
        <v>1803</v>
      </c>
      <c r="C338" t="s">
        <v>984</v>
      </c>
      <c r="D338" t="s">
        <v>1697</v>
      </c>
      <c r="E338" t="s">
        <v>1806</v>
      </c>
      <c r="F338" t="s">
        <v>45</v>
      </c>
      <c r="G338" t="str">
        <f>HYPERLINK("https://eu.delmarvanow.com/story/news/coronavirus/2020/07/28/covid-northeast-better-prepared-second-spike/5449927002")</f>
        <v>https://eu.delmarvanow.com/story/news/coronavirus/2020/07/28/covid-northeast-better-prepared-second-spike/5449927002</v>
      </c>
      <c r="H338" t="s">
        <v>885</v>
      </c>
      <c r="I338" t="s">
        <v>1807</v>
      </c>
      <c r="J338" t="str">
        <f>HYPERLINK("https://www.delmarvanow.com")</f>
        <v>https://www.delmarvanow.com</v>
      </c>
      <c r="N338" t="s">
        <v>1808</v>
      </c>
      <c r="R338" t="s">
        <v>239</v>
      </c>
      <c r="S338" t="s">
        <v>425</v>
      </c>
      <c r="AJ338" t="s">
        <v>10</v>
      </c>
      <c r="AK338" t="s">
        <v>21</v>
      </c>
    </row>
    <row r="339" spans="1:40" x14ac:dyDescent="0.25">
      <c r="A339" t="s">
        <v>7</v>
      </c>
      <c r="B339" t="s">
        <v>298</v>
      </c>
      <c r="C339" t="s">
        <v>299</v>
      </c>
      <c r="D339" t="s">
        <v>24</v>
      </c>
      <c r="E339" t="s">
        <v>242</v>
      </c>
      <c r="F339" t="s">
        <v>26</v>
      </c>
      <c r="G339" t="str">
        <f>HYPERLINK("https://vk.com/wall-197114981_31?reply=1343&amp;thread=1293")</f>
        <v>https://vk.com/wall-197114981_31?reply=1343&amp;thread=1293</v>
      </c>
      <c r="H339" t="s">
        <v>13</v>
      </c>
      <c r="I339" t="s">
        <v>27</v>
      </c>
      <c r="J339" t="str">
        <f>HYPERLINK("http://vk.com/club197114981")</f>
        <v>http://vk.com/club197114981</v>
      </c>
      <c r="K339">
        <v>38</v>
      </c>
      <c r="L339" t="s">
        <v>28</v>
      </c>
      <c r="N339" t="s">
        <v>16</v>
      </c>
      <c r="O339" t="s">
        <v>27</v>
      </c>
      <c r="P339" t="str">
        <f>HYPERLINK("http://vk.com/club197114981")</f>
        <v>http://vk.com/club197114981</v>
      </c>
      <c r="Q339">
        <v>38</v>
      </c>
      <c r="R339" t="s">
        <v>17</v>
      </c>
      <c r="AJ339" t="s">
        <v>10</v>
      </c>
      <c r="AK339" t="s">
        <v>21</v>
      </c>
      <c r="AN339" t="s">
        <v>3239</v>
      </c>
    </row>
    <row r="340" spans="1:40" x14ac:dyDescent="0.25">
      <c r="A340" t="s">
        <v>772</v>
      </c>
      <c r="B340" t="s">
        <v>832</v>
      </c>
      <c r="C340" t="s">
        <v>833</v>
      </c>
      <c r="D340" t="s">
        <v>24</v>
      </c>
      <c r="E340" t="s">
        <v>834</v>
      </c>
      <c r="F340" t="s">
        <v>26</v>
      </c>
      <c r="G340" t="str">
        <f>HYPERLINK("https://vk.com/wall-197114981_31?reply=1144&amp;thread=294")</f>
        <v>https://vk.com/wall-197114981_31?reply=1144&amp;thread=294</v>
      </c>
      <c r="H340" t="s">
        <v>13</v>
      </c>
      <c r="I340" t="s">
        <v>27</v>
      </c>
      <c r="J340" t="str">
        <f>HYPERLINK("http://vk.com/club197114981")</f>
        <v>http://vk.com/club197114981</v>
      </c>
      <c r="K340">
        <v>38</v>
      </c>
      <c r="L340" t="s">
        <v>28</v>
      </c>
      <c r="N340" t="s">
        <v>16</v>
      </c>
      <c r="O340" t="s">
        <v>27</v>
      </c>
      <c r="P340" t="str">
        <f>HYPERLINK("http://vk.com/club197114981")</f>
        <v>http://vk.com/club197114981</v>
      </c>
      <c r="Q340">
        <v>38</v>
      </c>
      <c r="R340" t="s">
        <v>17</v>
      </c>
      <c r="AJ340" t="s">
        <v>10</v>
      </c>
      <c r="AK340" t="s">
        <v>21</v>
      </c>
      <c r="AN340" t="s">
        <v>3239</v>
      </c>
    </row>
    <row r="341" spans="1:40" x14ac:dyDescent="0.25">
      <c r="A341" t="s">
        <v>2193</v>
      </c>
      <c r="B341" t="s">
        <v>2223</v>
      </c>
      <c r="C341" t="s">
        <v>968</v>
      </c>
      <c r="D341" t="s">
        <v>10</v>
      </c>
      <c r="E341" t="s">
        <v>2224</v>
      </c>
      <c r="F341" t="s">
        <v>45</v>
      </c>
      <c r="G341" t="str">
        <f>HYPERLINK("https://www.facebook.com/mriexpert/posts/3206791699387285")</f>
        <v>https://www.facebook.com/mriexpert/posts/3206791699387285</v>
      </c>
      <c r="H341" t="s">
        <v>885</v>
      </c>
      <c r="I341" t="s">
        <v>46</v>
      </c>
      <c r="J341" t="str">
        <f>HYPERLINK("https://www.facebook.com/902980129768465")</f>
        <v>https://www.facebook.com/902980129768465</v>
      </c>
      <c r="K341">
        <v>1509</v>
      </c>
      <c r="L341" t="s">
        <v>28</v>
      </c>
      <c r="N341" t="s">
        <v>179</v>
      </c>
      <c r="O341" t="s">
        <v>46</v>
      </c>
      <c r="P341" t="str">
        <f>HYPERLINK("https://www.facebook.com/902980129768465")</f>
        <v>https://www.facebook.com/902980129768465</v>
      </c>
      <c r="Q341">
        <v>1509</v>
      </c>
      <c r="R341" t="s">
        <v>17</v>
      </c>
      <c r="W341">
        <v>1</v>
      </c>
      <c r="X341">
        <v>1</v>
      </c>
      <c r="Y341">
        <v>0</v>
      </c>
      <c r="Z341">
        <v>0</v>
      </c>
      <c r="AA341">
        <v>0</v>
      </c>
      <c r="AB341">
        <v>0</v>
      </c>
      <c r="AC341">
        <v>0</v>
      </c>
      <c r="AE341">
        <v>0</v>
      </c>
      <c r="AI341" t="str">
        <f>HYPERLINK("https://scontent-hel2-1.xx.fbcdn.net/v/t1.0-9/s960x960/115735158_3206791436053978_4716585869832836762_o.jpg?_nc_cat=101&amp;_nc_sid=730e14&amp;_nc_ohc=qiV0k0iov4YAX-zIfrq&amp;_nc_ht=scontent-hel2-1.xx&amp;_nc_tp=7&amp;oh=0017d3947b617274eb37eb5a62b085f7&amp;oe=5F408BC6")</f>
        <v>https://scontent-hel2-1.xx.fbcdn.net/v/t1.0-9/s960x960/115735158_3206791436053978_4716585869832836762_o.jpg?_nc_cat=101&amp;_nc_sid=730e14&amp;_nc_ohc=qiV0k0iov4YAX-zIfrq&amp;_nc_ht=scontent-hel2-1.xx&amp;_nc_tp=7&amp;oh=0017d3947b617274eb37eb5a62b085f7&amp;oe=5F408BC6</v>
      </c>
      <c r="AJ341" t="s">
        <v>10</v>
      </c>
      <c r="AK341" t="s">
        <v>21</v>
      </c>
      <c r="AN341" t="s">
        <v>3239</v>
      </c>
    </row>
    <row r="342" spans="1:40" x14ac:dyDescent="0.25">
      <c r="A342" t="s">
        <v>2472</v>
      </c>
      <c r="B342" t="s">
        <v>2476</v>
      </c>
      <c r="C342" t="s">
        <v>968</v>
      </c>
      <c r="D342" t="s">
        <v>10</v>
      </c>
      <c r="E342" t="s">
        <v>2477</v>
      </c>
      <c r="F342" t="s">
        <v>26</v>
      </c>
      <c r="G342" t="str">
        <f>HYPERLINK("https://twitter.com/198162733/status/1284187715161006083")</f>
        <v>https://twitter.com/198162733/status/1284187715161006083</v>
      </c>
      <c r="H342" t="s">
        <v>885</v>
      </c>
      <c r="I342" t="s">
        <v>2478</v>
      </c>
      <c r="J342" t="str">
        <f>HYPERLINK("http://twitter.com/mfletch0011")</f>
        <v>http://twitter.com/mfletch0011</v>
      </c>
      <c r="K342">
        <v>428</v>
      </c>
      <c r="N342" t="s">
        <v>54</v>
      </c>
      <c r="R342" t="s">
        <v>17</v>
      </c>
      <c r="S342" t="s">
        <v>425</v>
      </c>
      <c r="T342" t="s">
        <v>2479</v>
      </c>
      <c r="W342">
        <v>0</v>
      </c>
      <c r="X342">
        <v>0</v>
      </c>
      <c r="AF342">
        <v>0</v>
      </c>
      <c r="AJ342" t="s">
        <v>10</v>
      </c>
      <c r="AK342" t="s">
        <v>21</v>
      </c>
      <c r="AN342" t="s">
        <v>3239</v>
      </c>
    </row>
    <row r="343" spans="1:40" x14ac:dyDescent="0.25">
      <c r="A343" t="s">
        <v>2978</v>
      </c>
      <c r="B343" t="s">
        <v>477</v>
      </c>
      <c r="C343" t="s">
        <v>968</v>
      </c>
      <c r="D343" t="s">
        <v>2980</v>
      </c>
      <c r="E343" t="s">
        <v>2983</v>
      </c>
      <c r="F343" t="s">
        <v>26</v>
      </c>
      <c r="G343" t="str">
        <f>HYPERLINK("https://vk.com/wall-5608669_6794146?reply=6794457&amp;thread=6794155")</f>
        <v>https://vk.com/wall-5608669_6794146?reply=6794457&amp;thread=6794155</v>
      </c>
      <c r="H343" t="s">
        <v>885</v>
      </c>
      <c r="I343" t="s">
        <v>2982</v>
      </c>
      <c r="J343" t="str">
        <f>HYPERLINK("http://vk.com/id34450118")</f>
        <v>http://vk.com/id34450118</v>
      </c>
      <c r="K343">
        <v>315</v>
      </c>
      <c r="L343" t="s">
        <v>80</v>
      </c>
      <c r="N343" t="s">
        <v>16</v>
      </c>
      <c r="O343" t="s">
        <v>38</v>
      </c>
      <c r="P343" t="str">
        <f>HYPERLINK("http://vk.com/club5608669")</f>
        <v>http://vk.com/club5608669</v>
      </c>
      <c r="Q343">
        <v>343954</v>
      </c>
      <c r="R343" t="s">
        <v>17</v>
      </c>
      <c r="S343" t="s">
        <v>18</v>
      </c>
      <c r="T343" t="s">
        <v>37</v>
      </c>
      <c r="U343" t="s">
        <v>38</v>
      </c>
      <c r="AJ343" t="s">
        <v>10</v>
      </c>
    </row>
    <row r="344" spans="1:40" x14ac:dyDescent="0.25">
      <c r="A344" t="s">
        <v>2978</v>
      </c>
      <c r="B344" t="s">
        <v>3015</v>
      </c>
      <c r="C344" t="s">
        <v>968</v>
      </c>
      <c r="D344" t="s">
        <v>421</v>
      </c>
      <c r="E344" t="s">
        <v>3016</v>
      </c>
      <c r="F344" t="s">
        <v>26</v>
      </c>
      <c r="G344" t="str">
        <f>HYPERLINK("https://www.youtube.com/watch?v=gaka1vqYFNs&amp;lc=UgwjQrfehtMp_6Pxjyp4AaABAg.9AuNPVuLk-m9Av6euV0Etr")</f>
        <v>https://www.youtube.com/watch?v=gaka1vqYFNs&amp;lc=UgwjQrfehtMp_6Pxjyp4AaABAg.9AuNPVuLk-m9Av6euV0Etr</v>
      </c>
      <c r="H344" t="s">
        <v>889</v>
      </c>
      <c r="I344" t="s">
        <v>3017</v>
      </c>
      <c r="J344" t="str">
        <f>HYPERLINK("https://www.youtube.com/channel/UCoL6JZDnDPVuVOHaYh10Nog")</f>
        <v>https://www.youtube.com/channel/UCoL6JZDnDPVuVOHaYh10Nog</v>
      </c>
      <c r="K344">
        <v>1</v>
      </c>
      <c r="N344" t="s">
        <v>162</v>
      </c>
      <c r="O344" t="s">
        <v>424</v>
      </c>
      <c r="P344" t="str">
        <f>HYPERLINK("https://www.youtube.com/channel/UC8fQzKHIhSoZeSq3bwQx4mw")</f>
        <v>https://www.youtube.com/channel/UC8fQzKHIhSoZeSq3bwQx4mw</v>
      </c>
      <c r="Q344">
        <v>517000</v>
      </c>
      <c r="R344" t="s">
        <v>17</v>
      </c>
      <c r="S344" t="s">
        <v>425</v>
      </c>
      <c r="AJ344" t="s">
        <v>10</v>
      </c>
      <c r="AL344" t="s">
        <v>3237</v>
      </c>
    </row>
    <row r="345" spans="1:40" x14ac:dyDescent="0.25">
      <c r="A345" t="s">
        <v>1225</v>
      </c>
      <c r="B345" t="s">
        <v>1262</v>
      </c>
      <c r="C345" t="s">
        <v>984</v>
      </c>
      <c r="D345" t="s">
        <v>1232</v>
      </c>
      <c r="E345" t="s">
        <v>1263</v>
      </c>
      <c r="F345" t="s">
        <v>26</v>
      </c>
      <c r="G345" t="str">
        <f>HYPERLINK("https://vk.com/topic-48669646_34303966?post=2544")</f>
        <v>https://vk.com/topic-48669646_34303966?post=2544</v>
      </c>
      <c r="H345" t="s">
        <v>885</v>
      </c>
      <c r="I345" t="s">
        <v>1259</v>
      </c>
      <c r="J345" t="str">
        <f>HYPERLINK("http://vk.com/id84758632")</f>
        <v>http://vk.com/id84758632</v>
      </c>
      <c r="K345">
        <v>48</v>
      </c>
      <c r="L345" t="s">
        <v>15</v>
      </c>
      <c r="N345" t="s">
        <v>16</v>
      </c>
      <c r="O345" t="s">
        <v>46</v>
      </c>
      <c r="P345" t="str">
        <f>HYPERLINK("http://vk.com/club48669646")</f>
        <v>http://vk.com/club48669646</v>
      </c>
      <c r="Q345">
        <v>5795</v>
      </c>
      <c r="R345" t="s">
        <v>17</v>
      </c>
      <c r="S345" t="s">
        <v>18</v>
      </c>
      <c r="T345" t="s">
        <v>1260</v>
      </c>
      <c r="U345" t="s">
        <v>1261</v>
      </c>
      <c r="AJ345" t="s">
        <v>10</v>
      </c>
      <c r="AK345" t="s">
        <v>21</v>
      </c>
    </row>
    <row r="346" spans="1:40" x14ac:dyDescent="0.25">
      <c r="A346" t="s">
        <v>2260</v>
      </c>
      <c r="B346" t="s">
        <v>42</v>
      </c>
      <c r="C346" t="s">
        <v>968</v>
      </c>
      <c r="D346" t="s">
        <v>10</v>
      </c>
      <c r="E346" t="s">
        <v>2269</v>
      </c>
      <c r="F346" t="s">
        <v>12</v>
      </c>
      <c r="G346" t="str">
        <f>HYPERLINK("https://www.facebook.com/568390943273818/posts/2995042510608637")</f>
        <v>https://www.facebook.com/568390943273818/posts/2995042510608637</v>
      </c>
      <c r="H346" t="s">
        <v>885</v>
      </c>
      <c r="I346" t="s">
        <v>280</v>
      </c>
      <c r="J346" t="str">
        <f>HYPERLINK("https://www.facebook.com/568390943273818")</f>
        <v>https://www.facebook.com/568390943273818</v>
      </c>
      <c r="K346">
        <v>18918</v>
      </c>
      <c r="L346" t="s">
        <v>28</v>
      </c>
      <c r="N346" t="s">
        <v>179</v>
      </c>
      <c r="O346" t="s">
        <v>280</v>
      </c>
      <c r="P346" t="str">
        <f>HYPERLINK("https://www.facebook.com/568390943273818")</f>
        <v>https://www.facebook.com/568390943273818</v>
      </c>
      <c r="Q346">
        <v>18918</v>
      </c>
      <c r="R346" t="s">
        <v>17</v>
      </c>
      <c r="S346" t="s">
        <v>281</v>
      </c>
      <c r="T346" t="s">
        <v>282</v>
      </c>
      <c r="U346" t="s">
        <v>282</v>
      </c>
      <c r="AI346" t="str">
        <f>HYPERLINK("https://scontent-lht6-1.xx.fbcdn.net/v/t1.0-9/p720x720/109644801_2995041950608693_2165868283143976067_o.jpg?_nc_cat=111&amp;_nc_sid=8024bb&amp;_nc_ohc=CLGRubYjoKEAX9rJSht&amp;_nc_ht=scontent-lht6-1.xx&amp;_nc_tp=6&amp;oh=b224257a7f80628d13cbf4849e670079&amp;oe=5F3DDDE7")</f>
        <v>https://scontent-lht6-1.xx.fbcdn.net/v/t1.0-9/p720x720/109644801_2995041950608693_2165868283143976067_o.jpg?_nc_cat=111&amp;_nc_sid=8024bb&amp;_nc_ohc=CLGRubYjoKEAX9rJSht&amp;_nc_ht=scontent-lht6-1.xx&amp;_nc_tp=6&amp;oh=b224257a7f80628d13cbf4849e670079&amp;oe=5F3DDDE7</v>
      </c>
      <c r="AJ346" t="s">
        <v>10</v>
      </c>
      <c r="AK346" t="s">
        <v>21</v>
      </c>
      <c r="AL346" t="s">
        <v>3237</v>
      </c>
    </row>
    <row r="347" spans="1:40" x14ac:dyDescent="0.25">
      <c r="A347" t="s">
        <v>1518</v>
      </c>
      <c r="B347" t="s">
        <v>1075</v>
      </c>
      <c r="C347" t="s">
        <v>984</v>
      </c>
      <c r="D347" t="s">
        <v>10</v>
      </c>
      <c r="E347" t="s">
        <v>1528</v>
      </c>
      <c r="F347" t="s">
        <v>45</v>
      </c>
      <c r="G347" t="str">
        <f>HYPERLINK("https://www.facebook.com/straysworthsaving/posts/328278881912346")</f>
        <v>https://www.facebook.com/straysworthsaving/posts/328278881912346</v>
      </c>
      <c r="H347" t="s">
        <v>889</v>
      </c>
      <c r="I347" t="s">
        <v>1529</v>
      </c>
      <c r="J347" t="str">
        <f>HYPERLINK("https://www.facebook.com/103683861038517")</f>
        <v>https://www.facebook.com/103683861038517</v>
      </c>
      <c r="K347">
        <v>21459</v>
      </c>
      <c r="L347" t="s">
        <v>28</v>
      </c>
      <c r="N347" t="s">
        <v>179</v>
      </c>
      <c r="O347" t="s">
        <v>1529</v>
      </c>
      <c r="P347" t="str">
        <f>HYPERLINK("https://www.facebook.com/103683861038517")</f>
        <v>https://www.facebook.com/103683861038517</v>
      </c>
      <c r="Q347">
        <v>21459</v>
      </c>
      <c r="R347" t="s">
        <v>17</v>
      </c>
      <c r="S347" t="s">
        <v>1530</v>
      </c>
      <c r="T347" t="s">
        <v>1531</v>
      </c>
      <c r="U347" t="s">
        <v>1532</v>
      </c>
      <c r="W347">
        <v>1305</v>
      </c>
      <c r="X347">
        <v>304</v>
      </c>
      <c r="Y347">
        <v>58</v>
      </c>
      <c r="Z347">
        <v>1</v>
      </c>
      <c r="AA347">
        <v>0</v>
      </c>
      <c r="AB347">
        <v>937</v>
      </c>
      <c r="AC347">
        <v>5</v>
      </c>
      <c r="AE347">
        <v>82</v>
      </c>
      <c r="AF347">
        <v>161</v>
      </c>
      <c r="AI347" t="str">
        <f>HYPERLINK("https://scontent-hel2-1.xx.fbcdn.net/v/t1.0-9/113545656_328278831912351_5711971900110304016_n.jpg?_nc_cat=104&amp;_nc_sid=8bfeb9&amp;_nc_ohc=1cQ0AU5QgJ0AX9hM7-P&amp;_nc_ht=scontent-hel2-1.xx&amp;oh=60ae640b4a1ea0fc0917489522441d6a&amp;oe=5F49334F")</f>
        <v>https://scontent-hel2-1.xx.fbcdn.net/v/t1.0-9/113545656_328278831912351_5711971900110304016_n.jpg?_nc_cat=104&amp;_nc_sid=8bfeb9&amp;_nc_ohc=1cQ0AU5QgJ0AX9hM7-P&amp;_nc_ht=scontent-hel2-1.xx&amp;oh=60ae640b4a1ea0fc0917489522441d6a&amp;oe=5F49334F</v>
      </c>
      <c r="AJ347" t="s">
        <v>10</v>
      </c>
      <c r="AK347" t="s">
        <v>21</v>
      </c>
    </row>
    <row r="348" spans="1:40" x14ac:dyDescent="0.25">
      <c r="A348" t="s">
        <v>1723</v>
      </c>
      <c r="B348" t="s">
        <v>1803</v>
      </c>
      <c r="C348" t="s">
        <v>984</v>
      </c>
      <c r="D348" t="s">
        <v>1697</v>
      </c>
      <c r="E348" t="s">
        <v>1778</v>
      </c>
      <c r="F348" t="s">
        <v>45</v>
      </c>
      <c r="G348" t="str">
        <f>HYPERLINK("https://eu.ldnews.com/story/news/coronavirus/2020/07/28/covid-northeast-better-prepared-second-spike/5449927002")</f>
        <v>https://eu.ldnews.com/story/news/coronavirus/2020/07/28/covid-northeast-better-prepared-second-spike/5449927002</v>
      </c>
      <c r="H348" t="s">
        <v>885</v>
      </c>
      <c r="I348" t="s">
        <v>1809</v>
      </c>
      <c r="J348" t="str">
        <f>HYPERLINK("https://www.ldnews.com")</f>
        <v>https://www.ldnews.com</v>
      </c>
      <c r="N348" t="s">
        <v>1810</v>
      </c>
      <c r="R348" t="s">
        <v>239</v>
      </c>
      <c r="S348" t="s">
        <v>425</v>
      </c>
      <c r="AJ348" t="s">
        <v>10</v>
      </c>
      <c r="AK348" t="s">
        <v>21</v>
      </c>
      <c r="AN348" t="s">
        <v>3239</v>
      </c>
    </row>
    <row r="349" spans="1:40" x14ac:dyDescent="0.25">
      <c r="A349" t="s">
        <v>7</v>
      </c>
      <c r="B349" t="s">
        <v>122</v>
      </c>
      <c r="C349" t="s">
        <v>123</v>
      </c>
      <c r="D349" t="s">
        <v>10</v>
      </c>
      <c r="E349" t="s">
        <v>124</v>
      </c>
      <c r="F349" t="s">
        <v>45</v>
      </c>
      <c r="G349" t="str">
        <f>HYPERLINK("https://vk.com/wall-158633337_965")</f>
        <v>https://vk.com/wall-158633337_965</v>
      </c>
      <c r="H349" t="s">
        <v>13</v>
      </c>
      <c r="I349" t="s">
        <v>125</v>
      </c>
      <c r="J349" t="str">
        <f>HYPERLINK("http://vk.com/club158633337")</f>
        <v>http://vk.com/club158633337</v>
      </c>
      <c r="K349">
        <v>4852</v>
      </c>
      <c r="L349" t="s">
        <v>28</v>
      </c>
      <c r="N349" t="s">
        <v>16</v>
      </c>
      <c r="O349" t="s">
        <v>125</v>
      </c>
      <c r="P349" t="str">
        <f>HYPERLINK("http://vk.com/club158633337")</f>
        <v>http://vk.com/club158633337</v>
      </c>
      <c r="Q349">
        <v>4852</v>
      </c>
      <c r="R349" t="s">
        <v>17</v>
      </c>
      <c r="S349" t="s">
        <v>18</v>
      </c>
      <c r="T349" t="s">
        <v>126</v>
      </c>
      <c r="U349" t="s">
        <v>127</v>
      </c>
      <c r="AI349" t="str">
        <f>HYPERLINK("https://sun1-83.userapi.com/Rii3PzXv8CYCWRnfJsng_MPBD0GFTouod6AmVw/5TqiXrkrRNY.jpg")</f>
        <v>https://sun1-83.userapi.com/Rii3PzXv8CYCWRnfJsng_MPBD0GFTouod6AmVw/5TqiXrkrRNY.jpg</v>
      </c>
      <c r="AJ349" t="s">
        <v>10</v>
      </c>
      <c r="AK349" t="s">
        <v>21</v>
      </c>
      <c r="AN349" t="s">
        <v>3239</v>
      </c>
    </row>
    <row r="350" spans="1:40" x14ac:dyDescent="0.25">
      <c r="A350" t="s">
        <v>7</v>
      </c>
      <c r="B350" t="s">
        <v>384</v>
      </c>
      <c r="C350" t="s">
        <v>385</v>
      </c>
      <c r="D350" t="s">
        <v>24</v>
      </c>
      <c r="E350" t="s">
        <v>393</v>
      </c>
      <c r="F350" t="s">
        <v>26</v>
      </c>
      <c r="G350" t="str">
        <f>HYPERLINK("https://vk.com/wall-197114981_31?reply=1299&amp;thread=1293")</f>
        <v>https://vk.com/wall-197114981_31?reply=1299&amp;thread=1293</v>
      </c>
      <c r="H350" t="s">
        <v>13</v>
      </c>
      <c r="I350" t="s">
        <v>388</v>
      </c>
      <c r="J350" t="str">
        <f>HYPERLINK("http://vk.com/id169523743")</f>
        <v>http://vk.com/id169523743</v>
      </c>
      <c r="K350">
        <v>50</v>
      </c>
      <c r="L350" t="s">
        <v>80</v>
      </c>
      <c r="M350">
        <v>24</v>
      </c>
      <c r="N350" t="s">
        <v>16</v>
      </c>
      <c r="O350" t="s">
        <v>27</v>
      </c>
      <c r="P350" t="str">
        <f>HYPERLINK("http://vk.com/club197114981")</f>
        <v>http://vk.com/club197114981</v>
      </c>
      <c r="Q350">
        <v>38</v>
      </c>
      <c r="R350" t="s">
        <v>17</v>
      </c>
      <c r="S350" t="s">
        <v>18</v>
      </c>
      <c r="T350" t="s">
        <v>231</v>
      </c>
      <c r="U350" t="s">
        <v>232</v>
      </c>
      <c r="AJ350" t="s">
        <v>10</v>
      </c>
      <c r="AK350" t="s">
        <v>21</v>
      </c>
      <c r="AN350" t="s">
        <v>3239</v>
      </c>
    </row>
    <row r="351" spans="1:40" x14ac:dyDescent="0.25">
      <c r="A351" t="s">
        <v>2684</v>
      </c>
      <c r="B351" t="s">
        <v>83</v>
      </c>
      <c r="C351" t="s">
        <v>968</v>
      </c>
      <c r="D351" t="s">
        <v>10</v>
      </c>
      <c r="E351" t="s">
        <v>2750</v>
      </c>
      <c r="F351" t="s">
        <v>12</v>
      </c>
      <c r="G351" t="str">
        <f>HYPERLINK("https://vk.com/wall52949648_2053")</f>
        <v>https://vk.com/wall52949648_2053</v>
      </c>
      <c r="H351" t="s">
        <v>885</v>
      </c>
      <c r="I351" t="s">
        <v>1076</v>
      </c>
      <c r="J351" t="str">
        <f>HYPERLINK("http://vk.com/id52949648")</f>
        <v>http://vk.com/id52949648</v>
      </c>
      <c r="K351">
        <v>389</v>
      </c>
      <c r="L351" t="s">
        <v>80</v>
      </c>
      <c r="N351" t="s">
        <v>16</v>
      </c>
      <c r="O351" t="s">
        <v>1076</v>
      </c>
      <c r="P351" t="str">
        <f>HYPERLINK("http://vk.com/id52949648")</f>
        <v>http://vk.com/id52949648</v>
      </c>
      <c r="Q351">
        <v>389</v>
      </c>
      <c r="R351" t="s">
        <v>17</v>
      </c>
      <c r="S351" t="s">
        <v>18</v>
      </c>
      <c r="T351" t="s">
        <v>1015</v>
      </c>
      <c r="U351" t="s">
        <v>1016</v>
      </c>
      <c r="W351">
        <v>0</v>
      </c>
      <c r="X351">
        <v>0</v>
      </c>
      <c r="AE351">
        <v>0</v>
      </c>
      <c r="AF351">
        <v>0</v>
      </c>
      <c r="AG351">
        <v>18</v>
      </c>
      <c r="AI351" t="str">
        <f>HYPERLINK("https://sun1-94.userapi.com/4ZoS-0bwCXtitCsm57BtKiqXAlaI5U54blJYtg/j_2Ptlb6Krw.jpg")</f>
        <v>https://sun1-94.userapi.com/4ZoS-0bwCXtitCsm57BtKiqXAlaI5U54blJYtg/j_2Ptlb6Krw.jpg</v>
      </c>
      <c r="AJ351" t="s">
        <v>10</v>
      </c>
      <c r="AK351" t="s">
        <v>21</v>
      </c>
      <c r="AN351" t="s">
        <v>3239</v>
      </c>
    </row>
    <row r="352" spans="1:40" x14ac:dyDescent="0.25">
      <c r="A352" t="s">
        <v>414</v>
      </c>
      <c r="B352" t="s">
        <v>419</v>
      </c>
      <c r="C352" t="s">
        <v>426</v>
      </c>
      <c r="D352" t="s">
        <v>24</v>
      </c>
      <c r="E352" t="s">
        <v>428</v>
      </c>
      <c r="F352" t="s">
        <v>26</v>
      </c>
      <c r="G352" t="str">
        <f>HYPERLINK("https://vk.com/wall-197114981_31?reply=1278")</f>
        <v>https://vk.com/wall-197114981_31?reply=1278</v>
      </c>
      <c r="H352" t="s">
        <v>13</v>
      </c>
      <c r="I352" t="s">
        <v>353</v>
      </c>
      <c r="J352" t="str">
        <f>HYPERLINK("http://vk.com/id5881034")</f>
        <v>http://vk.com/id5881034</v>
      </c>
      <c r="K352">
        <v>1797</v>
      </c>
      <c r="L352" t="s">
        <v>80</v>
      </c>
      <c r="N352" t="s">
        <v>16</v>
      </c>
      <c r="O352" t="s">
        <v>27</v>
      </c>
      <c r="P352" t="str">
        <f>HYPERLINK("http://vk.com/club197114981")</f>
        <v>http://vk.com/club197114981</v>
      </c>
      <c r="Q352">
        <v>38</v>
      </c>
      <c r="R352" t="s">
        <v>17</v>
      </c>
      <c r="S352" t="s">
        <v>18</v>
      </c>
      <c r="T352" t="s">
        <v>354</v>
      </c>
      <c r="U352" t="s">
        <v>354</v>
      </c>
      <c r="AJ352" t="s">
        <v>10</v>
      </c>
      <c r="AK352" t="s">
        <v>21</v>
      </c>
      <c r="AN352" t="s">
        <v>3239</v>
      </c>
    </row>
    <row r="353" spans="1:52" x14ac:dyDescent="0.25">
      <c r="A353" t="s">
        <v>414</v>
      </c>
      <c r="B353" t="s">
        <v>434</v>
      </c>
      <c r="C353" t="s">
        <v>435</v>
      </c>
      <c r="D353" t="s">
        <v>24</v>
      </c>
      <c r="E353" t="s">
        <v>437</v>
      </c>
      <c r="F353" t="s">
        <v>26</v>
      </c>
      <c r="G353" t="str">
        <f>HYPERLINK("https://vk.com/wall-197114981_31?reply=1273")</f>
        <v>https://vk.com/wall-197114981_31?reply=1273</v>
      </c>
      <c r="H353" t="s">
        <v>13</v>
      </c>
      <c r="I353" t="s">
        <v>438</v>
      </c>
      <c r="J353" t="str">
        <f>HYPERLINK("http://vk.com/id321391081")</f>
        <v>http://vk.com/id321391081</v>
      </c>
      <c r="K353">
        <v>418</v>
      </c>
      <c r="L353" t="s">
        <v>80</v>
      </c>
      <c r="N353" t="s">
        <v>16</v>
      </c>
      <c r="O353" t="s">
        <v>27</v>
      </c>
      <c r="P353" t="str">
        <f>HYPERLINK("http://vk.com/club197114981")</f>
        <v>http://vk.com/club197114981</v>
      </c>
      <c r="Q353">
        <v>38</v>
      </c>
      <c r="R353" t="s">
        <v>17</v>
      </c>
      <c r="S353" t="s">
        <v>18</v>
      </c>
      <c r="T353" t="s">
        <v>231</v>
      </c>
      <c r="U353" t="s">
        <v>232</v>
      </c>
      <c r="AJ353" t="s">
        <v>10</v>
      </c>
      <c r="AK353" t="s">
        <v>21</v>
      </c>
      <c r="AM353" t="s">
        <v>3238</v>
      </c>
    </row>
    <row r="354" spans="1:52" x14ac:dyDescent="0.25">
      <c r="A354" t="s">
        <v>414</v>
      </c>
      <c r="B354" t="s">
        <v>608</v>
      </c>
      <c r="C354" t="s">
        <v>606</v>
      </c>
      <c r="D354" t="s">
        <v>24</v>
      </c>
      <c r="E354" t="s">
        <v>610</v>
      </c>
      <c r="F354" t="s">
        <v>26</v>
      </c>
      <c r="G354" t="str">
        <f>HYPERLINK("https://vk.com/wall-197114981_31?reply=1209")</f>
        <v>https://vk.com/wall-197114981_31?reply=1209</v>
      </c>
      <c r="H354" t="s">
        <v>13</v>
      </c>
      <c r="I354" t="s">
        <v>596</v>
      </c>
      <c r="J354" t="str">
        <f>HYPERLINK("http://vk.com/id229177703")</f>
        <v>http://vk.com/id229177703</v>
      </c>
      <c r="K354">
        <v>686</v>
      </c>
      <c r="L354" t="s">
        <v>80</v>
      </c>
      <c r="N354" t="s">
        <v>16</v>
      </c>
      <c r="O354" t="s">
        <v>27</v>
      </c>
      <c r="P354" t="str">
        <f>HYPERLINK("http://vk.com/club197114981")</f>
        <v>http://vk.com/club197114981</v>
      </c>
      <c r="Q354">
        <v>38</v>
      </c>
      <c r="R354" t="s">
        <v>17</v>
      </c>
      <c r="S354" t="s">
        <v>18</v>
      </c>
      <c r="T354" t="s">
        <v>231</v>
      </c>
      <c r="U354" t="s">
        <v>232</v>
      </c>
      <c r="AJ354" t="s">
        <v>10</v>
      </c>
      <c r="AK354" t="s">
        <v>21</v>
      </c>
      <c r="AM354" t="s">
        <v>3238</v>
      </c>
    </row>
    <row r="355" spans="1:52" x14ac:dyDescent="0.25">
      <c r="A355" t="s">
        <v>414</v>
      </c>
      <c r="B355" t="s">
        <v>732</v>
      </c>
      <c r="C355" t="s">
        <v>733</v>
      </c>
      <c r="D355" t="s">
        <v>24</v>
      </c>
      <c r="E355" t="s">
        <v>734</v>
      </c>
      <c r="F355" t="s">
        <v>26</v>
      </c>
      <c r="G355" t="str">
        <f>HYPERLINK("https://vk.com/wall-197114981_31?reply=1178&amp;thread=1139")</f>
        <v>https://vk.com/wall-197114981_31?reply=1178&amp;thread=1139</v>
      </c>
      <c r="H355" t="s">
        <v>13</v>
      </c>
      <c r="I355" t="s">
        <v>27</v>
      </c>
      <c r="J355" t="str">
        <f>HYPERLINK("http://vk.com/club197114981")</f>
        <v>http://vk.com/club197114981</v>
      </c>
      <c r="K355">
        <v>38</v>
      </c>
      <c r="L355" t="s">
        <v>28</v>
      </c>
      <c r="N355" t="s">
        <v>16</v>
      </c>
      <c r="O355" t="s">
        <v>27</v>
      </c>
      <c r="P355" t="str">
        <f>HYPERLINK("http://vk.com/club197114981")</f>
        <v>http://vk.com/club197114981</v>
      </c>
      <c r="Q355">
        <v>38</v>
      </c>
      <c r="R355" t="s">
        <v>17</v>
      </c>
      <c r="AJ355" t="s">
        <v>10</v>
      </c>
      <c r="AK355" t="s">
        <v>21</v>
      </c>
    </row>
    <row r="356" spans="1:52" x14ac:dyDescent="0.25">
      <c r="A356" t="s">
        <v>772</v>
      </c>
      <c r="B356" t="s">
        <v>1004</v>
      </c>
      <c r="C356" t="s">
        <v>747</v>
      </c>
      <c r="D356" t="s">
        <v>10</v>
      </c>
      <c r="E356" t="s">
        <v>1005</v>
      </c>
      <c r="F356" t="s">
        <v>45</v>
      </c>
      <c r="G356" t="str">
        <f>HYPERLINK("https://www.facebook.com/clinic.expert.perm/photos/a.113842256786001/179731850197041/?type=3")</f>
        <v>https://www.facebook.com/clinic.expert.perm/photos/a.113842256786001/179731850197041/?type=3</v>
      </c>
      <c r="H356" t="s">
        <v>13</v>
      </c>
      <c r="I356" t="s">
        <v>188</v>
      </c>
      <c r="J356" t="str">
        <f>HYPERLINK("https://www.facebook.com/105499154286978")</f>
        <v>https://www.facebook.com/105499154286978</v>
      </c>
      <c r="K356">
        <v>6</v>
      </c>
      <c r="L356" t="s">
        <v>28</v>
      </c>
      <c r="N356" t="s">
        <v>179</v>
      </c>
      <c r="O356" t="s">
        <v>188</v>
      </c>
      <c r="P356" t="str">
        <f>HYPERLINK("https://www.facebook.com/105499154286978")</f>
        <v>https://www.facebook.com/105499154286978</v>
      </c>
      <c r="Q356">
        <v>6</v>
      </c>
      <c r="R356" t="s">
        <v>17</v>
      </c>
      <c r="S356" t="s">
        <v>18</v>
      </c>
      <c r="T356" t="s">
        <v>189</v>
      </c>
      <c r="U356" t="s">
        <v>190</v>
      </c>
      <c r="W356">
        <v>0</v>
      </c>
      <c r="X356">
        <v>0</v>
      </c>
      <c r="Y356">
        <v>0</v>
      </c>
      <c r="Z356">
        <v>0</v>
      </c>
      <c r="AA356">
        <v>0</v>
      </c>
      <c r="AB356">
        <v>0</v>
      </c>
      <c r="AC356">
        <v>0</v>
      </c>
      <c r="AE356">
        <v>0</v>
      </c>
      <c r="AF356">
        <v>0</v>
      </c>
      <c r="AI356" t="str">
        <f>HYPERLINK("https://scontent-hel2-1.xx.fbcdn.net/v/t1.0-0/p180x540/109160830_179731853530374_2225436390818650897_o.jpg?_nc_cat=101&amp;_nc_sid=9267fe&amp;_nc_ohc=VtfsCEVZNq8AX9OPMTK&amp;_nc_ht=scontent-hel2-1.xx&amp;_nc_tp=6&amp;oh=924e6cf8b0db2f390fffb186fc3885a8&amp;oe=5F53FFAE")</f>
        <v>https://scontent-hel2-1.xx.fbcdn.net/v/t1.0-0/p180x540/109160830_179731853530374_2225436390818650897_o.jpg?_nc_cat=101&amp;_nc_sid=9267fe&amp;_nc_ohc=VtfsCEVZNq8AX9OPMTK&amp;_nc_ht=scontent-hel2-1.xx&amp;_nc_tp=6&amp;oh=924e6cf8b0db2f390fffb186fc3885a8&amp;oe=5F53FFAE</v>
      </c>
      <c r="AJ356" t="s">
        <v>10</v>
      </c>
      <c r="AK356" t="s">
        <v>21</v>
      </c>
      <c r="AM356" t="s">
        <v>3238</v>
      </c>
    </row>
    <row r="357" spans="1:52" x14ac:dyDescent="0.25">
      <c r="A357" t="s">
        <v>1838</v>
      </c>
      <c r="B357" t="s">
        <v>1885</v>
      </c>
      <c r="C357" t="s">
        <v>984</v>
      </c>
      <c r="D357" t="s">
        <v>1886</v>
      </c>
      <c r="E357" t="s">
        <v>1887</v>
      </c>
      <c r="F357" t="s">
        <v>45</v>
      </c>
      <c r="G357" t="str">
        <f>HYPERLINK("https://www.youtube.com/watch?v=1-eckNiNe9M")</f>
        <v>https://www.youtube.com/watch?v=1-eckNiNe9M</v>
      </c>
      <c r="H357" t="s">
        <v>885</v>
      </c>
      <c r="I357" t="s">
        <v>1888</v>
      </c>
      <c r="J357" t="str">
        <f>HYPERLINK("https://www.youtube.com/channel/UCM_rttJSXHo02BUapwM5uzQ")</f>
        <v>https://www.youtube.com/channel/UCM_rttJSXHo02BUapwM5uzQ</v>
      </c>
      <c r="K357">
        <v>14</v>
      </c>
      <c r="N357" t="s">
        <v>162</v>
      </c>
      <c r="O357" t="s">
        <v>1888</v>
      </c>
      <c r="P357" t="str">
        <f>HYPERLINK("https://www.youtube.com/channel/UCM_rttJSXHo02BUapwM5uzQ")</f>
        <v>https://www.youtube.com/channel/UCM_rttJSXHo02BUapwM5uzQ</v>
      </c>
      <c r="Q357">
        <v>14</v>
      </c>
      <c r="R357" t="s">
        <v>17</v>
      </c>
      <c r="S357" t="s">
        <v>1869</v>
      </c>
      <c r="T357" t="s">
        <v>1870</v>
      </c>
      <c r="W357">
        <v>2</v>
      </c>
      <c r="X357">
        <v>2</v>
      </c>
      <c r="AD357">
        <v>0</v>
      </c>
      <c r="AE357">
        <v>0</v>
      </c>
      <c r="AG357">
        <v>35</v>
      </c>
      <c r="AI357" t="str">
        <f>HYPERLINK("https://i.ytimg.com/vi/1-eckNiNe9M/sddefault.jpg")</f>
        <v>https://i.ytimg.com/vi/1-eckNiNe9M/sddefault.jpg</v>
      </c>
      <c r="AJ357" t="s">
        <v>10</v>
      </c>
      <c r="AK357" t="s">
        <v>21</v>
      </c>
      <c r="AL357" t="s">
        <v>3237</v>
      </c>
      <c r="AQ357" t="s">
        <v>3242</v>
      </c>
      <c r="AS357" t="s">
        <v>3244</v>
      </c>
      <c r="AU357" t="s">
        <v>3246</v>
      </c>
      <c r="AW357" t="s">
        <v>3248</v>
      </c>
    </row>
    <row r="358" spans="1:52" x14ac:dyDescent="0.25">
      <c r="A358" t="s">
        <v>1225</v>
      </c>
      <c r="B358" t="s">
        <v>1083</v>
      </c>
      <c r="C358" t="s">
        <v>984</v>
      </c>
      <c r="D358" t="s">
        <v>10</v>
      </c>
      <c r="E358" t="s">
        <v>1255</v>
      </c>
      <c r="F358" t="s">
        <v>12</v>
      </c>
      <c r="G358" t="str">
        <f>HYPERLINK("https://www.facebook.com/568390943273818/posts/3044217492357805")</f>
        <v>https://www.facebook.com/568390943273818/posts/3044217492357805</v>
      </c>
      <c r="H358" t="s">
        <v>885</v>
      </c>
      <c r="I358" t="s">
        <v>280</v>
      </c>
      <c r="J358" t="str">
        <f>HYPERLINK("https://www.facebook.com/568390943273818")</f>
        <v>https://www.facebook.com/568390943273818</v>
      </c>
      <c r="K358">
        <v>18918</v>
      </c>
      <c r="L358" t="s">
        <v>28</v>
      </c>
      <c r="N358" t="s">
        <v>179</v>
      </c>
      <c r="O358" t="s">
        <v>280</v>
      </c>
      <c r="P358" t="str">
        <f>HYPERLINK("https://www.facebook.com/568390943273818")</f>
        <v>https://www.facebook.com/568390943273818</v>
      </c>
      <c r="Q358">
        <v>18918</v>
      </c>
      <c r="R358" t="s">
        <v>17</v>
      </c>
      <c r="S358" t="s">
        <v>281</v>
      </c>
      <c r="T358" t="s">
        <v>282</v>
      </c>
      <c r="U358" t="s">
        <v>282</v>
      </c>
      <c r="W358">
        <v>20</v>
      </c>
      <c r="X358">
        <v>20</v>
      </c>
      <c r="Y358">
        <v>0</v>
      </c>
      <c r="Z358">
        <v>0</v>
      </c>
      <c r="AA358">
        <v>0</v>
      </c>
      <c r="AB358">
        <v>0</v>
      </c>
      <c r="AC358">
        <v>0</v>
      </c>
      <c r="AE358">
        <v>4</v>
      </c>
      <c r="AI358" t="str">
        <f>HYPERLINK("https://scontent-mrs2-1.xx.fbcdn.net/v/t15.5256-10/116891270_609722536643991_3966507439526692333_n.jpg?_nc_cat=108&amp;_nc_sid=ad6a45&amp;_nc_ohc=T6y42lG-Q3QAX8pgnCh&amp;_nc_ht=scontent-mrs2-1.xx&amp;oh=29988863ceed8875f6db4b45c0ee246a&amp;oe=5F4DF8DC")</f>
        <v>https://scontent-mrs2-1.xx.fbcdn.net/v/t15.5256-10/116891270_609722536643991_3966507439526692333_n.jpg?_nc_cat=108&amp;_nc_sid=ad6a45&amp;_nc_ohc=T6y42lG-Q3QAX8pgnCh&amp;_nc_ht=scontent-mrs2-1.xx&amp;oh=29988863ceed8875f6db4b45c0ee246a&amp;oe=5F4DF8DC</v>
      </c>
      <c r="AJ358" t="s">
        <v>10</v>
      </c>
      <c r="AK358" t="s">
        <v>21</v>
      </c>
      <c r="AQ358" t="s">
        <v>3242</v>
      </c>
      <c r="AS358" t="s">
        <v>3244</v>
      </c>
      <c r="AW358" t="s">
        <v>3248</v>
      </c>
    </row>
    <row r="359" spans="1:52" x14ac:dyDescent="0.25">
      <c r="A359" t="s">
        <v>1017</v>
      </c>
      <c r="B359" t="s">
        <v>1064</v>
      </c>
      <c r="C359" t="s">
        <v>984</v>
      </c>
      <c r="D359" t="s">
        <v>10</v>
      </c>
      <c r="E359" t="s">
        <v>1023</v>
      </c>
      <c r="F359" t="s">
        <v>12</v>
      </c>
      <c r="G359" t="str">
        <f>HYPERLINK("https://vk.com/wall20817505_499")</f>
        <v>https://vk.com/wall20817505_499</v>
      </c>
      <c r="H359" t="s">
        <v>885</v>
      </c>
      <c r="I359" t="s">
        <v>1065</v>
      </c>
      <c r="J359" t="str">
        <f>HYPERLINK("http://vk.com/id20817505")</f>
        <v>http://vk.com/id20817505</v>
      </c>
      <c r="K359">
        <v>241</v>
      </c>
      <c r="L359" t="s">
        <v>15</v>
      </c>
      <c r="M359">
        <v>34</v>
      </c>
      <c r="N359" t="s">
        <v>16</v>
      </c>
      <c r="O359" t="s">
        <v>1065</v>
      </c>
      <c r="P359" t="str">
        <f>HYPERLINK("http://vk.com/id20817505")</f>
        <v>http://vk.com/id20817505</v>
      </c>
      <c r="Q359">
        <v>241</v>
      </c>
      <c r="R359" t="s">
        <v>17</v>
      </c>
      <c r="S359" t="s">
        <v>18</v>
      </c>
      <c r="W359">
        <v>1</v>
      </c>
      <c r="X359">
        <v>1</v>
      </c>
      <c r="AE359">
        <v>0</v>
      </c>
      <c r="AF359">
        <v>0</v>
      </c>
      <c r="AG359">
        <v>11</v>
      </c>
      <c r="AI359" t="str">
        <f>HYPERLINK("https://sun3-12.userapi.com/opX5IBLF-1siB9r08EeJTIZVQxHvWWloJijsSg/YVPQrsHFC90.jpg")</f>
        <v>https://sun3-12.userapi.com/opX5IBLF-1siB9r08EeJTIZVQxHvWWloJijsSg/YVPQrsHFC90.jpg</v>
      </c>
      <c r="AJ359" t="s">
        <v>10</v>
      </c>
      <c r="AK359" t="s">
        <v>21</v>
      </c>
      <c r="AQ359" t="s">
        <v>3242</v>
      </c>
      <c r="AS359" t="s">
        <v>3244</v>
      </c>
      <c r="AT359" t="s">
        <v>3245</v>
      </c>
      <c r="AU359" t="s">
        <v>3246</v>
      </c>
      <c r="AV359" t="s">
        <v>3247</v>
      </c>
      <c r="AX359" t="s">
        <v>3249</v>
      </c>
    </row>
    <row r="360" spans="1:52" x14ac:dyDescent="0.25">
      <c r="A360" t="s">
        <v>1277</v>
      </c>
      <c r="B360" t="s">
        <v>1333</v>
      </c>
      <c r="C360" t="s">
        <v>984</v>
      </c>
      <c r="D360" t="s">
        <v>1330</v>
      </c>
      <c r="E360" t="s">
        <v>1334</v>
      </c>
      <c r="F360" t="s">
        <v>26</v>
      </c>
      <c r="G360" t="str">
        <f>HYPERLINK("https://vk.com/wall-48669646_10245?reply=10259&amp;thread=10251")</f>
        <v>https://vk.com/wall-48669646_10245?reply=10259&amp;thread=10251</v>
      </c>
      <c r="H360" t="s">
        <v>885</v>
      </c>
      <c r="I360" t="s">
        <v>1335</v>
      </c>
      <c r="J360" t="str">
        <f>HYPERLINK("http://vk.com/id374579163")</f>
        <v>http://vk.com/id374579163</v>
      </c>
      <c r="K360">
        <v>695</v>
      </c>
      <c r="L360" t="s">
        <v>80</v>
      </c>
      <c r="M360">
        <v>29</v>
      </c>
      <c r="N360" t="s">
        <v>16</v>
      </c>
      <c r="O360" t="s">
        <v>46</v>
      </c>
      <c r="P360" t="str">
        <f>HYPERLINK("http://vk.com/club48669646")</f>
        <v>http://vk.com/club48669646</v>
      </c>
      <c r="Q360">
        <v>5795</v>
      </c>
      <c r="R360" t="s">
        <v>17</v>
      </c>
      <c r="S360" t="s">
        <v>18</v>
      </c>
      <c r="AJ360" t="s">
        <v>10</v>
      </c>
      <c r="AK360" t="s">
        <v>21</v>
      </c>
      <c r="AN360" t="s">
        <v>3239</v>
      </c>
      <c r="AQ360" t="s">
        <v>3242</v>
      </c>
      <c r="AT360" t="s">
        <v>3245</v>
      </c>
      <c r="AU360" t="s">
        <v>3246</v>
      </c>
      <c r="AV360" t="s">
        <v>3247</v>
      </c>
      <c r="AY360" t="s">
        <v>3250</v>
      </c>
      <c r="AZ360" t="s">
        <v>3251</v>
      </c>
    </row>
    <row r="361" spans="1:52" x14ac:dyDescent="0.25">
      <c r="A361" t="s">
        <v>414</v>
      </c>
      <c r="B361" t="s">
        <v>584</v>
      </c>
      <c r="C361" t="s">
        <v>585</v>
      </c>
      <c r="D361" t="s">
        <v>24</v>
      </c>
      <c r="E361" t="s">
        <v>586</v>
      </c>
      <c r="F361" t="s">
        <v>26</v>
      </c>
      <c r="G361" t="str">
        <f>HYPERLINK("https://vk.com/wall-197114981_31?reply=1224&amp;thread=1223")</f>
        <v>https://vk.com/wall-197114981_31?reply=1224&amp;thread=1223</v>
      </c>
      <c r="H361" t="s">
        <v>13</v>
      </c>
      <c r="I361" t="s">
        <v>27</v>
      </c>
      <c r="J361" t="str">
        <f>HYPERLINK("http://vk.com/club197114981")</f>
        <v>http://vk.com/club197114981</v>
      </c>
      <c r="K361">
        <v>38</v>
      </c>
      <c r="L361" t="s">
        <v>28</v>
      </c>
      <c r="N361" t="s">
        <v>16</v>
      </c>
      <c r="O361" t="s">
        <v>27</v>
      </c>
      <c r="P361" t="str">
        <f>HYPERLINK("http://vk.com/club197114981")</f>
        <v>http://vk.com/club197114981</v>
      </c>
      <c r="Q361">
        <v>38</v>
      </c>
      <c r="R361" t="s">
        <v>17</v>
      </c>
      <c r="AJ361" t="s">
        <v>10</v>
      </c>
      <c r="AK361" t="s">
        <v>21</v>
      </c>
      <c r="AL361" t="s">
        <v>3237</v>
      </c>
      <c r="AN361" t="s">
        <v>3239</v>
      </c>
      <c r="AQ361" t="s">
        <v>3242</v>
      </c>
      <c r="AX361" t="s">
        <v>3249</v>
      </c>
      <c r="AY361" t="s">
        <v>3250</v>
      </c>
    </row>
    <row r="362" spans="1:52" x14ac:dyDescent="0.25">
      <c r="A362" t="s">
        <v>2193</v>
      </c>
      <c r="B362" t="s">
        <v>358</v>
      </c>
      <c r="C362" t="s">
        <v>968</v>
      </c>
      <c r="D362" t="s">
        <v>2254</v>
      </c>
      <c r="E362" t="s">
        <v>2255</v>
      </c>
      <c r="F362" t="s">
        <v>45</v>
      </c>
      <c r="G362" t="str">
        <f>HYPERLINK("https://uk.trustpilot.com/reviews/5f18ac001a5a69075064e8c7")</f>
        <v>https://uk.trustpilot.com/reviews/5f18ac001a5a69075064e8c7</v>
      </c>
      <c r="H362" t="s">
        <v>889</v>
      </c>
      <c r="I362" t="s">
        <v>2256</v>
      </c>
      <c r="J362" t="str">
        <f>HYPERLINK("https://uk.trustpilot.com/users/5356656700006400016f701d")</f>
        <v>https://uk.trustpilot.com/users/5356656700006400016f701d</v>
      </c>
      <c r="L362" t="s">
        <v>80</v>
      </c>
      <c r="N362" t="s">
        <v>2257</v>
      </c>
      <c r="O362" t="s">
        <v>2254</v>
      </c>
      <c r="P362" t="str">
        <f>HYPERLINK("https://uk.trustpilot.com/review/londonvisionclinic.com")</f>
        <v>https://uk.trustpilot.com/review/londonvisionclinic.com</v>
      </c>
      <c r="R362" t="s">
        <v>616</v>
      </c>
      <c r="S362" t="s">
        <v>425</v>
      </c>
      <c r="AH362">
        <v>5</v>
      </c>
      <c r="AJ362" t="s">
        <v>10</v>
      </c>
      <c r="AK362" t="s">
        <v>21</v>
      </c>
      <c r="AN362" t="s">
        <v>3239</v>
      </c>
      <c r="AQ362" t="s">
        <v>3242</v>
      </c>
      <c r="AY362" t="s">
        <v>3250</v>
      </c>
    </row>
    <row r="363" spans="1:52" x14ac:dyDescent="0.25">
      <c r="A363" t="s">
        <v>2684</v>
      </c>
      <c r="B363" t="s">
        <v>1369</v>
      </c>
      <c r="C363" t="s">
        <v>968</v>
      </c>
      <c r="D363" t="s">
        <v>10</v>
      </c>
      <c r="E363" t="s">
        <v>2688</v>
      </c>
      <c r="F363" t="s">
        <v>12</v>
      </c>
      <c r="G363" t="str">
        <f>HYPERLINK("https://www.facebook.com/aram.khazaryan/posts/2988192764639485")</f>
        <v>https://www.facebook.com/aram.khazaryan/posts/2988192764639485</v>
      </c>
      <c r="H363" t="s">
        <v>885</v>
      </c>
      <c r="I363" t="s">
        <v>2716</v>
      </c>
      <c r="J363" t="str">
        <f>HYPERLINK("https://www.facebook.com/100003463738392")</f>
        <v>https://www.facebook.com/100003463738392</v>
      </c>
      <c r="K363">
        <v>120</v>
      </c>
      <c r="L363" t="s">
        <v>15</v>
      </c>
      <c r="N363" t="s">
        <v>179</v>
      </c>
      <c r="O363" t="s">
        <v>2716</v>
      </c>
      <c r="P363" t="str">
        <f>HYPERLINK("https://www.facebook.com/100003463738392")</f>
        <v>https://www.facebook.com/100003463738392</v>
      </c>
      <c r="Q363">
        <v>120</v>
      </c>
      <c r="R363" t="s">
        <v>17</v>
      </c>
      <c r="S363" t="s">
        <v>2690</v>
      </c>
      <c r="T363" t="s">
        <v>2700</v>
      </c>
      <c r="U363" t="s">
        <v>2700</v>
      </c>
      <c r="W363">
        <v>0</v>
      </c>
      <c r="X363">
        <v>0</v>
      </c>
      <c r="Y363">
        <v>0</v>
      </c>
      <c r="Z363">
        <v>0</v>
      </c>
      <c r="AA363">
        <v>0</v>
      </c>
      <c r="AB363">
        <v>0</v>
      </c>
      <c r="AC363">
        <v>0</v>
      </c>
      <c r="AE363">
        <v>0</v>
      </c>
      <c r="AI363" t="str">
        <f>HYPERLINK("https://scontent-hel2-1.xx.fbcdn.net/v/t15.13418-10/107718255_3109660389083815_8825691245568026571_n.jpg?_nc_cat=108&amp;_nc_sid=ad6a45&amp;_nc_ohc=fyWVkB1ebcUAX8rvQrp&amp;_nc_ht=scontent-hel2-1.xx&amp;oh=2515da485e029784982a7640038a1065&amp;oe=5F34D9DA")</f>
        <v>https://scontent-hel2-1.xx.fbcdn.net/v/t15.13418-10/107718255_3109660389083815_8825691245568026571_n.jpg?_nc_cat=108&amp;_nc_sid=ad6a45&amp;_nc_ohc=fyWVkB1ebcUAX8rvQrp&amp;_nc_ht=scontent-hel2-1.xx&amp;oh=2515da485e029784982a7640038a1065&amp;oe=5F34D9DA</v>
      </c>
      <c r="AJ363" t="s">
        <v>10</v>
      </c>
      <c r="AK363" t="s">
        <v>21</v>
      </c>
      <c r="AL363" t="s">
        <v>3237</v>
      </c>
      <c r="AQ363" t="s">
        <v>3242</v>
      </c>
      <c r="AX363" t="s">
        <v>3249</v>
      </c>
      <c r="AY363" t="s">
        <v>3250</v>
      </c>
    </row>
    <row r="364" spans="1:52" x14ac:dyDescent="0.25">
      <c r="A364" t="s">
        <v>772</v>
      </c>
      <c r="B364" t="s">
        <v>904</v>
      </c>
      <c r="C364" t="s">
        <v>905</v>
      </c>
      <c r="D364" t="s">
        <v>24</v>
      </c>
      <c r="E364" t="s">
        <v>906</v>
      </c>
      <c r="F364" t="s">
        <v>26</v>
      </c>
      <c r="G364" t="str">
        <f>HYPERLINK("https://vk.com/wall-197114981_31?reply=1118&amp;thread=619")</f>
        <v>https://vk.com/wall-197114981_31?reply=1118&amp;thread=619</v>
      </c>
      <c r="H364" t="s">
        <v>885</v>
      </c>
      <c r="I364" t="s">
        <v>27</v>
      </c>
      <c r="J364" t="str">
        <f>HYPERLINK("http://vk.com/club197114981")</f>
        <v>http://vk.com/club197114981</v>
      </c>
      <c r="K364">
        <v>38</v>
      </c>
      <c r="L364" t="s">
        <v>28</v>
      </c>
      <c r="N364" t="s">
        <v>16</v>
      </c>
      <c r="O364" t="s">
        <v>27</v>
      </c>
      <c r="P364" t="str">
        <f>HYPERLINK("http://vk.com/club197114981")</f>
        <v>http://vk.com/club197114981</v>
      </c>
      <c r="Q364">
        <v>38</v>
      </c>
      <c r="R364" t="s">
        <v>17</v>
      </c>
      <c r="AJ364" t="s">
        <v>10</v>
      </c>
      <c r="AK364" t="s">
        <v>21</v>
      </c>
      <c r="AQ364" t="s">
        <v>3242</v>
      </c>
      <c r="AY364" t="s">
        <v>3250</v>
      </c>
    </row>
    <row r="365" spans="1:52" x14ac:dyDescent="0.25">
      <c r="A365" t="s">
        <v>1597</v>
      </c>
      <c r="B365" t="s">
        <v>1652</v>
      </c>
      <c r="C365" t="s">
        <v>984</v>
      </c>
      <c r="D365" t="s">
        <v>10</v>
      </c>
      <c r="E365" t="s">
        <v>1598</v>
      </c>
      <c r="F365" t="s">
        <v>12</v>
      </c>
      <c r="G365" t="str">
        <f>HYPERLINK("https://vk.com/wall-168037818_1850")</f>
        <v>https://vk.com/wall-168037818_1850</v>
      </c>
      <c r="H365" t="s">
        <v>885</v>
      </c>
      <c r="I365" t="s">
        <v>1655</v>
      </c>
      <c r="J365" t="str">
        <f>HYPERLINK("http://vk.com/club168037818")</f>
        <v>http://vk.com/club168037818</v>
      </c>
      <c r="K365">
        <v>1272</v>
      </c>
      <c r="L365" t="s">
        <v>28</v>
      </c>
      <c r="N365" t="s">
        <v>16</v>
      </c>
      <c r="O365" t="s">
        <v>1655</v>
      </c>
      <c r="P365" t="str">
        <f>HYPERLINK("http://vk.com/club168037818")</f>
        <v>http://vk.com/club168037818</v>
      </c>
      <c r="Q365">
        <v>1272</v>
      </c>
      <c r="R365" t="s">
        <v>17</v>
      </c>
      <c r="AI365" t="str">
        <f>HYPERLINK("https://sun1-87.userapi.com/c857624/v857624545/22e882/Vf5OaH3C2oc.jpg")</f>
        <v>https://sun1-87.userapi.com/c857624/v857624545/22e882/Vf5OaH3C2oc.jpg</v>
      </c>
      <c r="AJ365" t="s">
        <v>10</v>
      </c>
      <c r="AK365" t="s">
        <v>21</v>
      </c>
      <c r="AQ365" t="s">
        <v>3242</v>
      </c>
      <c r="AT365" t="s">
        <v>3245</v>
      </c>
      <c r="AV365" t="s">
        <v>3247</v>
      </c>
      <c r="AW365" t="s">
        <v>3248</v>
      </c>
    </row>
    <row r="366" spans="1:52" x14ac:dyDescent="0.25">
      <c r="A366" t="s">
        <v>3021</v>
      </c>
      <c r="B366" t="s">
        <v>2058</v>
      </c>
      <c r="C366" t="s">
        <v>968</v>
      </c>
      <c r="D366" t="s">
        <v>421</v>
      </c>
      <c r="E366" t="s">
        <v>3022</v>
      </c>
      <c r="F366" t="s">
        <v>26</v>
      </c>
      <c r="G366" t="str">
        <f>HYPERLINK("https://www.youtube.com/watch?v=gaka1vqYFNs&amp;lc=UgwjQrfehtMp_6Pxjyp4AaABAg")</f>
        <v>https://www.youtube.com/watch?v=gaka1vqYFNs&amp;lc=UgwjQrfehtMp_6Pxjyp4AaABAg</v>
      </c>
      <c r="H366" t="s">
        <v>885</v>
      </c>
      <c r="I366" t="s">
        <v>3014</v>
      </c>
      <c r="J366" t="str">
        <f>HYPERLINK("https://www.youtube.com/channel/UCWAIdAgy8ucH_GQ_Jsmn3Aw")</f>
        <v>https://www.youtube.com/channel/UCWAIdAgy8ucH_GQ_Jsmn3Aw</v>
      </c>
      <c r="K366">
        <v>3990</v>
      </c>
      <c r="N366" t="s">
        <v>162</v>
      </c>
      <c r="O366" t="s">
        <v>424</v>
      </c>
      <c r="P366" t="str">
        <f>HYPERLINK("https://www.youtube.com/channel/UC8fQzKHIhSoZeSq3bwQx4mw")</f>
        <v>https://www.youtube.com/channel/UC8fQzKHIhSoZeSq3bwQx4mw</v>
      </c>
      <c r="Q366">
        <v>517000</v>
      </c>
      <c r="R366" t="s">
        <v>17</v>
      </c>
      <c r="S366" t="s">
        <v>425</v>
      </c>
      <c r="W366">
        <v>0</v>
      </c>
      <c r="X366">
        <v>0</v>
      </c>
      <c r="AE366">
        <v>3</v>
      </c>
      <c r="AJ366" t="s">
        <v>10</v>
      </c>
      <c r="AK366" t="s">
        <v>21</v>
      </c>
      <c r="AM366" t="s">
        <v>3238</v>
      </c>
      <c r="AQ366" t="s">
        <v>3242</v>
      </c>
      <c r="AT366" t="s">
        <v>3245</v>
      </c>
      <c r="AU366" t="s">
        <v>3246</v>
      </c>
      <c r="AV366" t="s">
        <v>3247</v>
      </c>
      <c r="AX366" t="s">
        <v>3249</v>
      </c>
    </row>
    <row r="367" spans="1:52" x14ac:dyDescent="0.25">
      <c r="A367" t="s">
        <v>7</v>
      </c>
      <c r="B367" t="s">
        <v>39</v>
      </c>
      <c r="C367" t="s">
        <v>40</v>
      </c>
      <c r="D367" t="s">
        <v>24</v>
      </c>
      <c r="E367" t="s">
        <v>41</v>
      </c>
      <c r="F367" t="s">
        <v>26</v>
      </c>
      <c r="G367" t="str">
        <f>HYPERLINK("https://vk.com/wall-197114981_31?reply=1377&amp;thread=1335")</f>
        <v>https://vk.com/wall-197114981_31?reply=1377&amp;thread=1335</v>
      </c>
      <c r="H367" t="s">
        <v>13</v>
      </c>
      <c r="I367" t="s">
        <v>27</v>
      </c>
      <c r="J367" t="str">
        <f>HYPERLINK("http://vk.com/club197114981")</f>
        <v>http://vk.com/club197114981</v>
      </c>
      <c r="K367">
        <v>38</v>
      </c>
      <c r="L367" t="s">
        <v>28</v>
      </c>
      <c r="N367" t="s">
        <v>16</v>
      </c>
      <c r="O367" t="s">
        <v>27</v>
      </c>
      <c r="P367" t="str">
        <f>HYPERLINK("http://vk.com/club197114981")</f>
        <v>http://vk.com/club197114981</v>
      </c>
      <c r="Q367">
        <v>38</v>
      </c>
      <c r="R367" t="s">
        <v>17</v>
      </c>
      <c r="AJ367" t="s">
        <v>10</v>
      </c>
      <c r="AK367" t="s">
        <v>21</v>
      </c>
      <c r="AQ367" t="s">
        <v>3242</v>
      </c>
      <c r="AT367" t="s">
        <v>3245</v>
      </c>
      <c r="AV367" t="s">
        <v>3247</v>
      </c>
      <c r="AW367" t="s">
        <v>3248</v>
      </c>
      <c r="AX367" t="s">
        <v>3249</v>
      </c>
    </row>
    <row r="368" spans="1:52" x14ac:dyDescent="0.25">
      <c r="A368" t="s">
        <v>772</v>
      </c>
      <c r="B368" t="s">
        <v>795</v>
      </c>
      <c r="C368" t="s">
        <v>796</v>
      </c>
      <c r="D368" t="s">
        <v>24</v>
      </c>
      <c r="E368" t="s">
        <v>797</v>
      </c>
      <c r="F368" t="s">
        <v>26</v>
      </c>
      <c r="G368" t="str">
        <f>HYPERLINK("https://vk.com/wall-197114981_31?reply=1153&amp;thread=1152")</f>
        <v>https://vk.com/wall-197114981_31?reply=1153&amp;thread=1152</v>
      </c>
      <c r="H368" t="s">
        <v>13</v>
      </c>
      <c r="I368" t="s">
        <v>27</v>
      </c>
      <c r="J368" t="str">
        <f>HYPERLINK("http://vk.com/club197114981")</f>
        <v>http://vk.com/club197114981</v>
      </c>
      <c r="K368">
        <v>38</v>
      </c>
      <c r="L368" t="s">
        <v>28</v>
      </c>
      <c r="N368" t="s">
        <v>16</v>
      </c>
      <c r="O368" t="s">
        <v>27</v>
      </c>
      <c r="P368" t="str">
        <f>HYPERLINK("http://vk.com/club197114981")</f>
        <v>http://vk.com/club197114981</v>
      </c>
      <c r="Q368">
        <v>38</v>
      </c>
      <c r="R368" t="s">
        <v>17</v>
      </c>
      <c r="AJ368" t="s">
        <v>10</v>
      </c>
      <c r="AK368" t="s">
        <v>21</v>
      </c>
      <c r="AQ368" t="s">
        <v>3242</v>
      </c>
      <c r="AZ368" t="s">
        <v>3251</v>
      </c>
    </row>
    <row r="369" spans="1:52" x14ac:dyDescent="0.25">
      <c r="A369" t="s">
        <v>772</v>
      </c>
      <c r="B369" t="s">
        <v>944</v>
      </c>
      <c r="C369" t="s">
        <v>945</v>
      </c>
      <c r="D369" t="s">
        <v>24</v>
      </c>
      <c r="E369" t="s">
        <v>947</v>
      </c>
      <c r="F369" t="s">
        <v>26</v>
      </c>
      <c r="G369" t="str">
        <f>HYPERLINK("https://vk.com/wall-197114981_31?reply=1098")</f>
        <v>https://vk.com/wall-197114981_31?reply=1098</v>
      </c>
      <c r="H369" t="s">
        <v>885</v>
      </c>
      <c r="I369" t="s">
        <v>489</v>
      </c>
      <c r="J369" t="str">
        <f>HYPERLINK("http://vk.com/id565363508")</f>
        <v>http://vk.com/id565363508</v>
      </c>
      <c r="K369">
        <v>140</v>
      </c>
      <c r="L369" t="s">
        <v>80</v>
      </c>
      <c r="N369" t="s">
        <v>16</v>
      </c>
      <c r="O369" t="s">
        <v>27</v>
      </c>
      <c r="P369" t="str">
        <f>HYPERLINK("http://vk.com/club197114981")</f>
        <v>http://vk.com/club197114981</v>
      </c>
      <c r="Q369">
        <v>38</v>
      </c>
      <c r="R369" t="s">
        <v>17</v>
      </c>
      <c r="S369" t="s">
        <v>18</v>
      </c>
      <c r="T369" t="s">
        <v>231</v>
      </c>
      <c r="U369" t="s">
        <v>232</v>
      </c>
      <c r="AJ369" t="s">
        <v>10</v>
      </c>
      <c r="AK369" t="s">
        <v>21</v>
      </c>
      <c r="AN369" t="s">
        <v>3239</v>
      </c>
      <c r="AO369" t="s">
        <v>3240</v>
      </c>
      <c r="AQ369" t="s">
        <v>3242</v>
      </c>
      <c r="AT369" t="s">
        <v>3245</v>
      </c>
      <c r="AU369" t="s">
        <v>3246</v>
      </c>
      <c r="AW369" t="s">
        <v>3248</v>
      </c>
    </row>
    <row r="370" spans="1:52" x14ac:dyDescent="0.25">
      <c r="A370" t="s">
        <v>2380</v>
      </c>
      <c r="B370" t="s">
        <v>2425</v>
      </c>
      <c r="C370" t="s">
        <v>968</v>
      </c>
      <c r="D370" t="s">
        <v>10</v>
      </c>
      <c r="E370" t="s">
        <v>2426</v>
      </c>
      <c r="F370" t="s">
        <v>26</v>
      </c>
      <c r="G370" t="str">
        <f>HYPERLINK("https://twitter.com/384276365/status/1284655267532230662")</f>
        <v>https://twitter.com/384276365/status/1284655267532230662</v>
      </c>
      <c r="H370" t="s">
        <v>885</v>
      </c>
      <c r="I370" t="s">
        <v>2427</v>
      </c>
      <c r="J370" t="str">
        <f>HYPERLINK("http://twitter.com/Mamacita93")</f>
        <v>http://twitter.com/Mamacita93</v>
      </c>
      <c r="K370">
        <v>494</v>
      </c>
      <c r="N370" t="s">
        <v>54</v>
      </c>
      <c r="R370" t="s">
        <v>17</v>
      </c>
      <c r="S370" t="s">
        <v>425</v>
      </c>
      <c r="T370" t="s">
        <v>1881</v>
      </c>
      <c r="U370" t="s">
        <v>1881</v>
      </c>
      <c r="W370">
        <v>0</v>
      </c>
      <c r="X370">
        <v>0</v>
      </c>
      <c r="AE370">
        <v>1</v>
      </c>
      <c r="AF370">
        <v>0</v>
      </c>
      <c r="AJ370" t="s">
        <v>10</v>
      </c>
      <c r="AK370" t="s">
        <v>21</v>
      </c>
      <c r="AQ370" t="s">
        <v>3242</v>
      </c>
    </row>
    <row r="371" spans="1:52" x14ac:dyDescent="0.25">
      <c r="A371" t="s">
        <v>2915</v>
      </c>
      <c r="B371" t="s">
        <v>2924</v>
      </c>
      <c r="C371" t="s">
        <v>968</v>
      </c>
      <c r="D371" t="s">
        <v>2925</v>
      </c>
      <c r="E371" t="s">
        <v>2926</v>
      </c>
      <c r="F371" t="s">
        <v>45</v>
      </c>
      <c r="G371" t="str">
        <f>HYPERLINK("http://forum.smolensk.ws/viewtopic.php?f=2&amp;t=86378&amp;start=60#p10029385")</f>
        <v>http://forum.smolensk.ws/viewtopic.php?f=2&amp;t=86378&amp;start=60#p10029385</v>
      </c>
      <c r="H371" t="s">
        <v>885</v>
      </c>
      <c r="I371" t="s">
        <v>2927</v>
      </c>
      <c r="J371" t="str">
        <f>HYPERLINK("http://forum.smolensk.ws/memberlist.php?mode=viewprofile&amp;u=1162")</f>
        <v>http://forum.smolensk.ws/memberlist.php?mode=viewprofile&amp;u=1162</v>
      </c>
      <c r="N371" t="s">
        <v>2928</v>
      </c>
      <c r="O371" t="s">
        <v>2929</v>
      </c>
      <c r="P371" t="str">
        <f>HYPERLINK("http://forum.smolensk.ws/viewforum.php?f=2")</f>
        <v>http://forum.smolensk.ws/viewforum.php?f=2</v>
      </c>
      <c r="R371" t="s">
        <v>1293</v>
      </c>
      <c r="S371" t="s">
        <v>180</v>
      </c>
      <c r="T371" t="s">
        <v>2930</v>
      </c>
      <c r="U371" t="s">
        <v>2931</v>
      </c>
      <c r="AJ371" t="s">
        <v>10</v>
      </c>
      <c r="AK371" t="s">
        <v>21</v>
      </c>
      <c r="AQ371" t="s">
        <v>3242</v>
      </c>
    </row>
    <row r="372" spans="1:52" x14ac:dyDescent="0.25">
      <c r="A372" t="s">
        <v>2915</v>
      </c>
      <c r="B372" t="s">
        <v>2135</v>
      </c>
      <c r="C372" t="s">
        <v>968</v>
      </c>
      <c r="D372" t="s">
        <v>10</v>
      </c>
      <c r="E372" t="s">
        <v>1947</v>
      </c>
      <c r="F372" t="s">
        <v>45</v>
      </c>
      <c r="G372" t="str">
        <f>HYPERLINK("https://www.facebook.com/mrtexpertrnd/photos/a.565935020817465/771769053567393/?type=3")</f>
        <v>https://www.facebook.com/mrtexpertrnd/photos/a.565935020817465/771769053567393/?type=3</v>
      </c>
      <c r="H372" t="s">
        <v>889</v>
      </c>
      <c r="I372" t="s">
        <v>125</v>
      </c>
      <c r="J372" t="str">
        <f>HYPERLINK("https://www.facebook.com/156600068417631")</f>
        <v>https://www.facebook.com/156600068417631</v>
      </c>
      <c r="K372">
        <v>236</v>
      </c>
      <c r="L372" t="s">
        <v>28</v>
      </c>
      <c r="N372" t="s">
        <v>179</v>
      </c>
      <c r="O372" t="s">
        <v>125</v>
      </c>
      <c r="P372" t="str">
        <f>HYPERLINK("https://www.facebook.com/156600068417631")</f>
        <v>https://www.facebook.com/156600068417631</v>
      </c>
      <c r="Q372">
        <v>236</v>
      </c>
      <c r="R372" t="s">
        <v>17</v>
      </c>
      <c r="S372" t="s">
        <v>18</v>
      </c>
      <c r="T372" t="s">
        <v>126</v>
      </c>
      <c r="U372" t="s">
        <v>127</v>
      </c>
      <c r="W372">
        <v>0</v>
      </c>
      <c r="X372">
        <v>0</v>
      </c>
      <c r="Y372">
        <v>0</v>
      </c>
      <c r="Z372">
        <v>0</v>
      </c>
      <c r="AA372">
        <v>0</v>
      </c>
      <c r="AB372">
        <v>0</v>
      </c>
      <c r="AC372">
        <v>0</v>
      </c>
      <c r="AE372">
        <v>0</v>
      </c>
      <c r="AI372" t="str">
        <f>HYPERLINK("https://scontent-hel2-1.xx.fbcdn.net/v/t1.0-0/p526x296/107552917_771769056900726_454999290760127039_o.jpg?_nc_cat=110&amp;_nc_sid=9267fe&amp;_nc_ohc=qiIfgXJUsakAX9k_MEx&amp;_nc_ht=scontent-hel2-1.xx&amp;_nc_tp=6&amp;oh=149c6067d278dbe7047403aad691c5c6&amp;oe=5F2FD01F")</f>
        <v>https://scontent-hel2-1.xx.fbcdn.net/v/t1.0-0/p526x296/107552917_771769056900726_454999290760127039_o.jpg?_nc_cat=110&amp;_nc_sid=9267fe&amp;_nc_ohc=qiIfgXJUsakAX9k_MEx&amp;_nc_ht=scontent-hel2-1.xx&amp;_nc_tp=6&amp;oh=149c6067d278dbe7047403aad691c5c6&amp;oe=5F2FD01F</v>
      </c>
      <c r="AJ372" t="s">
        <v>10</v>
      </c>
      <c r="AK372" t="s">
        <v>21</v>
      </c>
      <c r="AQ372" t="s">
        <v>3242</v>
      </c>
      <c r="AU372" t="s">
        <v>3246</v>
      </c>
    </row>
    <row r="373" spans="1:52" x14ac:dyDescent="0.25">
      <c r="A373" t="s">
        <v>1597</v>
      </c>
      <c r="B373" t="s">
        <v>1602</v>
      </c>
      <c r="C373" t="s">
        <v>984</v>
      </c>
      <c r="D373" t="s">
        <v>421</v>
      </c>
      <c r="E373" t="s">
        <v>1603</v>
      </c>
      <c r="F373" t="s">
        <v>26</v>
      </c>
      <c r="G373" t="str">
        <f>HYPERLINK("https://www.youtube.com/watch?v=gaka1vqYFNs&amp;lc=UgxEz6D399B88zOQMVB4AaABAg")</f>
        <v>https://www.youtube.com/watch?v=gaka1vqYFNs&amp;lc=UgxEz6D399B88zOQMVB4AaABAg</v>
      </c>
      <c r="H373" t="s">
        <v>885</v>
      </c>
      <c r="I373" t="s">
        <v>1604</v>
      </c>
      <c r="J373" t="str">
        <f>HYPERLINK("https://www.youtube.com/channel/UCdDdnePQ7VjqEE8RZKQkqFg")</f>
        <v>https://www.youtube.com/channel/UCdDdnePQ7VjqEE8RZKQkqFg</v>
      </c>
      <c r="K373">
        <v>6</v>
      </c>
      <c r="N373" t="s">
        <v>162</v>
      </c>
      <c r="O373" t="s">
        <v>424</v>
      </c>
      <c r="P373" t="str">
        <f>HYPERLINK("https://www.youtube.com/channel/UC8fQzKHIhSoZeSq3bwQx4mw")</f>
        <v>https://www.youtube.com/channel/UC8fQzKHIhSoZeSq3bwQx4mw</v>
      </c>
      <c r="Q373">
        <v>517000</v>
      </c>
      <c r="R373" t="s">
        <v>17</v>
      </c>
      <c r="S373" t="s">
        <v>425</v>
      </c>
      <c r="W373">
        <v>1</v>
      </c>
      <c r="X373">
        <v>1</v>
      </c>
      <c r="AE373">
        <v>1</v>
      </c>
      <c r="AJ373" t="s">
        <v>10</v>
      </c>
      <c r="AK373" t="s">
        <v>21</v>
      </c>
      <c r="AQ373" t="s">
        <v>3242</v>
      </c>
      <c r="AU373" t="s">
        <v>3246</v>
      </c>
      <c r="AV373" t="s">
        <v>3247</v>
      </c>
      <c r="AY373" t="s">
        <v>3250</v>
      </c>
    </row>
    <row r="374" spans="1:52" x14ac:dyDescent="0.25">
      <c r="A374" t="s">
        <v>1838</v>
      </c>
      <c r="B374" t="s">
        <v>1866</v>
      </c>
      <c r="C374" t="s">
        <v>984</v>
      </c>
      <c r="D374" t="s">
        <v>10</v>
      </c>
      <c r="E374" t="s">
        <v>1867</v>
      </c>
      <c r="F374" t="s">
        <v>45</v>
      </c>
      <c r="G374" t="str">
        <f>HYPERLINK("https://www.facebook.com/dubai.dental.clinic/posts/1604841919691061")</f>
        <v>https://www.facebook.com/dubai.dental.clinic/posts/1604841919691061</v>
      </c>
      <c r="H374" t="s">
        <v>885</v>
      </c>
      <c r="I374" t="s">
        <v>1868</v>
      </c>
      <c r="J374" t="str">
        <f>HYPERLINK("https://www.facebook.com/287746964733903")</f>
        <v>https://www.facebook.com/287746964733903</v>
      </c>
      <c r="K374">
        <v>12659</v>
      </c>
      <c r="L374" t="s">
        <v>28</v>
      </c>
      <c r="N374" t="s">
        <v>179</v>
      </c>
      <c r="O374" t="s">
        <v>1868</v>
      </c>
      <c r="P374" t="str">
        <f>HYPERLINK("https://www.facebook.com/287746964733903")</f>
        <v>https://www.facebook.com/287746964733903</v>
      </c>
      <c r="Q374">
        <v>12659</v>
      </c>
      <c r="R374" t="s">
        <v>17</v>
      </c>
      <c r="S374" t="s">
        <v>1869</v>
      </c>
      <c r="T374" t="s">
        <v>1870</v>
      </c>
      <c r="U374" t="s">
        <v>1870</v>
      </c>
      <c r="W374">
        <v>1</v>
      </c>
      <c r="X374">
        <v>1</v>
      </c>
      <c r="Y374">
        <v>0</v>
      </c>
      <c r="Z374">
        <v>0</v>
      </c>
      <c r="AA374">
        <v>0</v>
      </c>
      <c r="AB374">
        <v>0</v>
      </c>
      <c r="AC374">
        <v>0</v>
      </c>
      <c r="AE374">
        <v>1</v>
      </c>
      <c r="AI374" t="str">
        <f>HYPERLINK("https://scontent-hel2-1.xx.fbcdn.net/v/t15.5256-10/p180x540/116377186_775810789889998_7661201195608312676_n.jpg?_nc_cat=100&amp;_nc_sid=ad6a45&amp;_nc_ohc=2n88JhZO8VkAX8vMYci&amp;_nc_ht=scontent-hel2-1.xx&amp;oh=c54fb44e54764eb1c2f0854f9fa17a48&amp;oe=5F460F4A")</f>
        <v>https://scontent-hel2-1.xx.fbcdn.net/v/t15.5256-10/p180x540/116377186_775810789889998_7661201195608312676_n.jpg?_nc_cat=100&amp;_nc_sid=ad6a45&amp;_nc_ohc=2n88JhZO8VkAX8vMYci&amp;_nc_ht=scontent-hel2-1.xx&amp;oh=c54fb44e54764eb1c2f0854f9fa17a48&amp;oe=5F460F4A</v>
      </c>
      <c r="AJ374" t="s">
        <v>10</v>
      </c>
      <c r="AK374" t="s">
        <v>21</v>
      </c>
      <c r="AQ374" t="s">
        <v>3242</v>
      </c>
      <c r="AX374" t="s">
        <v>3249</v>
      </c>
      <c r="AY374" t="s">
        <v>3250</v>
      </c>
    </row>
    <row r="375" spans="1:52" x14ac:dyDescent="0.25">
      <c r="A375" t="s">
        <v>1930</v>
      </c>
      <c r="B375" t="s">
        <v>1967</v>
      </c>
      <c r="C375" t="s">
        <v>984</v>
      </c>
      <c r="D375" t="s">
        <v>1959</v>
      </c>
      <c r="E375" t="s">
        <v>10</v>
      </c>
      <c r="F375" t="s">
        <v>26</v>
      </c>
      <c r="G375" t="str">
        <f>HYPERLINK("https://www.facebook.com/permalink.php?story_fbid=2626249161024079&amp;id=100009170625998&amp;comment_id=2628184197497242")</f>
        <v>https://www.facebook.com/permalink.php?story_fbid=2626249161024079&amp;id=100009170625998&amp;comment_id=2628184197497242</v>
      </c>
      <c r="H375" t="s">
        <v>885</v>
      </c>
      <c r="I375" t="s">
        <v>1968</v>
      </c>
      <c r="J375" t="str">
        <f>HYPERLINK("https://www.facebook.com/1081306161")</f>
        <v>https://www.facebook.com/1081306161</v>
      </c>
      <c r="K375">
        <v>13722</v>
      </c>
      <c r="L375" t="s">
        <v>15</v>
      </c>
      <c r="M375">
        <v>44</v>
      </c>
      <c r="N375" t="s">
        <v>179</v>
      </c>
      <c r="O375" t="s">
        <v>1961</v>
      </c>
      <c r="P375" t="str">
        <f>HYPERLINK("https://www.facebook.com/100009170625998")</f>
        <v>https://www.facebook.com/100009170625998</v>
      </c>
      <c r="Q375">
        <v>759</v>
      </c>
      <c r="R375" t="s">
        <v>17</v>
      </c>
      <c r="S375" t="s">
        <v>18</v>
      </c>
      <c r="T375" t="s">
        <v>354</v>
      </c>
      <c r="U375" t="s">
        <v>354</v>
      </c>
      <c r="AJ375" t="s">
        <v>10</v>
      </c>
      <c r="AK375" t="s">
        <v>21</v>
      </c>
      <c r="AQ375" t="s">
        <v>3242</v>
      </c>
      <c r="AT375" t="s">
        <v>3245</v>
      </c>
      <c r="AW375" t="s">
        <v>3248</v>
      </c>
      <c r="AX375" t="s">
        <v>3249</v>
      </c>
    </row>
    <row r="376" spans="1:52" x14ac:dyDescent="0.25">
      <c r="A376" t="s">
        <v>1982</v>
      </c>
      <c r="B376" t="s">
        <v>475</v>
      </c>
      <c r="C376" t="s">
        <v>968</v>
      </c>
      <c r="D376" t="s">
        <v>1991</v>
      </c>
      <c r="E376" t="s">
        <v>1992</v>
      </c>
      <c r="F376" t="s">
        <v>45</v>
      </c>
      <c r="G376" t="str">
        <f>HYPERLINK("http://charlieubysp.canariblogs.com/https-herbsandhealth-co-za-products-erectile-dysfunction-pills-south-africa-an-overview-11458074")</f>
        <v>http://charlieubysp.canariblogs.com/https-herbsandhealth-co-za-products-erectile-dysfunction-pills-south-africa-an-overview-11458074</v>
      </c>
      <c r="H376" t="s">
        <v>885</v>
      </c>
      <c r="N376" t="s">
        <v>1993</v>
      </c>
      <c r="R376" t="s">
        <v>966</v>
      </c>
      <c r="S376" t="s">
        <v>425</v>
      </c>
      <c r="AJ376" t="s">
        <v>10</v>
      </c>
      <c r="AK376" t="s">
        <v>21</v>
      </c>
      <c r="AQ376" t="s">
        <v>3242</v>
      </c>
      <c r="AT376" t="s">
        <v>3245</v>
      </c>
      <c r="AU376" t="s">
        <v>3246</v>
      </c>
      <c r="AV376" t="s">
        <v>3247</v>
      </c>
      <c r="AW376" t="s">
        <v>3248</v>
      </c>
    </row>
    <row r="377" spans="1:52" x14ac:dyDescent="0.25">
      <c r="A377" t="s">
        <v>2122</v>
      </c>
      <c r="B377" t="s">
        <v>2159</v>
      </c>
      <c r="C377" t="s">
        <v>968</v>
      </c>
      <c r="D377" t="s">
        <v>10</v>
      </c>
      <c r="E377" t="s">
        <v>2160</v>
      </c>
      <c r="F377" t="s">
        <v>45</v>
      </c>
      <c r="G377" t="str">
        <f>HYPERLINK("https://www.instagram.com/p/CC-789tB52h")</f>
        <v>https://www.instagram.com/p/CC-789tB52h</v>
      </c>
      <c r="H377" t="s">
        <v>885</v>
      </c>
      <c r="I377" t="s">
        <v>1145</v>
      </c>
      <c r="J377" t="str">
        <f>HYPERLINK("http://instagram.com/dr_kosmetolog_kursk")</f>
        <v>http://instagram.com/dr_kosmetolog_kursk</v>
      </c>
      <c r="K377">
        <v>1296</v>
      </c>
      <c r="N377" t="s">
        <v>69</v>
      </c>
      <c r="O377" t="s">
        <v>1145</v>
      </c>
      <c r="P377" t="str">
        <f>HYPERLINK("http://instagram.com/dr_kosmetolog_kursk")</f>
        <v>http://instagram.com/dr_kosmetolog_kursk</v>
      </c>
      <c r="Q377">
        <v>1296</v>
      </c>
      <c r="R377" t="s">
        <v>17</v>
      </c>
      <c r="S377" t="s">
        <v>18</v>
      </c>
      <c r="T377" t="s">
        <v>231</v>
      </c>
      <c r="U377" t="s">
        <v>1266</v>
      </c>
      <c r="AI377" t="str">
        <f>HYPERLINK("https://www.instagram.com/p/CC-789tB52h/media/?size=l")</f>
        <v>https://www.instagram.com/p/CC-789tB52h/media/?size=l</v>
      </c>
      <c r="AJ377" t="s">
        <v>10</v>
      </c>
      <c r="AK377" t="s">
        <v>21</v>
      </c>
      <c r="AQ377" t="s">
        <v>3242</v>
      </c>
      <c r="AW377" t="s">
        <v>3248</v>
      </c>
    </row>
    <row r="378" spans="1:52" x14ac:dyDescent="0.25">
      <c r="A378" t="s">
        <v>2290</v>
      </c>
      <c r="B378" t="s">
        <v>2359</v>
      </c>
      <c r="C378" t="s">
        <v>968</v>
      </c>
      <c r="D378" t="s">
        <v>10</v>
      </c>
      <c r="E378" t="s">
        <v>2360</v>
      </c>
      <c r="F378" t="s">
        <v>45</v>
      </c>
      <c r="G378" t="str">
        <f>HYPERLINK("https://www.facebook.com/bjvelichko/posts/1361640897375120")</f>
        <v>https://www.facebook.com/bjvelichko/posts/1361640897375120</v>
      </c>
      <c r="H378" t="s">
        <v>885</v>
      </c>
      <c r="I378" t="s">
        <v>2361</v>
      </c>
      <c r="J378" t="str">
        <f>HYPERLINK("https://www.facebook.com/100005876671419")</f>
        <v>https://www.facebook.com/100005876671419</v>
      </c>
      <c r="K378">
        <v>4911</v>
      </c>
      <c r="L378" t="s">
        <v>15</v>
      </c>
      <c r="N378" t="s">
        <v>179</v>
      </c>
      <c r="O378" t="s">
        <v>2361</v>
      </c>
      <c r="P378" t="str">
        <f>HYPERLINK("https://www.facebook.com/100005876671419")</f>
        <v>https://www.facebook.com/100005876671419</v>
      </c>
      <c r="Q378">
        <v>4911</v>
      </c>
      <c r="R378" t="s">
        <v>17</v>
      </c>
      <c r="S378" t="s">
        <v>18</v>
      </c>
      <c r="T378" t="s">
        <v>266</v>
      </c>
      <c r="U378" t="s">
        <v>266</v>
      </c>
      <c r="W378">
        <v>1</v>
      </c>
      <c r="X378">
        <v>1</v>
      </c>
      <c r="Y378">
        <v>0</v>
      </c>
      <c r="Z378">
        <v>0</v>
      </c>
      <c r="AA378">
        <v>0</v>
      </c>
      <c r="AB378">
        <v>0</v>
      </c>
      <c r="AC378">
        <v>0</v>
      </c>
      <c r="AE378">
        <v>0</v>
      </c>
      <c r="AI378" t="str">
        <f>HYPERLINK("https://vrachirf.ru/storage/date202007/97/01/50/19/1f/2e/f7/b9/4641-c67937-1b01c0.jpg")</f>
        <v>https://vrachirf.ru/storage/date202007/97/01/50/19/1f/2e/f7/b9/4641-c67937-1b01c0.jpg</v>
      </c>
      <c r="AJ378" t="s">
        <v>10</v>
      </c>
      <c r="AK378" t="s">
        <v>21</v>
      </c>
      <c r="AQ378" t="s">
        <v>3242</v>
      </c>
      <c r="AV378" t="s">
        <v>3247</v>
      </c>
      <c r="AX378" t="s">
        <v>3249</v>
      </c>
    </row>
    <row r="379" spans="1:52" x14ac:dyDescent="0.25">
      <c r="A379" t="s">
        <v>2380</v>
      </c>
      <c r="B379" t="s">
        <v>42</v>
      </c>
      <c r="C379" t="s">
        <v>968</v>
      </c>
      <c r="D379" t="s">
        <v>10</v>
      </c>
      <c r="E379" t="s">
        <v>2404</v>
      </c>
      <c r="F379" t="s">
        <v>45</v>
      </c>
      <c r="G379" t="str">
        <f>HYPERLINK("https://www.facebook.com/mriexpert/photos/a.902990326434112/3198497753550013/?type=3")</f>
        <v>https://www.facebook.com/mriexpert/photos/a.902990326434112/3198497753550013/?type=3</v>
      </c>
      <c r="H379" t="s">
        <v>885</v>
      </c>
      <c r="I379" t="s">
        <v>46</v>
      </c>
      <c r="J379" t="str">
        <f>HYPERLINK("https://www.facebook.com/902980129768465")</f>
        <v>https://www.facebook.com/902980129768465</v>
      </c>
      <c r="K379">
        <v>1509</v>
      </c>
      <c r="L379" t="s">
        <v>28</v>
      </c>
      <c r="N379" t="s">
        <v>179</v>
      </c>
      <c r="O379" t="s">
        <v>46</v>
      </c>
      <c r="P379" t="str">
        <f>HYPERLINK("https://www.facebook.com/902980129768465")</f>
        <v>https://www.facebook.com/902980129768465</v>
      </c>
      <c r="Q379">
        <v>1509</v>
      </c>
      <c r="R379" t="s">
        <v>17</v>
      </c>
      <c r="W379">
        <v>2</v>
      </c>
      <c r="X379">
        <v>2</v>
      </c>
      <c r="Y379">
        <v>0</v>
      </c>
      <c r="Z379">
        <v>0</v>
      </c>
      <c r="AA379">
        <v>0</v>
      </c>
      <c r="AB379">
        <v>0</v>
      </c>
      <c r="AC379">
        <v>0</v>
      </c>
      <c r="AE379">
        <v>0</v>
      </c>
      <c r="AF379">
        <v>1</v>
      </c>
      <c r="AI379" t="str">
        <f>HYPERLINK("https://scontent-hel2-1.xx.fbcdn.net/v/t1.0-9/s960x960/109864057_3198497780216677_2821416365549789080_o.jpg?_nc_cat=102&amp;_nc_sid=9267fe&amp;_nc_ohc=oSofILzTCLUAX-kAksP&amp;_nc_ht=scontent-hel2-1.xx&amp;_nc_tp=7&amp;oh=e3221fec42da4fb6002aa3c771457c99&amp;oe=5F3B3EA3")</f>
        <v>https://scontent-hel2-1.xx.fbcdn.net/v/t1.0-9/s960x960/109864057_3198497780216677_2821416365549789080_o.jpg?_nc_cat=102&amp;_nc_sid=9267fe&amp;_nc_ohc=oSofILzTCLUAX-kAksP&amp;_nc_ht=scontent-hel2-1.xx&amp;_nc_tp=7&amp;oh=e3221fec42da4fb6002aa3c771457c99&amp;oe=5F3B3EA3</v>
      </c>
      <c r="AJ379" t="s">
        <v>10</v>
      </c>
      <c r="AK379" t="s">
        <v>21</v>
      </c>
      <c r="AM379" t="s">
        <v>3238</v>
      </c>
      <c r="AN379" t="s">
        <v>3239</v>
      </c>
      <c r="AO379" t="s">
        <v>3240</v>
      </c>
      <c r="AQ379" t="s">
        <v>3242</v>
      </c>
      <c r="AZ379" t="s">
        <v>3251</v>
      </c>
    </row>
    <row r="380" spans="1:52" x14ac:dyDescent="0.25">
      <c r="A380" t="s">
        <v>1462</v>
      </c>
      <c r="B380" t="s">
        <v>1511</v>
      </c>
      <c r="C380" t="s">
        <v>984</v>
      </c>
      <c r="D380" t="s">
        <v>421</v>
      </c>
      <c r="E380" t="s">
        <v>1512</v>
      </c>
      <c r="F380" t="s">
        <v>26</v>
      </c>
      <c r="G380" t="str">
        <f>HYPERLINK("https://www.youtube.com/watch?v=gaka1vqYFNs&amp;lc=UgxkuSyFoGbdLGU8hmN4AaABAg")</f>
        <v>https://www.youtube.com/watch?v=gaka1vqYFNs&amp;lc=UgxkuSyFoGbdLGU8hmN4AaABAg</v>
      </c>
      <c r="H380" t="s">
        <v>1057</v>
      </c>
      <c r="I380" t="s">
        <v>1513</v>
      </c>
      <c r="J380" t="str">
        <f>HYPERLINK("https://www.youtube.com/channel/UCjgVUfum9pLCFHCnQGVQR3g")</f>
        <v>https://www.youtube.com/channel/UCjgVUfum9pLCFHCnQGVQR3g</v>
      </c>
      <c r="K380">
        <v>1</v>
      </c>
      <c r="N380" t="s">
        <v>162</v>
      </c>
      <c r="O380" t="s">
        <v>424</v>
      </c>
      <c r="P380" t="str">
        <f>HYPERLINK("https://www.youtube.com/channel/UC8fQzKHIhSoZeSq3bwQx4mw")</f>
        <v>https://www.youtube.com/channel/UC8fQzKHIhSoZeSq3bwQx4mw</v>
      </c>
      <c r="Q380">
        <v>517000</v>
      </c>
      <c r="R380" t="s">
        <v>17</v>
      </c>
      <c r="S380" t="s">
        <v>425</v>
      </c>
      <c r="AJ380" t="s">
        <v>10</v>
      </c>
      <c r="AK380" t="s">
        <v>21</v>
      </c>
      <c r="AN380" t="s">
        <v>3239</v>
      </c>
      <c r="AO380" t="s">
        <v>3240</v>
      </c>
      <c r="AQ380" t="s">
        <v>3242</v>
      </c>
      <c r="AZ380" t="s">
        <v>3251</v>
      </c>
    </row>
    <row r="381" spans="1:52" x14ac:dyDescent="0.25">
      <c r="A381" t="s">
        <v>1017</v>
      </c>
      <c r="B381" t="s">
        <v>1083</v>
      </c>
      <c r="C381" t="s">
        <v>984</v>
      </c>
      <c r="D381" t="s">
        <v>10</v>
      </c>
      <c r="E381" t="s">
        <v>1084</v>
      </c>
      <c r="F381" t="s">
        <v>45</v>
      </c>
      <c r="G381" t="str">
        <f>HYPERLINK("https://vk.com/wall-81514532_16025")</f>
        <v>https://vk.com/wall-81514532_16025</v>
      </c>
      <c r="H381" t="s">
        <v>885</v>
      </c>
      <c r="I381" t="s">
        <v>1085</v>
      </c>
      <c r="J381" t="str">
        <f>HYPERLINK("http://vk.com/id162385864")</f>
        <v>http://vk.com/id162385864</v>
      </c>
      <c r="K381">
        <v>359</v>
      </c>
      <c r="L381" t="s">
        <v>80</v>
      </c>
      <c r="N381" t="s">
        <v>16</v>
      </c>
      <c r="O381" t="s">
        <v>1086</v>
      </c>
      <c r="P381" t="str">
        <f>HYPERLINK("http://vk.com/club81514532")</f>
        <v>http://vk.com/club81514532</v>
      </c>
      <c r="Q381">
        <v>2838</v>
      </c>
      <c r="R381" t="s">
        <v>17</v>
      </c>
      <c r="S381" t="s">
        <v>18</v>
      </c>
      <c r="W381">
        <v>0</v>
      </c>
      <c r="X381">
        <v>0</v>
      </c>
      <c r="AE381">
        <v>0</v>
      </c>
      <c r="AF381">
        <v>0</v>
      </c>
      <c r="AG381">
        <v>178</v>
      </c>
      <c r="AI381" t="str">
        <f>HYPERLINK("https://sun9-7.userapi.com/c855432/v855432757/2574ca/hSa4OGHvklg.jpg")</f>
        <v>https://sun9-7.userapi.com/c855432/v855432757/2574ca/hSa4OGHvklg.jpg</v>
      </c>
      <c r="AJ381" t="s">
        <v>10</v>
      </c>
      <c r="AK381" t="s">
        <v>21</v>
      </c>
      <c r="AN381" t="s">
        <v>3239</v>
      </c>
      <c r="AO381" t="s">
        <v>3240</v>
      </c>
      <c r="AQ381" t="s">
        <v>3242</v>
      </c>
    </row>
    <row r="382" spans="1:52" x14ac:dyDescent="0.25">
      <c r="A382" t="s">
        <v>2122</v>
      </c>
      <c r="B382" t="s">
        <v>1209</v>
      </c>
      <c r="C382" t="s">
        <v>968</v>
      </c>
      <c r="D382" t="s">
        <v>10</v>
      </c>
      <c r="E382" t="s">
        <v>2173</v>
      </c>
      <c r="F382" t="s">
        <v>26</v>
      </c>
      <c r="G382" t="str">
        <f>HYPERLINK("https://twitter.com/1242631855217823748/status/1286174574749589504")</f>
        <v>https://twitter.com/1242631855217823748/status/1286174574749589504</v>
      </c>
      <c r="H382" t="s">
        <v>885</v>
      </c>
      <c r="I382" t="s">
        <v>2174</v>
      </c>
      <c r="J382" t="str">
        <f>HYPERLINK("http://twitter.com/alkema_lisa")</f>
        <v>http://twitter.com/alkema_lisa</v>
      </c>
      <c r="K382">
        <v>213</v>
      </c>
      <c r="L382" t="s">
        <v>80</v>
      </c>
      <c r="N382" t="s">
        <v>54</v>
      </c>
      <c r="R382" t="s">
        <v>17</v>
      </c>
      <c r="W382">
        <v>0</v>
      </c>
      <c r="X382">
        <v>0</v>
      </c>
      <c r="AF382">
        <v>0</v>
      </c>
      <c r="AJ382" t="s">
        <v>10</v>
      </c>
      <c r="AK382" t="s">
        <v>21</v>
      </c>
      <c r="AL382" t="s">
        <v>3237</v>
      </c>
      <c r="AO382" t="s">
        <v>3240</v>
      </c>
      <c r="AQ382" t="s">
        <v>3242</v>
      </c>
    </row>
    <row r="383" spans="1:52" x14ac:dyDescent="0.25">
      <c r="A383" t="s">
        <v>2193</v>
      </c>
      <c r="B383" t="s">
        <v>402</v>
      </c>
      <c r="C383" t="s">
        <v>968</v>
      </c>
      <c r="D383" t="s">
        <v>10</v>
      </c>
      <c r="E383" t="s">
        <v>2258</v>
      </c>
      <c r="F383" t="s">
        <v>45</v>
      </c>
      <c r="G383" t="str">
        <f>HYPERLINK("https://www.instagram.com/p/CC60cZkBf8t")</f>
        <v>https://www.instagram.com/p/CC60cZkBf8t</v>
      </c>
      <c r="H383" t="s">
        <v>889</v>
      </c>
      <c r="I383" t="s">
        <v>2259</v>
      </c>
      <c r="J383" t="str">
        <f>HYPERLINK("http://instagram.com/svetik.svetlankaa")</f>
        <v>http://instagram.com/svetik.svetlankaa</v>
      </c>
      <c r="K383">
        <v>198</v>
      </c>
      <c r="N383" t="s">
        <v>69</v>
      </c>
      <c r="O383" t="s">
        <v>2259</v>
      </c>
      <c r="P383" t="str">
        <f>HYPERLINK("http://instagram.com/svetik.svetlankaa")</f>
        <v>http://instagram.com/svetik.svetlankaa</v>
      </c>
      <c r="Q383">
        <v>198</v>
      </c>
      <c r="R383" t="s">
        <v>17</v>
      </c>
      <c r="AI383" t="str">
        <f>HYPERLINK("https://www.instagram.com/p/CC60cZkBf8t/media/?size=l")</f>
        <v>https://www.instagram.com/p/CC60cZkBf8t/media/?size=l</v>
      </c>
      <c r="AJ383" t="s">
        <v>10</v>
      </c>
      <c r="AK383" t="s">
        <v>21</v>
      </c>
      <c r="AO383" t="s">
        <v>3240</v>
      </c>
      <c r="AQ383" t="s">
        <v>3242</v>
      </c>
    </row>
    <row r="384" spans="1:52" x14ac:dyDescent="0.25">
      <c r="A384" t="s">
        <v>2290</v>
      </c>
      <c r="B384" t="s">
        <v>2378</v>
      </c>
      <c r="C384" t="s">
        <v>968</v>
      </c>
      <c r="D384" t="s">
        <v>10</v>
      </c>
      <c r="E384" t="s">
        <v>2368</v>
      </c>
      <c r="F384" t="s">
        <v>26</v>
      </c>
      <c r="G384" t="str">
        <f>HYPERLINK("https://twitter.com/48139227/status/1284983298058588167")</f>
        <v>https://twitter.com/48139227/status/1284983298058588167</v>
      </c>
      <c r="H384" t="s">
        <v>885</v>
      </c>
      <c r="I384" t="s">
        <v>2377</v>
      </c>
      <c r="J384" t="str">
        <f>HYPERLINK("http://twitter.com/ChattaDude")</f>
        <v>http://twitter.com/ChattaDude</v>
      </c>
      <c r="K384">
        <v>336</v>
      </c>
      <c r="N384" t="s">
        <v>54</v>
      </c>
      <c r="R384" t="s">
        <v>17</v>
      </c>
      <c r="W384">
        <v>3</v>
      </c>
      <c r="X384">
        <v>3</v>
      </c>
      <c r="AF384">
        <v>1</v>
      </c>
      <c r="AJ384" t="s">
        <v>10</v>
      </c>
      <c r="AK384" t="s">
        <v>21</v>
      </c>
      <c r="AL384" t="s">
        <v>3237</v>
      </c>
      <c r="AO384" t="s">
        <v>3240</v>
      </c>
      <c r="AQ384" t="s">
        <v>3242</v>
      </c>
      <c r="AU384" t="s">
        <v>3246</v>
      </c>
      <c r="AW384" t="s">
        <v>3248</v>
      </c>
      <c r="AX384" t="s">
        <v>3249</v>
      </c>
      <c r="AZ384" t="s">
        <v>3251</v>
      </c>
    </row>
    <row r="385" spans="1:52" x14ac:dyDescent="0.25">
      <c r="A385" t="s">
        <v>2589</v>
      </c>
      <c r="B385" t="s">
        <v>2135</v>
      </c>
      <c r="C385" t="s">
        <v>968</v>
      </c>
      <c r="D385" t="s">
        <v>10</v>
      </c>
      <c r="E385" t="s">
        <v>1856</v>
      </c>
      <c r="F385" t="s">
        <v>45</v>
      </c>
      <c r="G385" t="str">
        <f>HYPERLINK("https://www.facebook.com/mrtexpertrnd/photos/a.565935020817465/774531966624435/?type=3")</f>
        <v>https://www.facebook.com/mrtexpertrnd/photos/a.565935020817465/774531966624435/?type=3</v>
      </c>
      <c r="H385" t="s">
        <v>885</v>
      </c>
      <c r="I385" t="s">
        <v>125</v>
      </c>
      <c r="J385" t="str">
        <f>HYPERLINK("https://www.facebook.com/156600068417631")</f>
        <v>https://www.facebook.com/156600068417631</v>
      </c>
      <c r="K385">
        <v>236</v>
      </c>
      <c r="L385" t="s">
        <v>28</v>
      </c>
      <c r="N385" t="s">
        <v>179</v>
      </c>
      <c r="O385" t="s">
        <v>125</v>
      </c>
      <c r="P385" t="str">
        <f>HYPERLINK("https://www.facebook.com/156600068417631")</f>
        <v>https://www.facebook.com/156600068417631</v>
      </c>
      <c r="Q385">
        <v>236</v>
      </c>
      <c r="R385" t="s">
        <v>17</v>
      </c>
      <c r="S385" t="s">
        <v>18</v>
      </c>
      <c r="T385" t="s">
        <v>126</v>
      </c>
      <c r="U385" t="s">
        <v>127</v>
      </c>
      <c r="W385">
        <v>1</v>
      </c>
      <c r="X385">
        <v>1</v>
      </c>
      <c r="Y385">
        <v>0</v>
      </c>
      <c r="Z385">
        <v>0</v>
      </c>
      <c r="AA385">
        <v>0</v>
      </c>
      <c r="AB385">
        <v>0</v>
      </c>
      <c r="AC385">
        <v>0</v>
      </c>
      <c r="AE385">
        <v>0</v>
      </c>
      <c r="AF385">
        <v>1</v>
      </c>
      <c r="AI385" t="str">
        <f>HYPERLINK("https://scontent-hel2-1.xx.fbcdn.net/v/t1.0-0/p526x296/108131049_774531969957768_7843668891363115161_o.jpg?_nc_cat=107&amp;_nc_sid=9267fe&amp;_nc_ohc=EMuIm-HvjxsAX_jkBvG&amp;_nc_ht=scontent-hel2-1.xx&amp;_nc_tp=6&amp;oh=3c2b126d7531cd6665362058382e3917&amp;oe=5F364C59")</f>
        <v>https://scontent-hel2-1.xx.fbcdn.net/v/t1.0-0/p526x296/108131049_774531969957768_7843668891363115161_o.jpg?_nc_cat=107&amp;_nc_sid=9267fe&amp;_nc_ohc=EMuIm-HvjxsAX_jkBvG&amp;_nc_ht=scontent-hel2-1.xx&amp;_nc_tp=6&amp;oh=3c2b126d7531cd6665362058382e3917&amp;oe=5F364C59</v>
      </c>
      <c r="AJ385" t="s">
        <v>10</v>
      </c>
      <c r="AK385" t="s">
        <v>21</v>
      </c>
      <c r="AO385" t="s">
        <v>3240</v>
      </c>
      <c r="AQ385" t="s">
        <v>3242</v>
      </c>
      <c r="AW385" t="s">
        <v>3248</v>
      </c>
    </row>
    <row r="386" spans="1:52" x14ac:dyDescent="0.25">
      <c r="A386" t="s">
        <v>2684</v>
      </c>
      <c r="B386" t="s">
        <v>2702</v>
      </c>
      <c r="C386" t="s">
        <v>968</v>
      </c>
      <c r="D386" t="s">
        <v>10</v>
      </c>
      <c r="E386" t="s">
        <v>2688</v>
      </c>
      <c r="F386" t="s">
        <v>12</v>
      </c>
      <c r="G386" t="str">
        <f>HYPERLINK("https://www.facebook.com/anna.simonyan.50/posts/3070132953103453")</f>
        <v>https://www.facebook.com/anna.simonyan.50/posts/3070132953103453</v>
      </c>
      <c r="H386" t="s">
        <v>885</v>
      </c>
      <c r="I386" t="s">
        <v>2703</v>
      </c>
      <c r="J386" t="str">
        <f>HYPERLINK("https://www.facebook.com/100003203366120")</f>
        <v>https://www.facebook.com/100003203366120</v>
      </c>
      <c r="K386">
        <v>765</v>
      </c>
      <c r="L386" t="s">
        <v>80</v>
      </c>
      <c r="N386" t="s">
        <v>179</v>
      </c>
      <c r="O386" t="s">
        <v>2703</v>
      </c>
      <c r="P386" t="str">
        <f>HYPERLINK("https://www.facebook.com/100003203366120")</f>
        <v>https://www.facebook.com/100003203366120</v>
      </c>
      <c r="Q386">
        <v>765</v>
      </c>
      <c r="R386" t="s">
        <v>17</v>
      </c>
      <c r="S386" t="s">
        <v>2690</v>
      </c>
      <c r="T386" t="s">
        <v>2691</v>
      </c>
      <c r="U386" t="s">
        <v>2692</v>
      </c>
      <c r="W386">
        <v>1</v>
      </c>
      <c r="X386">
        <v>1</v>
      </c>
      <c r="Y386">
        <v>0</v>
      </c>
      <c r="Z386">
        <v>0</v>
      </c>
      <c r="AA386">
        <v>0</v>
      </c>
      <c r="AB386">
        <v>0</v>
      </c>
      <c r="AC386">
        <v>0</v>
      </c>
      <c r="AE386">
        <v>0</v>
      </c>
      <c r="AI386" t="s">
        <v>2704</v>
      </c>
      <c r="AJ386" t="s">
        <v>10</v>
      </c>
      <c r="AK386" t="s">
        <v>21</v>
      </c>
      <c r="AL386" t="s">
        <v>3237</v>
      </c>
      <c r="AO386" t="s">
        <v>3240</v>
      </c>
      <c r="AQ386" t="s">
        <v>3242</v>
      </c>
      <c r="AT386" t="s">
        <v>3245</v>
      </c>
      <c r="AV386" t="s">
        <v>3247</v>
      </c>
      <c r="AW386" t="s">
        <v>3248</v>
      </c>
      <c r="AZ386" t="s">
        <v>3251</v>
      </c>
    </row>
    <row r="387" spans="1:52" x14ac:dyDescent="0.25">
      <c r="A387" t="s">
        <v>2767</v>
      </c>
      <c r="B387" t="s">
        <v>890</v>
      </c>
      <c r="C387" t="s">
        <v>968</v>
      </c>
      <c r="D387" t="s">
        <v>10</v>
      </c>
      <c r="E387" t="s">
        <v>2789</v>
      </c>
      <c r="F387" t="s">
        <v>45</v>
      </c>
      <c r="G387" t="str">
        <f>HYPERLINK("https://www.facebook.com/mriexpert/photos/a.902990326434112/3181799511886504/?type=3")</f>
        <v>https://www.facebook.com/mriexpert/photos/a.902990326434112/3181799511886504/?type=3</v>
      </c>
      <c r="H387" t="s">
        <v>885</v>
      </c>
      <c r="I387" t="s">
        <v>46</v>
      </c>
      <c r="J387" t="str">
        <f>HYPERLINK("https://www.facebook.com/902980129768465")</f>
        <v>https://www.facebook.com/902980129768465</v>
      </c>
      <c r="K387">
        <v>1509</v>
      </c>
      <c r="L387" t="s">
        <v>28</v>
      </c>
      <c r="N387" t="s">
        <v>179</v>
      </c>
      <c r="O387" t="s">
        <v>46</v>
      </c>
      <c r="P387" t="str">
        <f>HYPERLINK("https://www.facebook.com/902980129768465")</f>
        <v>https://www.facebook.com/902980129768465</v>
      </c>
      <c r="Q387">
        <v>1509</v>
      </c>
      <c r="R387" t="s">
        <v>17</v>
      </c>
      <c r="W387">
        <v>4</v>
      </c>
      <c r="X387">
        <v>4</v>
      </c>
      <c r="Y387">
        <v>0</v>
      </c>
      <c r="Z387">
        <v>0</v>
      </c>
      <c r="AA387">
        <v>0</v>
      </c>
      <c r="AB387">
        <v>0</v>
      </c>
      <c r="AC387">
        <v>0</v>
      </c>
      <c r="AE387">
        <v>0</v>
      </c>
      <c r="AF387">
        <v>1</v>
      </c>
      <c r="AI387" t="str">
        <f>HYPERLINK("https://scontent-hel2-1.xx.fbcdn.net/v/t1.0-9/s960x960/109429996_3181799518553170_6280308563333190204_o.jpg?_nc_cat=111&amp;_nc_sid=9267fe&amp;_nc_ohc=cmrn0XG0UygAX_1LqA2&amp;_nc_ht=scontent-hel2-1.xx&amp;_nc_tp=7&amp;oh=ad11787d38ebb3b9619370e38c40054b&amp;oe=5F3208CA")</f>
        <v>https://scontent-hel2-1.xx.fbcdn.net/v/t1.0-9/s960x960/109429996_3181799518553170_6280308563333190204_o.jpg?_nc_cat=111&amp;_nc_sid=9267fe&amp;_nc_ohc=cmrn0XG0UygAX_1LqA2&amp;_nc_ht=scontent-hel2-1.xx&amp;_nc_tp=7&amp;oh=ad11787d38ebb3b9619370e38c40054b&amp;oe=5F3208CA</v>
      </c>
      <c r="AJ387" t="s">
        <v>10</v>
      </c>
      <c r="AK387" t="s">
        <v>21</v>
      </c>
      <c r="AO387" t="s">
        <v>3240</v>
      </c>
      <c r="AQ387" t="s">
        <v>3242</v>
      </c>
      <c r="AT387" t="s">
        <v>3245</v>
      </c>
      <c r="AZ387" t="s">
        <v>3251</v>
      </c>
    </row>
    <row r="388" spans="1:52" x14ac:dyDescent="0.25">
      <c r="A388" t="s">
        <v>2915</v>
      </c>
      <c r="B388" t="s">
        <v>2946</v>
      </c>
      <c r="C388" t="s">
        <v>968</v>
      </c>
      <c r="D388" t="s">
        <v>421</v>
      </c>
      <c r="E388" t="s">
        <v>2947</v>
      </c>
      <c r="F388" t="s">
        <v>26</v>
      </c>
      <c r="G388" t="str">
        <f>HYPERLINK("https://www.youtube.com/watch?v=gaka1vqYFNs&amp;lc=UgyVR7HnVMlJ8HnZ1OV4AaABAg")</f>
        <v>https://www.youtube.com/watch?v=gaka1vqYFNs&amp;lc=UgyVR7HnVMlJ8HnZ1OV4AaABAg</v>
      </c>
      <c r="H388" t="s">
        <v>885</v>
      </c>
      <c r="I388" t="s">
        <v>2948</v>
      </c>
      <c r="J388" t="str">
        <f>HYPERLINK("https://www.youtube.com/channel/UCeLR36hKq-16HzWwsv3kk9w")</f>
        <v>https://www.youtube.com/channel/UCeLR36hKq-16HzWwsv3kk9w</v>
      </c>
      <c r="K388">
        <v>2</v>
      </c>
      <c r="L388" t="s">
        <v>80</v>
      </c>
      <c r="N388" t="s">
        <v>162</v>
      </c>
      <c r="O388" t="s">
        <v>424</v>
      </c>
      <c r="P388" t="str">
        <f>HYPERLINK("https://www.youtube.com/channel/UC8fQzKHIhSoZeSq3bwQx4mw")</f>
        <v>https://www.youtube.com/channel/UC8fQzKHIhSoZeSq3bwQx4mw</v>
      </c>
      <c r="Q388">
        <v>517000</v>
      </c>
      <c r="R388" t="s">
        <v>17</v>
      </c>
      <c r="S388" t="s">
        <v>425</v>
      </c>
      <c r="W388">
        <v>0</v>
      </c>
      <c r="X388">
        <v>0</v>
      </c>
      <c r="AE388">
        <v>0</v>
      </c>
      <c r="AJ388" t="s">
        <v>10</v>
      </c>
      <c r="AK388" t="s">
        <v>21</v>
      </c>
      <c r="AN388" t="s">
        <v>3239</v>
      </c>
      <c r="AQ388" t="s">
        <v>3242</v>
      </c>
      <c r="AT388" t="s">
        <v>3245</v>
      </c>
      <c r="AV388" t="s">
        <v>3247</v>
      </c>
      <c r="AW388" t="s">
        <v>3248</v>
      </c>
      <c r="AZ388" t="s">
        <v>3251</v>
      </c>
    </row>
    <row r="389" spans="1:52" x14ac:dyDescent="0.25">
      <c r="A389" t="s">
        <v>3021</v>
      </c>
      <c r="B389" t="s">
        <v>3061</v>
      </c>
      <c r="C389" t="s">
        <v>968</v>
      </c>
      <c r="D389" t="s">
        <v>10</v>
      </c>
      <c r="E389" t="s">
        <v>3062</v>
      </c>
      <c r="F389" t="s">
        <v>26</v>
      </c>
      <c r="G389" t="str">
        <f>HYPERLINK("https://twitter.com/168349198/status/1281187845282172928")</f>
        <v>https://twitter.com/168349198/status/1281187845282172928</v>
      </c>
      <c r="H389" t="s">
        <v>885</v>
      </c>
      <c r="I389" t="s">
        <v>3063</v>
      </c>
      <c r="J389" t="str">
        <f>HYPERLINK("http://twitter.com/MRoose97")</f>
        <v>http://twitter.com/MRoose97</v>
      </c>
      <c r="K389">
        <v>418</v>
      </c>
      <c r="N389" t="s">
        <v>54</v>
      </c>
      <c r="R389" t="s">
        <v>17</v>
      </c>
      <c r="W389">
        <v>0</v>
      </c>
      <c r="X389">
        <v>0</v>
      </c>
      <c r="AE389">
        <v>1</v>
      </c>
      <c r="AF389">
        <v>0</v>
      </c>
      <c r="AJ389" t="s">
        <v>10</v>
      </c>
      <c r="AK389" t="s">
        <v>21</v>
      </c>
      <c r="AM389" t="s">
        <v>3238</v>
      </c>
      <c r="AN389" t="s">
        <v>3239</v>
      </c>
      <c r="AQ389" t="s">
        <v>3242</v>
      </c>
      <c r="AZ389" t="s">
        <v>3251</v>
      </c>
    </row>
    <row r="390" spans="1:52" x14ac:dyDescent="0.25">
      <c r="A390" t="s">
        <v>7</v>
      </c>
      <c r="B390" t="s">
        <v>253</v>
      </c>
      <c r="C390" t="s">
        <v>254</v>
      </c>
      <c r="D390" t="s">
        <v>24</v>
      </c>
      <c r="E390" t="s">
        <v>256</v>
      </c>
      <c r="F390" t="s">
        <v>26</v>
      </c>
      <c r="G390" t="str">
        <f>HYPERLINK("https://vk.com/wall-197114981_31?reply=1348")</f>
        <v>https://vk.com/wall-197114981_31?reply=1348</v>
      </c>
      <c r="H390" t="s">
        <v>13</v>
      </c>
      <c r="I390" t="s">
        <v>247</v>
      </c>
      <c r="J390" t="str">
        <f>HYPERLINK("http://vk.com/id38095165")</f>
        <v>http://vk.com/id38095165</v>
      </c>
      <c r="K390">
        <v>1193</v>
      </c>
      <c r="L390" t="s">
        <v>80</v>
      </c>
      <c r="N390" t="s">
        <v>16</v>
      </c>
      <c r="O390" t="s">
        <v>27</v>
      </c>
      <c r="P390" t="str">
        <f>HYPERLINK("http://vk.com/club197114981")</f>
        <v>http://vk.com/club197114981</v>
      </c>
      <c r="Q390">
        <v>38</v>
      </c>
      <c r="R390" t="s">
        <v>17</v>
      </c>
      <c r="S390" t="s">
        <v>18</v>
      </c>
      <c r="T390" t="s">
        <v>248</v>
      </c>
      <c r="U390" t="s">
        <v>249</v>
      </c>
      <c r="AJ390" t="s">
        <v>10</v>
      </c>
      <c r="AK390" t="s">
        <v>21</v>
      </c>
      <c r="AM390" t="s">
        <v>3238</v>
      </c>
      <c r="AN390" t="s">
        <v>3239</v>
      </c>
      <c r="AQ390" t="s">
        <v>3242</v>
      </c>
      <c r="AZ390" t="s">
        <v>3251</v>
      </c>
    </row>
    <row r="391" spans="1:52" x14ac:dyDescent="0.25">
      <c r="A391" t="s">
        <v>7</v>
      </c>
      <c r="B391" t="s">
        <v>336</v>
      </c>
      <c r="C391" t="s">
        <v>337</v>
      </c>
      <c r="D391" t="s">
        <v>24</v>
      </c>
      <c r="E391" t="s">
        <v>276</v>
      </c>
      <c r="F391" t="s">
        <v>26</v>
      </c>
      <c r="G391" t="str">
        <f>HYPERLINK("https://vk.com/wall-197114981_31?reply=1324&amp;thread=1263")</f>
        <v>https://vk.com/wall-197114981_31?reply=1324&amp;thread=1263</v>
      </c>
      <c r="H391" t="s">
        <v>13</v>
      </c>
      <c r="I391" t="s">
        <v>27</v>
      </c>
      <c r="J391" t="str">
        <f>HYPERLINK("http://vk.com/club197114981")</f>
        <v>http://vk.com/club197114981</v>
      </c>
      <c r="K391">
        <v>38</v>
      </c>
      <c r="L391" t="s">
        <v>28</v>
      </c>
      <c r="N391" t="s">
        <v>16</v>
      </c>
      <c r="O391" t="s">
        <v>27</v>
      </c>
      <c r="P391" t="str">
        <f>HYPERLINK("http://vk.com/club197114981")</f>
        <v>http://vk.com/club197114981</v>
      </c>
      <c r="Q391">
        <v>38</v>
      </c>
      <c r="R391" t="s">
        <v>17</v>
      </c>
      <c r="AJ391" t="s">
        <v>10</v>
      </c>
      <c r="AK391" t="s">
        <v>21</v>
      </c>
      <c r="AN391" t="s">
        <v>3239</v>
      </c>
      <c r="AQ391" t="s">
        <v>3242</v>
      </c>
      <c r="AZ391" t="s">
        <v>3251</v>
      </c>
    </row>
    <row r="392" spans="1:52" x14ac:dyDescent="0.25">
      <c r="A392" t="s">
        <v>414</v>
      </c>
      <c r="B392" t="s">
        <v>415</v>
      </c>
      <c r="C392" t="s">
        <v>418</v>
      </c>
      <c r="D392" t="s">
        <v>24</v>
      </c>
      <c r="E392" t="s">
        <v>352</v>
      </c>
      <c r="F392" t="s">
        <v>26</v>
      </c>
      <c r="G392" t="str">
        <f>HYPERLINK("https://vk.com/wall-197114981_31?reply=1280")</f>
        <v>https://vk.com/wall-197114981_31?reply=1280</v>
      </c>
      <c r="H392" t="s">
        <v>13</v>
      </c>
      <c r="I392" t="s">
        <v>353</v>
      </c>
      <c r="J392" t="str">
        <f>HYPERLINK("http://vk.com/id5881034")</f>
        <v>http://vk.com/id5881034</v>
      </c>
      <c r="K392">
        <v>1797</v>
      </c>
      <c r="L392" t="s">
        <v>80</v>
      </c>
      <c r="N392" t="s">
        <v>16</v>
      </c>
      <c r="O392" t="s">
        <v>27</v>
      </c>
      <c r="P392" t="str">
        <f>HYPERLINK("http://vk.com/club197114981")</f>
        <v>http://vk.com/club197114981</v>
      </c>
      <c r="Q392">
        <v>38</v>
      </c>
      <c r="R392" t="s">
        <v>17</v>
      </c>
      <c r="S392" t="s">
        <v>18</v>
      </c>
      <c r="T392" t="s">
        <v>354</v>
      </c>
      <c r="U392" t="s">
        <v>354</v>
      </c>
      <c r="AJ392" t="s">
        <v>10</v>
      </c>
      <c r="AK392" t="s">
        <v>21</v>
      </c>
      <c r="AN392" t="s">
        <v>3239</v>
      </c>
      <c r="AQ392" t="s">
        <v>3242</v>
      </c>
      <c r="AT392" t="s">
        <v>3245</v>
      </c>
      <c r="AU392" t="s">
        <v>3246</v>
      </c>
      <c r="AV392" t="s">
        <v>3247</v>
      </c>
      <c r="AX392" t="s">
        <v>3249</v>
      </c>
      <c r="AZ392" t="s">
        <v>3251</v>
      </c>
    </row>
    <row r="393" spans="1:52" x14ac:dyDescent="0.25">
      <c r="A393" t="s">
        <v>772</v>
      </c>
      <c r="B393" t="s">
        <v>1006</v>
      </c>
      <c r="C393" t="s">
        <v>1007</v>
      </c>
      <c r="D393" t="s">
        <v>10</v>
      </c>
      <c r="E393" t="s">
        <v>1008</v>
      </c>
      <c r="F393" t="s">
        <v>12</v>
      </c>
      <c r="G393" t="str">
        <f>HYPERLINK("https://www.facebook.com/permalink.php?story_fbid=5262797320457781&amp;id=100001826963435")</f>
        <v>https://www.facebook.com/permalink.php?story_fbid=5262797320457781&amp;id=100001826963435</v>
      </c>
      <c r="H393" t="s">
        <v>13</v>
      </c>
      <c r="I393" t="s">
        <v>1009</v>
      </c>
      <c r="J393" t="str">
        <f>HYPERLINK("https://www.facebook.com/100001826963435")</f>
        <v>https://www.facebook.com/100001826963435</v>
      </c>
      <c r="K393">
        <v>563</v>
      </c>
      <c r="L393" t="s">
        <v>80</v>
      </c>
      <c r="N393" t="s">
        <v>179</v>
      </c>
      <c r="O393" t="s">
        <v>1009</v>
      </c>
      <c r="P393" t="str">
        <f>HYPERLINK("https://www.facebook.com/100001826963435")</f>
        <v>https://www.facebook.com/100001826963435</v>
      </c>
      <c r="Q393">
        <v>563</v>
      </c>
      <c r="R393" t="s">
        <v>17</v>
      </c>
      <c r="S393" t="s">
        <v>180</v>
      </c>
      <c r="T393" t="s">
        <v>1010</v>
      </c>
      <c r="U393" t="s">
        <v>1011</v>
      </c>
      <c r="W393">
        <v>0</v>
      </c>
      <c r="X393">
        <v>0</v>
      </c>
      <c r="Y393">
        <v>0</v>
      </c>
      <c r="Z393">
        <v>0</v>
      </c>
      <c r="AA393">
        <v>0</v>
      </c>
      <c r="AB393">
        <v>0</v>
      </c>
      <c r="AC393">
        <v>0</v>
      </c>
      <c r="AE393">
        <v>0</v>
      </c>
      <c r="AF393">
        <v>1</v>
      </c>
      <c r="AI393" t="str">
        <f>HYPERLINK("https://scontent-hel2-1.xx.fbcdn.net/v/t1.0-9/117343623_568421917161508_8241900155472477173_n.jpg?_nc_cat=106&amp;_nc_sid=b9115d&amp;_nc_ohc=d3SRxZxD1XMAX-j53Mi&amp;_nc_ht=scontent-hel2-1.xx&amp;oh=1abde1da235fa0471c1f952fcdee70ce&amp;oe=5F5320A2")</f>
        <v>https://scontent-hel2-1.xx.fbcdn.net/v/t1.0-9/117343623_568421917161508_8241900155472477173_n.jpg?_nc_cat=106&amp;_nc_sid=b9115d&amp;_nc_ohc=d3SRxZxD1XMAX-j53Mi&amp;_nc_ht=scontent-hel2-1.xx&amp;oh=1abde1da235fa0471c1f952fcdee70ce&amp;oe=5F5320A2</v>
      </c>
      <c r="AJ393" t="s">
        <v>10</v>
      </c>
      <c r="AK393" t="s">
        <v>21</v>
      </c>
      <c r="AN393" t="s">
        <v>3239</v>
      </c>
      <c r="AQ393" t="s">
        <v>3242</v>
      </c>
      <c r="AW393" t="s">
        <v>3248</v>
      </c>
      <c r="AZ393" t="s">
        <v>3251</v>
      </c>
    </row>
    <row r="394" spans="1:52" x14ac:dyDescent="0.25">
      <c r="A394" t="s">
        <v>1017</v>
      </c>
      <c r="B394" t="s">
        <v>1018</v>
      </c>
      <c r="C394" t="s">
        <v>984</v>
      </c>
      <c r="D394" t="s">
        <v>10</v>
      </c>
      <c r="E394" t="s">
        <v>1019</v>
      </c>
      <c r="F394" t="s">
        <v>1020</v>
      </c>
      <c r="G394" t="str">
        <f>HYPERLINK("https://vk.com/wall155789253_3192")</f>
        <v>https://vk.com/wall155789253_3192</v>
      </c>
      <c r="H394" t="s">
        <v>885</v>
      </c>
      <c r="I394" t="s">
        <v>35</v>
      </c>
      <c r="J394" t="str">
        <f>HYPERLINK("http://vk.com/id155789253")</f>
        <v>http://vk.com/id155789253</v>
      </c>
      <c r="K394">
        <v>778</v>
      </c>
      <c r="L394" t="s">
        <v>15</v>
      </c>
      <c r="N394" t="s">
        <v>16</v>
      </c>
      <c r="O394" t="s">
        <v>35</v>
      </c>
      <c r="P394" t="str">
        <f>HYPERLINK("http://vk.com/id155789253")</f>
        <v>http://vk.com/id155789253</v>
      </c>
      <c r="Q394">
        <v>778</v>
      </c>
      <c r="R394" t="s">
        <v>17</v>
      </c>
      <c r="S394" t="s">
        <v>18</v>
      </c>
      <c r="T394" t="s">
        <v>37</v>
      </c>
      <c r="U394" t="s">
        <v>38</v>
      </c>
      <c r="W394">
        <v>9</v>
      </c>
      <c r="X394">
        <v>9</v>
      </c>
      <c r="AE394">
        <v>0</v>
      </c>
      <c r="AF394">
        <v>0</v>
      </c>
      <c r="AG394">
        <v>111</v>
      </c>
      <c r="AI394" t="str">
        <f>HYPERLINK("https://sun9-61.userapi.com/c857328/v857328168/1e783b/fb187oklh5c.jpg")</f>
        <v>https://sun9-61.userapi.com/c857328/v857328168/1e783b/fb187oklh5c.jpg</v>
      </c>
      <c r="AJ394" t="s">
        <v>10</v>
      </c>
      <c r="AK394" t="s">
        <v>21</v>
      </c>
      <c r="AQ394" t="s">
        <v>3242</v>
      </c>
      <c r="AU394" t="s">
        <v>3246</v>
      </c>
      <c r="AX394" t="s">
        <v>3249</v>
      </c>
      <c r="AZ394" t="s">
        <v>3251</v>
      </c>
    </row>
    <row r="395" spans="1:52" x14ac:dyDescent="0.25">
      <c r="A395" t="s">
        <v>1277</v>
      </c>
      <c r="B395" t="s">
        <v>1176</v>
      </c>
      <c r="C395" t="s">
        <v>984</v>
      </c>
      <c r="D395" t="s">
        <v>10</v>
      </c>
      <c r="E395" t="s">
        <v>1318</v>
      </c>
      <c r="F395" t="s">
        <v>26</v>
      </c>
      <c r="G395" t="str">
        <f>HYPERLINK("https://twitter.com/1620990660/status/1290234523339427840")</f>
        <v>https://twitter.com/1620990660/status/1290234523339427840</v>
      </c>
      <c r="H395" t="s">
        <v>885</v>
      </c>
      <c r="I395" t="s">
        <v>1319</v>
      </c>
      <c r="J395" t="str">
        <f>HYPERLINK("http://twitter.com/rodsp55")</f>
        <v>http://twitter.com/rodsp55</v>
      </c>
      <c r="K395">
        <v>2868</v>
      </c>
      <c r="N395" t="s">
        <v>54</v>
      </c>
      <c r="R395" t="s">
        <v>17</v>
      </c>
      <c r="S395" t="s">
        <v>1320</v>
      </c>
      <c r="T395" t="s">
        <v>1321</v>
      </c>
      <c r="U395" t="s">
        <v>1322</v>
      </c>
      <c r="W395">
        <v>0</v>
      </c>
      <c r="X395">
        <v>0</v>
      </c>
      <c r="AE395">
        <v>1</v>
      </c>
      <c r="AF395">
        <v>0</v>
      </c>
      <c r="AJ395" t="s">
        <v>10</v>
      </c>
      <c r="AK395" t="s">
        <v>21</v>
      </c>
      <c r="AM395" t="s">
        <v>3238</v>
      </c>
      <c r="AQ395" t="s">
        <v>3242</v>
      </c>
      <c r="AU395" t="s">
        <v>3246</v>
      </c>
      <c r="AV395" t="s">
        <v>3247</v>
      </c>
      <c r="AW395" t="s">
        <v>3248</v>
      </c>
      <c r="AX395" t="s">
        <v>3249</v>
      </c>
      <c r="AZ395" t="s">
        <v>3251</v>
      </c>
    </row>
    <row r="396" spans="1:52" x14ac:dyDescent="0.25">
      <c r="A396" t="s">
        <v>2978</v>
      </c>
      <c r="B396" t="s">
        <v>1093</v>
      </c>
      <c r="C396" t="s">
        <v>968</v>
      </c>
      <c r="D396" t="s">
        <v>10</v>
      </c>
      <c r="E396" t="s">
        <v>3006</v>
      </c>
      <c r="F396" t="s">
        <v>45</v>
      </c>
      <c r="G396" t="str">
        <f>HYPERLINK("https://www.facebook.com/mriexpert/photos/a.902990326434112/3172551679477954/?type=3")</f>
        <v>https://www.facebook.com/mriexpert/photos/a.902990326434112/3172551679477954/?type=3</v>
      </c>
      <c r="H396" t="s">
        <v>885</v>
      </c>
      <c r="I396" t="s">
        <v>46</v>
      </c>
      <c r="J396" t="str">
        <f>HYPERLINK("https://www.facebook.com/902980129768465")</f>
        <v>https://www.facebook.com/902980129768465</v>
      </c>
      <c r="K396">
        <v>1509</v>
      </c>
      <c r="L396" t="s">
        <v>28</v>
      </c>
      <c r="N396" t="s">
        <v>179</v>
      </c>
      <c r="O396" t="s">
        <v>46</v>
      </c>
      <c r="P396" t="str">
        <f>HYPERLINK("https://www.facebook.com/902980129768465")</f>
        <v>https://www.facebook.com/902980129768465</v>
      </c>
      <c r="Q396">
        <v>1509</v>
      </c>
      <c r="R396" t="s">
        <v>17</v>
      </c>
      <c r="W396">
        <v>2</v>
      </c>
      <c r="X396">
        <v>2</v>
      </c>
      <c r="Y396">
        <v>0</v>
      </c>
      <c r="Z396">
        <v>0</v>
      </c>
      <c r="AA396">
        <v>0</v>
      </c>
      <c r="AB396">
        <v>0</v>
      </c>
      <c r="AC396">
        <v>0</v>
      </c>
      <c r="AE396">
        <v>0</v>
      </c>
      <c r="AI396" t="str">
        <f>HYPERLINK("https://scontent-hel2-1.xx.fbcdn.net/v/t1.0-9/s960x960/107693706_3172551686144620_7006238954976794037_o.jpg?_nc_cat=101&amp;_nc_sid=9267fe&amp;_nc_ohc=2DtVN3wOknsAX-AwcBt&amp;_nc_ht=scontent-hel2-1.xx&amp;_nc_tp=7&amp;oh=39c6082b11e160975c8bd4d802e92371&amp;oe=5F2CB08D")</f>
        <v>https://scontent-hel2-1.xx.fbcdn.net/v/t1.0-9/s960x960/107693706_3172551686144620_7006238954976794037_o.jpg?_nc_cat=101&amp;_nc_sid=9267fe&amp;_nc_ohc=2DtVN3wOknsAX-AwcBt&amp;_nc_ht=scontent-hel2-1.xx&amp;_nc_tp=7&amp;oh=39c6082b11e160975c8bd4d802e92371&amp;oe=5F2CB08D</v>
      </c>
      <c r="AJ396" t="s">
        <v>10</v>
      </c>
      <c r="AK396" t="s">
        <v>21</v>
      </c>
      <c r="AQ396" t="s">
        <v>3242</v>
      </c>
      <c r="AT396" t="s">
        <v>3245</v>
      </c>
      <c r="AV396" t="s">
        <v>3247</v>
      </c>
      <c r="AZ396" t="s">
        <v>3251</v>
      </c>
    </row>
    <row r="397" spans="1:52" x14ac:dyDescent="0.25">
      <c r="A397" t="s">
        <v>7</v>
      </c>
      <c r="B397" t="s">
        <v>102</v>
      </c>
      <c r="C397" t="s">
        <v>103</v>
      </c>
      <c r="D397" t="s">
        <v>24</v>
      </c>
      <c r="E397" t="s">
        <v>107</v>
      </c>
      <c r="F397" t="s">
        <v>26</v>
      </c>
      <c r="G397" t="str">
        <f>HYPERLINK("https://vk.com/wall-197114981_31?reply=1362")</f>
        <v>https://vk.com/wall-197114981_31?reply=1362</v>
      </c>
      <c r="H397" t="s">
        <v>13</v>
      </c>
      <c r="I397" t="s">
        <v>79</v>
      </c>
      <c r="J397" t="str">
        <f>HYPERLINK("http://vk.com/id95456096")</f>
        <v>http://vk.com/id95456096</v>
      </c>
      <c r="K397">
        <v>1176</v>
      </c>
      <c r="L397" t="s">
        <v>80</v>
      </c>
      <c r="N397" t="s">
        <v>16</v>
      </c>
      <c r="O397" t="s">
        <v>27</v>
      </c>
      <c r="P397" t="str">
        <f>HYPERLINK("http://vk.com/club197114981")</f>
        <v>http://vk.com/club197114981</v>
      </c>
      <c r="Q397">
        <v>38</v>
      </c>
      <c r="R397" t="s">
        <v>17</v>
      </c>
      <c r="S397" t="s">
        <v>18</v>
      </c>
      <c r="AJ397" t="s">
        <v>10</v>
      </c>
      <c r="AK397" t="s">
        <v>21</v>
      </c>
      <c r="AQ397" t="s">
        <v>3242</v>
      </c>
      <c r="AT397" t="s">
        <v>3245</v>
      </c>
      <c r="AV397" t="s">
        <v>3247</v>
      </c>
      <c r="AW397" t="s">
        <v>3248</v>
      </c>
      <c r="AZ397" t="s">
        <v>3251</v>
      </c>
    </row>
    <row r="398" spans="1:52" x14ac:dyDescent="0.25">
      <c r="A398" t="s">
        <v>414</v>
      </c>
      <c r="B398" t="s">
        <v>605</v>
      </c>
      <c r="C398" t="s">
        <v>606</v>
      </c>
      <c r="D398" t="s">
        <v>24</v>
      </c>
      <c r="E398" t="s">
        <v>330</v>
      </c>
      <c r="F398" t="s">
        <v>26</v>
      </c>
      <c r="G398" t="str">
        <f>HYPERLINK("https://vk.com/wall-197114981_31?reply=1211")</f>
        <v>https://vk.com/wall-197114981_31?reply=1211</v>
      </c>
      <c r="H398" t="s">
        <v>13</v>
      </c>
      <c r="I398" t="s">
        <v>596</v>
      </c>
      <c r="J398" t="str">
        <f>HYPERLINK("http://vk.com/id229177703")</f>
        <v>http://vk.com/id229177703</v>
      </c>
      <c r="K398">
        <v>686</v>
      </c>
      <c r="L398" t="s">
        <v>80</v>
      </c>
      <c r="N398" t="s">
        <v>16</v>
      </c>
      <c r="O398" t="s">
        <v>27</v>
      </c>
      <c r="P398" t="str">
        <f>HYPERLINK("http://vk.com/club197114981")</f>
        <v>http://vk.com/club197114981</v>
      </c>
      <c r="Q398">
        <v>38</v>
      </c>
      <c r="R398" t="s">
        <v>17</v>
      </c>
      <c r="S398" t="s">
        <v>18</v>
      </c>
      <c r="T398" t="s">
        <v>231</v>
      </c>
      <c r="U398" t="s">
        <v>232</v>
      </c>
      <c r="AJ398" t="s">
        <v>10</v>
      </c>
      <c r="AK398" t="s">
        <v>21</v>
      </c>
      <c r="AQ398" t="s">
        <v>3242</v>
      </c>
      <c r="AX398" t="s">
        <v>3249</v>
      </c>
      <c r="AZ398" t="s">
        <v>3251</v>
      </c>
    </row>
    <row r="399" spans="1:52" x14ac:dyDescent="0.25">
      <c r="A399" t="s">
        <v>772</v>
      </c>
      <c r="B399" t="s">
        <v>481</v>
      </c>
      <c r="C399" t="s">
        <v>818</v>
      </c>
      <c r="D399" t="s">
        <v>10</v>
      </c>
      <c r="E399" t="s">
        <v>819</v>
      </c>
      <c r="F399" t="s">
        <v>12</v>
      </c>
      <c r="G399" t="str">
        <f>HYPERLINK("https://www.facebook.com/permalink.php?story_fbid=2661403780765982&amp;id=100006891589353")</f>
        <v>https://www.facebook.com/permalink.php?story_fbid=2661403780765982&amp;id=100006891589353</v>
      </c>
      <c r="H399" t="s">
        <v>13</v>
      </c>
      <c r="I399" t="s">
        <v>820</v>
      </c>
      <c r="J399" t="str">
        <f>HYPERLINK("https://www.facebook.com/100006891589353")</f>
        <v>https://www.facebook.com/100006891589353</v>
      </c>
      <c r="K399">
        <v>134</v>
      </c>
      <c r="L399" t="s">
        <v>80</v>
      </c>
      <c r="N399" t="s">
        <v>179</v>
      </c>
      <c r="O399" t="s">
        <v>820</v>
      </c>
      <c r="P399" t="str">
        <f>HYPERLINK("https://www.facebook.com/100006891589353")</f>
        <v>https://www.facebook.com/100006891589353</v>
      </c>
      <c r="Q399">
        <v>134</v>
      </c>
      <c r="R399" t="s">
        <v>17</v>
      </c>
      <c r="S399" t="s">
        <v>18</v>
      </c>
      <c r="T399" t="s">
        <v>354</v>
      </c>
      <c r="U399" t="s">
        <v>354</v>
      </c>
      <c r="W399">
        <v>1</v>
      </c>
      <c r="X399">
        <v>1</v>
      </c>
      <c r="Y399">
        <v>0</v>
      </c>
      <c r="Z399">
        <v>0</v>
      </c>
      <c r="AA399">
        <v>0</v>
      </c>
      <c r="AB399">
        <v>0</v>
      </c>
      <c r="AC399">
        <v>0</v>
      </c>
      <c r="AE399">
        <v>0</v>
      </c>
      <c r="AF399">
        <v>0</v>
      </c>
      <c r="AI399" t="str">
        <f>HYPERLINK("https://scontent-hel2-1.xx.fbcdn.net/v/t1.0-0/p526x296/117233918_1210267949334590_8605273806224843754_o.jpg?_nc_cat=106&amp;_nc_sid=9267fe&amp;_nc_ohc=sbh2yAVucBYAX_EfnZX&amp;_nc_ht=scontent-hel2-1.xx&amp;_nc_tp=6&amp;oh=a2b2cbc89f711df779846c42c6f0a00f&amp;oe=5F586716")</f>
        <v>https://scontent-hel2-1.xx.fbcdn.net/v/t1.0-0/p526x296/117233918_1210267949334590_8605273806224843754_o.jpg?_nc_cat=106&amp;_nc_sid=9267fe&amp;_nc_ohc=sbh2yAVucBYAX_EfnZX&amp;_nc_ht=scontent-hel2-1.xx&amp;_nc_tp=6&amp;oh=a2b2cbc89f711df779846c42c6f0a00f&amp;oe=5F586716</v>
      </c>
      <c r="AJ399" t="s">
        <v>10</v>
      </c>
      <c r="AK399" t="s">
        <v>21</v>
      </c>
      <c r="AM399" t="s">
        <v>3238</v>
      </c>
      <c r="AN399" t="s">
        <v>3239</v>
      </c>
      <c r="AQ399" t="s">
        <v>3242</v>
      </c>
      <c r="AU399" t="s">
        <v>3246</v>
      </c>
      <c r="AW399" t="s">
        <v>3248</v>
      </c>
      <c r="AX399" t="s">
        <v>3249</v>
      </c>
    </row>
    <row r="400" spans="1:52" x14ac:dyDescent="0.25">
      <c r="A400" t="s">
        <v>1597</v>
      </c>
      <c r="B400" t="s">
        <v>1640</v>
      </c>
      <c r="C400" t="s">
        <v>984</v>
      </c>
      <c r="D400" t="s">
        <v>1641</v>
      </c>
      <c r="E400" t="s">
        <v>1642</v>
      </c>
      <c r="F400" t="s">
        <v>45</v>
      </c>
      <c r="G400" t="str">
        <f>HYPERLINK("https://www.heraldnews.com/news/20200729/what-went-wrong-during-northeasts-first-covid-19-spike-and-is-region-ready-for-another")</f>
        <v>https://www.heraldnews.com/news/20200729/what-went-wrong-during-northeasts-first-covid-19-spike-and-is-region-ready-for-another</v>
      </c>
      <c r="H400" t="s">
        <v>885</v>
      </c>
      <c r="I400" t="s">
        <v>1643</v>
      </c>
      <c r="J400" t="str">
        <f>HYPERLINK("https://www.heraldnews.com/news/20200729/what-went-wrong-during-northeasts-first-covid-19-spike-and-is-region-ready-for-another")</f>
        <v>https://www.heraldnews.com/news/20200729/what-went-wrong-during-northeasts-first-covid-19-spike-and-is-region-ready-for-another</v>
      </c>
      <c r="N400" t="s">
        <v>1644</v>
      </c>
      <c r="R400" t="s">
        <v>239</v>
      </c>
      <c r="S400" t="s">
        <v>425</v>
      </c>
      <c r="AJ400" t="s">
        <v>10</v>
      </c>
      <c r="AK400" t="s">
        <v>21</v>
      </c>
      <c r="AM400" t="s">
        <v>3238</v>
      </c>
      <c r="AN400" t="s">
        <v>3239</v>
      </c>
      <c r="AO400" t="s">
        <v>3240</v>
      </c>
      <c r="AQ400" t="s">
        <v>3242</v>
      </c>
    </row>
    <row r="401" spans="1:50" x14ac:dyDescent="0.25">
      <c r="A401" t="s">
        <v>1930</v>
      </c>
      <c r="B401" t="s">
        <v>1189</v>
      </c>
      <c r="C401" t="s">
        <v>984</v>
      </c>
      <c r="D401" t="s">
        <v>10</v>
      </c>
      <c r="E401" t="s">
        <v>1964</v>
      </c>
      <c r="F401" t="s">
        <v>45</v>
      </c>
      <c r="G401" t="str">
        <f>HYPERLINK("https://vk.com/wall-158633337_948")</f>
        <v>https://vk.com/wall-158633337_948</v>
      </c>
      <c r="H401" t="s">
        <v>885</v>
      </c>
      <c r="I401" t="s">
        <v>125</v>
      </c>
      <c r="J401" t="str">
        <f>HYPERLINK("http://vk.com/club158633337")</f>
        <v>http://vk.com/club158633337</v>
      </c>
      <c r="K401">
        <v>4852</v>
      </c>
      <c r="L401" t="s">
        <v>28</v>
      </c>
      <c r="N401" t="s">
        <v>16</v>
      </c>
      <c r="O401" t="s">
        <v>125</v>
      </c>
      <c r="P401" t="str">
        <f>HYPERLINK("http://vk.com/club158633337")</f>
        <v>http://vk.com/club158633337</v>
      </c>
      <c r="Q401">
        <v>4852</v>
      </c>
      <c r="R401" t="s">
        <v>17</v>
      </c>
      <c r="S401" t="s">
        <v>18</v>
      </c>
      <c r="T401" t="s">
        <v>126</v>
      </c>
      <c r="U401" t="s">
        <v>127</v>
      </c>
      <c r="W401">
        <v>0</v>
      </c>
      <c r="X401">
        <v>0</v>
      </c>
      <c r="AE401">
        <v>0</v>
      </c>
      <c r="AF401">
        <v>0</v>
      </c>
      <c r="AG401">
        <v>113</v>
      </c>
      <c r="AI401" t="str">
        <f>HYPERLINK("https://sun1-22.userapi.com/lawbv2ZSeGYFDfuRuyyRZ1Qj78nu5AGHwmyWQw/lnzAitAZ-8M.jpg")</f>
        <v>https://sun1-22.userapi.com/lawbv2ZSeGYFDfuRuyyRZ1Qj78nu5AGHwmyWQw/lnzAitAZ-8M.jpg</v>
      </c>
      <c r="AJ401" t="s">
        <v>10</v>
      </c>
      <c r="AK401" t="s">
        <v>21</v>
      </c>
      <c r="AN401" t="s">
        <v>3239</v>
      </c>
      <c r="AO401" t="s">
        <v>3240</v>
      </c>
      <c r="AQ401" t="s">
        <v>3242</v>
      </c>
      <c r="AT401" t="s">
        <v>3245</v>
      </c>
      <c r="AU401" t="s">
        <v>3246</v>
      </c>
      <c r="AX401" t="s">
        <v>3249</v>
      </c>
    </row>
    <row r="402" spans="1:50" x14ac:dyDescent="0.25">
      <c r="A402" t="s">
        <v>1930</v>
      </c>
      <c r="B402" t="s">
        <v>1972</v>
      </c>
      <c r="C402" t="s">
        <v>984</v>
      </c>
      <c r="D402" t="s">
        <v>1973</v>
      </c>
      <c r="E402" t="s">
        <v>1974</v>
      </c>
      <c r="F402" t="s">
        <v>26</v>
      </c>
      <c r="G402" t="str">
        <f>HYPERLINK("https://vk.com/wall-164876701_53848?reply=53904")</f>
        <v>https://vk.com/wall-164876701_53848?reply=53904</v>
      </c>
      <c r="H402" t="s">
        <v>889</v>
      </c>
      <c r="I402" t="s">
        <v>1975</v>
      </c>
      <c r="J402" t="str">
        <f>HYPERLINK("http://vk.com/id35803130")</f>
        <v>http://vk.com/id35803130</v>
      </c>
      <c r="K402">
        <v>553</v>
      </c>
      <c r="L402" t="s">
        <v>80</v>
      </c>
      <c r="M402">
        <v>33</v>
      </c>
      <c r="N402" t="s">
        <v>16</v>
      </c>
      <c r="O402" t="s">
        <v>1976</v>
      </c>
      <c r="P402" t="str">
        <f>HYPERLINK("http://vk.com/club164876701")</f>
        <v>http://vk.com/club164876701</v>
      </c>
      <c r="Q402">
        <v>3250</v>
      </c>
      <c r="R402" t="s">
        <v>17</v>
      </c>
      <c r="S402" t="s">
        <v>18</v>
      </c>
      <c r="T402" t="s">
        <v>37</v>
      </c>
      <c r="U402" t="s">
        <v>38</v>
      </c>
      <c r="AJ402" t="s">
        <v>10</v>
      </c>
      <c r="AK402" t="s">
        <v>21</v>
      </c>
      <c r="AN402" t="s">
        <v>3239</v>
      </c>
      <c r="AQ402" t="s">
        <v>3242</v>
      </c>
      <c r="AU402" t="s">
        <v>3246</v>
      </c>
      <c r="AX402" t="s">
        <v>3249</v>
      </c>
    </row>
    <row r="403" spans="1:50" x14ac:dyDescent="0.25">
      <c r="A403" t="s">
        <v>2193</v>
      </c>
      <c r="B403" t="s">
        <v>2207</v>
      </c>
      <c r="C403" t="s">
        <v>968</v>
      </c>
      <c r="D403" t="s">
        <v>10</v>
      </c>
      <c r="E403" t="s">
        <v>2208</v>
      </c>
      <c r="F403" t="s">
        <v>45</v>
      </c>
      <c r="G403" t="str">
        <f>HYPERLINK("https://www.instagram.com/p/CC87hxSj1IU")</f>
        <v>https://www.instagram.com/p/CC87hxSj1IU</v>
      </c>
      <c r="H403" t="s">
        <v>885</v>
      </c>
      <c r="I403" t="s">
        <v>1241</v>
      </c>
      <c r="J403" t="str">
        <f>HYPERLINK("http://instagram.com/dr.jdinkha")</f>
        <v>http://instagram.com/dr.jdinkha</v>
      </c>
      <c r="K403">
        <v>13350</v>
      </c>
      <c r="N403" t="s">
        <v>69</v>
      </c>
      <c r="O403" t="s">
        <v>1241</v>
      </c>
      <c r="P403" t="str">
        <f>HYPERLINK("http://instagram.com/dr.jdinkha")</f>
        <v>http://instagram.com/dr.jdinkha</v>
      </c>
      <c r="Q403">
        <v>13350</v>
      </c>
      <c r="R403" t="s">
        <v>17</v>
      </c>
      <c r="S403" t="s">
        <v>1242</v>
      </c>
      <c r="AI403" t="str">
        <f>HYPERLINK("https://www.instagram.com/p/CC87hxSj1IU/media/?size=l")</f>
        <v>https://www.instagram.com/p/CC87hxSj1IU/media/?size=l</v>
      </c>
      <c r="AJ403" t="s">
        <v>10</v>
      </c>
      <c r="AK403" t="s">
        <v>21</v>
      </c>
      <c r="AN403" t="s">
        <v>3239</v>
      </c>
      <c r="AO403" t="s">
        <v>3240</v>
      </c>
      <c r="AQ403" t="s">
        <v>3242</v>
      </c>
      <c r="AT403" t="s">
        <v>3245</v>
      </c>
    </row>
    <row r="404" spans="1:50" x14ac:dyDescent="0.25">
      <c r="A404" t="s">
        <v>7</v>
      </c>
      <c r="B404" t="s">
        <v>321</v>
      </c>
      <c r="C404" t="s">
        <v>322</v>
      </c>
      <c r="D404" t="s">
        <v>24</v>
      </c>
      <c r="E404" t="s">
        <v>316</v>
      </c>
      <c r="F404" t="s">
        <v>26</v>
      </c>
      <c r="G404" t="str">
        <f>HYPERLINK("https://vk.com/wall-197114981_31?reply=1331")</f>
        <v>https://vk.com/wall-197114981_31?reply=1331</v>
      </c>
      <c r="H404" t="s">
        <v>13</v>
      </c>
      <c r="I404" t="s">
        <v>306</v>
      </c>
      <c r="J404" t="str">
        <f>HYPERLINK("http://vk.com/id150258338")</f>
        <v>http://vk.com/id150258338</v>
      </c>
      <c r="K404">
        <v>125</v>
      </c>
      <c r="L404" t="s">
        <v>15</v>
      </c>
      <c r="N404" t="s">
        <v>16</v>
      </c>
      <c r="O404" t="s">
        <v>27</v>
      </c>
      <c r="P404" t="str">
        <f>HYPERLINK("http://vk.com/club197114981")</f>
        <v>http://vk.com/club197114981</v>
      </c>
      <c r="Q404">
        <v>38</v>
      </c>
      <c r="R404" t="s">
        <v>17</v>
      </c>
      <c r="S404" t="s">
        <v>18</v>
      </c>
      <c r="AJ404" t="s">
        <v>10</v>
      </c>
      <c r="AK404" t="s">
        <v>21</v>
      </c>
      <c r="AM404" t="s">
        <v>3238</v>
      </c>
      <c r="AO404" t="s">
        <v>3240</v>
      </c>
      <c r="AQ404" t="s">
        <v>3242</v>
      </c>
      <c r="AU404" t="s">
        <v>3246</v>
      </c>
      <c r="AW404" t="s">
        <v>3248</v>
      </c>
    </row>
    <row r="405" spans="1:50" x14ac:dyDescent="0.25">
      <c r="A405" t="s">
        <v>414</v>
      </c>
      <c r="B405" t="s">
        <v>634</v>
      </c>
      <c r="C405" t="s">
        <v>635</v>
      </c>
      <c r="D405" t="s">
        <v>24</v>
      </c>
      <c r="E405" t="s">
        <v>636</v>
      </c>
      <c r="F405" t="s">
        <v>26</v>
      </c>
      <c r="G405" t="str">
        <f>HYPERLINK("https://vk.com/wall-197114981_31?reply=1202&amp;thread=1185")</f>
        <v>https://vk.com/wall-197114981_31?reply=1202&amp;thread=1185</v>
      </c>
      <c r="H405" t="s">
        <v>13</v>
      </c>
      <c r="I405" t="s">
        <v>27</v>
      </c>
      <c r="J405" t="str">
        <f>HYPERLINK("http://vk.com/club197114981")</f>
        <v>http://vk.com/club197114981</v>
      </c>
      <c r="K405">
        <v>38</v>
      </c>
      <c r="L405" t="s">
        <v>28</v>
      </c>
      <c r="N405" t="s">
        <v>16</v>
      </c>
      <c r="O405" t="s">
        <v>27</v>
      </c>
      <c r="P405" t="str">
        <f>HYPERLINK("http://vk.com/club197114981")</f>
        <v>http://vk.com/club197114981</v>
      </c>
      <c r="Q405">
        <v>38</v>
      </c>
      <c r="R405" t="s">
        <v>17</v>
      </c>
      <c r="AJ405" t="s">
        <v>10</v>
      </c>
      <c r="AK405" t="s">
        <v>21</v>
      </c>
      <c r="AO405" t="s">
        <v>3240</v>
      </c>
      <c r="AQ405" t="s">
        <v>3242</v>
      </c>
      <c r="AV405" t="s">
        <v>3247</v>
      </c>
      <c r="AW405" t="s">
        <v>3248</v>
      </c>
    </row>
    <row r="406" spans="1:50" x14ac:dyDescent="0.25">
      <c r="A406" t="s">
        <v>1425</v>
      </c>
      <c r="B406" t="s">
        <v>1455</v>
      </c>
      <c r="C406" t="s">
        <v>984</v>
      </c>
      <c r="D406" t="s">
        <v>1456</v>
      </c>
      <c r="E406" t="s">
        <v>1457</v>
      </c>
      <c r="F406" t="s">
        <v>45</v>
      </c>
      <c r="G406" t="str">
        <f>HYPERLINK("http://boulder-pilates72715.fitnell.com/32961021/what-does-melt-foam-roller-mean")</f>
        <v>http://boulder-pilates72715.fitnell.com/32961021/what-does-melt-foam-roller-mean</v>
      </c>
      <c r="H406" t="s">
        <v>885</v>
      </c>
      <c r="N406" t="s">
        <v>1458</v>
      </c>
      <c r="R406" t="s">
        <v>966</v>
      </c>
      <c r="S406" t="s">
        <v>425</v>
      </c>
      <c r="AJ406" t="s">
        <v>10</v>
      </c>
      <c r="AK406" t="s">
        <v>21</v>
      </c>
      <c r="AM406" t="s">
        <v>3238</v>
      </c>
      <c r="AO406" t="s">
        <v>3240</v>
      </c>
      <c r="AQ406" t="s">
        <v>3242</v>
      </c>
      <c r="AW406" t="s">
        <v>3248</v>
      </c>
    </row>
    <row r="407" spans="1:50" x14ac:dyDescent="0.25">
      <c r="A407" t="s">
        <v>1930</v>
      </c>
      <c r="B407" t="s">
        <v>1622</v>
      </c>
      <c r="C407" t="s">
        <v>984</v>
      </c>
      <c r="D407" t="s">
        <v>1949</v>
      </c>
      <c r="E407" t="s">
        <v>1950</v>
      </c>
      <c r="F407" t="s">
        <v>45</v>
      </c>
      <c r="G407" t="str">
        <f>HYPERLINK("https://zen.yandex.ru/media/id/5e414dabcbb49f45fcf938c0/5f1d9ade90d2f3540f51641f")</f>
        <v>https://zen.yandex.ru/media/id/5e414dabcbb49f45fcf938c0/5f1d9ade90d2f3540f51641f</v>
      </c>
      <c r="H407" t="s">
        <v>885</v>
      </c>
      <c r="I407" t="s">
        <v>1152</v>
      </c>
      <c r="J407" t="str">
        <f>HYPERLINK("https://zen.yandex.ru/id/5e414dabcbb49f45fcf938c0")</f>
        <v>https://zen.yandex.ru/id/5e414dabcbb49f45fcf938c0</v>
      </c>
      <c r="K407">
        <v>12</v>
      </c>
      <c r="N407" t="s">
        <v>1153</v>
      </c>
      <c r="R407" t="s">
        <v>966</v>
      </c>
      <c r="S407" t="s">
        <v>18</v>
      </c>
      <c r="AI407" t="str">
        <f>HYPERLINK("https://avatars.mds.yandex.net/get-zen_doc/1879615/pub_5f1d9ade90d2f3540f51641f_5f1d9b610d39175612c2cf41/scale_1200")</f>
        <v>https://avatars.mds.yandex.net/get-zen_doc/1879615/pub_5f1d9ade90d2f3540f51641f_5f1d9b610d39175612c2cf41/scale_1200</v>
      </c>
      <c r="AJ407" t="s">
        <v>10</v>
      </c>
      <c r="AK407" t="s">
        <v>21</v>
      </c>
      <c r="AM407" t="s">
        <v>3238</v>
      </c>
      <c r="AO407" t="s">
        <v>3240</v>
      </c>
      <c r="AQ407" t="s">
        <v>3242</v>
      </c>
      <c r="AU407" t="s">
        <v>3246</v>
      </c>
      <c r="AW407" t="s">
        <v>3248</v>
      </c>
    </row>
    <row r="408" spans="1:50" x14ac:dyDescent="0.25">
      <c r="A408" t="s">
        <v>2380</v>
      </c>
      <c r="B408" t="s">
        <v>864</v>
      </c>
      <c r="C408" t="s">
        <v>968</v>
      </c>
      <c r="D408" t="s">
        <v>10</v>
      </c>
      <c r="E408" t="s">
        <v>2212</v>
      </c>
      <c r="F408" t="s">
        <v>45</v>
      </c>
      <c r="G408" t="str">
        <f>HYPERLINK("https://vk.com/wall-158633337_935")</f>
        <v>https://vk.com/wall-158633337_935</v>
      </c>
      <c r="H408" t="s">
        <v>889</v>
      </c>
      <c r="I408" t="s">
        <v>125</v>
      </c>
      <c r="J408" t="str">
        <f>HYPERLINK("http://vk.com/club158633337")</f>
        <v>http://vk.com/club158633337</v>
      </c>
      <c r="K408">
        <v>4852</v>
      </c>
      <c r="L408" t="s">
        <v>28</v>
      </c>
      <c r="N408" t="s">
        <v>16</v>
      </c>
      <c r="O408" t="s">
        <v>125</v>
      </c>
      <c r="P408" t="str">
        <f>HYPERLINK("http://vk.com/club158633337")</f>
        <v>http://vk.com/club158633337</v>
      </c>
      <c r="Q408">
        <v>4852</v>
      </c>
      <c r="R408" t="s">
        <v>17</v>
      </c>
      <c r="S408" t="s">
        <v>18</v>
      </c>
      <c r="T408" t="s">
        <v>126</v>
      </c>
      <c r="U408" t="s">
        <v>127</v>
      </c>
      <c r="W408">
        <v>0</v>
      </c>
      <c r="X408">
        <v>0</v>
      </c>
      <c r="AE408">
        <v>0</v>
      </c>
      <c r="AF408">
        <v>0</v>
      </c>
      <c r="AG408">
        <v>112</v>
      </c>
      <c r="AI408" t="str">
        <f>HYPERLINK("https://sun1-84.userapi.com/cct1nWwu1-ndHG6Y4GIv9o-3hjKvLj4vnlrGEw/9rjSvME2dto.jpg")</f>
        <v>https://sun1-84.userapi.com/cct1nWwu1-ndHG6Y4GIv9o-3hjKvLj4vnlrGEw/9rjSvME2dto.jpg</v>
      </c>
      <c r="AJ408" t="s">
        <v>10</v>
      </c>
      <c r="AK408" t="s">
        <v>21</v>
      </c>
      <c r="AO408" t="s">
        <v>3240</v>
      </c>
      <c r="AQ408" t="s">
        <v>3242</v>
      </c>
      <c r="AX408" t="s">
        <v>3249</v>
      </c>
    </row>
    <row r="409" spans="1:50" x14ac:dyDescent="0.25">
      <c r="A409" t="s">
        <v>2589</v>
      </c>
      <c r="B409" t="s">
        <v>2654</v>
      </c>
      <c r="C409" t="s">
        <v>968</v>
      </c>
      <c r="D409" t="s">
        <v>421</v>
      </c>
      <c r="E409" t="s">
        <v>2655</v>
      </c>
      <c r="F409" t="s">
        <v>26</v>
      </c>
      <c r="G409" t="str">
        <f>HYPERLINK("https://www.youtube.com/watch?v=gaka1vqYFNs&amp;lc=UgzFKDP2Bcg-iWpPXLl4AaABAg")</f>
        <v>https://www.youtube.com/watch?v=gaka1vqYFNs&amp;lc=UgzFKDP2Bcg-iWpPXLl4AaABAg</v>
      </c>
      <c r="H409" t="s">
        <v>1057</v>
      </c>
      <c r="I409" t="s">
        <v>2656</v>
      </c>
      <c r="J409" t="str">
        <f>HYPERLINK("https://www.youtube.com/channel/UCdRRNk-E3px9hVMn6l-kPPA")</f>
        <v>https://www.youtube.com/channel/UCdRRNk-E3px9hVMn6l-kPPA</v>
      </c>
      <c r="K409">
        <v>4</v>
      </c>
      <c r="N409" t="s">
        <v>162</v>
      </c>
      <c r="O409" t="s">
        <v>424</v>
      </c>
      <c r="P409" t="str">
        <f>HYPERLINK("https://www.youtube.com/channel/UC8fQzKHIhSoZeSq3bwQx4mw")</f>
        <v>https://www.youtube.com/channel/UC8fQzKHIhSoZeSq3bwQx4mw</v>
      </c>
      <c r="Q409">
        <v>517000</v>
      </c>
      <c r="R409" t="s">
        <v>17</v>
      </c>
      <c r="S409" t="s">
        <v>425</v>
      </c>
      <c r="AJ409" t="s">
        <v>10</v>
      </c>
      <c r="AK409" t="s">
        <v>21</v>
      </c>
      <c r="AO409" t="s">
        <v>3240</v>
      </c>
      <c r="AQ409" t="s">
        <v>3242</v>
      </c>
      <c r="AT409" t="s">
        <v>3245</v>
      </c>
      <c r="AW409" t="s">
        <v>3248</v>
      </c>
    </row>
    <row r="410" spans="1:50" x14ac:dyDescent="0.25">
      <c r="A410" t="s">
        <v>2684</v>
      </c>
      <c r="B410" t="s">
        <v>2739</v>
      </c>
      <c r="C410" t="s">
        <v>968</v>
      </c>
      <c r="D410" t="s">
        <v>10</v>
      </c>
      <c r="E410" t="s">
        <v>2688</v>
      </c>
      <c r="F410" t="s">
        <v>12</v>
      </c>
      <c r="G410" t="str">
        <f>HYPERLINK("https://www.facebook.com/permalink.php?story_fbid=3260017477555794&amp;id=100006427222492")</f>
        <v>https://www.facebook.com/permalink.php?story_fbid=3260017477555794&amp;id=100006427222492</v>
      </c>
      <c r="H410" t="s">
        <v>885</v>
      </c>
      <c r="I410" t="s">
        <v>2740</v>
      </c>
      <c r="J410" t="str">
        <f>HYPERLINK("https://www.facebook.com/100006427222492")</f>
        <v>https://www.facebook.com/100006427222492</v>
      </c>
      <c r="K410">
        <v>0</v>
      </c>
      <c r="L410" t="s">
        <v>80</v>
      </c>
      <c r="N410" t="s">
        <v>179</v>
      </c>
      <c r="O410" t="s">
        <v>2740</v>
      </c>
      <c r="P410" t="str">
        <f>HYPERLINK("https://www.facebook.com/100006427222492")</f>
        <v>https://www.facebook.com/100006427222492</v>
      </c>
      <c r="Q410">
        <v>0</v>
      </c>
      <c r="R410" t="s">
        <v>17</v>
      </c>
      <c r="W410">
        <v>0</v>
      </c>
      <c r="X410">
        <v>0</v>
      </c>
      <c r="Y410">
        <v>0</v>
      </c>
      <c r="Z410">
        <v>0</v>
      </c>
      <c r="AA410">
        <v>0</v>
      </c>
      <c r="AB410">
        <v>0</v>
      </c>
      <c r="AC410">
        <v>0</v>
      </c>
      <c r="AE410">
        <v>0</v>
      </c>
      <c r="AI410" t="str">
        <f>HYPERLINK("https://scontent-hel2-1.xx.fbcdn.net/v/t15.13418-10/107718255_3109660389083815_8825691245568026571_n.jpg?_nc_cat=108&amp;_nc_sid=ad6a45&amp;_nc_ohc=fyWVkB1ebcUAX8Z70xR&amp;_nc_ht=scontent-hel2-1.xx&amp;oh=bbdc5bbc07d72a78bd6fd810e55a9b50&amp;oe=5F34D9DA")</f>
        <v>https://scontent-hel2-1.xx.fbcdn.net/v/t15.13418-10/107718255_3109660389083815_8825691245568026571_n.jpg?_nc_cat=108&amp;_nc_sid=ad6a45&amp;_nc_ohc=fyWVkB1ebcUAX8Z70xR&amp;_nc_ht=scontent-hel2-1.xx&amp;oh=bbdc5bbc07d72a78bd6fd810e55a9b50&amp;oe=5F34D9DA</v>
      </c>
      <c r="AJ410" t="s">
        <v>10</v>
      </c>
      <c r="AK410" t="s">
        <v>21</v>
      </c>
      <c r="AO410" t="s">
        <v>3240</v>
      </c>
      <c r="AQ410" t="s">
        <v>3242</v>
      </c>
      <c r="AW410" t="s">
        <v>3248</v>
      </c>
      <c r="AX410" t="s">
        <v>3249</v>
      </c>
    </row>
    <row r="411" spans="1:50" x14ac:dyDescent="0.25">
      <c r="A411" t="s">
        <v>2684</v>
      </c>
      <c r="B411" t="s">
        <v>2760</v>
      </c>
      <c r="C411" t="s">
        <v>968</v>
      </c>
      <c r="D411" t="s">
        <v>421</v>
      </c>
      <c r="E411" t="s">
        <v>2761</v>
      </c>
      <c r="F411" t="s">
        <v>26</v>
      </c>
      <c r="G411" t="str">
        <f>HYPERLINK("https://www.youtube.com/watch?v=gaka1vqYFNs&amp;lc=UgyhFB_PY_IEBfSkHdZ4AaABAg")</f>
        <v>https://www.youtube.com/watch?v=gaka1vqYFNs&amp;lc=UgyhFB_PY_IEBfSkHdZ4AaABAg</v>
      </c>
      <c r="H411" t="s">
        <v>885</v>
      </c>
      <c r="I411" t="s">
        <v>2762</v>
      </c>
      <c r="J411" t="str">
        <f>HYPERLINK("https://www.youtube.com/channel/UCEyz0vl2s9085e_yf-7eXzg")</f>
        <v>https://www.youtube.com/channel/UCEyz0vl2s9085e_yf-7eXzg</v>
      </c>
      <c r="K411">
        <v>1</v>
      </c>
      <c r="L411" t="s">
        <v>15</v>
      </c>
      <c r="N411" t="s">
        <v>162</v>
      </c>
      <c r="O411" t="s">
        <v>424</v>
      </c>
      <c r="P411" t="str">
        <f>HYPERLINK("https://www.youtube.com/channel/UC8fQzKHIhSoZeSq3bwQx4mw")</f>
        <v>https://www.youtube.com/channel/UC8fQzKHIhSoZeSq3bwQx4mw</v>
      </c>
      <c r="Q411">
        <v>517000</v>
      </c>
      <c r="R411" t="s">
        <v>17</v>
      </c>
      <c r="S411" t="s">
        <v>425</v>
      </c>
      <c r="W411">
        <v>1</v>
      </c>
      <c r="X411">
        <v>1</v>
      </c>
      <c r="AE411">
        <v>0</v>
      </c>
      <c r="AJ411" t="s">
        <v>10</v>
      </c>
      <c r="AK411" t="s">
        <v>21</v>
      </c>
      <c r="AO411" t="s">
        <v>3240</v>
      </c>
      <c r="AQ411" t="s">
        <v>3242</v>
      </c>
      <c r="AU411" t="s">
        <v>3246</v>
      </c>
      <c r="AW411" t="s">
        <v>3248</v>
      </c>
    </row>
    <row r="412" spans="1:50" x14ac:dyDescent="0.25">
      <c r="A412" t="s">
        <v>414</v>
      </c>
      <c r="B412" t="s">
        <v>349</v>
      </c>
      <c r="C412" t="s">
        <v>747</v>
      </c>
      <c r="D412" t="s">
        <v>24</v>
      </c>
      <c r="E412" t="s">
        <v>25</v>
      </c>
      <c r="F412" t="s">
        <v>26</v>
      </c>
      <c r="G412" t="str">
        <f>HYPERLINK("https://vk.com/wall-197114981_31?reply=1174&amp;thread=1131")</f>
        <v>https://vk.com/wall-197114981_31?reply=1174&amp;thread=1131</v>
      </c>
      <c r="H412" t="s">
        <v>13</v>
      </c>
      <c r="I412" t="s">
        <v>27</v>
      </c>
      <c r="J412" t="str">
        <f>HYPERLINK("http://vk.com/club197114981")</f>
        <v>http://vk.com/club197114981</v>
      </c>
      <c r="K412">
        <v>38</v>
      </c>
      <c r="L412" t="s">
        <v>28</v>
      </c>
      <c r="N412" t="s">
        <v>16</v>
      </c>
      <c r="O412" t="s">
        <v>27</v>
      </c>
      <c r="P412" t="str">
        <f>HYPERLINK("http://vk.com/club197114981")</f>
        <v>http://vk.com/club197114981</v>
      </c>
      <c r="Q412">
        <v>38</v>
      </c>
      <c r="R412" t="s">
        <v>17</v>
      </c>
      <c r="AJ412" t="s">
        <v>10</v>
      </c>
      <c r="AK412" t="s">
        <v>21</v>
      </c>
      <c r="AN412" t="s">
        <v>3239</v>
      </c>
      <c r="AQ412" t="s">
        <v>3242</v>
      </c>
      <c r="AT412" t="s">
        <v>3245</v>
      </c>
      <c r="AU412" t="s">
        <v>3246</v>
      </c>
      <c r="AX412" t="s">
        <v>3249</v>
      </c>
    </row>
    <row r="413" spans="1:50" x14ac:dyDescent="0.25">
      <c r="A413" t="s">
        <v>772</v>
      </c>
      <c r="B413" t="s">
        <v>954</v>
      </c>
      <c r="C413" t="s">
        <v>955</v>
      </c>
      <c r="D413" t="s">
        <v>24</v>
      </c>
      <c r="E413" t="s">
        <v>956</v>
      </c>
      <c r="F413" t="s">
        <v>26</v>
      </c>
      <c r="G413" t="str">
        <f>HYPERLINK("https://vk.com/wall-197114981_31?reply=1096&amp;thread=1095")</f>
        <v>https://vk.com/wall-197114981_31?reply=1096&amp;thread=1095</v>
      </c>
      <c r="H413" t="s">
        <v>885</v>
      </c>
      <c r="I413" t="s">
        <v>27</v>
      </c>
      <c r="J413" t="str">
        <f>HYPERLINK("http://vk.com/club197114981")</f>
        <v>http://vk.com/club197114981</v>
      </c>
      <c r="K413">
        <v>38</v>
      </c>
      <c r="L413" t="s">
        <v>28</v>
      </c>
      <c r="N413" t="s">
        <v>16</v>
      </c>
      <c r="O413" t="s">
        <v>27</v>
      </c>
      <c r="P413" t="str">
        <f>HYPERLINK("http://vk.com/club197114981")</f>
        <v>http://vk.com/club197114981</v>
      </c>
      <c r="Q413">
        <v>38</v>
      </c>
      <c r="R413" t="s">
        <v>17</v>
      </c>
      <c r="AJ413" t="s">
        <v>10</v>
      </c>
      <c r="AK413" t="s">
        <v>21</v>
      </c>
      <c r="AX413" t="s">
        <v>3249</v>
      </c>
    </row>
    <row r="414" spans="1:50" x14ac:dyDescent="0.25">
      <c r="A414" t="s">
        <v>2428</v>
      </c>
      <c r="B414" t="s">
        <v>42</v>
      </c>
      <c r="C414" t="s">
        <v>968</v>
      </c>
      <c r="D414" t="s">
        <v>10</v>
      </c>
      <c r="E414" t="s">
        <v>2453</v>
      </c>
      <c r="F414" t="s">
        <v>12</v>
      </c>
      <c r="G414" t="str">
        <f>HYPERLINK("https://www.facebook.com/568390943273818/posts/2994725527307002")</f>
        <v>https://www.facebook.com/568390943273818/posts/2994725527307002</v>
      </c>
      <c r="H414" t="s">
        <v>885</v>
      </c>
      <c r="I414" t="s">
        <v>280</v>
      </c>
      <c r="J414" t="str">
        <f>HYPERLINK("https://www.facebook.com/568390943273818")</f>
        <v>https://www.facebook.com/568390943273818</v>
      </c>
      <c r="K414">
        <v>18918</v>
      </c>
      <c r="L414" t="s">
        <v>28</v>
      </c>
      <c r="N414" t="s">
        <v>179</v>
      </c>
      <c r="O414" t="s">
        <v>280</v>
      </c>
      <c r="P414" t="str">
        <f>HYPERLINK("https://www.facebook.com/568390943273818")</f>
        <v>https://www.facebook.com/568390943273818</v>
      </c>
      <c r="Q414">
        <v>18918</v>
      </c>
      <c r="R414" t="s">
        <v>17</v>
      </c>
      <c r="S414" t="s">
        <v>281</v>
      </c>
      <c r="T414" t="s">
        <v>282</v>
      </c>
      <c r="U414" t="s">
        <v>282</v>
      </c>
      <c r="W414">
        <v>98</v>
      </c>
      <c r="X414">
        <v>96</v>
      </c>
      <c r="Y414">
        <v>2</v>
      </c>
      <c r="Z414">
        <v>0</v>
      </c>
      <c r="AA414">
        <v>0</v>
      </c>
      <c r="AB414">
        <v>0</v>
      </c>
      <c r="AC414">
        <v>0</v>
      </c>
      <c r="AE414">
        <v>13</v>
      </c>
      <c r="AF414">
        <v>4</v>
      </c>
      <c r="AI414" t="str">
        <f>HYPERLINK("https://scontent-cdt1-1.xx.fbcdn.net/v/t15.5256-10/110344286_3638111779550824_795886525503903121_n.jpg?_nc_cat=103&amp;_nc_sid=ad6a45&amp;_nc_ohc=KRQbXrzcR64AX9iZp5A&amp;_nc_ht=scontent-cdt1-1.xx&amp;oh=9ac40a06d976abf2b5629cbfe828ee85&amp;oe=5F378463")</f>
        <v>https://scontent-cdt1-1.xx.fbcdn.net/v/t15.5256-10/110344286_3638111779550824_795886525503903121_n.jpg?_nc_cat=103&amp;_nc_sid=ad6a45&amp;_nc_ohc=KRQbXrzcR64AX9iZp5A&amp;_nc_ht=scontent-cdt1-1.xx&amp;oh=9ac40a06d976abf2b5629cbfe828ee85&amp;oe=5F378463</v>
      </c>
      <c r="AJ414" t="s">
        <v>10</v>
      </c>
      <c r="AK414" t="s">
        <v>21</v>
      </c>
      <c r="AM414" t="s">
        <v>3238</v>
      </c>
      <c r="AX414" t="s">
        <v>3249</v>
      </c>
    </row>
    <row r="415" spans="1:50" x14ac:dyDescent="0.25">
      <c r="A415" t="s">
        <v>2193</v>
      </c>
      <c r="B415" t="s">
        <v>637</v>
      </c>
      <c r="C415" t="s">
        <v>968</v>
      </c>
      <c r="D415" t="s">
        <v>10</v>
      </c>
      <c r="E415" t="s">
        <v>2236</v>
      </c>
      <c r="F415" t="s">
        <v>45</v>
      </c>
      <c r="G415" t="str">
        <f>HYPERLINK("https://www.facebook.com/expert.klinika.stavropol/photos/a.108004590782008/167741024808364/?type=3")</f>
        <v>https://www.facebook.com/expert.klinika.stavropol/photos/a.108004590782008/167741024808364/?type=3</v>
      </c>
      <c r="H415" t="s">
        <v>889</v>
      </c>
      <c r="I415" t="s">
        <v>640</v>
      </c>
      <c r="J415" t="str">
        <f>HYPERLINK("https://www.facebook.com/107325724183228")</f>
        <v>https://www.facebook.com/107325724183228</v>
      </c>
      <c r="K415">
        <v>1</v>
      </c>
      <c r="L415" t="s">
        <v>28</v>
      </c>
      <c r="N415" t="s">
        <v>179</v>
      </c>
      <c r="O415" t="s">
        <v>640</v>
      </c>
      <c r="P415" t="str">
        <f>HYPERLINK("https://www.facebook.com/107325724183228")</f>
        <v>https://www.facebook.com/107325724183228</v>
      </c>
      <c r="Q415">
        <v>1</v>
      </c>
      <c r="R415" t="s">
        <v>17</v>
      </c>
      <c r="S415" t="s">
        <v>18</v>
      </c>
      <c r="T415" t="s">
        <v>641</v>
      </c>
      <c r="U415" t="s">
        <v>642</v>
      </c>
      <c r="W415">
        <v>0</v>
      </c>
      <c r="X415">
        <v>0</v>
      </c>
      <c r="Y415">
        <v>0</v>
      </c>
      <c r="Z415">
        <v>0</v>
      </c>
      <c r="AA415">
        <v>0</v>
      </c>
      <c r="AB415">
        <v>0</v>
      </c>
      <c r="AC415">
        <v>0</v>
      </c>
      <c r="AE415">
        <v>0</v>
      </c>
      <c r="AI415" t="str">
        <f>HYPERLINK("https://scontent-hel2-1.xx.fbcdn.net/v/t1.0-0/p180x540/109994332_167741028141697_5324942581660907121_n.jpg?_nc_cat=104&amp;_nc_sid=9267fe&amp;_nc_ohc=bpMVSflPlbUAX9jlUoR&amp;_nc_ht=scontent-hel2-1.xx&amp;_nc_tp=6&amp;oh=517a7f73bdc6e4c90945a44858987b93&amp;oe=5F3FE351")</f>
        <v>https://scontent-hel2-1.xx.fbcdn.net/v/t1.0-0/p180x540/109994332_167741028141697_5324942581660907121_n.jpg?_nc_cat=104&amp;_nc_sid=9267fe&amp;_nc_ohc=bpMVSflPlbUAX9jlUoR&amp;_nc_ht=scontent-hel2-1.xx&amp;_nc_tp=6&amp;oh=517a7f73bdc6e4c90945a44858987b93&amp;oe=5F3FE351</v>
      </c>
      <c r="AJ415" t="s">
        <v>10</v>
      </c>
      <c r="AK415" t="s">
        <v>21</v>
      </c>
      <c r="AW415" t="s">
        <v>3248</v>
      </c>
      <c r="AX415" t="s">
        <v>3249</v>
      </c>
    </row>
    <row r="416" spans="1:50" x14ac:dyDescent="0.25">
      <c r="A416" t="s">
        <v>2428</v>
      </c>
      <c r="B416" t="s">
        <v>2436</v>
      </c>
      <c r="C416" t="s">
        <v>968</v>
      </c>
      <c r="D416" t="s">
        <v>10</v>
      </c>
      <c r="E416" t="s">
        <v>2388</v>
      </c>
      <c r="F416" t="s">
        <v>12</v>
      </c>
      <c r="G416" t="str">
        <f>HYPERLINK("https://vk.com/wall312614324_1457")</f>
        <v>https://vk.com/wall312614324_1457</v>
      </c>
      <c r="H416" t="s">
        <v>885</v>
      </c>
      <c r="I416" t="s">
        <v>2438</v>
      </c>
      <c r="J416" t="str">
        <f>HYPERLINK("http://vk.com/id312614324")</f>
        <v>http://vk.com/id312614324</v>
      </c>
      <c r="K416">
        <v>348</v>
      </c>
      <c r="L416" t="s">
        <v>80</v>
      </c>
      <c r="N416" t="s">
        <v>16</v>
      </c>
      <c r="O416" t="s">
        <v>2438</v>
      </c>
      <c r="P416" t="str">
        <f>HYPERLINK("http://vk.com/id312614324")</f>
        <v>http://vk.com/id312614324</v>
      </c>
      <c r="Q416">
        <v>348</v>
      </c>
      <c r="R416" t="s">
        <v>17</v>
      </c>
      <c r="S416" t="s">
        <v>18</v>
      </c>
      <c r="T416" t="s">
        <v>272</v>
      </c>
      <c r="U416" t="s">
        <v>1300</v>
      </c>
      <c r="AI416" t="str">
        <f>HYPERLINK("https://sun3-13.userapi.com/gFc6d3yZcEgg0XH8DyUn75HEceQKbAB_Nv7KkQ/CaUZut2MJYY.jpg")</f>
        <v>https://sun3-13.userapi.com/gFc6d3yZcEgg0XH8DyUn75HEceQKbAB_Nv7KkQ/CaUZut2MJYY.jpg</v>
      </c>
      <c r="AJ416" t="s">
        <v>10</v>
      </c>
      <c r="AK416" t="s">
        <v>21</v>
      </c>
      <c r="AX416" t="s">
        <v>3249</v>
      </c>
    </row>
    <row r="417" spans="1:52" x14ac:dyDescent="0.25">
      <c r="A417" t="s">
        <v>1225</v>
      </c>
      <c r="B417" t="s">
        <v>989</v>
      </c>
      <c r="C417" t="s">
        <v>984</v>
      </c>
      <c r="D417" t="s">
        <v>10</v>
      </c>
      <c r="E417" t="s">
        <v>1270</v>
      </c>
      <c r="F417" t="s">
        <v>45</v>
      </c>
      <c r="G417" t="str">
        <f>HYPERLINK("https://www.instagram.com/p/CDdaDUBIwj1")</f>
        <v>https://www.instagram.com/p/CDdaDUBIwj1</v>
      </c>
      <c r="H417" t="s">
        <v>885</v>
      </c>
      <c r="I417" t="s">
        <v>1271</v>
      </c>
      <c r="J417" t="str">
        <f>HYPERLINK("http://instagram.com/clinic_expert_tula")</f>
        <v>http://instagram.com/clinic_expert_tula</v>
      </c>
      <c r="K417">
        <v>873</v>
      </c>
      <c r="L417" t="s">
        <v>28</v>
      </c>
      <c r="N417" t="s">
        <v>69</v>
      </c>
      <c r="O417" t="s">
        <v>1271</v>
      </c>
      <c r="P417" t="str">
        <f>HYPERLINK("http://instagram.com/clinic_expert_tula")</f>
        <v>http://instagram.com/clinic_expert_tula</v>
      </c>
      <c r="Q417">
        <v>873</v>
      </c>
      <c r="R417" t="s">
        <v>17</v>
      </c>
      <c r="S417" t="s">
        <v>18</v>
      </c>
      <c r="T417" t="s">
        <v>152</v>
      </c>
      <c r="U417" t="s">
        <v>153</v>
      </c>
      <c r="W417">
        <v>10</v>
      </c>
      <c r="X417">
        <v>10</v>
      </c>
      <c r="AE417">
        <v>0</v>
      </c>
      <c r="AI417" t="str">
        <f>HYPERLINK("https://www.instagram.com/p/CDdaDUBIwj1/media/?size=l")</f>
        <v>https://www.instagram.com/p/CDdaDUBIwj1/media/?size=l</v>
      </c>
      <c r="AJ417" t="s">
        <v>10</v>
      </c>
      <c r="AK417" t="s">
        <v>21</v>
      </c>
    </row>
    <row r="418" spans="1:52" x14ac:dyDescent="0.25">
      <c r="A418" t="s">
        <v>2589</v>
      </c>
      <c r="B418" t="s">
        <v>2497</v>
      </c>
      <c r="C418" t="s">
        <v>968</v>
      </c>
      <c r="D418" t="s">
        <v>10</v>
      </c>
      <c r="E418" t="s">
        <v>2606</v>
      </c>
      <c r="F418" t="s">
        <v>45</v>
      </c>
      <c r="G418" t="str">
        <f>HYPERLINK("https://vk.com/wall-8241837_1302")</f>
        <v>https://vk.com/wall-8241837_1302</v>
      </c>
      <c r="H418" t="s">
        <v>885</v>
      </c>
      <c r="I418" t="s">
        <v>1058</v>
      </c>
      <c r="J418" t="str">
        <f>HYPERLINK("http://vk.com/id71191578")</f>
        <v>http://vk.com/id71191578</v>
      </c>
      <c r="K418">
        <v>1008</v>
      </c>
      <c r="L418" t="s">
        <v>15</v>
      </c>
      <c r="M418">
        <v>55</v>
      </c>
      <c r="N418" t="s">
        <v>16</v>
      </c>
      <c r="O418" t="s">
        <v>1279</v>
      </c>
      <c r="P418" t="str">
        <f>HYPERLINK("http://vk.com/club8241837")</f>
        <v>http://vk.com/club8241837</v>
      </c>
      <c r="Q418">
        <v>3195</v>
      </c>
      <c r="R418" t="s">
        <v>17</v>
      </c>
      <c r="S418" t="s">
        <v>18</v>
      </c>
      <c r="T418" t="s">
        <v>1060</v>
      </c>
      <c r="U418" t="s">
        <v>1061</v>
      </c>
      <c r="W418">
        <v>1</v>
      </c>
      <c r="X418">
        <v>1</v>
      </c>
      <c r="AE418">
        <v>0</v>
      </c>
      <c r="AF418">
        <v>0</v>
      </c>
      <c r="AI418" t="str">
        <f>HYPERLINK("https://sun1-18.userapi.com/LtCeQRLxELX2qx4xT6UvTZA21Iqb-sACuU5xBg/Q5AcLeNA1IE.jpg")</f>
        <v>https://sun1-18.userapi.com/LtCeQRLxELX2qx4xT6UvTZA21Iqb-sACuU5xBg/Q5AcLeNA1IE.jpg</v>
      </c>
      <c r="AJ418" t="s">
        <v>10</v>
      </c>
      <c r="AK418" t="s">
        <v>21</v>
      </c>
      <c r="AQ418" t="s">
        <v>3242</v>
      </c>
      <c r="AV418" t="s">
        <v>3247</v>
      </c>
      <c r="AW418" t="s">
        <v>3248</v>
      </c>
    </row>
    <row r="419" spans="1:52" x14ac:dyDescent="0.25">
      <c r="A419" t="s">
        <v>7</v>
      </c>
      <c r="B419" t="s">
        <v>333</v>
      </c>
      <c r="C419" t="s">
        <v>334</v>
      </c>
      <c r="D419" t="s">
        <v>24</v>
      </c>
      <c r="E419" t="s">
        <v>335</v>
      </c>
      <c r="F419" t="s">
        <v>26</v>
      </c>
      <c r="G419" t="str">
        <f>HYPERLINK("https://vk.com/wall-197114981_31?reply=1325&amp;thread=1293")</f>
        <v>https://vk.com/wall-197114981_31?reply=1325&amp;thread=1293</v>
      </c>
      <c r="H419" t="s">
        <v>13</v>
      </c>
      <c r="I419" t="s">
        <v>27</v>
      </c>
      <c r="J419" t="str">
        <f>HYPERLINK("http://vk.com/club197114981")</f>
        <v>http://vk.com/club197114981</v>
      </c>
      <c r="K419">
        <v>38</v>
      </c>
      <c r="L419" t="s">
        <v>28</v>
      </c>
      <c r="N419" t="s">
        <v>16</v>
      </c>
      <c r="O419" t="s">
        <v>27</v>
      </c>
      <c r="P419" t="str">
        <f>HYPERLINK("http://vk.com/club197114981")</f>
        <v>http://vk.com/club197114981</v>
      </c>
      <c r="Q419">
        <v>38</v>
      </c>
      <c r="R419" t="s">
        <v>17</v>
      </c>
      <c r="AJ419" t="s">
        <v>10</v>
      </c>
      <c r="AK419" t="s">
        <v>21</v>
      </c>
      <c r="AM419" t="s">
        <v>3238</v>
      </c>
      <c r="AQ419" t="s">
        <v>3242</v>
      </c>
      <c r="AT419" t="s">
        <v>3245</v>
      </c>
      <c r="AU419" t="s">
        <v>3246</v>
      </c>
      <c r="AW419" t="s">
        <v>3248</v>
      </c>
    </row>
    <row r="420" spans="1:52" x14ac:dyDescent="0.25">
      <c r="A420" t="s">
        <v>414</v>
      </c>
      <c r="B420" t="s">
        <v>277</v>
      </c>
      <c r="C420" t="s">
        <v>716</v>
      </c>
      <c r="D420" t="s">
        <v>10</v>
      </c>
      <c r="E420" t="s">
        <v>717</v>
      </c>
      <c r="F420" t="s">
        <v>12</v>
      </c>
      <c r="G420" t="str">
        <f>HYPERLINK("https://www.facebook.com/568390943273818/posts/3055574244555463")</f>
        <v>https://www.facebook.com/568390943273818/posts/3055574244555463</v>
      </c>
      <c r="H420" t="s">
        <v>13</v>
      </c>
      <c r="I420" t="s">
        <v>280</v>
      </c>
      <c r="J420" t="str">
        <f>HYPERLINK("https://www.facebook.com/568390943273818")</f>
        <v>https://www.facebook.com/568390943273818</v>
      </c>
      <c r="K420">
        <v>18918</v>
      </c>
      <c r="L420" t="s">
        <v>28</v>
      </c>
      <c r="N420" t="s">
        <v>179</v>
      </c>
      <c r="O420" t="s">
        <v>280</v>
      </c>
      <c r="P420" t="str">
        <f>HYPERLINK("https://www.facebook.com/568390943273818")</f>
        <v>https://www.facebook.com/568390943273818</v>
      </c>
      <c r="Q420">
        <v>18918</v>
      </c>
      <c r="R420" t="s">
        <v>17</v>
      </c>
      <c r="S420" t="s">
        <v>281</v>
      </c>
      <c r="T420" t="s">
        <v>282</v>
      </c>
      <c r="U420" t="s">
        <v>282</v>
      </c>
      <c r="W420">
        <v>0</v>
      </c>
      <c r="X420">
        <v>0</v>
      </c>
      <c r="AE420">
        <v>0</v>
      </c>
      <c r="AF420">
        <v>0</v>
      </c>
      <c r="AI420" t="s">
        <v>718</v>
      </c>
      <c r="AJ420" t="s">
        <v>10</v>
      </c>
      <c r="AK420" t="s">
        <v>21</v>
      </c>
      <c r="AM420" t="s">
        <v>3238</v>
      </c>
    </row>
    <row r="421" spans="1:52" x14ac:dyDescent="0.25">
      <c r="A421" t="s">
        <v>772</v>
      </c>
      <c r="B421" t="s">
        <v>860</v>
      </c>
      <c r="C421" t="s">
        <v>861</v>
      </c>
      <c r="D421" t="s">
        <v>10</v>
      </c>
      <c r="E421" t="s">
        <v>862</v>
      </c>
      <c r="F421" t="s">
        <v>45</v>
      </c>
      <c r="G421" t="str">
        <f>HYPERLINK("https://www.instagram.com/p/CDomQpxJ-xD")</f>
        <v>https://www.instagram.com/p/CDomQpxJ-xD</v>
      </c>
      <c r="H421" t="s">
        <v>13</v>
      </c>
      <c r="I421" t="s">
        <v>863</v>
      </c>
      <c r="J421" t="str">
        <f>HYPERLINK("http://instagram.com/dr.shibanova_kat")</f>
        <v>http://instagram.com/dr.shibanova_kat</v>
      </c>
      <c r="K421">
        <v>17356</v>
      </c>
      <c r="L421" t="s">
        <v>80</v>
      </c>
      <c r="N421" t="s">
        <v>69</v>
      </c>
      <c r="O421" t="s">
        <v>863</v>
      </c>
      <c r="P421" t="str">
        <f>HYPERLINK("http://instagram.com/dr.shibanova_kat")</f>
        <v>http://instagram.com/dr.shibanova_kat</v>
      </c>
      <c r="Q421">
        <v>17356</v>
      </c>
      <c r="R421" t="s">
        <v>17</v>
      </c>
      <c r="S421" t="s">
        <v>18</v>
      </c>
      <c r="T421" t="s">
        <v>354</v>
      </c>
      <c r="U421" t="s">
        <v>354</v>
      </c>
      <c r="W421">
        <v>99</v>
      </c>
      <c r="X421">
        <v>99</v>
      </c>
      <c r="AE421">
        <v>2</v>
      </c>
      <c r="AI421" t="str">
        <f>HYPERLINK("https://www.instagram.com/p/CDomQpxJ-xD/media/?size=l")</f>
        <v>https://www.instagram.com/p/CDomQpxJ-xD/media/?size=l</v>
      </c>
      <c r="AJ421" t="s">
        <v>10</v>
      </c>
      <c r="AK421" t="s">
        <v>21</v>
      </c>
      <c r="AL421" t="s">
        <v>3237</v>
      </c>
    </row>
    <row r="422" spans="1:52" x14ac:dyDescent="0.25">
      <c r="A422" t="s">
        <v>1352</v>
      </c>
      <c r="B422" t="s">
        <v>1411</v>
      </c>
      <c r="C422" t="s">
        <v>984</v>
      </c>
      <c r="D422" t="s">
        <v>10</v>
      </c>
      <c r="E422" t="s">
        <v>1412</v>
      </c>
      <c r="F422" t="s">
        <v>26</v>
      </c>
      <c r="G422" t="str">
        <f>HYPERLINK("https://twitter.com/11985732/status/1289764332230676480")</f>
        <v>https://twitter.com/11985732/status/1289764332230676480</v>
      </c>
      <c r="H422" t="s">
        <v>885</v>
      </c>
      <c r="I422" t="s">
        <v>1413</v>
      </c>
      <c r="J422" t="str">
        <f>HYPERLINK("http://twitter.com/CISBlues")</f>
        <v>http://twitter.com/CISBlues</v>
      </c>
      <c r="K422">
        <v>1218</v>
      </c>
      <c r="N422" t="s">
        <v>54</v>
      </c>
      <c r="R422" t="s">
        <v>17</v>
      </c>
      <c r="S422" t="s">
        <v>425</v>
      </c>
      <c r="W422">
        <v>0</v>
      </c>
      <c r="X422">
        <v>0</v>
      </c>
      <c r="AE422">
        <v>1</v>
      </c>
      <c r="AF422">
        <v>0</v>
      </c>
      <c r="AJ422" t="s">
        <v>10</v>
      </c>
      <c r="AK422" t="s">
        <v>21</v>
      </c>
    </row>
    <row r="423" spans="1:52" x14ac:dyDescent="0.25">
      <c r="A423" t="s">
        <v>2260</v>
      </c>
      <c r="B423" t="s">
        <v>1438</v>
      </c>
      <c r="C423" t="s">
        <v>968</v>
      </c>
      <c r="D423" t="s">
        <v>10</v>
      </c>
      <c r="E423" t="s">
        <v>2281</v>
      </c>
      <c r="F423" t="s">
        <v>45</v>
      </c>
      <c r="G423" t="str">
        <f>HYPERLINK("https://www.instagram.com/p/CC5QGgtBBTf")</f>
        <v>https://www.instagram.com/p/CC5QGgtBBTf</v>
      </c>
      <c r="H423" t="s">
        <v>885</v>
      </c>
      <c r="I423" t="s">
        <v>1145</v>
      </c>
      <c r="J423" t="str">
        <f>HYPERLINK("http://instagram.com/dr_kosmetolog_kursk")</f>
        <v>http://instagram.com/dr_kosmetolog_kursk</v>
      </c>
      <c r="K423">
        <v>1296</v>
      </c>
      <c r="N423" t="s">
        <v>69</v>
      </c>
      <c r="O423" t="s">
        <v>1145</v>
      </c>
      <c r="P423" t="str">
        <f>HYPERLINK("http://instagram.com/dr_kosmetolog_kursk")</f>
        <v>http://instagram.com/dr_kosmetolog_kursk</v>
      </c>
      <c r="Q423">
        <v>1296</v>
      </c>
      <c r="R423" t="s">
        <v>17</v>
      </c>
      <c r="S423" t="s">
        <v>18</v>
      </c>
      <c r="T423" t="s">
        <v>231</v>
      </c>
      <c r="U423" t="s">
        <v>1266</v>
      </c>
      <c r="AI423" t="str">
        <f>HYPERLINK("https://www.instagram.com/p/CC5QGgtBBTf/media/?size=l")</f>
        <v>https://www.instagram.com/p/CC5QGgtBBTf/media/?size=l</v>
      </c>
      <c r="AJ423" t="s">
        <v>10</v>
      </c>
      <c r="AK423" t="s">
        <v>21</v>
      </c>
    </row>
    <row r="424" spans="1:52" x14ac:dyDescent="0.25">
      <c r="A424" t="s">
        <v>2428</v>
      </c>
      <c r="B424" t="s">
        <v>122</v>
      </c>
      <c r="C424" t="s">
        <v>968</v>
      </c>
      <c r="D424" t="s">
        <v>10</v>
      </c>
      <c r="E424" t="s">
        <v>2457</v>
      </c>
      <c r="F424" t="s">
        <v>45</v>
      </c>
      <c r="G424" t="str">
        <f>HYPERLINK("https://www.facebook.com/mrtexpertrnd/posts/776339423110356")</f>
        <v>https://www.facebook.com/mrtexpertrnd/posts/776339423110356</v>
      </c>
      <c r="H424" t="s">
        <v>885</v>
      </c>
      <c r="I424" t="s">
        <v>125</v>
      </c>
      <c r="J424" t="str">
        <f>HYPERLINK("https://www.facebook.com/156600068417631")</f>
        <v>https://www.facebook.com/156600068417631</v>
      </c>
      <c r="K424">
        <v>236</v>
      </c>
      <c r="L424" t="s">
        <v>28</v>
      </c>
      <c r="N424" t="s">
        <v>179</v>
      </c>
      <c r="O424" t="s">
        <v>125</v>
      </c>
      <c r="P424" t="str">
        <f>HYPERLINK("https://www.facebook.com/156600068417631")</f>
        <v>https://www.facebook.com/156600068417631</v>
      </c>
      <c r="Q424">
        <v>236</v>
      </c>
      <c r="R424" t="s">
        <v>17</v>
      </c>
      <c r="S424" t="s">
        <v>18</v>
      </c>
      <c r="T424" t="s">
        <v>126</v>
      </c>
      <c r="U424" t="s">
        <v>127</v>
      </c>
      <c r="W424">
        <v>0</v>
      </c>
      <c r="X424">
        <v>0</v>
      </c>
      <c r="Y424">
        <v>0</v>
      </c>
      <c r="Z424">
        <v>0</v>
      </c>
      <c r="AA424">
        <v>0</v>
      </c>
      <c r="AB424">
        <v>0</v>
      </c>
      <c r="AC424">
        <v>0</v>
      </c>
      <c r="AE424">
        <v>0</v>
      </c>
      <c r="AI424" t="str">
        <f>HYPERLINK("https://scontent-hel2-1.xx.fbcdn.net/v/t1.0-9/109457658_776339366443695_8711665445531222370_o.jpg?_nc_cat=110&amp;_nc_sid=730e14&amp;_nc_ohc=bEBI-d36wuUAX8qMvRb&amp;_nc_ht=scontent-hel2-1.xx&amp;oh=3e421c3e20894cff64744128217f3c4d&amp;oe=5F38302E")</f>
        <v>https://scontent-hel2-1.xx.fbcdn.net/v/t1.0-9/109457658_776339366443695_8711665445531222370_o.jpg?_nc_cat=110&amp;_nc_sid=730e14&amp;_nc_ohc=bEBI-d36wuUAX8qMvRb&amp;_nc_ht=scontent-hel2-1.xx&amp;oh=3e421c3e20894cff64744128217f3c4d&amp;oe=5F38302E</v>
      </c>
      <c r="AJ424" t="s">
        <v>10</v>
      </c>
      <c r="AK424" t="s">
        <v>21</v>
      </c>
      <c r="AY424" t="s">
        <v>3250</v>
      </c>
      <c r="AZ424" t="s">
        <v>3251</v>
      </c>
    </row>
    <row r="425" spans="1:52" x14ac:dyDescent="0.25">
      <c r="A425" t="s">
        <v>1277</v>
      </c>
      <c r="B425" t="s">
        <v>1280</v>
      </c>
      <c r="C425" t="s">
        <v>984</v>
      </c>
      <c r="D425" t="s">
        <v>10</v>
      </c>
      <c r="E425" t="s">
        <v>1281</v>
      </c>
      <c r="F425" t="s">
        <v>26</v>
      </c>
      <c r="G425" t="str">
        <f>HYPERLINK("https://twitter.com/1263106951669522432/status/1290347058449219584")</f>
        <v>https://twitter.com/1263106951669522432/status/1290347058449219584</v>
      </c>
      <c r="H425" t="s">
        <v>885</v>
      </c>
      <c r="I425" t="s">
        <v>1282</v>
      </c>
      <c r="J425" t="str">
        <f>HYPERLINK("http://twitter.com/sameSorbet")</f>
        <v>http://twitter.com/sameSorbet</v>
      </c>
      <c r="K425">
        <v>525</v>
      </c>
      <c r="N425" t="s">
        <v>54</v>
      </c>
      <c r="R425" t="s">
        <v>17</v>
      </c>
      <c r="W425">
        <v>0</v>
      </c>
      <c r="X425">
        <v>0</v>
      </c>
      <c r="AF425">
        <v>0</v>
      </c>
      <c r="AJ425" t="s">
        <v>10</v>
      </c>
      <c r="AK425" t="s">
        <v>21</v>
      </c>
      <c r="AY425" t="s">
        <v>3250</v>
      </c>
      <c r="AZ425" t="s">
        <v>3251</v>
      </c>
    </row>
    <row r="426" spans="1:52" x14ac:dyDescent="0.25">
      <c r="A426" t="s">
        <v>1352</v>
      </c>
      <c r="B426" t="s">
        <v>455</v>
      </c>
      <c r="C426" t="s">
        <v>984</v>
      </c>
      <c r="D426" t="s">
        <v>10</v>
      </c>
      <c r="E426" t="s">
        <v>1353</v>
      </c>
      <c r="F426" t="s">
        <v>12</v>
      </c>
      <c r="G426" t="str">
        <f>HYPERLINK("https://www.facebook.com/permalink.php?story_fbid=1393826620811874&amp;id=100005536488847")</f>
        <v>https://www.facebook.com/permalink.php?story_fbid=1393826620811874&amp;id=100005536488847</v>
      </c>
      <c r="H426" t="s">
        <v>885</v>
      </c>
      <c r="I426" t="s">
        <v>1354</v>
      </c>
      <c r="J426" t="str">
        <f>HYPERLINK("https://www.facebook.com/100005536488847")</f>
        <v>https://www.facebook.com/100005536488847</v>
      </c>
      <c r="K426">
        <v>320</v>
      </c>
      <c r="L426" t="s">
        <v>80</v>
      </c>
      <c r="N426" t="s">
        <v>179</v>
      </c>
      <c r="O426" t="s">
        <v>1354</v>
      </c>
      <c r="P426" t="str">
        <f>HYPERLINK("https://www.facebook.com/100005536488847")</f>
        <v>https://www.facebook.com/100005536488847</v>
      </c>
      <c r="Q426">
        <v>320</v>
      </c>
      <c r="R426" t="s">
        <v>17</v>
      </c>
      <c r="W426">
        <v>3</v>
      </c>
      <c r="X426">
        <v>3</v>
      </c>
      <c r="Y426">
        <v>0</v>
      </c>
      <c r="Z426">
        <v>0</v>
      </c>
      <c r="AA426">
        <v>0</v>
      </c>
      <c r="AB426">
        <v>0</v>
      </c>
      <c r="AC426">
        <v>0</v>
      </c>
      <c r="AE426">
        <v>0</v>
      </c>
      <c r="AI426" t="str">
        <f>HYPERLINK("https://scontent-hel2-1.xx.fbcdn.net/v/t1.0-9/s960x960/116873663_3235624996503955_8100360529451218858_o.jpg?_nc_cat=109&amp;_nc_sid=730e14&amp;_nc_ohc=0Ed0EGx6qKIAX94aL9D&amp;_nc_ht=scontent-hel2-1.xx&amp;_nc_tp=7&amp;oh=8f432e9c7635b3841370b27da4fa631e&amp;oe=5F4BCE9E")</f>
        <v>https://scontent-hel2-1.xx.fbcdn.net/v/t1.0-9/s960x960/116873663_3235624996503955_8100360529451218858_o.jpg?_nc_cat=109&amp;_nc_sid=730e14&amp;_nc_ohc=0Ed0EGx6qKIAX94aL9D&amp;_nc_ht=scontent-hel2-1.xx&amp;_nc_tp=7&amp;oh=8f432e9c7635b3841370b27da4fa631e&amp;oe=5F4BCE9E</v>
      </c>
      <c r="AJ426" t="s">
        <v>10</v>
      </c>
      <c r="AK426" t="s">
        <v>21</v>
      </c>
      <c r="AN426" t="s">
        <v>3239</v>
      </c>
      <c r="AZ426" t="s">
        <v>3251</v>
      </c>
    </row>
    <row r="427" spans="1:52" x14ac:dyDescent="0.25">
      <c r="A427" t="s">
        <v>1462</v>
      </c>
      <c r="B427" t="s">
        <v>1468</v>
      </c>
      <c r="C427" t="s">
        <v>984</v>
      </c>
      <c r="D427" t="s">
        <v>1428</v>
      </c>
      <c r="E427" t="s">
        <v>1429</v>
      </c>
      <c r="F427" t="s">
        <v>26</v>
      </c>
      <c r="G427" t="str">
        <f>HYPERLINK("https://vk.com/wall-131414345_314421?reply=314426")</f>
        <v>https://vk.com/wall-131414345_314421?reply=314426</v>
      </c>
      <c r="H427" t="s">
        <v>889</v>
      </c>
      <c r="I427" t="s">
        <v>1469</v>
      </c>
      <c r="J427" t="str">
        <f>HYPERLINK("http://vk.com/id399729865")</f>
        <v>http://vk.com/id399729865</v>
      </c>
      <c r="K427">
        <v>202</v>
      </c>
      <c r="L427" t="s">
        <v>80</v>
      </c>
      <c r="M427">
        <v>28</v>
      </c>
      <c r="N427" t="s">
        <v>16</v>
      </c>
      <c r="O427" t="s">
        <v>690</v>
      </c>
      <c r="P427" t="str">
        <f>HYPERLINK("http://vk.com/club131414345")</f>
        <v>http://vk.com/club131414345</v>
      </c>
      <c r="Q427">
        <v>8446</v>
      </c>
      <c r="R427" t="s">
        <v>17</v>
      </c>
      <c r="AJ427" t="s">
        <v>10</v>
      </c>
      <c r="AK427" t="s">
        <v>21</v>
      </c>
      <c r="AO427" t="s">
        <v>3240</v>
      </c>
    </row>
    <row r="428" spans="1:52" x14ac:dyDescent="0.25">
      <c r="A428" t="s">
        <v>1462</v>
      </c>
      <c r="B428" t="s">
        <v>1479</v>
      </c>
      <c r="C428" t="s">
        <v>984</v>
      </c>
      <c r="D428" t="s">
        <v>10</v>
      </c>
      <c r="E428" t="s">
        <v>1480</v>
      </c>
      <c r="F428" t="s">
        <v>45</v>
      </c>
      <c r="G428" t="str">
        <f>HYPERLINK("https://vk.com/wall-48669646_10239")</f>
        <v>https://vk.com/wall-48669646_10239</v>
      </c>
      <c r="H428" t="s">
        <v>885</v>
      </c>
      <c r="I428" t="s">
        <v>46</v>
      </c>
      <c r="J428" t="str">
        <f>HYPERLINK("http://vk.com/club48669646")</f>
        <v>http://vk.com/club48669646</v>
      </c>
      <c r="K428">
        <v>5795</v>
      </c>
      <c r="L428" t="s">
        <v>28</v>
      </c>
      <c r="N428" t="s">
        <v>16</v>
      </c>
      <c r="O428" t="s">
        <v>46</v>
      </c>
      <c r="P428" t="str">
        <f>HYPERLINK("http://vk.com/club48669646")</f>
        <v>http://vk.com/club48669646</v>
      </c>
      <c r="Q428">
        <v>5795</v>
      </c>
      <c r="R428" t="s">
        <v>17</v>
      </c>
      <c r="S428" t="s">
        <v>18</v>
      </c>
      <c r="W428">
        <v>2</v>
      </c>
      <c r="X428">
        <v>2</v>
      </c>
      <c r="AE428">
        <v>0</v>
      </c>
      <c r="AF428">
        <v>0</v>
      </c>
      <c r="AG428">
        <v>377</v>
      </c>
      <c r="AI428" t="str">
        <f>HYPERLINK("https://sun9-46.userapi.com/_46QlJHNXOOqfzy6lJQm_NEnNwtQdOI8xxq_2w/FXdpRYgZp0o.jpg")</f>
        <v>https://sun9-46.userapi.com/_46QlJHNXOOqfzy6lJQm_NEnNwtQdOI8xxq_2w/FXdpRYgZp0o.jpg</v>
      </c>
      <c r="AJ428" t="s">
        <v>10</v>
      </c>
      <c r="AK428" t="s">
        <v>21</v>
      </c>
      <c r="AO428" t="s">
        <v>3240</v>
      </c>
      <c r="AX428" t="s">
        <v>3249</v>
      </c>
      <c r="AY428" t="s">
        <v>3250</v>
      </c>
      <c r="AZ428" t="s">
        <v>3251</v>
      </c>
    </row>
    <row r="429" spans="1:52" x14ac:dyDescent="0.25">
      <c r="A429" t="s">
        <v>1462</v>
      </c>
      <c r="B429" t="s">
        <v>1481</v>
      </c>
      <c r="C429" t="s">
        <v>984</v>
      </c>
      <c r="D429" t="s">
        <v>10</v>
      </c>
      <c r="E429" t="s">
        <v>1482</v>
      </c>
      <c r="F429" t="s">
        <v>45</v>
      </c>
      <c r="G429" t="str">
        <f>HYPERLINK("https://www.instagram.com/p/CDTW0mODoQl")</f>
        <v>https://www.instagram.com/p/CDTW0mODoQl</v>
      </c>
      <c r="H429" t="s">
        <v>885</v>
      </c>
      <c r="I429" t="s">
        <v>1241</v>
      </c>
      <c r="J429" t="str">
        <f>HYPERLINK("http://instagram.com/dr.jdinkha")</f>
        <v>http://instagram.com/dr.jdinkha</v>
      </c>
      <c r="K429">
        <v>13350</v>
      </c>
      <c r="N429" t="s">
        <v>69</v>
      </c>
      <c r="O429" t="s">
        <v>1241</v>
      </c>
      <c r="P429" t="str">
        <f>HYPERLINK("http://instagram.com/dr.jdinkha")</f>
        <v>http://instagram.com/dr.jdinkha</v>
      </c>
      <c r="Q429">
        <v>13350</v>
      </c>
      <c r="R429" t="s">
        <v>17</v>
      </c>
      <c r="S429" t="s">
        <v>1242</v>
      </c>
      <c r="AI429" t="str">
        <f>HYPERLINK("https://www.instagram.com/p/CDTW0mODoQl/media/?size=l")</f>
        <v>https://www.instagram.com/p/CDTW0mODoQl/media/?size=l</v>
      </c>
      <c r="AJ429" t="s">
        <v>10</v>
      </c>
      <c r="AK429" t="s">
        <v>21</v>
      </c>
      <c r="AN429" t="s">
        <v>3239</v>
      </c>
      <c r="AY429" t="s">
        <v>3250</v>
      </c>
      <c r="AZ429" t="s">
        <v>3251</v>
      </c>
    </row>
    <row r="430" spans="1:52" x14ac:dyDescent="0.25">
      <c r="A430" t="s">
        <v>1518</v>
      </c>
      <c r="B430" t="s">
        <v>1540</v>
      </c>
      <c r="C430" t="s">
        <v>984</v>
      </c>
      <c r="D430" t="s">
        <v>10</v>
      </c>
      <c r="E430" t="s">
        <v>1487</v>
      </c>
      <c r="F430" t="s">
        <v>12</v>
      </c>
      <c r="G430" t="str">
        <f>HYPERLINK("https://www.facebook.com/nfilipenok/posts/2935664103327739")</f>
        <v>https://www.facebook.com/nfilipenok/posts/2935664103327739</v>
      </c>
      <c r="H430" t="s">
        <v>889</v>
      </c>
      <c r="I430" t="s">
        <v>990</v>
      </c>
      <c r="J430" t="str">
        <f>HYPERLINK("https://www.facebook.com/100006525343027")</f>
        <v>https://www.facebook.com/100006525343027</v>
      </c>
      <c r="K430">
        <v>415</v>
      </c>
      <c r="L430" t="s">
        <v>80</v>
      </c>
      <c r="N430" t="s">
        <v>179</v>
      </c>
      <c r="O430" t="s">
        <v>990</v>
      </c>
      <c r="P430" t="str">
        <f>HYPERLINK("https://www.facebook.com/100006525343027")</f>
        <v>https://www.facebook.com/100006525343027</v>
      </c>
      <c r="Q430">
        <v>415</v>
      </c>
      <c r="R430" t="s">
        <v>17</v>
      </c>
      <c r="S430" t="s">
        <v>18</v>
      </c>
      <c r="T430" t="s">
        <v>354</v>
      </c>
      <c r="U430" t="s">
        <v>354</v>
      </c>
      <c r="W430">
        <v>0</v>
      </c>
      <c r="X430">
        <v>0</v>
      </c>
      <c r="Y430">
        <v>0</v>
      </c>
      <c r="Z430">
        <v>0</v>
      </c>
      <c r="AA430">
        <v>0</v>
      </c>
      <c r="AB430">
        <v>0</v>
      </c>
      <c r="AC430">
        <v>0</v>
      </c>
      <c r="AE430">
        <v>0</v>
      </c>
      <c r="AI430" t="str">
        <f>HYPERLINK("https://scontent-hel2-1.xx.fbcdn.net/v/t1.0-9/s960x960/116580080_3229936993739422_7168008555214612237_o.jpg?_nc_cat=104&amp;_nc_sid=730e14&amp;_nc_ohc=JCk2rCAIoZ8AX9MpbaE&amp;_nc_ht=scontent-hel2-1.xx&amp;_nc_tp=7&amp;oh=72aef1abe5561aa460da9ce79a23ba56&amp;oe=5F4949C2")</f>
        <v>https://scontent-hel2-1.xx.fbcdn.net/v/t1.0-9/s960x960/116580080_3229936993739422_7168008555214612237_o.jpg?_nc_cat=104&amp;_nc_sid=730e14&amp;_nc_ohc=JCk2rCAIoZ8AX9MpbaE&amp;_nc_ht=scontent-hel2-1.xx&amp;_nc_tp=7&amp;oh=72aef1abe5561aa460da9ce79a23ba56&amp;oe=5F4949C2</v>
      </c>
      <c r="AJ430" t="s">
        <v>10</v>
      </c>
      <c r="AK430" t="s">
        <v>21</v>
      </c>
      <c r="AY430" t="s">
        <v>3250</v>
      </c>
      <c r="AZ430" t="s">
        <v>3251</v>
      </c>
    </row>
    <row r="431" spans="1:52" x14ac:dyDescent="0.25">
      <c r="A431" t="s">
        <v>1518</v>
      </c>
      <c r="B431" t="s">
        <v>1548</v>
      </c>
      <c r="C431" t="s">
        <v>984</v>
      </c>
      <c r="D431" t="s">
        <v>10</v>
      </c>
      <c r="E431" t="s">
        <v>1549</v>
      </c>
      <c r="F431" t="s">
        <v>45</v>
      </c>
      <c r="G431" t="str">
        <f>HYPERLINK("https://www.instagram.com/p/CDRBnQpF1Xf")</f>
        <v>https://www.instagram.com/p/CDRBnQpF1Xf</v>
      </c>
      <c r="H431" t="s">
        <v>885</v>
      </c>
      <c r="I431" t="s">
        <v>1128</v>
      </c>
      <c r="J431" t="str">
        <f>HYPERLINK("http://instagram.com/mrt_ekspert_sochi")</f>
        <v>http://instagram.com/mrt_ekspert_sochi</v>
      </c>
      <c r="K431">
        <v>657</v>
      </c>
      <c r="L431" t="s">
        <v>28</v>
      </c>
      <c r="N431" t="s">
        <v>69</v>
      </c>
      <c r="O431" t="s">
        <v>1128</v>
      </c>
      <c r="P431" t="str">
        <f>HYPERLINK("http://instagram.com/mrt_ekspert_sochi")</f>
        <v>http://instagram.com/mrt_ekspert_sochi</v>
      </c>
      <c r="Q431">
        <v>657</v>
      </c>
      <c r="R431" t="s">
        <v>17</v>
      </c>
      <c r="S431" t="s">
        <v>18</v>
      </c>
      <c r="T431" t="s">
        <v>617</v>
      </c>
      <c r="U431" t="s">
        <v>1034</v>
      </c>
      <c r="AI431" t="str">
        <f>HYPERLINK("https://www.instagram.com/p/CDRBnQpF1Xf/media/?size=l")</f>
        <v>https://www.instagram.com/p/CDRBnQpF1Xf/media/?size=l</v>
      </c>
      <c r="AJ431" t="s">
        <v>10</v>
      </c>
      <c r="AK431" t="s">
        <v>21</v>
      </c>
      <c r="AY431" t="s">
        <v>3250</v>
      </c>
      <c r="AZ431" t="s">
        <v>3251</v>
      </c>
    </row>
    <row r="432" spans="1:52" x14ac:dyDescent="0.25">
      <c r="A432" t="s">
        <v>1518</v>
      </c>
      <c r="B432" t="s">
        <v>1550</v>
      </c>
      <c r="C432" t="s">
        <v>984</v>
      </c>
      <c r="D432" t="s">
        <v>10</v>
      </c>
      <c r="E432" t="s">
        <v>1551</v>
      </c>
      <c r="F432" t="s">
        <v>45</v>
      </c>
      <c r="G432" t="str">
        <f>HYPERLINK("https://www.instagram.com/p/CDRAKmSlB05")</f>
        <v>https://www.instagram.com/p/CDRAKmSlB05</v>
      </c>
      <c r="H432" t="s">
        <v>885</v>
      </c>
      <c r="I432" t="s">
        <v>1128</v>
      </c>
      <c r="J432" t="str">
        <f>HYPERLINK("http://instagram.com/mrt_ekspert_sochi")</f>
        <v>http://instagram.com/mrt_ekspert_sochi</v>
      </c>
      <c r="K432">
        <v>657</v>
      </c>
      <c r="L432" t="s">
        <v>28</v>
      </c>
      <c r="N432" t="s">
        <v>69</v>
      </c>
      <c r="O432" t="s">
        <v>1128</v>
      </c>
      <c r="P432" t="str">
        <f>HYPERLINK("http://instagram.com/mrt_ekspert_sochi")</f>
        <v>http://instagram.com/mrt_ekspert_sochi</v>
      </c>
      <c r="Q432">
        <v>657</v>
      </c>
      <c r="R432" t="s">
        <v>17</v>
      </c>
      <c r="S432" t="s">
        <v>18</v>
      </c>
      <c r="T432" t="s">
        <v>617</v>
      </c>
      <c r="U432" t="s">
        <v>1034</v>
      </c>
      <c r="AI432" t="str">
        <f>HYPERLINK("https://www.instagram.com/p/CDRAKmSlB05/media/?size=l")</f>
        <v>https://www.instagram.com/p/CDRAKmSlB05/media/?size=l</v>
      </c>
      <c r="AJ432" t="s">
        <v>10</v>
      </c>
      <c r="AK432" t="s">
        <v>21</v>
      </c>
    </row>
    <row r="433" spans="1:52" x14ac:dyDescent="0.25">
      <c r="A433" t="s">
        <v>1723</v>
      </c>
      <c r="B433" t="s">
        <v>1762</v>
      </c>
      <c r="C433" t="s">
        <v>984</v>
      </c>
      <c r="D433" t="s">
        <v>10</v>
      </c>
      <c r="E433" t="s">
        <v>1767</v>
      </c>
      <c r="F433" t="s">
        <v>45</v>
      </c>
      <c r="G433" t="str">
        <f>HYPERLINK("https://www.facebook.com/mriexpert/photos/a.902990326434112/3223931631006625/?type=3")</f>
        <v>https://www.facebook.com/mriexpert/photos/a.902990326434112/3223931631006625/?type=3</v>
      </c>
      <c r="H433" t="s">
        <v>885</v>
      </c>
      <c r="I433" t="s">
        <v>46</v>
      </c>
      <c r="J433" t="str">
        <f>HYPERLINK("https://www.facebook.com/902980129768465")</f>
        <v>https://www.facebook.com/902980129768465</v>
      </c>
      <c r="K433">
        <v>1509</v>
      </c>
      <c r="L433" t="s">
        <v>28</v>
      </c>
      <c r="N433" t="s">
        <v>179</v>
      </c>
      <c r="O433" t="s">
        <v>46</v>
      </c>
      <c r="P433" t="str">
        <f>HYPERLINK("https://www.facebook.com/902980129768465")</f>
        <v>https://www.facebook.com/902980129768465</v>
      </c>
      <c r="Q433">
        <v>1509</v>
      </c>
      <c r="R433" t="s">
        <v>17</v>
      </c>
      <c r="W433">
        <v>1</v>
      </c>
      <c r="X433">
        <v>1</v>
      </c>
      <c r="Y433">
        <v>0</v>
      </c>
      <c r="Z433">
        <v>0</v>
      </c>
      <c r="AA433">
        <v>0</v>
      </c>
      <c r="AB433">
        <v>0</v>
      </c>
      <c r="AC433">
        <v>0</v>
      </c>
      <c r="AE433">
        <v>0</v>
      </c>
      <c r="AF433">
        <v>1</v>
      </c>
      <c r="AI433" t="str">
        <f>HYPERLINK("https://scontent-hel2-1.xx.fbcdn.net/v/t1.0-9/s960x960/116432098_3223931634339958_7357464354610126713_o.jpg?_nc_cat=107&amp;_nc_sid=9267fe&amp;_nc_ohc=Rkbg9KAyoekAX8MzzZ4&amp;_nc_ht=scontent-hel2-1.xx&amp;_nc_tp=7&amp;oh=fd23104eccc9484ce92870c06b971e97&amp;oe=5F4988E4")</f>
        <v>https://scontent-hel2-1.xx.fbcdn.net/v/t1.0-9/s960x960/116432098_3223931634339958_7357464354610126713_o.jpg?_nc_cat=107&amp;_nc_sid=9267fe&amp;_nc_ohc=Rkbg9KAyoekAX8MzzZ4&amp;_nc_ht=scontent-hel2-1.xx&amp;_nc_tp=7&amp;oh=fd23104eccc9484ce92870c06b971e97&amp;oe=5F4988E4</v>
      </c>
      <c r="AJ433" t="s">
        <v>10</v>
      </c>
      <c r="AK433" t="s">
        <v>21</v>
      </c>
      <c r="AM433" t="s">
        <v>3238</v>
      </c>
    </row>
    <row r="434" spans="1:52" x14ac:dyDescent="0.25">
      <c r="A434" t="s">
        <v>1723</v>
      </c>
      <c r="B434" t="s">
        <v>1791</v>
      </c>
      <c r="C434" t="s">
        <v>984</v>
      </c>
      <c r="D434" t="s">
        <v>1697</v>
      </c>
      <c r="E434" t="s">
        <v>1778</v>
      </c>
      <c r="F434" t="s">
        <v>45</v>
      </c>
      <c r="G434" t="str">
        <f>HYPERLINK("https://www.thedailyjournal.com/story/news/coronavirus/2020/07/28/covid-northeast-better-prepared-second-spike/5449927002")</f>
        <v>https://www.thedailyjournal.com/story/news/coronavirus/2020/07/28/covid-northeast-better-prepared-second-spike/5449927002</v>
      </c>
      <c r="H434" t="s">
        <v>885</v>
      </c>
      <c r="I434" t="s">
        <v>1792</v>
      </c>
      <c r="J434" t="str">
        <f>HYPERLINK("https://www.thedailyjournal.com")</f>
        <v>https://www.thedailyjournal.com</v>
      </c>
      <c r="N434" t="s">
        <v>1793</v>
      </c>
      <c r="R434" t="s">
        <v>239</v>
      </c>
      <c r="S434" t="s">
        <v>425</v>
      </c>
      <c r="AJ434" t="s">
        <v>10</v>
      </c>
      <c r="AK434" t="s">
        <v>21</v>
      </c>
    </row>
    <row r="435" spans="1:52" x14ac:dyDescent="0.25">
      <c r="A435" t="s">
        <v>1838</v>
      </c>
      <c r="B435" t="s">
        <v>1895</v>
      </c>
      <c r="C435" t="s">
        <v>984</v>
      </c>
      <c r="D435" t="s">
        <v>10</v>
      </c>
      <c r="E435" t="s">
        <v>1896</v>
      </c>
      <c r="F435" t="s">
        <v>45</v>
      </c>
      <c r="G435" t="str">
        <f>HYPERLINK("https://www.facebook.com/expert.klinika.stavropol/photos/a.108004590782008/169276771321456/?type=3")</f>
        <v>https://www.facebook.com/expert.klinika.stavropol/photos/a.108004590782008/169276771321456/?type=3</v>
      </c>
      <c r="H435" t="s">
        <v>885</v>
      </c>
      <c r="I435" t="s">
        <v>640</v>
      </c>
      <c r="J435" t="str">
        <f>HYPERLINK("https://www.facebook.com/107325724183228")</f>
        <v>https://www.facebook.com/107325724183228</v>
      </c>
      <c r="K435">
        <v>1</v>
      </c>
      <c r="L435" t="s">
        <v>28</v>
      </c>
      <c r="N435" t="s">
        <v>179</v>
      </c>
      <c r="O435" t="s">
        <v>640</v>
      </c>
      <c r="P435" t="str">
        <f>HYPERLINK("https://www.facebook.com/107325724183228")</f>
        <v>https://www.facebook.com/107325724183228</v>
      </c>
      <c r="Q435">
        <v>1</v>
      </c>
      <c r="R435" t="s">
        <v>17</v>
      </c>
      <c r="S435" t="s">
        <v>18</v>
      </c>
      <c r="T435" t="s">
        <v>641</v>
      </c>
      <c r="U435" t="s">
        <v>642</v>
      </c>
      <c r="W435">
        <v>0</v>
      </c>
      <c r="X435">
        <v>0</v>
      </c>
      <c r="Y435">
        <v>0</v>
      </c>
      <c r="Z435">
        <v>0</v>
      </c>
      <c r="AA435">
        <v>0</v>
      </c>
      <c r="AB435">
        <v>0</v>
      </c>
      <c r="AC435">
        <v>0</v>
      </c>
      <c r="AE435">
        <v>0</v>
      </c>
      <c r="AI435" t="str">
        <f>HYPERLINK("https://scontent-hel2-1.xx.fbcdn.net/v/t1.0-0/p526x296/116158072_169276774654789_563269829187799689_o.jpg?_nc_cat=100&amp;_nc_sid=9267fe&amp;_nc_ohc=h-zupi4yNekAX81AFxj&amp;_nc_ht=scontent-hel2-1.xx&amp;_nc_tp=6&amp;oh=c8fc0c32ea7993f11b1c847f0485a8a4&amp;oe=5F4376C3")</f>
        <v>https://scontent-hel2-1.xx.fbcdn.net/v/t1.0-0/p526x296/116158072_169276774654789_563269829187799689_o.jpg?_nc_cat=100&amp;_nc_sid=9267fe&amp;_nc_ohc=h-zupi4yNekAX81AFxj&amp;_nc_ht=scontent-hel2-1.xx&amp;_nc_tp=6&amp;oh=c8fc0c32ea7993f11b1c847f0485a8a4&amp;oe=5F4376C3</v>
      </c>
      <c r="AJ435" t="s">
        <v>10</v>
      </c>
      <c r="AK435" t="s">
        <v>21</v>
      </c>
    </row>
    <row r="436" spans="1:52" x14ac:dyDescent="0.25">
      <c r="A436" t="s">
        <v>1930</v>
      </c>
      <c r="B436" t="s">
        <v>1980</v>
      </c>
      <c r="C436" t="s">
        <v>984</v>
      </c>
      <c r="D436" t="s">
        <v>1959</v>
      </c>
      <c r="E436" t="s">
        <v>1981</v>
      </c>
      <c r="F436" t="s">
        <v>26</v>
      </c>
      <c r="G436" t="str">
        <f>HYPERLINK("https://www.facebook.com/permalink.php?story_fbid=2626249161024079&amp;id=100009170625998&amp;comment_id=2628085604173768&amp;reply_comment_id=2628102274172101")</f>
        <v>https://www.facebook.com/permalink.php?story_fbid=2626249161024079&amp;id=100009170625998&amp;comment_id=2628085604173768&amp;reply_comment_id=2628102274172101</v>
      </c>
      <c r="H436" t="s">
        <v>885</v>
      </c>
      <c r="I436" t="s">
        <v>1961</v>
      </c>
      <c r="J436" t="str">
        <f>HYPERLINK("https://www.facebook.com/100009170625998")</f>
        <v>https://www.facebook.com/100009170625998</v>
      </c>
      <c r="K436">
        <v>759</v>
      </c>
      <c r="L436" t="s">
        <v>80</v>
      </c>
      <c r="N436" t="s">
        <v>179</v>
      </c>
      <c r="O436" t="s">
        <v>1961</v>
      </c>
      <c r="P436" t="str">
        <f>HYPERLINK("https://www.facebook.com/100009170625998")</f>
        <v>https://www.facebook.com/100009170625998</v>
      </c>
      <c r="Q436">
        <v>759</v>
      </c>
      <c r="R436" t="s">
        <v>17</v>
      </c>
      <c r="S436" t="s">
        <v>18</v>
      </c>
      <c r="T436" t="s">
        <v>354</v>
      </c>
      <c r="U436" t="s">
        <v>354</v>
      </c>
      <c r="AJ436" t="s">
        <v>10</v>
      </c>
      <c r="AK436" t="s">
        <v>21</v>
      </c>
    </row>
    <row r="437" spans="1:52" x14ac:dyDescent="0.25">
      <c r="A437" t="s">
        <v>2057</v>
      </c>
      <c r="B437" t="s">
        <v>2006</v>
      </c>
      <c r="C437" t="s">
        <v>968</v>
      </c>
      <c r="D437" t="s">
        <v>10</v>
      </c>
      <c r="E437" t="s">
        <v>2073</v>
      </c>
      <c r="F437" t="s">
        <v>45</v>
      </c>
      <c r="G437" t="str">
        <f>HYPERLINK("https://www.facebook.com/mriexpert/photos/a.902990326434112/3212898072109981/?type=3")</f>
        <v>https://www.facebook.com/mriexpert/photos/a.902990326434112/3212898072109981/?type=3</v>
      </c>
      <c r="H437" t="s">
        <v>885</v>
      </c>
      <c r="I437" t="s">
        <v>46</v>
      </c>
      <c r="J437" t="str">
        <f>HYPERLINK("https://www.facebook.com/902980129768465")</f>
        <v>https://www.facebook.com/902980129768465</v>
      </c>
      <c r="K437">
        <v>1509</v>
      </c>
      <c r="L437" t="s">
        <v>28</v>
      </c>
      <c r="N437" t="s">
        <v>179</v>
      </c>
      <c r="O437" t="s">
        <v>46</v>
      </c>
      <c r="P437" t="str">
        <f>HYPERLINK("https://www.facebook.com/902980129768465")</f>
        <v>https://www.facebook.com/902980129768465</v>
      </c>
      <c r="Q437">
        <v>1509</v>
      </c>
      <c r="R437" t="s">
        <v>17</v>
      </c>
      <c r="W437">
        <v>2</v>
      </c>
      <c r="X437">
        <v>2</v>
      </c>
      <c r="Y437">
        <v>0</v>
      </c>
      <c r="Z437">
        <v>0</v>
      </c>
      <c r="AA437">
        <v>0</v>
      </c>
      <c r="AB437">
        <v>0</v>
      </c>
      <c r="AC437">
        <v>0</v>
      </c>
      <c r="AE437">
        <v>0</v>
      </c>
      <c r="AF437">
        <v>1</v>
      </c>
      <c r="AI437" t="str">
        <f>HYPERLINK("https://scontent-hel2-1.xx.fbcdn.net/v/t1.0-9/s960x960/116125207_3212898078776647_7905043934192237803_o.jpg?_nc_cat=104&amp;_nc_sid=9267fe&amp;_nc_ohc=X_eXrMfveFUAX9yNbGO&amp;_nc_ht=scontent-hel2-1.xx&amp;_nc_tp=7&amp;oh=f58c6372697f0797cc890b463de50b32&amp;oe=5F43905F")</f>
        <v>https://scontent-hel2-1.xx.fbcdn.net/v/t1.0-9/s960x960/116125207_3212898078776647_7905043934192237803_o.jpg?_nc_cat=104&amp;_nc_sid=9267fe&amp;_nc_ohc=X_eXrMfveFUAX9yNbGO&amp;_nc_ht=scontent-hel2-1.xx&amp;_nc_tp=7&amp;oh=f58c6372697f0797cc890b463de50b32&amp;oe=5F43905F</v>
      </c>
      <c r="AJ437" t="s">
        <v>10</v>
      </c>
      <c r="AK437" t="s">
        <v>21</v>
      </c>
      <c r="AO437" t="s">
        <v>3240</v>
      </c>
    </row>
    <row r="438" spans="1:52" x14ac:dyDescent="0.25">
      <c r="A438" t="s">
        <v>2193</v>
      </c>
      <c r="B438" t="s">
        <v>2194</v>
      </c>
      <c r="C438" t="s">
        <v>968</v>
      </c>
      <c r="D438" t="s">
        <v>10</v>
      </c>
      <c r="E438" t="s">
        <v>2195</v>
      </c>
      <c r="F438" t="s">
        <v>45</v>
      </c>
      <c r="G438" t="str">
        <f>HYPERLINK("https://vk.com/wall65091191_5632")</f>
        <v>https://vk.com/wall65091191_5632</v>
      </c>
      <c r="H438" t="s">
        <v>889</v>
      </c>
      <c r="I438" t="s">
        <v>2177</v>
      </c>
      <c r="J438" t="str">
        <f>HYPERLINK("http://vk.com/id65091191")</f>
        <v>http://vk.com/id65091191</v>
      </c>
      <c r="K438">
        <v>1064</v>
      </c>
      <c r="L438" t="s">
        <v>80</v>
      </c>
      <c r="M438">
        <v>35</v>
      </c>
      <c r="N438" t="s">
        <v>16</v>
      </c>
      <c r="O438" t="s">
        <v>2177</v>
      </c>
      <c r="P438" t="str">
        <f>HYPERLINK("http://vk.com/id65091191")</f>
        <v>http://vk.com/id65091191</v>
      </c>
      <c r="Q438">
        <v>1064</v>
      </c>
      <c r="R438" t="s">
        <v>17</v>
      </c>
      <c r="S438" t="s">
        <v>18</v>
      </c>
      <c r="T438" t="s">
        <v>578</v>
      </c>
      <c r="U438" t="s">
        <v>579</v>
      </c>
      <c r="W438">
        <v>36</v>
      </c>
      <c r="X438">
        <v>36</v>
      </c>
      <c r="AE438">
        <v>0</v>
      </c>
      <c r="AF438">
        <v>0</v>
      </c>
      <c r="AG438">
        <v>677</v>
      </c>
      <c r="AI438" t="str">
        <f>HYPERLINK("https://sun9-68.userapi.com/HsgX5G_Sy9qpYOZKX1vETV0vwb54jiAvInWfNg/kHMWA0k_cYc.jpg")</f>
        <v>https://sun9-68.userapi.com/HsgX5G_Sy9qpYOZKX1vETV0vwb54jiAvInWfNg/kHMWA0k_cYc.jpg</v>
      </c>
      <c r="AJ438" t="s">
        <v>10</v>
      </c>
      <c r="AK438" t="s">
        <v>21</v>
      </c>
      <c r="AL438" t="s">
        <v>3237</v>
      </c>
    </row>
    <row r="439" spans="1:52" x14ac:dyDescent="0.25">
      <c r="A439" t="s">
        <v>2193</v>
      </c>
      <c r="B439" t="s">
        <v>1762</v>
      </c>
      <c r="C439" t="s">
        <v>968</v>
      </c>
      <c r="D439" t="s">
        <v>10</v>
      </c>
      <c r="E439" t="s">
        <v>2221</v>
      </c>
      <c r="F439" t="s">
        <v>45</v>
      </c>
      <c r="G439" t="str">
        <f>HYPERLINK("https://vk.com/wall-48669646_10202")</f>
        <v>https://vk.com/wall-48669646_10202</v>
      </c>
      <c r="H439" t="s">
        <v>885</v>
      </c>
      <c r="I439" t="s">
        <v>46</v>
      </c>
      <c r="J439" t="str">
        <f>HYPERLINK("http://vk.com/club48669646")</f>
        <v>http://vk.com/club48669646</v>
      </c>
      <c r="K439">
        <v>5795</v>
      </c>
      <c r="L439" t="s">
        <v>28</v>
      </c>
      <c r="N439" t="s">
        <v>16</v>
      </c>
      <c r="O439" t="s">
        <v>46</v>
      </c>
      <c r="P439" t="str">
        <f>HYPERLINK("http://vk.com/club48669646")</f>
        <v>http://vk.com/club48669646</v>
      </c>
      <c r="Q439">
        <v>5795</v>
      </c>
      <c r="R439" t="s">
        <v>17</v>
      </c>
      <c r="S439" t="s">
        <v>18</v>
      </c>
      <c r="W439">
        <v>0</v>
      </c>
      <c r="X439">
        <v>0</v>
      </c>
      <c r="AE439">
        <v>0</v>
      </c>
      <c r="AF439">
        <v>0</v>
      </c>
      <c r="AG439">
        <v>327</v>
      </c>
      <c r="AI439" t="str">
        <f>HYPERLINK("https://sun9-10.userapi.com/sbz_tVfi3O4gSxx0_ECJ-8eW2wWbQRlVm2ZIHQ/laDP70Dflwk.jpg")</f>
        <v>https://sun9-10.userapi.com/sbz_tVfi3O4gSxx0_ECJ-8eW2wWbQRlVm2ZIHQ/laDP70Dflwk.jpg</v>
      </c>
      <c r="AJ439" t="s">
        <v>10</v>
      </c>
      <c r="AK439" t="s">
        <v>21</v>
      </c>
      <c r="AL439" t="s">
        <v>3237</v>
      </c>
    </row>
    <row r="440" spans="1:52" x14ac:dyDescent="0.25">
      <c r="A440" t="s">
        <v>2193</v>
      </c>
      <c r="B440" t="s">
        <v>2233</v>
      </c>
      <c r="C440" t="s">
        <v>968</v>
      </c>
      <c r="D440" t="s">
        <v>10</v>
      </c>
      <c r="E440" t="s">
        <v>2234</v>
      </c>
      <c r="F440" t="s">
        <v>45</v>
      </c>
      <c r="G440" t="str">
        <f>HYPERLINK("https://www.instagram.com/p/CC8Ii9plFL5")</f>
        <v>https://www.instagram.com/p/CC8Ii9plFL5</v>
      </c>
      <c r="H440" t="s">
        <v>885</v>
      </c>
      <c r="I440" t="s">
        <v>1128</v>
      </c>
      <c r="J440" t="str">
        <f>HYPERLINK("http://instagram.com/mrt_ekspert_sochi")</f>
        <v>http://instagram.com/mrt_ekspert_sochi</v>
      </c>
      <c r="K440">
        <v>657</v>
      </c>
      <c r="L440" t="s">
        <v>28</v>
      </c>
      <c r="N440" t="s">
        <v>69</v>
      </c>
      <c r="O440" t="s">
        <v>1128</v>
      </c>
      <c r="P440" t="str">
        <f>HYPERLINK("http://instagram.com/mrt_ekspert_sochi")</f>
        <v>http://instagram.com/mrt_ekspert_sochi</v>
      </c>
      <c r="Q440">
        <v>657</v>
      </c>
      <c r="R440" t="s">
        <v>17</v>
      </c>
      <c r="S440" t="s">
        <v>18</v>
      </c>
      <c r="T440" t="s">
        <v>617</v>
      </c>
      <c r="U440" t="s">
        <v>1034</v>
      </c>
      <c r="AI440" t="str">
        <f>HYPERLINK("https://www.instagram.com/p/CC8Ii9plFL5/media/?size=l")</f>
        <v>https://www.instagram.com/p/CC8Ii9plFL5/media/?size=l</v>
      </c>
      <c r="AJ440" t="s">
        <v>10</v>
      </c>
      <c r="AK440" t="s">
        <v>21</v>
      </c>
    </row>
    <row r="441" spans="1:52" x14ac:dyDescent="0.25">
      <c r="A441" t="s">
        <v>2260</v>
      </c>
      <c r="B441" t="s">
        <v>2287</v>
      </c>
      <c r="C441" t="s">
        <v>968</v>
      </c>
      <c r="D441" t="s">
        <v>421</v>
      </c>
      <c r="E441" t="s">
        <v>2288</v>
      </c>
      <c r="F441" t="s">
        <v>26</v>
      </c>
      <c r="G441" t="str">
        <f>HYPERLINK("https://www.youtube.com/watch?v=gaka1vqYFNs&amp;lc=UgwNiOLLXxyI_itR89B4AaABAg")</f>
        <v>https://www.youtube.com/watch?v=gaka1vqYFNs&amp;lc=UgwNiOLLXxyI_itR89B4AaABAg</v>
      </c>
      <c r="H441" t="s">
        <v>1057</v>
      </c>
      <c r="I441" t="s">
        <v>2286</v>
      </c>
      <c r="J441" t="str">
        <f>HYPERLINK("https://www.youtube.com/channel/UCSg2sbOezknyBg3nwfhd2oQ")</f>
        <v>https://www.youtube.com/channel/UCSg2sbOezknyBg3nwfhd2oQ</v>
      </c>
      <c r="K441">
        <v>5</v>
      </c>
      <c r="N441" t="s">
        <v>162</v>
      </c>
      <c r="O441" t="s">
        <v>424</v>
      </c>
      <c r="P441" t="str">
        <f>HYPERLINK("https://www.youtube.com/channel/UC8fQzKHIhSoZeSq3bwQx4mw")</f>
        <v>https://www.youtube.com/channel/UC8fQzKHIhSoZeSq3bwQx4mw</v>
      </c>
      <c r="Q441">
        <v>517000</v>
      </c>
      <c r="R441" t="s">
        <v>17</v>
      </c>
      <c r="S441" t="s">
        <v>425</v>
      </c>
      <c r="AJ441" t="s">
        <v>10</v>
      </c>
      <c r="AK441" t="s">
        <v>21</v>
      </c>
    </row>
    <row r="442" spans="1:52" x14ac:dyDescent="0.25">
      <c r="A442" t="s">
        <v>7</v>
      </c>
      <c r="B442" t="s">
        <v>402</v>
      </c>
      <c r="C442" t="s">
        <v>403</v>
      </c>
      <c r="D442" t="s">
        <v>24</v>
      </c>
      <c r="E442" t="s">
        <v>405</v>
      </c>
      <c r="F442" t="s">
        <v>26</v>
      </c>
      <c r="G442" t="str">
        <f>HYPERLINK("https://vk.com/wall-197114981_31?reply=1287")</f>
        <v>https://vk.com/wall-197114981_31?reply=1287</v>
      </c>
      <c r="H442" t="s">
        <v>13</v>
      </c>
      <c r="I442" t="s">
        <v>388</v>
      </c>
      <c r="J442" t="str">
        <f>HYPERLINK("http://vk.com/id169523743")</f>
        <v>http://vk.com/id169523743</v>
      </c>
      <c r="K442">
        <v>50</v>
      </c>
      <c r="L442" t="s">
        <v>80</v>
      </c>
      <c r="M442">
        <v>24</v>
      </c>
      <c r="N442" t="s">
        <v>16</v>
      </c>
      <c r="O442" t="s">
        <v>27</v>
      </c>
      <c r="P442" t="str">
        <f>HYPERLINK("http://vk.com/club197114981")</f>
        <v>http://vk.com/club197114981</v>
      </c>
      <c r="Q442">
        <v>38</v>
      </c>
      <c r="R442" t="s">
        <v>17</v>
      </c>
      <c r="S442" t="s">
        <v>18</v>
      </c>
      <c r="T442" t="s">
        <v>231</v>
      </c>
      <c r="U442" t="s">
        <v>232</v>
      </c>
      <c r="AJ442" t="s">
        <v>10</v>
      </c>
      <c r="AK442" t="s">
        <v>21</v>
      </c>
    </row>
    <row r="443" spans="1:52" x14ac:dyDescent="0.25">
      <c r="A443" t="s">
        <v>414</v>
      </c>
      <c r="B443" t="s">
        <v>441</v>
      </c>
      <c r="C443" t="s">
        <v>442</v>
      </c>
      <c r="D443" t="s">
        <v>24</v>
      </c>
      <c r="E443" t="s">
        <v>443</v>
      </c>
      <c r="F443" t="s">
        <v>26</v>
      </c>
      <c r="G443" t="str">
        <f>HYPERLINK("https://vk.com/wall-197114981_31?reply=1271&amp;thread=1269")</f>
        <v>https://vk.com/wall-197114981_31?reply=1271&amp;thread=1269</v>
      </c>
      <c r="H443" t="s">
        <v>13</v>
      </c>
      <c r="I443" t="s">
        <v>27</v>
      </c>
      <c r="J443" t="str">
        <f>HYPERLINK("http://vk.com/club197114981")</f>
        <v>http://vk.com/club197114981</v>
      </c>
      <c r="K443">
        <v>38</v>
      </c>
      <c r="L443" t="s">
        <v>28</v>
      </c>
      <c r="N443" t="s">
        <v>16</v>
      </c>
      <c r="O443" t="s">
        <v>27</v>
      </c>
      <c r="P443" t="str">
        <f>HYPERLINK("http://vk.com/club197114981")</f>
        <v>http://vk.com/club197114981</v>
      </c>
      <c r="Q443">
        <v>38</v>
      </c>
      <c r="R443" t="s">
        <v>17</v>
      </c>
      <c r="AJ443" t="s">
        <v>10</v>
      </c>
      <c r="AK443" t="s">
        <v>21</v>
      </c>
      <c r="AR443" t="s">
        <v>3243</v>
      </c>
      <c r="AS443" t="s">
        <v>3244</v>
      </c>
      <c r="AW443" t="s">
        <v>3248</v>
      </c>
      <c r="AX443" t="s">
        <v>3249</v>
      </c>
      <c r="AY443" t="s">
        <v>3250</v>
      </c>
    </row>
    <row r="444" spans="1:52" x14ac:dyDescent="0.25">
      <c r="A444" t="s">
        <v>772</v>
      </c>
      <c r="B444" t="s">
        <v>637</v>
      </c>
      <c r="C444" t="s">
        <v>984</v>
      </c>
      <c r="D444" t="s">
        <v>10</v>
      </c>
      <c r="E444" t="s">
        <v>985</v>
      </c>
      <c r="F444" t="s">
        <v>45</v>
      </c>
      <c r="G444" t="str">
        <f>HYPERLINK("https://www.facebook.com/clinicexpertrnd/posts/790951284982503")</f>
        <v>https://www.facebook.com/clinicexpertrnd/posts/790951284982503</v>
      </c>
      <c r="H444" t="s">
        <v>889</v>
      </c>
      <c r="I444" t="s">
        <v>125</v>
      </c>
      <c r="J444" t="str">
        <f>HYPERLINK("https://www.facebook.com/156600068417631")</f>
        <v>https://www.facebook.com/156600068417631</v>
      </c>
      <c r="K444">
        <v>236</v>
      </c>
      <c r="L444" t="s">
        <v>28</v>
      </c>
      <c r="N444" t="s">
        <v>179</v>
      </c>
      <c r="O444" t="s">
        <v>125</v>
      </c>
      <c r="P444" t="str">
        <f>HYPERLINK("https://www.facebook.com/156600068417631")</f>
        <v>https://www.facebook.com/156600068417631</v>
      </c>
      <c r="Q444">
        <v>236</v>
      </c>
      <c r="R444" t="s">
        <v>17</v>
      </c>
      <c r="S444" t="s">
        <v>18</v>
      </c>
      <c r="T444" t="s">
        <v>126</v>
      </c>
      <c r="U444" t="s">
        <v>127</v>
      </c>
      <c r="W444">
        <v>0</v>
      </c>
      <c r="X444">
        <v>0</v>
      </c>
      <c r="Y444">
        <v>0</v>
      </c>
      <c r="Z444">
        <v>0</v>
      </c>
      <c r="AA444">
        <v>0</v>
      </c>
      <c r="AB444">
        <v>0</v>
      </c>
      <c r="AC444">
        <v>0</v>
      </c>
      <c r="AE444">
        <v>0</v>
      </c>
      <c r="AI444" t="str">
        <f>HYPERLINK("https://scontent-hel2-1.xx.fbcdn.net/v/t1.0-9/117206455_790951201649178_1759703484753592856_o.jpg?_nc_cat=107&amp;_nc_sid=730e14&amp;_nc_ohc=oKoJ_shKoosAX949R0i&amp;_nc_ht=scontent-hel2-1.xx&amp;oh=df5198e857bcf2ec098573ca54ce455e&amp;oe=5F53E2CC")</f>
        <v>https://scontent-hel2-1.xx.fbcdn.net/v/t1.0-9/117206455_790951201649178_1759703484753592856_o.jpg?_nc_cat=107&amp;_nc_sid=730e14&amp;_nc_ohc=oKoJ_shKoosAX949R0i&amp;_nc_ht=scontent-hel2-1.xx&amp;oh=df5198e857bcf2ec098573ca54ce455e&amp;oe=5F53E2CC</v>
      </c>
      <c r="AJ444" t="s">
        <v>10</v>
      </c>
      <c r="AK444" t="s">
        <v>21</v>
      </c>
      <c r="AR444" t="s">
        <v>3243</v>
      </c>
      <c r="AS444" t="s">
        <v>3244</v>
      </c>
      <c r="AX444" t="s">
        <v>3249</v>
      </c>
      <c r="AY444" t="s">
        <v>3250</v>
      </c>
    </row>
    <row r="445" spans="1:52" x14ac:dyDescent="0.25">
      <c r="A445" t="s">
        <v>1982</v>
      </c>
      <c r="B445" t="s">
        <v>2037</v>
      </c>
      <c r="C445" t="s">
        <v>968</v>
      </c>
      <c r="D445" t="s">
        <v>10</v>
      </c>
      <c r="E445" t="s">
        <v>1998</v>
      </c>
      <c r="F445" t="s">
        <v>45</v>
      </c>
      <c r="G445" t="str">
        <f>HYPERLINK("https://vk.com/wall-48669646_10212")</f>
        <v>https://vk.com/wall-48669646_10212</v>
      </c>
      <c r="H445" t="s">
        <v>885</v>
      </c>
      <c r="I445" t="s">
        <v>46</v>
      </c>
      <c r="J445" t="str">
        <f>HYPERLINK("http://vk.com/club48669646")</f>
        <v>http://vk.com/club48669646</v>
      </c>
      <c r="K445">
        <v>5795</v>
      </c>
      <c r="L445" t="s">
        <v>28</v>
      </c>
      <c r="N445" t="s">
        <v>16</v>
      </c>
      <c r="O445" t="s">
        <v>46</v>
      </c>
      <c r="P445" t="str">
        <f>HYPERLINK("http://vk.com/club48669646")</f>
        <v>http://vk.com/club48669646</v>
      </c>
      <c r="Q445">
        <v>5795</v>
      </c>
      <c r="R445" t="s">
        <v>17</v>
      </c>
      <c r="S445" t="s">
        <v>18</v>
      </c>
      <c r="W445">
        <v>1</v>
      </c>
      <c r="X445">
        <v>1</v>
      </c>
      <c r="AE445">
        <v>0</v>
      </c>
      <c r="AF445">
        <v>1</v>
      </c>
      <c r="AG445">
        <v>390</v>
      </c>
      <c r="AI445" t="str">
        <f>HYPERLINK("https://sun9-24.userapi.com/gwvYVfGnKCHOZRW_wIj5mZ6dR_pyypSbIegNmg/W7kq48TGQgk.jpg")</f>
        <v>https://sun9-24.userapi.com/gwvYVfGnKCHOZRW_wIj5mZ6dR_pyypSbIegNmg/W7kq48TGQgk.jpg</v>
      </c>
      <c r="AJ445" t="s">
        <v>10</v>
      </c>
      <c r="AK445" t="s">
        <v>21</v>
      </c>
      <c r="AR445" t="s">
        <v>3243</v>
      </c>
      <c r="AS445" t="s">
        <v>3244</v>
      </c>
      <c r="AU445" t="s">
        <v>3246</v>
      </c>
      <c r="AX445" t="s">
        <v>3249</v>
      </c>
      <c r="AZ445" t="s">
        <v>3251</v>
      </c>
    </row>
    <row r="446" spans="1:52" x14ac:dyDescent="0.25">
      <c r="A446" t="s">
        <v>2057</v>
      </c>
      <c r="B446" t="s">
        <v>2090</v>
      </c>
      <c r="C446" t="s">
        <v>968</v>
      </c>
      <c r="D446" t="s">
        <v>10</v>
      </c>
      <c r="E446" t="s">
        <v>2091</v>
      </c>
      <c r="F446" t="s">
        <v>45</v>
      </c>
      <c r="G446" t="str">
        <f>HYPERLINK("https://vk.com/wall-122327832_626")</f>
        <v>https://vk.com/wall-122327832_626</v>
      </c>
      <c r="H446" t="s">
        <v>885</v>
      </c>
      <c r="I446" t="s">
        <v>1170</v>
      </c>
      <c r="J446" t="str">
        <f>HYPERLINK("http://vk.com/club122327832")</f>
        <v>http://vk.com/club122327832</v>
      </c>
      <c r="K446">
        <v>891</v>
      </c>
      <c r="L446" t="s">
        <v>28</v>
      </c>
      <c r="N446" t="s">
        <v>16</v>
      </c>
      <c r="O446" t="s">
        <v>1170</v>
      </c>
      <c r="P446" t="str">
        <f>HYPERLINK("http://vk.com/club122327832")</f>
        <v>http://vk.com/club122327832</v>
      </c>
      <c r="Q446">
        <v>891</v>
      </c>
      <c r="R446" t="s">
        <v>17</v>
      </c>
      <c r="S446" t="s">
        <v>18</v>
      </c>
      <c r="T446" t="s">
        <v>70</v>
      </c>
      <c r="U446" t="s">
        <v>71</v>
      </c>
      <c r="W446">
        <v>0</v>
      </c>
      <c r="X446">
        <v>0</v>
      </c>
      <c r="AE446">
        <v>0</v>
      </c>
      <c r="AF446">
        <v>0</v>
      </c>
      <c r="AG446">
        <v>106</v>
      </c>
      <c r="AI446" t="str">
        <f>HYPERLINK("https://sun1-17.userapi.com/BJSaf5FFwD37RhI_baOuxnMI2wiC5VfN3AOoWg/oz1QBy_b67A.jpg")</f>
        <v>https://sun1-17.userapi.com/BJSaf5FFwD37RhI_baOuxnMI2wiC5VfN3AOoWg/oz1QBy_b67A.jpg</v>
      </c>
      <c r="AJ446" t="s">
        <v>10</v>
      </c>
      <c r="AK446" t="s">
        <v>21</v>
      </c>
    </row>
    <row r="447" spans="1:52" x14ac:dyDescent="0.25">
      <c r="A447" t="s">
        <v>2684</v>
      </c>
      <c r="B447" t="s">
        <v>845</v>
      </c>
      <c r="C447" t="s">
        <v>968</v>
      </c>
      <c r="D447" t="s">
        <v>10</v>
      </c>
      <c r="E447" t="s">
        <v>2688</v>
      </c>
      <c r="F447" t="s">
        <v>12</v>
      </c>
      <c r="G447" t="str">
        <f>HYPERLINK("https://www.facebook.com/hasmik.karapetyan.906/posts/2787993368099786")</f>
        <v>https://www.facebook.com/hasmik.karapetyan.906/posts/2787993368099786</v>
      </c>
      <c r="H447" t="s">
        <v>885</v>
      </c>
      <c r="I447" t="s">
        <v>2705</v>
      </c>
      <c r="J447" t="str">
        <f>HYPERLINK("https://www.facebook.com/100006674499262")</f>
        <v>https://www.facebook.com/100006674499262</v>
      </c>
      <c r="K447">
        <v>256</v>
      </c>
      <c r="L447" t="s">
        <v>80</v>
      </c>
      <c r="N447" t="s">
        <v>179</v>
      </c>
      <c r="O447" t="s">
        <v>2705</v>
      </c>
      <c r="P447" t="str">
        <f>HYPERLINK("https://www.facebook.com/100006674499262")</f>
        <v>https://www.facebook.com/100006674499262</v>
      </c>
      <c r="Q447">
        <v>256</v>
      </c>
      <c r="R447" t="s">
        <v>17</v>
      </c>
      <c r="S447" t="s">
        <v>2690</v>
      </c>
      <c r="T447" t="s">
        <v>2691</v>
      </c>
      <c r="U447" t="s">
        <v>2692</v>
      </c>
      <c r="W447">
        <v>2</v>
      </c>
      <c r="X447">
        <v>2</v>
      </c>
      <c r="Y447">
        <v>0</v>
      </c>
      <c r="Z447">
        <v>0</v>
      </c>
      <c r="AA447">
        <v>0</v>
      </c>
      <c r="AB447">
        <v>0</v>
      </c>
      <c r="AC447">
        <v>0</v>
      </c>
      <c r="AE447">
        <v>0</v>
      </c>
      <c r="AI447" t="str">
        <f>HYPERLINK("https://scontent-hel2-1.xx.fbcdn.net/v/t15.13418-10/107718255_3109660389083815_8825691245568026571_n.jpg?_nc_cat=108&amp;_nc_sid=ad6a45&amp;_nc_ohc=fyWVkB1ebcUAX_wnaOU&amp;_nc_ht=scontent-hel2-1.xx&amp;oh=b5642c63fb113c92f163c29a487c1792&amp;oe=5F34D9DA")</f>
        <v>https://scontent-hel2-1.xx.fbcdn.net/v/t15.13418-10/107718255_3109660389083815_8825691245568026571_n.jpg?_nc_cat=108&amp;_nc_sid=ad6a45&amp;_nc_ohc=fyWVkB1ebcUAX_wnaOU&amp;_nc_ht=scontent-hel2-1.xx&amp;oh=b5642c63fb113c92f163c29a487c1792&amp;oe=5F34D9DA</v>
      </c>
      <c r="AJ447" t="s">
        <v>10</v>
      </c>
      <c r="AK447" t="s">
        <v>21</v>
      </c>
      <c r="AM447" t="s">
        <v>3238</v>
      </c>
    </row>
    <row r="448" spans="1:52" x14ac:dyDescent="0.25">
      <c r="A448" t="s">
        <v>2684</v>
      </c>
      <c r="B448" t="s">
        <v>890</v>
      </c>
      <c r="C448" t="s">
        <v>968</v>
      </c>
      <c r="D448" t="s">
        <v>10</v>
      </c>
      <c r="E448" t="s">
        <v>2730</v>
      </c>
      <c r="F448" t="s">
        <v>45</v>
      </c>
      <c r="G448" t="str">
        <f>HYPERLINK("https://vk.com/wall-48669646_10167")</f>
        <v>https://vk.com/wall-48669646_10167</v>
      </c>
      <c r="H448" t="s">
        <v>885</v>
      </c>
      <c r="I448" t="s">
        <v>46</v>
      </c>
      <c r="J448" t="str">
        <f>HYPERLINK("http://vk.com/club48669646")</f>
        <v>http://vk.com/club48669646</v>
      </c>
      <c r="K448">
        <v>5795</v>
      </c>
      <c r="L448" t="s">
        <v>28</v>
      </c>
      <c r="N448" t="s">
        <v>16</v>
      </c>
      <c r="O448" t="s">
        <v>46</v>
      </c>
      <c r="P448" t="str">
        <f>HYPERLINK("http://vk.com/club48669646")</f>
        <v>http://vk.com/club48669646</v>
      </c>
      <c r="Q448">
        <v>5795</v>
      </c>
      <c r="R448" t="s">
        <v>17</v>
      </c>
      <c r="S448" t="s">
        <v>18</v>
      </c>
      <c r="W448">
        <v>0</v>
      </c>
      <c r="X448">
        <v>0</v>
      </c>
      <c r="AE448">
        <v>0</v>
      </c>
      <c r="AF448">
        <v>0</v>
      </c>
      <c r="AG448">
        <v>339</v>
      </c>
      <c r="AI448" t="str">
        <f>HYPERLINK("https://sun1-16.userapi.com/9cAylOFLm1G0c-B56vIb-z2BfCXjfZHopUUejg/15D0PSO56Kc.jpg")</f>
        <v>https://sun1-16.userapi.com/9cAylOFLm1G0c-B56vIb-z2BfCXjfZHopUUejg/15D0PSO56Kc.jpg</v>
      </c>
      <c r="AJ448" t="s">
        <v>10</v>
      </c>
      <c r="AK448" t="s">
        <v>21</v>
      </c>
      <c r="AL448" t="s">
        <v>3237</v>
      </c>
    </row>
    <row r="449" spans="1:52" x14ac:dyDescent="0.25">
      <c r="A449" t="s">
        <v>2767</v>
      </c>
      <c r="B449" t="s">
        <v>2768</v>
      </c>
      <c r="C449" t="s">
        <v>968</v>
      </c>
      <c r="D449" t="s">
        <v>421</v>
      </c>
      <c r="E449" t="s">
        <v>2769</v>
      </c>
      <c r="F449" t="s">
        <v>26</v>
      </c>
      <c r="G449" t="str">
        <f>HYPERLINK("https://www.youtube.com/watch?v=gaka1vqYFNs&amp;lc=UgyWgCgcEr7vLQWVsgp4AaABAg")</f>
        <v>https://www.youtube.com/watch?v=gaka1vqYFNs&amp;lc=UgyWgCgcEr7vLQWVsgp4AaABAg</v>
      </c>
      <c r="H449" t="s">
        <v>1057</v>
      </c>
      <c r="I449" t="s">
        <v>2770</v>
      </c>
      <c r="J449" t="str">
        <f>HYPERLINK("https://www.youtube.com/channel/UCTijbNWl0AiQAjUHrAYbdww")</f>
        <v>https://www.youtube.com/channel/UCTijbNWl0AiQAjUHrAYbdww</v>
      </c>
      <c r="K449">
        <v>3</v>
      </c>
      <c r="N449" t="s">
        <v>162</v>
      </c>
      <c r="O449" t="s">
        <v>424</v>
      </c>
      <c r="P449" t="str">
        <f>HYPERLINK("https://www.youtube.com/channel/UC8fQzKHIhSoZeSq3bwQx4mw")</f>
        <v>https://www.youtube.com/channel/UC8fQzKHIhSoZeSq3bwQx4mw</v>
      </c>
      <c r="Q449">
        <v>517000</v>
      </c>
      <c r="R449" t="s">
        <v>17</v>
      </c>
      <c r="S449" t="s">
        <v>425</v>
      </c>
      <c r="W449">
        <v>1</v>
      </c>
      <c r="X449">
        <v>1</v>
      </c>
      <c r="AE449">
        <v>0</v>
      </c>
      <c r="AJ449" t="s">
        <v>10</v>
      </c>
      <c r="AK449" t="s">
        <v>21</v>
      </c>
    </row>
    <row r="450" spans="1:52" x14ac:dyDescent="0.25">
      <c r="A450" t="s">
        <v>2767</v>
      </c>
      <c r="B450" t="s">
        <v>462</v>
      </c>
      <c r="C450" t="s">
        <v>968</v>
      </c>
      <c r="D450" t="s">
        <v>10</v>
      </c>
      <c r="E450" t="s">
        <v>2776</v>
      </c>
      <c r="F450" t="s">
        <v>26</v>
      </c>
      <c r="G450" t="str">
        <f>HYPERLINK("https://twitter.com/1266923727633166339/status/1282759163517513728")</f>
        <v>https://twitter.com/1266923727633166339/status/1282759163517513728</v>
      </c>
      <c r="H450" t="s">
        <v>885</v>
      </c>
      <c r="I450" t="s">
        <v>2777</v>
      </c>
      <c r="J450" t="str">
        <f>HYPERLINK("http://twitter.com/robhanjr")</f>
        <v>http://twitter.com/robhanjr</v>
      </c>
      <c r="K450">
        <v>138</v>
      </c>
      <c r="N450" t="s">
        <v>54</v>
      </c>
      <c r="R450" t="s">
        <v>17</v>
      </c>
      <c r="S450" t="s">
        <v>425</v>
      </c>
      <c r="T450" t="s">
        <v>1595</v>
      </c>
      <c r="U450" t="s">
        <v>2778</v>
      </c>
      <c r="W450">
        <v>1</v>
      </c>
      <c r="X450">
        <v>1</v>
      </c>
      <c r="AE450">
        <v>1</v>
      </c>
      <c r="AF450">
        <v>0</v>
      </c>
      <c r="AJ450" t="s">
        <v>10</v>
      </c>
      <c r="AK450" t="s">
        <v>21</v>
      </c>
      <c r="AX450" t="s">
        <v>3249</v>
      </c>
      <c r="AZ450" t="s">
        <v>3251</v>
      </c>
    </row>
    <row r="451" spans="1:52" x14ac:dyDescent="0.25">
      <c r="A451" t="s">
        <v>2767</v>
      </c>
      <c r="B451" t="s">
        <v>42</v>
      </c>
      <c r="C451" t="s">
        <v>968</v>
      </c>
      <c r="D451" t="s">
        <v>10</v>
      </c>
      <c r="E451" t="s">
        <v>2801</v>
      </c>
      <c r="F451" t="s">
        <v>12</v>
      </c>
      <c r="G451" t="str">
        <f>HYPERLINK("https://www.facebook.com/568390943273818/posts/2978718735574348")</f>
        <v>https://www.facebook.com/568390943273818/posts/2978718735574348</v>
      </c>
      <c r="H451" t="s">
        <v>885</v>
      </c>
      <c r="I451" t="s">
        <v>280</v>
      </c>
      <c r="J451" t="str">
        <f>HYPERLINK("https://www.facebook.com/568390943273818")</f>
        <v>https://www.facebook.com/568390943273818</v>
      </c>
      <c r="K451">
        <v>18918</v>
      </c>
      <c r="L451" t="s">
        <v>28</v>
      </c>
      <c r="N451" t="s">
        <v>179</v>
      </c>
      <c r="O451" t="s">
        <v>280</v>
      </c>
      <c r="P451" t="str">
        <f>HYPERLINK("https://www.facebook.com/568390943273818")</f>
        <v>https://www.facebook.com/568390943273818</v>
      </c>
      <c r="Q451">
        <v>18918</v>
      </c>
      <c r="R451" t="s">
        <v>17</v>
      </c>
      <c r="S451" t="s">
        <v>281</v>
      </c>
      <c r="T451" t="s">
        <v>282</v>
      </c>
      <c r="U451" t="s">
        <v>282</v>
      </c>
      <c r="AI451" t="str">
        <f>HYPERLINK("https://scontent-frx5-1.xx.fbcdn.net/v/t1.0-9/p720x720/108030156_2978702848909270_4081097260423972258_n.jpg?_nc_cat=105&amp;_nc_sid=8024bb&amp;_nc_ohc=-k3lydHEyPUAX9vuGWl&amp;_nc_ht=scontent-frx5-1.xx&amp;_nc_tp=6&amp;oh=3871a96a1da865f50be55f7a5d02119d&amp;oe=5F33D0E3")</f>
        <v>https://scontent-frx5-1.xx.fbcdn.net/v/t1.0-9/p720x720/108030156_2978702848909270_4081097260423972258_n.jpg?_nc_cat=105&amp;_nc_sid=8024bb&amp;_nc_ohc=-k3lydHEyPUAX9vuGWl&amp;_nc_ht=scontent-frx5-1.xx&amp;_nc_tp=6&amp;oh=3871a96a1da865f50be55f7a5d02119d&amp;oe=5F33D0E3</v>
      </c>
      <c r="AJ451" t="s">
        <v>10</v>
      </c>
      <c r="AK451" t="s">
        <v>21</v>
      </c>
      <c r="AX451" t="s">
        <v>3249</v>
      </c>
      <c r="AZ451" t="s">
        <v>3251</v>
      </c>
    </row>
    <row r="452" spans="1:52" x14ac:dyDescent="0.25">
      <c r="A452" t="s">
        <v>2767</v>
      </c>
      <c r="B452" t="s">
        <v>2816</v>
      </c>
      <c r="C452" t="s">
        <v>968</v>
      </c>
      <c r="D452" t="s">
        <v>10</v>
      </c>
      <c r="E452" t="s">
        <v>2812</v>
      </c>
      <c r="F452" t="s">
        <v>45</v>
      </c>
      <c r="G452" t="str">
        <f>HYPERLINK("https://vk.com/wall-121036160_20869")</f>
        <v>https://vk.com/wall-121036160_20869</v>
      </c>
      <c r="H452" t="s">
        <v>1057</v>
      </c>
      <c r="I452" t="s">
        <v>2819</v>
      </c>
      <c r="J452" t="str">
        <f>HYPERLINK("http://vk.com/club121036160")</f>
        <v>http://vk.com/club121036160</v>
      </c>
      <c r="K452">
        <v>38</v>
      </c>
      <c r="L452" t="s">
        <v>28</v>
      </c>
      <c r="N452" t="s">
        <v>16</v>
      </c>
      <c r="O452" t="s">
        <v>2819</v>
      </c>
      <c r="P452" t="str">
        <f>HYPERLINK("http://vk.com/club121036160")</f>
        <v>http://vk.com/club121036160</v>
      </c>
      <c r="Q452">
        <v>38</v>
      </c>
      <c r="R452" t="s">
        <v>17</v>
      </c>
      <c r="S452" t="s">
        <v>18</v>
      </c>
      <c r="T452" t="s">
        <v>354</v>
      </c>
      <c r="U452" t="s">
        <v>354</v>
      </c>
      <c r="W452">
        <v>0</v>
      </c>
      <c r="X452">
        <v>0</v>
      </c>
      <c r="AE452">
        <v>0</v>
      </c>
      <c r="AF452">
        <v>0</v>
      </c>
      <c r="AG452">
        <v>1</v>
      </c>
      <c r="AI452" t="str">
        <f>HYPERLINK("https://sun9-10.userapi.com/c631926/v631926243/5047e/tW5XthwlfIM.jpg")</f>
        <v>https://sun9-10.userapi.com/c631926/v631926243/5047e/tW5XthwlfIM.jpg</v>
      </c>
      <c r="AJ452" t="s">
        <v>10</v>
      </c>
      <c r="AK452" t="s">
        <v>21</v>
      </c>
      <c r="AN452" t="s">
        <v>3239</v>
      </c>
      <c r="AZ452" t="s">
        <v>3251</v>
      </c>
    </row>
    <row r="453" spans="1:52" x14ac:dyDescent="0.25">
      <c r="A453" t="s">
        <v>2978</v>
      </c>
      <c r="B453" t="s">
        <v>2979</v>
      </c>
      <c r="C453" t="s">
        <v>968</v>
      </c>
      <c r="D453" t="s">
        <v>2980</v>
      </c>
      <c r="E453" t="s">
        <v>2981</v>
      </c>
      <c r="F453" t="s">
        <v>26</v>
      </c>
      <c r="G453" t="str">
        <f>HYPERLINK("https://vk.com/wall-5608669_6794146?reply=6794548&amp;thread=6794155")</f>
        <v>https://vk.com/wall-5608669_6794146?reply=6794548&amp;thread=6794155</v>
      </c>
      <c r="H453" t="s">
        <v>885</v>
      </c>
      <c r="I453" t="s">
        <v>2982</v>
      </c>
      <c r="J453" t="str">
        <f>HYPERLINK("http://vk.com/id34450118")</f>
        <v>http://vk.com/id34450118</v>
      </c>
      <c r="K453">
        <v>315</v>
      </c>
      <c r="L453" t="s">
        <v>80</v>
      </c>
      <c r="N453" t="s">
        <v>16</v>
      </c>
      <c r="O453" t="s">
        <v>38</v>
      </c>
      <c r="P453" t="str">
        <f>HYPERLINK("http://vk.com/club5608669")</f>
        <v>http://vk.com/club5608669</v>
      </c>
      <c r="Q453">
        <v>343954</v>
      </c>
      <c r="R453" t="s">
        <v>17</v>
      </c>
      <c r="S453" t="s">
        <v>18</v>
      </c>
      <c r="T453" t="s">
        <v>37</v>
      </c>
      <c r="U453" t="s">
        <v>38</v>
      </c>
      <c r="AJ453" t="s">
        <v>10</v>
      </c>
      <c r="AK453" t="s">
        <v>21</v>
      </c>
      <c r="AN453" t="s">
        <v>3239</v>
      </c>
      <c r="AO453" t="s">
        <v>3240</v>
      </c>
      <c r="AZ453" t="s">
        <v>3251</v>
      </c>
    </row>
    <row r="454" spans="1:52" x14ac:dyDescent="0.25">
      <c r="A454" t="s">
        <v>2978</v>
      </c>
      <c r="B454" t="s">
        <v>1866</v>
      </c>
      <c r="C454" t="s">
        <v>968</v>
      </c>
      <c r="D454" t="s">
        <v>10</v>
      </c>
      <c r="E454" t="s">
        <v>2989</v>
      </c>
      <c r="F454" t="s">
        <v>45</v>
      </c>
      <c r="G454" t="str">
        <f>HYPERLINK("https://vk.com/wall-97208796_925")</f>
        <v>https://vk.com/wall-97208796_925</v>
      </c>
      <c r="H454" t="s">
        <v>885</v>
      </c>
      <c r="I454" t="s">
        <v>36</v>
      </c>
      <c r="J454" t="str">
        <f>HYPERLINK("http://vk.com/club97208796")</f>
        <v>http://vk.com/club97208796</v>
      </c>
      <c r="K454">
        <v>3425</v>
      </c>
      <c r="L454" t="s">
        <v>28</v>
      </c>
      <c r="N454" t="s">
        <v>16</v>
      </c>
      <c r="O454" t="s">
        <v>36</v>
      </c>
      <c r="P454" t="str">
        <f>HYPERLINK("http://vk.com/club97208796")</f>
        <v>http://vk.com/club97208796</v>
      </c>
      <c r="Q454">
        <v>3425</v>
      </c>
      <c r="R454" t="s">
        <v>17</v>
      </c>
      <c r="S454" t="s">
        <v>18</v>
      </c>
      <c r="T454" t="s">
        <v>37</v>
      </c>
      <c r="U454" t="s">
        <v>38</v>
      </c>
      <c r="W454">
        <v>11</v>
      </c>
      <c r="X454">
        <v>11</v>
      </c>
      <c r="AE454">
        <v>0</v>
      </c>
      <c r="AF454">
        <v>1</v>
      </c>
      <c r="AG454">
        <v>760</v>
      </c>
      <c r="AI454" t="str">
        <f>HYPERLINK("https://sun9-38.userapi.com/Is-TFJiJR0tbz_H838QyiupOlt6typMxWuaorQ/URtq6bUMmNU.jpg")</f>
        <v>https://sun9-38.userapi.com/Is-TFJiJR0tbz_H838QyiupOlt6typMxWuaorQ/URtq6bUMmNU.jpg</v>
      </c>
      <c r="AJ454" t="s">
        <v>10</v>
      </c>
      <c r="AK454" t="s">
        <v>21</v>
      </c>
      <c r="AN454" t="s">
        <v>3239</v>
      </c>
      <c r="AO454" t="s">
        <v>3240</v>
      </c>
      <c r="AX454" t="s">
        <v>3249</v>
      </c>
      <c r="AZ454" t="s">
        <v>3251</v>
      </c>
    </row>
    <row r="455" spans="1:52" x14ac:dyDescent="0.25">
      <c r="A455" t="s">
        <v>2978</v>
      </c>
      <c r="B455" t="s">
        <v>2440</v>
      </c>
      <c r="C455" t="s">
        <v>968</v>
      </c>
      <c r="D455" t="s">
        <v>2992</v>
      </c>
      <c r="E455" t="s">
        <v>2993</v>
      </c>
      <c r="F455" t="s">
        <v>45</v>
      </c>
      <c r="G455" t="str">
        <f>HYPERLINK("https://telegram.me/costa_case_club/331#7376160376726867894")</f>
        <v>https://telegram.me/costa_case_club/331#7376160376726867894</v>
      </c>
      <c r="H455" t="s">
        <v>885</v>
      </c>
      <c r="I455" t="s">
        <v>2994</v>
      </c>
      <c r="J455" t="str">
        <f>HYPERLINK("https://telegram.me/costa_case_club")</f>
        <v>https://telegram.me/costa_case_club</v>
      </c>
      <c r="K455">
        <v>3511</v>
      </c>
      <c r="L455" t="s">
        <v>28</v>
      </c>
      <c r="N455" t="s">
        <v>877</v>
      </c>
      <c r="O455" t="s">
        <v>2994</v>
      </c>
      <c r="P455" t="str">
        <f>HYPERLINK("https://telegram.me/costa_case_club")</f>
        <v>https://telegram.me/costa_case_club</v>
      </c>
      <c r="Q455">
        <v>3511</v>
      </c>
      <c r="R455" t="s">
        <v>966</v>
      </c>
      <c r="AJ455" t="s">
        <v>10</v>
      </c>
      <c r="AK455" t="s">
        <v>21</v>
      </c>
      <c r="AL455" t="s">
        <v>3237</v>
      </c>
      <c r="AO455" t="s">
        <v>3240</v>
      </c>
      <c r="AX455" t="s">
        <v>3249</v>
      </c>
      <c r="AZ455" t="s">
        <v>3251</v>
      </c>
    </row>
    <row r="456" spans="1:52" x14ac:dyDescent="0.25">
      <c r="A456" t="s">
        <v>2978</v>
      </c>
      <c r="B456" t="s">
        <v>2995</v>
      </c>
      <c r="C456" t="s">
        <v>968</v>
      </c>
      <c r="D456" t="s">
        <v>10</v>
      </c>
      <c r="E456" t="s">
        <v>2990</v>
      </c>
      <c r="F456" t="s">
        <v>26</v>
      </c>
      <c r="G456" t="str">
        <f>HYPERLINK("https://twitter.com/30817520/status/1281579383837401089")</f>
        <v>https://twitter.com/30817520/status/1281579383837401089</v>
      </c>
      <c r="H456" t="s">
        <v>885</v>
      </c>
      <c r="I456" t="s">
        <v>2996</v>
      </c>
      <c r="J456" t="str">
        <f>HYPERLINK("http://twitter.com/EuphoricJenZ")</f>
        <v>http://twitter.com/EuphoricJenZ</v>
      </c>
      <c r="K456">
        <v>63</v>
      </c>
      <c r="N456" t="s">
        <v>54</v>
      </c>
      <c r="R456" t="s">
        <v>17</v>
      </c>
      <c r="S456" t="s">
        <v>425</v>
      </c>
      <c r="T456" t="s">
        <v>2997</v>
      </c>
      <c r="U456" t="s">
        <v>2998</v>
      </c>
      <c r="W456">
        <v>0</v>
      </c>
      <c r="X456">
        <v>0</v>
      </c>
      <c r="AF456">
        <v>1</v>
      </c>
      <c r="AJ456" t="s">
        <v>10</v>
      </c>
      <c r="AK456" t="s">
        <v>21</v>
      </c>
      <c r="AL456" t="s">
        <v>3237</v>
      </c>
      <c r="AZ456" t="s">
        <v>3251</v>
      </c>
    </row>
    <row r="457" spans="1:52" x14ac:dyDescent="0.25">
      <c r="A457" t="s">
        <v>2978</v>
      </c>
      <c r="B457" t="s">
        <v>3018</v>
      </c>
      <c r="C457" t="s">
        <v>968</v>
      </c>
      <c r="D457" t="s">
        <v>10</v>
      </c>
      <c r="E457" t="s">
        <v>3019</v>
      </c>
      <c r="F457" t="s">
        <v>26</v>
      </c>
      <c r="G457" t="str">
        <f>HYPERLINK("https://twitter.com/62103102/status/1281379791023812608")</f>
        <v>https://twitter.com/62103102/status/1281379791023812608</v>
      </c>
      <c r="H457" t="s">
        <v>885</v>
      </c>
      <c r="I457" t="s">
        <v>3020</v>
      </c>
      <c r="J457" t="str">
        <f>HYPERLINK("http://twitter.com/ravensfan86")</f>
        <v>http://twitter.com/ravensfan86</v>
      </c>
      <c r="K457">
        <v>38</v>
      </c>
      <c r="N457" t="s">
        <v>54</v>
      </c>
      <c r="R457" t="s">
        <v>17</v>
      </c>
      <c r="S457" t="s">
        <v>425</v>
      </c>
      <c r="T457" t="s">
        <v>2479</v>
      </c>
      <c r="W457">
        <v>0</v>
      </c>
      <c r="X457">
        <v>0</v>
      </c>
      <c r="AF457">
        <v>0</v>
      </c>
      <c r="AJ457" t="s">
        <v>10</v>
      </c>
      <c r="AK457" t="s">
        <v>21</v>
      </c>
      <c r="AM457" t="s">
        <v>3238</v>
      </c>
      <c r="AZ457" t="s">
        <v>3251</v>
      </c>
    </row>
    <row r="458" spans="1:52" x14ac:dyDescent="0.25">
      <c r="A458" t="s">
        <v>3100</v>
      </c>
      <c r="B458" t="s">
        <v>3160</v>
      </c>
      <c r="C458" t="s">
        <v>968</v>
      </c>
      <c r="D458" t="s">
        <v>10</v>
      </c>
      <c r="E458" t="s">
        <v>3161</v>
      </c>
      <c r="F458" t="s">
        <v>45</v>
      </c>
      <c r="G458" t="str">
        <f>HYPERLINK("https://vk.com/wall-15649534_270")</f>
        <v>https://vk.com/wall-15649534_270</v>
      </c>
      <c r="H458" t="s">
        <v>885</v>
      </c>
      <c r="I458" t="s">
        <v>1173</v>
      </c>
      <c r="J458" t="str">
        <f>HYPERLINK("http://vk.com/id367451629")</f>
        <v>http://vk.com/id367451629</v>
      </c>
      <c r="K458">
        <v>402</v>
      </c>
      <c r="L458" t="s">
        <v>15</v>
      </c>
      <c r="N458" t="s">
        <v>16</v>
      </c>
      <c r="O458" t="s">
        <v>3162</v>
      </c>
      <c r="P458" t="str">
        <f>HYPERLINK("http://vk.com/club15649534")</f>
        <v>http://vk.com/club15649534</v>
      </c>
      <c r="Q458">
        <v>685</v>
      </c>
      <c r="R458" t="s">
        <v>17</v>
      </c>
      <c r="S458" t="s">
        <v>18</v>
      </c>
      <c r="T458" t="s">
        <v>70</v>
      </c>
      <c r="U458" t="s">
        <v>71</v>
      </c>
      <c r="W458">
        <v>0</v>
      </c>
      <c r="X458">
        <v>0</v>
      </c>
      <c r="AE458">
        <v>0</v>
      </c>
      <c r="AF458">
        <v>0</v>
      </c>
      <c r="AI458" t="str">
        <f>HYPERLINK("https://sun9-55.userapi.com/QPVvj0h-kWTCCad1gQ0vaJlsuhLp9r6jS1EiDA/KNnyizfF0Fk.jpg")</f>
        <v>https://sun9-55.userapi.com/QPVvj0h-kWTCCad1gQ0vaJlsuhLp9r6jS1EiDA/KNnyizfF0Fk.jpg</v>
      </c>
      <c r="AJ458" t="s">
        <v>10</v>
      </c>
      <c r="AK458" t="s">
        <v>21</v>
      </c>
      <c r="AM458" t="s">
        <v>3238</v>
      </c>
      <c r="AO458" t="s">
        <v>3240</v>
      </c>
      <c r="AZ458" t="s">
        <v>3251</v>
      </c>
    </row>
    <row r="459" spans="1:52" x14ac:dyDescent="0.25">
      <c r="A459" t="s">
        <v>7</v>
      </c>
      <c r="B459" t="s">
        <v>315</v>
      </c>
      <c r="C459" t="s">
        <v>313</v>
      </c>
      <c r="D459" t="s">
        <v>24</v>
      </c>
      <c r="E459" t="s">
        <v>316</v>
      </c>
      <c r="F459" t="s">
        <v>26</v>
      </c>
      <c r="G459" t="str">
        <f>HYPERLINK("https://vk.com/wall-197114981_31?reply=1335")</f>
        <v>https://vk.com/wall-197114981_31?reply=1335</v>
      </c>
      <c r="H459" t="s">
        <v>13</v>
      </c>
      <c r="I459" t="s">
        <v>306</v>
      </c>
      <c r="J459" t="str">
        <f>HYPERLINK("http://vk.com/id150258338")</f>
        <v>http://vk.com/id150258338</v>
      </c>
      <c r="K459">
        <v>125</v>
      </c>
      <c r="L459" t="s">
        <v>15</v>
      </c>
      <c r="N459" t="s">
        <v>16</v>
      </c>
      <c r="O459" t="s">
        <v>27</v>
      </c>
      <c r="P459" t="str">
        <f>HYPERLINK("http://vk.com/club197114981")</f>
        <v>http://vk.com/club197114981</v>
      </c>
      <c r="Q459">
        <v>38</v>
      </c>
      <c r="R459" t="s">
        <v>17</v>
      </c>
      <c r="S459" t="s">
        <v>18</v>
      </c>
      <c r="AJ459" t="s">
        <v>10</v>
      </c>
      <c r="AK459" t="s">
        <v>21</v>
      </c>
      <c r="AM459" t="s">
        <v>3238</v>
      </c>
      <c r="AO459" t="s">
        <v>3240</v>
      </c>
      <c r="AZ459" t="s">
        <v>3251</v>
      </c>
    </row>
    <row r="460" spans="1:52" x14ac:dyDescent="0.25">
      <c r="A460" t="s">
        <v>7</v>
      </c>
      <c r="B460" t="s">
        <v>331</v>
      </c>
      <c r="C460" t="s">
        <v>332</v>
      </c>
      <c r="D460" t="s">
        <v>24</v>
      </c>
      <c r="E460" t="s">
        <v>259</v>
      </c>
      <c r="F460" t="s">
        <v>26</v>
      </c>
      <c r="G460" t="str">
        <f>HYPERLINK("https://vk.com/wall-197114981_31?reply=1326&amp;thread=1273")</f>
        <v>https://vk.com/wall-197114981_31?reply=1326&amp;thread=1273</v>
      </c>
      <c r="H460" t="s">
        <v>13</v>
      </c>
      <c r="I460" t="s">
        <v>27</v>
      </c>
      <c r="J460" t="str">
        <f>HYPERLINK("http://vk.com/club197114981")</f>
        <v>http://vk.com/club197114981</v>
      </c>
      <c r="K460">
        <v>38</v>
      </c>
      <c r="L460" t="s">
        <v>28</v>
      </c>
      <c r="N460" t="s">
        <v>16</v>
      </c>
      <c r="O460" t="s">
        <v>27</v>
      </c>
      <c r="P460" t="str">
        <f>HYPERLINK("http://vk.com/club197114981")</f>
        <v>http://vk.com/club197114981</v>
      </c>
      <c r="Q460">
        <v>38</v>
      </c>
      <c r="R460" t="s">
        <v>17</v>
      </c>
      <c r="AJ460" t="s">
        <v>10</v>
      </c>
      <c r="AK460" t="s">
        <v>21</v>
      </c>
      <c r="AO460" t="s">
        <v>3240</v>
      </c>
      <c r="AZ460" t="s">
        <v>3251</v>
      </c>
    </row>
    <row r="461" spans="1:52" x14ac:dyDescent="0.25">
      <c r="A461" t="s">
        <v>7</v>
      </c>
      <c r="B461" t="s">
        <v>384</v>
      </c>
      <c r="C461" t="s">
        <v>385</v>
      </c>
      <c r="D461" t="s">
        <v>24</v>
      </c>
      <c r="E461" t="s">
        <v>391</v>
      </c>
      <c r="F461" t="s">
        <v>26</v>
      </c>
      <c r="G461" t="str">
        <f>HYPERLINK("https://vk.com/wall-197114981_31?reply=1301&amp;thread=1293")</f>
        <v>https://vk.com/wall-197114981_31?reply=1301&amp;thread=1293</v>
      </c>
      <c r="H461" t="s">
        <v>13</v>
      </c>
      <c r="I461" t="s">
        <v>388</v>
      </c>
      <c r="J461" t="str">
        <f>HYPERLINK("http://vk.com/id169523743")</f>
        <v>http://vk.com/id169523743</v>
      </c>
      <c r="K461">
        <v>50</v>
      </c>
      <c r="L461" t="s">
        <v>80</v>
      </c>
      <c r="M461">
        <v>24</v>
      </c>
      <c r="N461" t="s">
        <v>16</v>
      </c>
      <c r="O461" t="s">
        <v>27</v>
      </c>
      <c r="P461" t="str">
        <f>HYPERLINK("http://vk.com/club197114981")</f>
        <v>http://vk.com/club197114981</v>
      </c>
      <c r="Q461">
        <v>38</v>
      </c>
      <c r="R461" t="s">
        <v>17</v>
      </c>
      <c r="S461" t="s">
        <v>18</v>
      </c>
      <c r="T461" t="s">
        <v>231</v>
      </c>
      <c r="U461" t="s">
        <v>232</v>
      </c>
      <c r="AJ461" t="s">
        <v>10</v>
      </c>
      <c r="AK461" t="s">
        <v>21</v>
      </c>
      <c r="AO461" t="s">
        <v>3240</v>
      </c>
      <c r="AZ461" t="s">
        <v>3251</v>
      </c>
    </row>
    <row r="462" spans="1:52" x14ac:dyDescent="0.25">
      <c r="A462" t="s">
        <v>1425</v>
      </c>
      <c r="B462" t="s">
        <v>1459</v>
      </c>
      <c r="C462" t="s">
        <v>984</v>
      </c>
      <c r="D462" t="s">
        <v>421</v>
      </c>
      <c r="E462" t="s">
        <v>1460</v>
      </c>
      <c r="F462" t="s">
        <v>26</v>
      </c>
      <c r="G462" t="str">
        <f>HYPERLINK("https://www.youtube.com/watch?v=gaka1vqYFNs&amp;lc=UgybRvpOcwuvgQ03aDF4AaABAg")</f>
        <v>https://www.youtube.com/watch?v=gaka1vqYFNs&amp;lc=UgybRvpOcwuvgQ03aDF4AaABAg</v>
      </c>
      <c r="H462" t="s">
        <v>885</v>
      </c>
      <c r="I462" t="s">
        <v>1461</v>
      </c>
      <c r="J462" t="str">
        <f>HYPERLINK("https://www.youtube.com/channel/UC4-DOoEKAGJn85fTbo3dZ1Q")</f>
        <v>https://www.youtube.com/channel/UC4-DOoEKAGJn85fTbo3dZ1Q</v>
      </c>
      <c r="K462">
        <v>5</v>
      </c>
      <c r="N462" t="s">
        <v>162</v>
      </c>
      <c r="O462" t="s">
        <v>424</v>
      </c>
      <c r="P462" t="str">
        <f>HYPERLINK("https://www.youtube.com/channel/UC8fQzKHIhSoZeSq3bwQx4mw")</f>
        <v>https://www.youtube.com/channel/UC8fQzKHIhSoZeSq3bwQx4mw</v>
      </c>
      <c r="Q462">
        <v>517000</v>
      </c>
      <c r="R462" t="s">
        <v>17</v>
      </c>
      <c r="S462" t="s">
        <v>425</v>
      </c>
      <c r="W462">
        <v>0</v>
      </c>
      <c r="X462">
        <v>0</v>
      </c>
      <c r="AE462">
        <v>0</v>
      </c>
      <c r="AJ462" t="s">
        <v>10</v>
      </c>
      <c r="AK462" t="s">
        <v>21</v>
      </c>
      <c r="AN462" t="s">
        <v>3239</v>
      </c>
      <c r="AZ462" t="s">
        <v>3251</v>
      </c>
    </row>
    <row r="463" spans="1:52" x14ac:dyDescent="0.25">
      <c r="A463" t="s">
        <v>2472</v>
      </c>
      <c r="B463" t="s">
        <v>116</v>
      </c>
      <c r="C463" t="s">
        <v>968</v>
      </c>
      <c r="D463" t="s">
        <v>10</v>
      </c>
      <c r="E463" t="s">
        <v>2504</v>
      </c>
      <c r="F463" t="s">
        <v>12</v>
      </c>
      <c r="G463" t="str">
        <f>HYPERLINK("https://vk.com/wall367451629_396")</f>
        <v>https://vk.com/wall367451629_396</v>
      </c>
      <c r="H463" t="s">
        <v>885</v>
      </c>
      <c r="I463" t="s">
        <v>1173</v>
      </c>
      <c r="J463" t="str">
        <f>HYPERLINK("http://vk.com/id367451629")</f>
        <v>http://vk.com/id367451629</v>
      </c>
      <c r="K463">
        <v>402</v>
      </c>
      <c r="L463" t="s">
        <v>15</v>
      </c>
      <c r="N463" t="s">
        <v>16</v>
      </c>
      <c r="O463" t="s">
        <v>1173</v>
      </c>
      <c r="P463" t="str">
        <f>HYPERLINK("http://vk.com/id367451629")</f>
        <v>http://vk.com/id367451629</v>
      </c>
      <c r="Q463">
        <v>402</v>
      </c>
      <c r="R463" t="s">
        <v>17</v>
      </c>
      <c r="S463" t="s">
        <v>18</v>
      </c>
      <c r="T463" t="s">
        <v>70</v>
      </c>
      <c r="U463" t="s">
        <v>71</v>
      </c>
      <c r="W463">
        <v>0</v>
      </c>
      <c r="X463">
        <v>0</v>
      </c>
      <c r="AE463">
        <v>0</v>
      </c>
      <c r="AF463">
        <v>0</v>
      </c>
      <c r="AG463">
        <v>9</v>
      </c>
      <c r="AI463" t="str">
        <f>HYPERLINK("https://sun1-22.userapi.com/YUL4c39I2jlByCKkXesWhlRfPX9WXqE32zZ64w/oAQVDiOpYfc.jpg")</f>
        <v>https://sun1-22.userapi.com/YUL4c39I2jlByCKkXesWhlRfPX9WXqE32zZ64w/oAQVDiOpYfc.jpg</v>
      </c>
      <c r="AJ463" t="s">
        <v>10</v>
      </c>
      <c r="AK463" t="s">
        <v>21</v>
      </c>
      <c r="AN463" t="s">
        <v>3239</v>
      </c>
      <c r="AZ463" t="s">
        <v>3251</v>
      </c>
    </row>
    <row r="464" spans="1:52" x14ac:dyDescent="0.25">
      <c r="A464" t="s">
        <v>2589</v>
      </c>
      <c r="B464" t="s">
        <v>676</v>
      </c>
      <c r="C464" t="s">
        <v>968</v>
      </c>
      <c r="D464" t="s">
        <v>10</v>
      </c>
      <c r="E464" t="s">
        <v>2647</v>
      </c>
      <c r="F464" t="s">
        <v>45</v>
      </c>
      <c r="G464" t="str">
        <f>HYPERLINK("https://www.instagram.com/p/CCp1IBQJw7L")</f>
        <v>https://www.instagram.com/p/CCp1IBQJw7L</v>
      </c>
      <c r="H464" t="s">
        <v>885</v>
      </c>
      <c r="I464" t="s">
        <v>1071</v>
      </c>
      <c r="J464" t="str">
        <f>HYPERLINK("http://instagram.com/mrtexpertmurmansk")</f>
        <v>http://instagram.com/mrtexpertmurmansk</v>
      </c>
      <c r="K464">
        <v>483</v>
      </c>
      <c r="N464" t="s">
        <v>69</v>
      </c>
      <c r="O464" t="s">
        <v>1071</v>
      </c>
      <c r="P464" t="str">
        <f>HYPERLINK("http://instagram.com/mrtexpertmurmansk")</f>
        <v>http://instagram.com/mrtexpertmurmansk</v>
      </c>
      <c r="Q464">
        <v>483</v>
      </c>
      <c r="R464" t="s">
        <v>17</v>
      </c>
      <c r="AI464" t="str">
        <f>HYPERLINK("https://www.instagram.com/p/CCp1IBQJw7L/media/?size=l")</f>
        <v>https://www.instagram.com/p/CCp1IBQJw7L/media/?size=l</v>
      </c>
      <c r="AJ464" t="s">
        <v>10</v>
      </c>
      <c r="AK464" t="s">
        <v>21</v>
      </c>
      <c r="AL464" t="s">
        <v>3237</v>
      </c>
      <c r="AM464" t="s">
        <v>3238</v>
      </c>
      <c r="AZ464" t="s">
        <v>3251</v>
      </c>
    </row>
    <row r="465" spans="1:52" x14ac:dyDescent="0.25">
      <c r="A465" t="s">
        <v>2767</v>
      </c>
      <c r="B465" t="s">
        <v>890</v>
      </c>
      <c r="C465" t="s">
        <v>968</v>
      </c>
      <c r="D465" t="s">
        <v>10</v>
      </c>
      <c r="E465" t="s">
        <v>2790</v>
      </c>
      <c r="F465" t="s">
        <v>45</v>
      </c>
      <c r="G465" t="str">
        <f>HYPERLINK("https://vk.com/wall-48669646_10163")</f>
        <v>https://vk.com/wall-48669646_10163</v>
      </c>
      <c r="H465" t="s">
        <v>885</v>
      </c>
      <c r="I465" t="s">
        <v>46</v>
      </c>
      <c r="J465" t="str">
        <f>HYPERLINK("http://vk.com/club48669646")</f>
        <v>http://vk.com/club48669646</v>
      </c>
      <c r="K465">
        <v>5795</v>
      </c>
      <c r="L465" t="s">
        <v>28</v>
      </c>
      <c r="N465" t="s">
        <v>16</v>
      </c>
      <c r="O465" t="s">
        <v>46</v>
      </c>
      <c r="P465" t="str">
        <f>HYPERLINK("http://vk.com/club48669646")</f>
        <v>http://vk.com/club48669646</v>
      </c>
      <c r="Q465">
        <v>5795</v>
      </c>
      <c r="R465" t="s">
        <v>17</v>
      </c>
      <c r="S465" t="s">
        <v>18</v>
      </c>
      <c r="W465">
        <v>1</v>
      </c>
      <c r="X465">
        <v>1</v>
      </c>
      <c r="AE465">
        <v>0</v>
      </c>
      <c r="AF465">
        <v>0</v>
      </c>
      <c r="AG465">
        <v>346</v>
      </c>
      <c r="AI465" t="str">
        <f>HYPERLINK("https://sun1-91.userapi.com/xerCrq9B5LaKC_h8Nn4ArckEBUJUHH4u1Zgq0w/yRDSfFVhcbo.jpg")</f>
        <v>https://sun1-91.userapi.com/xerCrq9B5LaKC_h8Nn4ArckEBUJUHH4u1Zgq0w/yRDSfFVhcbo.jpg</v>
      </c>
      <c r="AJ465" t="s">
        <v>10</v>
      </c>
      <c r="AK465" t="s">
        <v>21</v>
      </c>
      <c r="AL465" t="s">
        <v>3237</v>
      </c>
      <c r="AZ465" t="s">
        <v>3251</v>
      </c>
    </row>
    <row r="466" spans="1:52" x14ac:dyDescent="0.25">
      <c r="A466" t="s">
        <v>2865</v>
      </c>
      <c r="B466" t="s">
        <v>1006</v>
      </c>
      <c r="C466" t="s">
        <v>968</v>
      </c>
      <c r="D466" t="s">
        <v>10</v>
      </c>
      <c r="E466" t="s">
        <v>2886</v>
      </c>
      <c r="F466" t="s">
        <v>26</v>
      </c>
      <c r="G466" t="str">
        <f>HYPERLINK("https://twitter.com/74983077/status/1282160625595154433")</f>
        <v>https://twitter.com/74983077/status/1282160625595154433</v>
      </c>
      <c r="H466" t="s">
        <v>885</v>
      </c>
      <c r="I466" t="s">
        <v>2887</v>
      </c>
      <c r="J466" t="str">
        <f>HYPERLINK("http://twitter.com/cpuuri")</f>
        <v>http://twitter.com/cpuuri</v>
      </c>
      <c r="K466">
        <v>18</v>
      </c>
      <c r="N466" t="s">
        <v>54</v>
      </c>
      <c r="R466" t="s">
        <v>17</v>
      </c>
      <c r="W466">
        <v>0</v>
      </c>
      <c r="X466">
        <v>0</v>
      </c>
      <c r="AF466">
        <v>0</v>
      </c>
      <c r="AJ466" t="s">
        <v>10</v>
      </c>
      <c r="AK466" t="s">
        <v>21</v>
      </c>
      <c r="AZ466" t="s">
        <v>3251</v>
      </c>
    </row>
    <row r="467" spans="1:52" x14ac:dyDescent="0.25">
      <c r="A467" t="s">
        <v>3021</v>
      </c>
      <c r="B467" t="s">
        <v>3058</v>
      </c>
      <c r="C467" t="s">
        <v>968</v>
      </c>
      <c r="D467" t="s">
        <v>10</v>
      </c>
      <c r="E467" t="s">
        <v>3060</v>
      </c>
      <c r="F467" t="s">
        <v>45</v>
      </c>
      <c r="G467" t="str">
        <f>HYPERLINK("https://vk.com/wall-122327832_623")</f>
        <v>https://vk.com/wall-122327832_623</v>
      </c>
      <c r="H467" t="s">
        <v>885</v>
      </c>
      <c r="I467" t="s">
        <v>1170</v>
      </c>
      <c r="J467" t="str">
        <f>HYPERLINK("http://vk.com/club122327832")</f>
        <v>http://vk.com/club122327832</v>
      </c>
      <c r="K467">
        <v>891</v>
      </c>
      <c r="L467" t="s">
        <v>28</v>
      </c>
      <c r="N467" t="s">
        <v>16</v>
      </c>
      <c r="O467" t="s">
        <v>1170</v>
      </c>
      <c r="P467" t="str">
        <f>HYPERLINK("http://vk.com/club122327832")</f>
        <v>http://vk.com/club122327832</v>
      </c>
      <c r="Q467">
        <v>891</v>
      </c>
      <c r="R467" t="s">
        <v>17</v>
      </c>
      <c r="S467" t="s">
        <v>18</v>
      </c>
      <c r="T467" t="s">
        <v>70</v>
      </c>
      <c r="U467" t="s">
        <v>71</v>
      </c>
      <c r="W467">
        <v>1</v>
      </c>
      <c r="X467">
        <v>1</v>
      </c>
      <c r="AE467">
        <v>0</v>
      </c>
      <c r="AF467">
        <v>1</v>
      </c>
      <c r="AG467">
        <v>163</v>
      </c>
      <c r="AI467" t="str">
        <f>HYPERLINK("https://sun1-91.userapi.com/Kul0wWR-qkeR4MCYYhSWixOjfIVscpQc5UiPqA/mq4JJfZJ0hU.jpg")</f>
        <v>https://sun1-91.userapi.com/Kul0wWR-qkeR4MCYYhSWixOjfIVscpQc5UiPqA/mq4JJfZJ0hU.jpg</v>
      </c>
      <c r="AJ467" t="s">
        <v>10</v>
      </c>
      <c r="AK467" t="s">
        <v>21</v>
      </c>
      <c r="AL467" t="s">
        <v>3237</v>
      </c>
      <c r="AW467" t="s">
        <v>3248</v>
      </c>
      <c r="AZ467" t="s">
        <v>3251</v>
      </c>
    </row>
    <row r="468" spans="1:52" x14ac:dyDescent="0.25">
      <c r="A468" t="s">
        <v>7</v>
      </c>
      <c r="B468" t="s">
        <v>130</v>
      </c>
      <c r="C468" t="s">
        <v>138</v>
      </c>
      <c r="D468" t="s">
        <v>10</v>
      </c>
      <c r="E468" t="s">
        <v>139</v>
      </c>
      <c r="F468" t="s">
        <v>45</v>
      </c>
      <c r="G468" t="str">
        <f>HYPERLINK("https://vk.com/wall-154522924_1167")</f>
        <v>https://vk.com/wall-154522924_1167</v>
      </c>
      <c r="H468" t="s">
        <v>13</v>
      </c>
      <c r="I468" t="s">
        <v>140</v>
      </c>
      <c r="J468" t="str">
        <f>HYPERLINK("http://vk.com/club154522924")</f>
        <v>http://vk.com/club154522924</v>
      </c>
      <c r="K468">
        <v>1133</v>
      </c>
      <c r="L468" t="s">
        <v>28</v>
      </c>
      <c r="N468" t="s">
        <v>16</v>
      </c>
      <c r="O468" t="s">
        <v>140</v>
      </c>
      <c r="P468" t="str">
        <f>HYPERLINK("http://vk.com/club154522924")</f>
        <v>http://vk.com/club154522924</v>
      </c>
      <c r="Q468">
        <v>1133</v>
      </c>
      <c r="R468" t="s">
        <v>17</v>
      </c>
      <c r="S468" t="s">
        <v>18</v>
      </c>
      <c r="T468" t="s">
        <v>141</v>
      </c>
      <c r="U468" t="s">
        <v>142</v>
      </c>
      <c r="W468">
        <v>6</v>
      </c>
      <c r="X468">
        <v>6</v>
      </c>
      <c r="AE468">
        <v>0</v>
      </c>
      <c r="AF468">
        <v>0</v>
      </c>
      <c r="AG468">
        <v>186</v>
      </c>
      <c r="AI468" t="str">
        <f>HYPERLINK("https://sun9-14.userapi.com/c858524/v858524299/1f10d0/ST9lZyIUD90.jpg")</f>
        <v>https://sun9-14.userapi.com/c858524/v858524299/1f10d0/ST9lZyIUD90.jpg</v>
      </c>
      <c r="AJ468" t="s">
        <v>10</v>
      </c>
      <c r="AK468" t="s">
        <v>21</v>
      </c>
      <c r="AM468" t="s">
        <v>3238</v>
      </c>
      <c r="AV468" t="s">
        <v>3247</v>
      </c>
      <c r="AX468" t="s">
        <v>3249</v>
      </c>
      <c r="AZ468" t="s">
        <v>3251</v>
      </c>
    </row>
    <row r="469" spans="1:52" x14ac:dyDescent="0.25">
      <c r="A469" t="s">
        <v>7</v>
      </c>
      <c r="B469" t="s">
        <v>406</v>
      </c>
      <c r="C469" t="s">
        <v>403</v>
      </c>
      <c r="D469" t="s">
        <v>24</v>
      </c>
      <c r="E469" t="s">
        <v>407</v>
      </c>
      <c r="F469" t="s">
        <v>26</v>
      </c>
      <c r="G469" t="str">
        <f>HYPERLINK("https://vk.com/wall-197114981_31?reply=1285")</f>
        <v>https://vk.com/wall-197114981_31?reply=1285</v>
      </c>
      <c r="H469" t="s">
        <v>13</v>
      </c>
      <c r="I469" t="s">
        <v>388</v>
      </c>
      <c r="J469" t="str">
        <f>HYPERLINK("http://vk.com/id169523743")</f>
        <v>http://vk.com/id169523743</v>
      </c>
      <c r="K469">
        <v>50</v>
      </c>
      <c r="L469" t="s">
        <v>80</v>
      </c>
      <c r="M469">
        <v>24</v>
      </c>
      <c r="N469" t="s">
        <v>16</v>
      </c>
      <c r="O469" t="s">
        <v>27</v>
      </c>
      <c r="P469" t="str">
        <f>HYPERLINK("http://vk.com/club197114981")</f>
        <v>http://vk.com/club197114981</v>
      </c>
      <c r="Q469">
        <v>38</v>
      </c>
      <c r="R469" t="s">
        <v>17</v>
      </c>
      <c r="S469" t="s">
        <v>18</v>
      </c>
      <c r="T469" t="s">
        <v>231</v>
      </c>
      <c r="U469" t="s">
        <v>232</v>
      </c>
      <c r="AJ469" t="s">
        <v>10</v>
      </c>
      <c r="AK469" t="s">
        <v>21</v>
      </c>
      <c r="AV469" t="s">
        <v>3247</v>
      </c>
      <c r="AW469" t="s">
        <v>3248</v>
      </c>
      <c r="AX469" t="s">
        <v>3249</v>
      </c>
      <c r="AZ469" t="s">
        <v>3251</v>
      </c>
    </row>
    <row r="470" spans="1:52" x14ac:dyDescent="0.25">
      <c r="A470" t="s">
        <v>772</v>
      </c>
      <c r="B470" t="s">
        <v>827</v>
      </c>
      <c r="C470" t="s">
        <v>828</v>
      </c>
      <c r="D470" t="s">
        <v>24</v>
      </c>
      <c r="E470" t="s">
        <v>829</v>
      </c>
      <c r="F470" t="s">
        <v>26</v>
      </c>
      <c r="G470" t="str">
        <f>HYPERLINK("https://vk.com/wall-197114981_31?reply=1146&amp;thread=1098")</f>
        <v>https://vk.com/wall-197114981_31?reply=1146&amp;thread=1098</v>
      </c>
      <c r="H470" t="s">
        <v>13</v>
      </c>
      <c r="I470" t="s">
        <v>27</v>
      </c>
      <c r="J470" t="str">
        <f>HYPERLINK("http://vk.com/club197114981")</f>
        <v>http://vk.com/club197114981</v>
      </c>
      <c r="K470">
        <v>38</v>
      </c>
      <c r="L470" t="s">
        <v>28</v>
      </c>
      <c r="N470" t="s">
        <v>16</v>
      </c>
      <c r="O470" t="s">
        <v>27</v>
      </c>
      <c r="P470" t="str">
        <f>HYPERLINK("http://vk.com/club197114981")</f>
        <v>http://vk.com/club197114981</v>
      </c>
      <c r="Q470">
        <v>38</v>
      </c>
      <c r="R470" t="s">
        <v>17</v>
      </c>
      <c r="AJ470" t="s">
        <v>10</v>
      </c>
      <c r="AK470" t="s">
        <v>21</v>
      </c>
      <c r="AV470" t="s">
        <v>3247</v>
      </c>
      <c r="AZ470" t="s">
        <v>3251</v>
      </c>
    </row>
    <row r="471" spans="1:52" x14ac:dyDescent="0.25">
      <c r="A471" t="s">
        <v>2472</v>
      </c>
      <c r="B471" t="s">
        <v>1615</v>
      </c>
      <c r="C471" t="s">
        <v>968</v>
      </c>
      <c r="D471" t="s">
        <v>10</v>
      </c>
      <c r="E471" t="s">
        <v>2482</v>
      </c>
      <c r="F471" t="s">
        <v>26</v>
      </c>
      <c r="G471" t="str">
        <f>HYPERLINK("https://twitter.com/450945920/status/1284185027270578178")</f>
        <v>https://twitter.com/450945920/status/1284185027270578178</v>
      </c>
      <c r="H471" t="s">
        <v>885</v>
      </c>
      <c r="I471" t="s">
        <v>2266</v>
      </c>
      <c r="J471" t="str">
        <f>HYPERLINK("http://twitter.com/wealthianloring")</f>
        <v>http://twitter.com/wealthianloring</v>
      </c>
      <c r="K471">
        <v>196</v>
      </c>
      <c r="L471" t="s">
        <v>80</v>
      </c>
      <c r="N471" t="s">
        <v>54</v>
      </c>
      <c r="R471" t="s">
        <v>17</v>
      </c>
      <c r="W471">
        <v>0</v>
      </c>
      <c r="X471">
        <v>0</v>
      </c>
      <c r="AF471">
        <v>0</v>
      </c>
      <c r="AJ471" t="s">
        <v>10</v>
      </c>
      <c r="AK471" t="s">
        <v>21</v>
      </c>
      <c r="AV471" t="s">
        <v>3247</v>
      </c>
      <c r="AW471" t="s">
        <v>3248</v>
      </c>
      <c r="AX471" t="s">
        <v>3249</v>
      </c>
      <c r="AZ471" t="s">
        <v>3251</v>
      </c>
    </row>
    <row r="472" spans="1:52" x14ac:dyDescent="0.25">
      <c r="A472" t="s">
        <v>2472</v>
      </c>
      <c r="B472" t="s">
        <v>42</v>
      </c>
      <c r="C472" t="s">
        <v>968</v>
      </c>
      <c r="D472" t="s">
        <v>10</v>
      </c>
      <c r="E472" t="s">
        <v>2500</v>
      </c>
      <c r="F472" t="s">
        <v>12</v>
      </c>
      <c r="G472" t="str">
        <f>HYPERLINK("https://www.facebook.com/568390943273818/posts/2992289687550586")</f>
        <v>https://www.facebook.com/568390943273818/posts/2992289687550586</v>
      </c>
      <c r="H472" t="s">
        <v>885</v>
      </c>
      <c r="I472" t="s">
        <v>280</v>
      </c>
      <c r="J472" t="str">
        <f>HYPERLINK("https://www.facebook.com/568390943273818")</f>
        <v>https://www.facebook.com/568390943273818</v>
      </c>
      <c r="K472">
        <v>18918</v>
      </c>
      <c r="L472" t="s">
        <v>28</v>
      </c>
      <c r="N472" t="s">
        <v>179</v>
      </c>
      <c r="O472" t="s">
        <v>280</v>
      </c>
      <c r="P472" t="str">
        <f>HYPERLINK("https://www.facebook.com/568390943273818")</f>
        <v>https://www.facebook.com/568390943273818</v>
      </c>
      <c r="Q472">
        <v>18918</v>
      </c>
      <c r="R472" t="s">
        <v>17</v>
      </c>
      <c r="S472" t="s">
        <v>281</v>
      </c>
      <c r="T472" t="s">
        <v>282</v>
      </c>
      <c r="U472" t="s">
        <v>282</v>
      </c>
      <c r="W472">
        <v>112</v>
      </c>
      <c r="X472">
        <v>106</v>
      </c>
      <c r="Y472">
        <v>3</v>
      </c>
      <c r="Z472">
        <v>0</v>
      </c>
      <c r="AA472">
        <v>3</v>
      </c>
      <c r="AB472">
        <v>0</v>
      </c>
      <c r="AC472">
        <v>0</v>
      </c>
      <c r="AE472">
        <v>18</v>
      </c>
      <c r="AF472">
        <v>5</v>
      </c>
      <c r="AI472" t="str">
        <f>HYPERLINK("https://scontent-amt2-1.xx.fbcdn.net/v/t15.5256-10/109308136_282863529451868_1986544321701359098_n.jpg?_nc_cat=106&amp;_nc_sid=ad6a45&amp;_nc_ohc=VXxXuesbDCwAX-9Srux&amp;_nc_ht=scontent-amt2-1.xx&amp;oh=fd1afc6115090d7f0c5419612cb943ec&amp;oe=5F36D410")</f>
        <v>https://scontent-amt2-1.xx.fbcdn.net/v/t15.5256-10/109308136_282863529451868_1986544321701359098_n.jpg?_nc_cat=106&amp;_nc_sid=ad6a45&amp;_nc_ohc=VXxXuesbDCwAX-9Srux&amp;_nc_ht=scontent-amt2-1.xx&amp;oh=fd1afc6115090d7f0c5419612cb943ec&amp;oe=5F36D410</v>
      </c>
      <c r="AJ472" t="s">
        <v>10</v>
      </c>
      <c r="AK472" t="s">
        <v>21</v>
      </c>
      <c r="AV472" t="s">
        <v>3247</v>
      </c>
      <c r="AW472" t="s">
        <v>3248</v>
      </c>
      <c r="AZ472" t="s">
        <v>3251</v>
      </c>
    </row>
    <row r="473" spans="1:52" x14ac:dyDescent="0.25">
      <c r="A473" t="s">
        <v>2589</v>
      </c>
      <c r="B473" t="s">
        <v>1940</v>
      </c>
      <c r="C473" t="s">
        <v>968</v>
      </c>
      <c r="D473" t="s">
        <v>421</v>
      </c>
      <c r="E473" t="s">
        <v>2601</v>
      </c>
      <c r="F473" t="s">
        <v>26</v>
      </c>
      <c r="G473" t="str">
        <f>HYPERLINK("https://www.youtube.com/watch?v=gaka1vqYFNs&amp;lc=UgzWwkKawMce2c4dsX14AaABAg")</f>
        <v>https://www.youtube.com/watch?v=gaka1vqYFNs&amp;lc=UgzWwkKawMce2c4dsX14AaABAg</v>
      </c>
      <c r="H473" t="s">
        <v>885</v>
      </c>
      <c r="I473" t="s">
        <v>2602</v>
      </c>
      <c r="J473" t="str">
        <f>HYPERLINK("https://www.youtube.com/channel/UCvNlt-VLHHf5k2-I9K6Jpiw")</f>
        <v>https://www.youtube.com/channel/UCvNlt-VLHHf5k2-I9K6Jpiw</v>
      </c>
      <c r="K473">
        <v>0</v>
      </c>
      <c r="L473" t="s">
        <v>15</v>
      </c>
      <c r="N473" t="s">
        <v>162</v>
      </c>
      <c r="O473" t="s">
        <v>424</v>
      </c>
      <c r="P473" t="str">
        <f>HYPERLINK("https://www.youtube.com/channel/UC8fQzKHIhSoZeSq3bwQx4mw")</f>
        <v>https://www.youtube.com/channel/UC8fQzKHIhSoZeSq3bwQx4mw</v>
      </c>
      <c r="Q473">
        <v>517000</v>
      </c>
      <c r="R473" t="s">
        <v>17</v>
      </c>
      <c r="S473" t="s">
        <v>425</v>
      </c>
      <c r="W473">
        <v>5</v>
      </c>
      <c r="X473">
        <v>5</v>
      </c>
      <c r="AE473">
        <v>1</v>
      </c>
      <c r="AJ473" t="s">
        <v>10</v>
      </c>
      <c r="AK473" t="s">
        <v>21</v>
      </c>
      <c r="AM473" t="s">
        <v>3238</v>
      </c>
      <c r="AX473" t="s">
        <v>3249</v>
      </c>
    </row>
    <row r="474" spans="1:52" x14ac:dyDescent="0.25">
      <c r="A474" t="s">
        <v>2865</v>
      </c>
      <c r="B474" t="s">
        <v>2866</v>
      </c>
      <c r="C474" t="s">
        <v>968</v>
      </c>
      <c r="D474" t="s">
        <v>10</v>
      </c>
      <c r="E474" t="s">
        <v>2867</v>
      </c>
      <c r="F474" t="s">
        <v>26</v>
      </c>
      <c r="G474" t="str">
        <f>HYPERLINK("https://twitter.com/40547220/status/1282360769406001152")</f>
        <v>https://twitter.com/40547220/status/1282360769406001152</v>
      </c>
      <c r="H474" t="s">
        <v>885</v>
      </c>
      <c r="I474" t="s">
        <v>2868</v>
      </c>
      <c r="J474" t="str">
        <f>HYPERLINK("http://twitter.com/itsjohnnydover")</f>
        <v>http://twitter.com/itsjohnnydover</v>
      </c>
      <c r="K474">
        <v>722</v>
      </c>
      <c r="N474" t="s">
        <v>54</v>
      </c>
      <c r="R474" t="s">
        <v>17</v>
      </c>
      <c r="S474" t="s">
        <v>425</v>
      </c>
      <c r="T474" t="s">
        <v>2869</v>
      </c>
      <c r="W474">
        <v>0</v>
      </c>
      <c r="X474">
        <v>0</v>
      </c>
      <c r="AE474">
        <v>1</v>
      </c>
      <c r="AF474">
        <v>0</v>
      </c>
      <c r="AI474" t="str">
        <f>HYPERLINK("https://pbs.twimg.com/media/EcvcUn9WAAMl0lF.jpg")</f>
        <v>https://pbs.twimg.com/media/EcvcUn9WAAMl0lF.jpg</v>
      </c>
      <c r="AJ474" t="s">
        <v>10</v>
      </c>
      <c r="AK474" t="s">
        <v>21</v>
      </c>
      <c r="AL474" t="s">
        <v>3237</v>
      </c>
      <c r="AO474" t="s">
        <v>3240</v>
      </c>
      <c r="AX474" t="s">
        <v>3249</v>
      </c>
    </row>
    <row r="475" spans="1:52" x14ac:dyDescent="0.25">
      <c r="A475" t="s">
        <v>3100</v>
      </c>
      <c r="B475" t="s">
        <v>890</v>
      </c>
      <c r="C475" t="s">
        <v>968</v>
      </c>
      <c r="D475" t="s">
        <v>10</v>
      </c>
      <c r="E475" t="s">
        <v>3121</v>
      </c>
      <c r="F475" t="s">
        <v>12</v>
      </c>
      <c r="G475" t="str">
        <f>HYPERLINK("https://www.facebook.com/902980129768465/posts/3167922806607508")</f>
        <v>https://www.facebook.com/902980129768465/posts/3167922806607508</v>
      </c>
      <c r="H475" t="s">
        <v>885</v>
      </c>
      <c r="I475" t="s">
        <v>46</v>
      </c>
      <c r="J475" t="str">
        <f>HYPERLINK("https://www.facebook.com/902980129768465")</f>
        <v>https://www.facebook.com/902980129768465</v>
      </c>
      <c r="K475">
        <v>1509</v>
      </c>
      <c r="L475" t="s">
        <v>28</v>
      </c>
      <c r="N475" t="s">
        <v>179</v>
      </c>
      <c r="O475" t="s">
        <v>46</v>
      </c>
      <c r="P475" t="str">
        <f>HYPERLINK("https://www.facebook.com/902980129768465")</f>
        <v>https://www.facebook.com/902980129768465</v>
      </c>
      <c r="Q475">
        <v>1509</v>
      </c>
      <c r="R475" t="s">
        <v>17</v>
      </c>
      <c r="S475" t="s">
        <v>18</v>
      </c>
      <c r="T475" t="s">
        <v>354</v>
      </c>
      <c r="U475" t="s">
        <v>354</v>
      </c>
      <c r="W475">
        <v>0</v>
      </c>
      <c r="X475">
        <v>0</v>
      </c>
      <c r="Y475">
        <v>0</v>
      </c>
      <c r="Z475">
        <v>0</v>
      </c>
      <c r="AA475">
        <v>0</v>
      </c>
      <c r="AB475">
        <v>0</v>
      </c>
      <c r="AC475">
        <v>0</v>
      </c>
      <c r="AE475">
        <v>0</v>
      </c>
      <c r="AI475" t="s">
        <v>3122</v>
      </c>
      <c r="AJ475" t="s">
        <v>10</v>
      </c>
      <c r="AK475" t="s">
        <v>21</v>
      </c>
      <c r="AX475" t="s">
        <v>3249</v>
      </c>
    </row>
    <row r="476" spans="1:52" x14ac:dyDescent="0.25">
      <c r="A476" t="s">
        <v>3100</v>
      </c>
      <c r="B476" t="s">
        <v>277</v>
      </c>
      <c r="C476" t="s">
        <v>968</v>
      </c>
      <c r="D476" t="s">
        <v>10</v>
      </c>
      <c r="E476" t="s">
        <v>3193</v>
      </c>
      <c r="F476" t="s">
        <v>12</v>
      </c>
      <c r="G476" t="str">
        <f>HYPERLINK("https://www.facebook.com/568390943273818/posts/2968853883227500")</f>
        <v>https://www.facebook.com/568390943273818/posts/2968853883227500</v>
      </c>
      <c r="H476" t="s">
        <v>885</v>
      </c>
      <c r="I476" t="s">
        <v>280</v>
      </c>
      <c r="J476" t="str">
        <f>HYPERLINK("https://www.facebook.com/568390943273818")</f>
        <v>https://www.facebook.com/568390943273818</v>
      </c>
      <c r="K476">
        <v>18918</v>
      </c>
      <c r="L476" t="s">
        <v>28</v>
      </c>
      <c r="N476" t="s">
        <v>179</v>
      </c>
      <c r="O476" t="s">
        <v>280</v>
      </c>
      <c r="P476" t="str">
        <f>HYPERLINK("https://www.facebook.com/568390943273818")</f>
        <v>https://www.facebook.com/568390943273818</v>
      </c>
      <c r="Q476">
        <v>18918</v>
      </c>
      <c r="R476" t="s">
        <v>17</v>
      </c>
      <c r="S476" t="s">
        <v>281</v>
      </c>
      <c r="T476" t="s">
        <v>282</v>
      </c>
      <c r="U476" t="s">
        <v>282</v>
      </c>
      <c r="W476">
        <v>14</v>
      </c>
      <c r="X476">
        <v>14</v>
      </c>
      <c r="Y476">
        <v>0</v>
      </c>
      <c r="Z476">
        <v>0</v>
      </c>
      <c r="AA476">
        <v>0</v>
      </c>
      <c r="AB476">
        <v>0</v>
      </c>
      <c r="AC476">
        <v>0</v>
      </c>
      <c r="AE476">
        <v>3</v>
      </c>
      <c r="AF476">
        <v>2</v>
      </c>
      <c r="AI476" t="str">
        <f>HYPERLINK("https://scontent-ams4-1.xx.fbcdn.net/v/t15.5256-10/106796936_626331031314098_4206296183321904303_n.jpg?_nc_cat=110&amp;_nc_sid=ad6a45&amp;_nc_ohc=In4Um5GH5-wAX9MYNSY&amp;_nc_ht=scontent-ams4-1.xx&amp;oh=e9c4e31e3bc265081b0dbc863a5001db&amp;oe=5F2AF8FF")</f>
        <v>https://scontent-ams4-1.xx.fbcdn.net/v/t15.5256-10/106796936_626331031314098_4206296183321904303_n.jpg?_nc_cat=110&amp;_nc_sid=ad6a45&amp;_nc_ohc=In4Um5GH5-wAX9MYNSY&amp;_nc_ht=scontent-ams4-1.xx&amp;oh=e9c4e31e3bc265081b0dbc863a5001db&amp;oe=5F2AF8FF</v>
      </c>
      <c r="AJ476" t="s">
        <v>10</v>
      </c>
      <c r="AK476" t="s">
        <v>21</v>
      </c>
      <c r="AO476" t="s">
        <v>3240</v>
      </c>
      <c r="AV476" t="s">
        <v>3247</v>
      </c>
      <c r="AW476" t="s">
        <v>3248</v>
      </c>
    </row>
    <row r="477" spans="1:52" x14ac:dyDescent="0.25">
      <c r="A477" t="s">
        <v>414</v>
      </c>
      <c r="B477" t="s">
        <v>757</v>
      </c>
      <c r="C477" t="s">
        <v>758</v>
      </c>
      <c r="D477" t="s">
        <v>24</v>
      </c>
      <c r="E477" t="s">
        <v>25</v>
      </c>
      <c r="F477" t="s">
        <v>26</v>
      </c>
      <c r="G477" t="str">
        <f>HYPERLINK("https://vk.com/wall-197114981_31?reply=1168&amp;thread=1131")</f>
        <v>https://vk.com/wall-197114981_31?reply=1168&amp;thread=1131</v>
      </c>
      <c r="H477" t="s">
        <v>13</v>
      </c>
      <c r="I477" t="s">
        <v>27</v>
      </c>
      <c r="J477" t="str">
        <f>HYPERLINK("http://vk.com/club197114981")</f>
        <v>http://vk.com/club197114981</v>
      </c>
      <c r="K477">
        <v>38</v>
      </c>
      <c r="L477" t="s">
        <v>28</v>
      </c>
      <c r="N477" t="s">
        <v>16</v>
      </c>
      <c r="O477" t="s">
        <v>27</v>
      </c>
      <c r="P477" t="str">
        <f>HYPERLINK("http://vk.com/club197114981")</f>
        <v>http://vk.com/club197114981</v>
      </c>
      <c r="Q477">
        <v>38</v>
      </c>
      <c r="R477" t="s">
        <v>17</v>
      </c>
      <c r="AJ477" t="s">
        <v>10</v>
      </c>
      <c r="AK477" t="s">
        <v>21</v>
      </c>
      <c r="AO477" t="s">
        <v>3240</v>
      </c>
      <c r="AV477" t="s">
        <v>3247</v>
      </c>
      <c r="AX477" t="s">
        <v>3249</v>
      </c>
    </row>
    <row r="478" spans="1:52" x14ac:dyDescent="0.25">
      <c r="A478" t="s">
        <v>1462</v>
      </c>
      <c r="B478" t="s">
        <v>1507</v>
      </c>
      <c r="C478" t="s">
        <v>984</v>
      </c>
      <c r="D478" t="s">
        <v>10</v>
      </c>
      <c r="E478" t="s">
        <v>1508</v>
      </c>
      <c r="F478" t="s">
        <v>12</v>
      </c>
      <c r="G478" t="str">
        <f>HYPERLINK("https://vk.com/wall214972010_5035")</f>
        <v>https://vk.com/wall214972010_5035</v>
      </c>
      <c r="H478" t="s">
        <v>885</v>
      </c>
      <c r="I478" t="s">
        <v>1509</v>
      </c>
      <c r="J478" t="str">
        <f>HYPERLINK("http://vk.com/id214972010")</f>
        <v>http://vk.com/id214972010</v>
      </c>
      <c r="K478">
        <v>371</v>
      </c>
      <c r="L478" t="s">
        <v>80</v>
      </c>
      <c r="M478">
        <v>61</v>
      </c>
      <c r="N478" t="s">
        <v>16</v>
      </c>
      <c r="O478" t="s">
        <v>1509</v>
      </c>
      <c r="P478" t="str">
        <f>HYPERLINK("http://vk.com/id214972010")</f>
        <v>http://vk.com/id214972010</v>
      </c>
      <c r="Q478">
        <v>371</v>
      </c>
      <c r="R478" t="s">
        <v>17</v>
      </c>
      <c r="S478" t="s">
        <v>18</v>
      </c>
      <c r="T478" t="s">
        <v>272</v>
      </c>
      <c r="U478" t="s">
        <v>1300</v>
      </c>
      <c r="W478">
        <v>1</v>
      </c>
      <c r="X478">
        <v>1</v>
      </c>
      <c r="AE478">
        <v>0</v>
      </c>
      <c r="AF478">
        <v>0</v>
      </c>
      <c r="AG478">
        <v>14</v>
      </c>
      <c r="AI478" t="str">
        <f>HYPERLINK("https://sun3-13.userapi.com/3CxntEX446taLw8Wq523-U72FnEsypIoiB36aA/vb0dh1lZOxg.jpg")</f>
        <v>https://sun3-13.userapi.com/3CxntEX446taLw8Wq523-U72FnEsypIoiB36aA/vb0dh1lZOxg.jpg</v>
      </c>
      <c r="AJ478" t="s">
        <v>10</v>
      </c>
      <c r="AK478" t="s">
        <v>21</v>
      </c>
      <c r="AO478" t="s">
        <v>3240</v>
      </c>
      <c r="AV478" t="s">
        <v>3247</v>
      </c>
      <c r="AW478" t="s">
        <v>3248</v>
      </c>
      <c r="AX478" t="s">
        <v>3249</v>
      </c>
    </row>
    <row r="479" spans="1:52" x14ac:dyDescent="0.25">
      <c r="A479" t="s">
        <v>1838</v>
      </c>
      <c r="B479" t="s">
        <v>1875</v>
      </c>
      <c r="C479" t="s">
        <v>984</v>
      </c>
      <c r="D479" t="s">
        <v>1876</v>
      </c>
      <c r="E479" t="s">
        <v>1877</v>
      </c>
      <c r="F479" t="s">
        <v>45</v>
      </c>
      <c r="G479" t="str">
        <f>HYPERLINK("https://zen.yandex.ru/media/id/5e414dabcbb49f45fcf938c0/5f1eca12d626b2564a6c9769")</f>
        <v>https://zen.yandex.ru/media/id/5e414dabcbb49f45fcf938c0/5f1eca12d626b2564a6c9769</v>
      </c>
      <c r="H479" t="s">
        <v>885</v>
      </c>
      <c r="I479" t="s">
        <v>1152</v>
      </c>
      <c r="J479" t="str">
        <f>HYPERLINK("https://zen.yandex.ru/id/5e414dabcbb49f45fcf938c0")</f>
        <v>https://zen.yandex.ru/id/5e414dabcbb49f45fcf938c0</v>
      </c>
      <c r="K479">
        <v>12</v>
      </c>
      <c r="N479" t="s">
        <v>1153</v>
      </c>
      <c r="R479" t="s">
        <v>966</v>
      </c>
      <c r="S479" t="s">
        <v>18</v>
      </c>
      <c r="AE479">
        <v>0</v>
      </c>
      <c r="AG479">
        <v>10</v>
      </c>
      <c r="AI479" t="str">
        <f>HYPERLINK("https://avatars.mds.yandex.net/get-zen_doc/163667/pub_5f1eca12d626b2564a6c9769_5f1eca4aa922791e53c3a70f/scale_1200")</f>
        <v>https://avatars.mds.yandex.net/get-zen_doc/163667/pub_5f1eca12d626b2564a6c9769_5f1eca4aa922791e53c3a70f/scale_1200</v>
      </c>
      <c r="AJ479" t="s">
        <v>10</v>
      </c>
      <c r="AK479" t="s">
        <v>21</v>
      </c>
      <c r="AN479" t="s">
        <v>3239</v>
      </c>
    </row>
    <row r="480" spans="1:52" x14ac:dyDescent="0.25">
      <c r="A480" t="s">
        <v>414</v>
      </c>
      <c r="B480" t="s">
        <v>448</v>
      </c>
      <c r="C480" t="s">
        <v>449</v>
      </c>
      <c r="D480" t="s">
        <v>24</v>
      </c>
      <c r="E480" t="s">
        <v>376</v>
      </c>
      <c r="F480" t="s">
        <v>26</v>
      </c>
      <c r="G480" t="str">
        <f>HYPERLINK("https://vk.com/wall-197114981_31?reply=1268&amp;thread=1266")</f>
        <v>https://vk.com/wall-197114981_31?reply=1268&amp;thread=1266</v>
      </c>
      <c r="H480" t="s">
        <v>13</v>
      </c>
      <c r="I480" t="s">
        <v>27</v>
      </c>
      <c r="J480" t="str">
        <f>HYPERLINK("http://vk.com/club197114981")</f>
        <v>http://vk.com/club197114981</v>
      </c>
      <c r="K480">
        <v>38</v>
      </c>
      <c r="L480" t="s">
        <v>28</v>
      </c>
      <c r="N480" t="s">
        <v>16</v>
      </c>
      <c r="O480" t="s">
        <v>27</v>
      </c>
      <c r="P480" t="str">
        <f>HYPERLINK("http://vk.com/club197114981")</f>
        <v>http://vk.com/club197114981</v>
      </c>
      <c r="Q480">
        <v>38</v>
      </c>
      <c r="R480" t="s">
        <v>17</v>
      </c>
      <c r="AJ480" t="s">
        <v>10</v>
      </c>
      <c r="AK480" t="s">
        <v>21</v>
      </c>
      <c r="AM480" t="s">
        <v>3238</v>
      </c>
      <c r="AV480" t="s">
        <v>3247</v>
      </c>
    </row>
    <row r="481" spans="1:52" x14ac:dyDescent="0.25">
      <c r="A481" t="s">
        <v>414</v>
      </c>
      <c r="B481" t="s">
        <v>521</v>
      </c>
      <c r="C481" t="s">
        <v>522</v>
      </c>
      <c r="D481" t="s">
        <v>10</v>
      </c>
      <c r="E481" t="s">
        <v>523</v>
      </c>
      <c r="F481" t="s">
        <v>45</v>
      </c>
      <c r="G481" t="str">
        <f>HYPERLINK("https://vk.com/wall-171669151_1136")</f>
        <v>https://vk.com/wall-171669151_1136</v>
      </c>
      <c r="H481" t="s">
        <v>13</v>
      </c>
      <c r="I481" t="s">
        <v>524</v>
      </c>
      <c r="J481" t="str">
        <f>HYPERLINK("http://vk.com/club171669151")</f>
        <v>http://vk.com/club171669151</v>
      </c>
      <c r="K481">
        <v>6183</v>
      </c>
      <c r="L481" t="s">
        <v>28</v>
      </c>
      <c r="N481" t="s">
        <v>16</v>
      </c>
      <c r="O481" t="s">
        <v>524</v>
      </c>
      <c r="P481" t="str">
        <f>HYPERLINK("http://vk.com/club171669151")</f>
        <v>http://vk.com/club171669151</v>
      </c>
      <c r="Q481">
        <v>6183</v>
      </c>
      <c r="R481" t="s">
        <v>17</v>
      </c>
      <c r="S481" t="s">
        <v>18</v>
      </c>
      <c r="T481" t="s">
        <v>525</v>
      </c>
      <c r="U481" t="s">
        <v>526</v>
      </c>
      <c r="W481">
        <v>19</v>
      </c>
      <c r="X481">
        <v>19</v>
      </c>
      <c r="AE481">
        <v>0</v>
      </c>
      <c r="AF481">
        <v>5</v>
      </c>
      <c r="AG481">
        <v>1959</v>
      </c>
      <c r="AI481" t="str">
        <f>HYPERLINK("https://sun9-44.userapi.com/c854428/v854428047/2548a0/sgWZlGjcLP0.jpg")</f>
        <v>https://sun9-44.userapi.com/c854428/v854428047/2548a0/sgWZlGjcLP0.jpg</v>
      </c>
      <c r="AJ481" t="s">
        <v>10</v>
      </c>
      <c r="AK481" t="s">
        <v>21</v>
      </c>
      <c r="AV481" t="s">
        <v>3247</v>
      </c>
    </row>
    <row r="482" spans="1:52" x14ac:dyDescent="0.25">
      <c r="A482" t="s">
        <v>1723</v>
      </c>
      <c r="B482" t="s">
        <v>1667</v>
      </c>
      <c r="C482" t="s">
        <v>984</v>
      </c>
      <c r="D482" t="s">
        <v>1769</v>
      </c>
      <c r="E482" t="s">
        <v>1770</v>
      </c>
      <c r="F482" t="s">
        <v>45</v>
      </c>
      <c r="G482" t="str">
        <f>HYPERLINK("https://health.clevelandclinic.org/coronavirus-vaccine-trial-shows-promise")</f>
        <v>https://health.clevelandclinic.org/coronavirus-vaccine-trial-shows-promise</v>
      </c>
      <c r="H482" t="s">
        <v>885</v>
      </c>
      <c r="I482" t="s">
        <v>1771</v>
      </c>
      <c r="J482" t="str">
        <f>HYPERLINK("https://health.clevelandclinic.org")</f>
        <v>https://health.clevelandclinic.org</v>
      </c>
      <c r="N482" t="s">
        <v>1772</v>
      </c>
      <c r="R482" t="s">
        <v>239</v>
      </c>
      <c r="S482" t="s">
        <v>425</v>
      </c>
      <c r="AJ482" t="s">
        <v>10</v>
      </c>
      <c r="AK482" t="s">
        <v>21</v>
      </c>
      <c r="AM482" t="s">
        <v>3238</v>
      </c>
    </row>
    <row r="483" spans="1:52" x14ac:dyDescent="0.25">
      <c r="A483" t="s">
        <v>1838</v>
      </c>
      <c r="B483" t="s">
        <v>864</v>
      </c>
      <c r="C483" t="s">
        <v>984</v>
      </c>
      <c r="D483" t="s">
        <v>10</v>
      </c>
      <c r="E483" t="s">
        <v>1857</v>
      </c>
      <c r="F483" t="s">
        <v>45</v>
      </c>
      <c r="G483" t="str">
        <f>HYPERLINK("https://vk.com/wall-158633337_951")</f>
        <v>https://vk.com/wall-158633337_951</v>
      </c>
      <c r="H483" t="s">
        <v>885</v>
      </c>
      <c r="I483" t="s">
        <v>125</v>
      </c>
      <c r="J483" t="str">
        <f>HYPERLINK("http://vk.com/club158633337")</f>
        <v>http://vk.com/club158633337</v>
      </c>
      <c r="K483">
        <v>4852</v>
      </c>
      <c r="L483" t="s">
        <v>28</v>
      </c>
      <c r="N483" t="s">
        <v>16</v>
      </c>
      <c r="O483" t="s">
        <v>125</v>
      </c>
      <c r="P483" t="str">
        <f>HYPERLINK("http://vk.com/club158633337")</f>
        <v>http://vk.com/club158633337</v>
      </c>
      <c r="Q483">
        <v>4852</v>
      </c>
      <c r="R483" t="s">
        <v>17</v>
      </c>
      <c r="S483" t="s">
        <v>18</v>
      </c>
      <c r="T483" t="s">
        <v>126</v>
      </c>
      <c r="U483" t="s">
        <v>127</v>
      </c>
      <c r="W483">
        <v>0</v>
      </c>
      <c r="X483">
        <v>0</v>
      </c>
      <c r="AE483">
        <v>0</v>
      </c>
      <c r="AF483">
        <v>0</v>
      </c>
      <c r="AG483">
        <v>98</v>
      </c>
      <c r="AI483" t="str">
        <f>HYPERLINK("https://sun1-83.userapi.com/6nwED_J1zDr8DLroaD13Wehn3M18QoJbhJ8Zlw/0b9q7nNaYJc.jpg")</f>
        <v>https://sun1-83.userapi.com/6nwED_J1zDr8DLroaD13Wehn3M18QoJbhJ8Zlw/0b9q7nNaYJc.jpg</v>
      </c>
      <c r="AJ483" t="s">
        <v>10</v>
      </c>
      <c r="AK483" t="s">
        <v>21</v>
      </c>
      <c r="AW483" t="s">
        <v>3248</v>
      </c>
      <c r="AX483" t="s">
        <v>3249</v>
      </c>
    </row>
    <row r="484" spans="1:52" x14ac:dyDescent="0.25">
      <c r="A484" t="s">
        <v>3100</v>
      </c>
      <c r="B484" t="s">
        <v>3172</v>
      </c>
      <c r="C484" t="s">
        <v>968</v>
      </c>
      <c r="D484" t="s">
        <v>10</v>
      </c>
      <c r="E484" t="s">
        <v>3173</v>
      </c>
      <c r="F484" t="s">
        <v>1020</v>
      </c>
      <c r="G484" t="str">
        <f>HYPERLINK("https://twitter.com/2684074184/status/1280741502461734912")</f>
        <v>https://twitter.com/2684074184/status/1280741502461734912</v>
      </c>
      <c r="H484" t="s">
        <v>885</v>
      </c>
      <c r="I484" t="s">
        <v>3174</v>
      </c>
      <c r="J484" t="str">
        <f>HYPERLINK("http://twitter.com/PaulaSaunier")</f>
        <v>http://twitter.com/PaulaSaunier</v>
      </c>
      <c r="K484">
        <v>339</v>
      </c>
      <c r="L484" t="s">
        <v>80</v>
      </c>
      <c r="N484" t="s">
        <v>54</v>
      </c>
      <c r="R484" t="s">
        <v>17</v>
      </c>
      <c r="W484">
        <v>1</v>
      </c>
      <c r="X484">
        <v>1</v>
      </c>
      <c r="AF484">
        <v>0</v>
      </c>
      <c r="AI484" t="str">
        <f>HYPERLINK("https://pbs.twimg.com/media/EcYaOMaX0AAPK40.jpg")</f>
        <v>https://pbs.twimg.com/media/EcYaOMaX0AAPK40.jpg</v>
      </c>
      <c r="AJ484" t="s">
        <v>10</v>
      </c>
      <c r="AK484" t="s">
        <v>21</v>
      </c>
      <c r="AM484" t="s">
        <v>3238</v>
      </c>
      <c r="AV484" t="s">
        <v>3247</v>
      </c>
      <c r="AX484" t="s">
        <v>3249</v>
      </c>
    </row>
    <row r="485" spans="1:52" x14ac:dyDescent="0.25">
      <c r="A485" t="s">
        <v>2767</v>
      </c>
      <c r="B485" t="s">
        <v>2807</v>
      </c>
      <c r="C485" t="s">
        <v>968</v>
      </c>
      <c r="D485" t="s">
        <v>10</v>
      </c>
      <c r="E485" t="s">
        <v>2810</v>
      </c>
      <c r="F485" t="s">
        <v>45</v>
      </c>
      <c r="G485" t="str">
        <f>HYPERLINK("https://vk.com/wall-163853363_4821")</f>
        <v>https://vk.com/wall-163853363_4821</v>
      </c>
      <c r="H485" t="s">
        <v>1057</v>
      </c>
      <c r="I485" t="s">
        <v>2809</v>
      </c>
      <c r="J485" t="str">
        <f>HYPERLINK("http://vk.com/club163853363")</f>
        <v>http://vk.com/club163853363</v>
      </c>
      <c r="K485">
        <v>1538</v>
      </c>
      <c r="L485" t="s">
        <v>28</v>
      </c>
      <c r="N485" t="s">
        <v>16</v>
      </c>
      <c r="O485" t="s">
        <v>2809</v>
      </c>
      <c r="P485" t="str">
        <f>HYPERLINK("http://vk.com/club163853363")</f>
        <v>http://vk.com/club163853363</v>
      </c>
      <c r="Q485">
        <v>1538</v>
      </c>
      <c r="R485" t="s">
        <v>17</v>
      </c>
      <c r="W485">
        <v>0</v>
      </c>
      <c r="X485">
        <v>0</v>
      </c>
      <c r="AE485">
        <v>0</v>
      </c>
      <c r="AF485">
        <v>0</v>
      </c>
      <c r="AG485">
        <v>5</v>
      </c>
      <c r="AI485" t="str">
        <f>HYPERLINK("https://sun1-26.userapi.com/W4GQ8K3Oj5lGXvgqKKtIzCtv4f8FIGRXGONtUg/YLRYXThKdgE.jpg")</f>
        <v>https://sun1-26.userapi.com/W4GQ8K3Oj5lGXvgqKKtIzCtv4f8FIGRXGONtUg/YLRYXThKdgE.jpg</v>
      </c>
      <c r="AJ485" t="s">
        <v>10</v>
      </c>
      <c r="AK485" t="s">
        <v>21</v>
      </c>
      <c r="AR485" t="s">
        <v>3243</v>
      </c>
      <c r="AS485" t="s">
        <v>3244</v>
      </c>
      <c r="AT485" t="s">
        <v>3245</v>
      </c>
      <c r="AX485" t="s">
        <v>3249</v>
      </c>
    </row>
    <row r="486" spans="1:52" x14ac:dyDescent="0.25">
      <c r="A486" t="s">
        <v>2767</v>
      </c>
      <c r="B486" t="s">
        <v>2853</v>
      </c>
      <c r="C486" t="s">
        <v>968</v>
      </c>
      <c r="D486" t="s">
        <v>2724</v>
      </c>
      <c r="E486" t="s">
        <v>2854</v>
      </c>
      <c r="F486" t="s">
        <v>26</v>
      </c>
      <c r="G486" t="str">
        <f>HYPERLINK("https://vk.com/wall-25612112_2607652?reply=2607661")</f>
        <v>https://vk.com/wall-25612112_2607652?reply=2607661</v>
      </c>
      <c r="H486" t="s">
        <v>885</v>
      </c>
      <c r="I486" t="s">
        <v>2855</v>
      </c>
      <c r="J486" t="str">
        <f>HYPERLINK("http://vk.com/id138405704")</f>
        <v>http://vk.com/id138405704</v>
      </c>
      <c r="K486">
        <v>838</v>
      </c>
      <c r="L486" t="s">
        <v>15</v>
      </c>
      <c r="N486" t="s">
        <v>16</v>
      </c>
      <c r="O486" t="s">
        <v>2727</v>
      </c>
      <c r="P486" t="str">
        <f>HYPERLINK("http://vk.com/club25612112")</f>
        <v>http://vk.com/club25612112</v>
      </c>
      <c r="Q486">
        <v>109065</v>
      </c>
      <c r="R486" t="s">
        <v>17</v>
      </c>
      <c r="S486" t="s">
        <v>18</v>
      </c>
      <c r="T486" t="s">
        <v>354</v>
      </c>
      <c r="U486" t="s">
        <v>354</v>
      </c>
      <c r="AJ486" t="s">
        <v>10</v>
      </c>
      <c r="AK486" t="s">
        <v>21</v>
      </c>
      <c r="AR486" t="s">
        <v>3243</v>
      </c>
      <c r="AV486" t="s">
        <v>3247</v>
      </c>
      <c r="AW486" t="s">
        <v>3248</v>
      </c>
      <c r="AX486" t="s">
        <v>3249</v>
      </c>
      <c r="AY486" t="s">
        <v>3250</v>
      </c>
      <c r="AZ486" t="s">
        <v>3251</v>
      </c>
    </row>
    <row r="487" spans="1:52" x14ac:dyDescent="0.25">
      <c r="A487" t="s">
        <v>2290</v>
      </c>
      <c r="B487" t="s">
        <v>2354</v>
      </c>
      <c r="C487" t="s">
        <v>968</v>
      </c>
      <c r="D487" t="s">
        <v>2355</v>
      </c>
      <c r="E487" t="s">
        <v>2356</v>
      </c>
      <c r="F487" t="s">
        <v>26</v>
      </c>
      <c r="G487" t="str">
        <f>HYPERLINK("https://vk.com/wall-149732802_734621?reply=735214")</f>
        <v>https://vk.com/wall-149732802_734621?reply=735214</v>
      </c>
      <c r="H487" t="s">
        <v>889</v>
      </c>
      <c r="I487" t="s">
        <v>2357</v>
      </c>
      <c r="J487" t="str">
        <f>HYPERLINK("http://vk.com/id24161141")</f>
        <v>http://vk.com/id24161141</v>
      </c>
      <c r="K487">
        <v>581</v>
      </c>
      <c r="L487" t="s">
        <v>80</v>
      </c>
      <c r="N487" t="s">
        <v>16</v>
      </c>
      <c r="O487" t="s">
        <v>2358</v>
      </c>
      <c r="P487" t="str">
        <f>HYPERLINK("http://vk.com/club149732802")</f>
        <v>http://vk.com/club149732802</v>
      </c>
      <c r="Q487">
        <v>661110</v>
      </c>
      <c r="R487" t="s">
        <v>17</v>
      </c>
      <c r="S487" t="s">
        <v>18</v>
      </c>
      <c r="T487" t="s">
        <v>1214</v>
      </c>
      <c r="U487" t="s">
        <v>1215</v>
      </c>
      <c r="AJ487" t="s">
        <v>10</v>
      </c>
      <c r="AK487" t="s">
        <v>21</v>
      </c>
      <c r="AN487" t="s">
        <v>3239</v>
      </c>
      <c r="AO487" t="s">
        <v>3240</v>
      </c>
      <c r="AR487" t="s">
        <v>3243</v>
      </c>
      <c r="AU487" t="s">
        <v>3246</v>
      </c>
      <c r="AZ487" t="s">
        <v>3251</v>
      </c>
    </row>
    <row r="488" spans="1:52" x14ac:dyDescent="0.25">
      <c r="A488" t="s">
        <v>2684</v>
      </c>
      <c r="B488" t="s">
        <v>2717</v>
      </c>
      <c r="C488" t="s">
        <v>968</v>
      </c>
      <c r="D488" t="s">
        <v>2718</v>
      </c>
      <c r="E488" t="s">
        <v>2719</v>
      </c>
      <c r="F488" t="s">
        <v>45</v>
      </c>
      <c r="G488" t="str">
        <f>HYPERLINK("https://www.google.com/maps/reviews/data=!4m5!14m4!1m3!1m2!1s111414365183994032597!2s0x0:0xa6f3a92cb897c7e5?hl=en-GB")</f>
        <v>https://www.google.com/maps/reviews/data=!4m5!14m4!1m3!1m2!1s111414365183994032597!2s0x0:0xa6f3a92cb897c7e5?hl=en-GB</v>
      </c>
      <c r="H488" t="s">
        <v>889</v>
      </c>
      <c r="I488" t="s">
        <v>2720</v>
      </c>
      <c r="J488" t="str">
        <f>HYPERLINK("https://maps.google.com/maps/contrib/111414365183994032597")</f>
        <v>https://maps.google.com/maps/contrib/111414365183994032597</v>
      </c>
      <c r="L488" t="s">
        <v>15</v>
      </c>
      <c r="N488" t="s">
        <v>615</v>
      </c>
      <c r="O488" t="s">
        <v>2718</v>
      </c>
      <c r="P488" t="str">
        <f>HYPERLINK("https://maps.google.com/maps/place/data=!3m1!4b1!4m5!3m4!1s0x0:0xa6f3a92cb897c7e5!8m2!3d31.377510!4d74.186790")</f>
        <v>https://maps.google.com/maps/place/data=!3m1!4b1!4m5!3m4!1s0x0:0xa6f3a92cb897c7e5!8m2!3d31.377510!4d74.186790</v>
      </c>
      <c r="R488" t="s">
        <v>616</v>
      </c>
      <c r="S488" t="s">
        <v>2721</v>
      </c>
      <c r="U488" t="s">
        <v>2722</v>
      </c>
      <c r="AH488">
        <v>5</v>
      </c>
      <c r="AJ488" t="s">
        <v>10</v>
      </c>
      <c r="AK488" t="s">
        <v>21</v>
      </c>
      <c r="AN488" t="s">
        <v>3239</v>
      </c>
      <c r="AO488" t="s">
        <v>3240</v>
      </c>
      <c r="AR488" t="s">
        <v>3243</v>
      </c>
      <c r="AW488" t="s">
        <v>3248</v>
      </c>
      <c r="AZ488" t="s">
        <v>3251</v>
      </c>
    </row>
    <row r="489" spans="1:52" x14ac:dyDescent="0.25">
      <c r="A489" t="s">
        <v>2767</v>
      </c>
      <c r="B489" t="s">
        <v>1915</v>
      </c>
      <c r="C489" t="s">
        <v>968</v>
      </c>
      <c r="D489" t="s">
        <v>2851</v>
      </c>
      <c r="E489" t="s">
        <v>1124</v>
      </c>
      <c r="F489" t="s">
        <v>26</v>
      </c>
      <c r="G489" t="str">
        <f>HYPERLINK("https://vk.com/wall-121026450_2906?reply=24536")</f>
        <v>https://vk.com/wall-121026450_2906?reply=24536</v>
      </c>
      <c r="H489" t="s">
        <v>885</v>
      </c>
      <c r="I489" t="s">
        <v>2309</v>
      </c>
      <c r="J489" t="str">
        <f>HYPERLINK("http://vk.com/id14737732")</f>
        <v>http://vk.com/id14737732</v>
      </c>
      <c r="K489">
        <v>1091</v>
      </c>
      <c r="L489" t="s">
        <v>80</v>
      </c>
      <c r="N489" t="s">
        <v>16</v>
      </c>
      <c r="O489" t="s">
        <v>1822</v>
      </c>
      <c r="P489" t="str">
        <f>HYPERLINK("http://vk.com/club121026450")</f>
        <v>http://vk.com/club121026450</v>
      </c>
      <c r="Q489">
        <v>11822</v>
      </c>
      <c r="R489" t="s">
        <v>17</v>
      </c>
      <c r="AJ489" t="s">
        <v>10</v>
      </c>
      <c r="AK489" t="s">
        <v>21</v>
      </c>
      <c r="AR489" t="s">
        <v>3243</v>
      </c>
      <c r="AT489" t="s">
        <v>3245</v>
      </c>
      <c r="AU489" t="s">
        <v>3246</v>
      </c>
    </row>
    <row r="490" spans="1:52" x14ac:dyDescent="0.25">
      <c r="A490" t="s">
        <v>2915</v>
      </c>
      <c r="B490" t="s">
        <v>2037</v>
      </c>
      <c r="C490" t="s">
        <v>968</v>
      </c>
      <c r="D490" t="s">
        <v>10</v>
      </c>
      <c r="E490" t="s">
        <v>2958</v>
      </c>
      <c r="F490" t="s">
        <v>45</v>
      </c>
      <c r="G490" t="str">
        <f>HYPERLINK("https://vk.com/wall-48669646_10152")</f>
        <v>https://vk.com/wall-48669646_10152</v>
      </c>
      <c r="H490" t="s">
        <v>885</v>
      </c>
      <c r="I490" t="s">
        <v>46</v>
      </c>
      <c r="J490" t="str">
        <f>HYPERLINK("http://vk.com/club48669646")</f>
        <v>http://vk.com/club48669646</v>
      </c>
      <c r="K490">
        <v>5795</v>
      </c>
      <c r="L490" t="s">
        <v>28</v>
      </c>
      <c r="N490" t="s">
        <v>16</v>
      </c>
      <c r="O490" t="s">
        <v>46</v>
      </c>
      <c r="P490" t="str">
        <f>HYPERLINK("http://vk.com/club48669646")</f>
        <v>http://vk.com/club48669646</v>
      </c>
      <c r="Q490">
        <v>5795</v>
      </c>
      <c r="R490" t="s">
        <v>17</v>
      </c>
      <c r="S490" t="s">
        <v>18</v>
      </c>
      <c r="W490">
        <v>2</v>
      </c>
      <c r="X490">
        <v>2</v>
      </c>
      <c r="AE490">
        <v>0</v>
      </c>
      <c r="AF490">
        <v>0</v>
      </c>
      <c r="AG490">
        <v>354</v>
      </c>
      <c r="AI490" t="str">
        <f>HYPERLINK("https://sun1-47.userapi.com/2HZwY06qsK4umm6EnyR0QNw9Vb5dHEGSPQQubA/p17I8Fwg-ZM.jpg")</f>
        <v>https://sun1-47.userapi.com/2HZwY06qsK4umm6EnyR0QNw9Vb5dHEGSPQQubA/p17I8Fwg-ZM.jpg</v>
      </c>
      <c r="AJ490" t="s">
        <v>10</v>
      </c>
      <c r="AK490" t="s">
        <v>21</v>
      </c>
      <c r="AL490" t="s">
        <v>3237</v>
      </c>
      <c r="AR490" t="s">
        <v>3243</v>
      </c>
      <c r="AU490" t="s">
        <v>3246</v>
      </c>
    </row>
    <row r="491" spans="1:52" x14ac:dyDescent="0.25">
      <c r="A491" t="s">
        <v>1597</v>
      </c>
      <c r="B491" t="s">
        <v>1656</v>
      </c>
      <c r="C491" t="s">
        <v>984</v>
      </c>
      <c r="D491" t="s">
        <v>1657</v>
      </c>
      <c r="E491" t="s">
        <v>1658</v>
      </c>
      <c r="F491" t="s">
        <v>26</v>
      </c>
      <c r="G491" t="str">
        <f>HYPERLINK("https://vk.com/wall-37940440_1449450?reply=1449514")</f>
        <v>https://vk.com/wall-37940440_1449450?reply=1449514</v>
      </c>
      <c r="H491" t="s">
        <v>889</v>
      </c>
      <c r="I491" t="s">
        <v>1659</v>
      </c>
      <c r="J491" t="str">
        <f>HYPERLINK("http://vk.com/id181869536")</f>
        <v>http://vk.com/id181869536</v>
      </c>
      <c r="K491">
        <v>36</v>
      </c>
      <c r="L491" t="s">
        <v>80</v>
      </c>
      <c r="N491" t="s">
        <v>16</v>
      </c>
      <c r="O491" t="s">
        <v>1660</v>
      </c>
      <c r="P491" t="str">
        <f>HYPERLINK("http://vk.com/club37940440")</f>
        <v>http://vk.com/club37940440</v>
      </c>
      <c r="Q491">
        <v>32654</v>
      </c>
      <c r="R491" t="s">
        <v>17</v>
      </c>
      <c r="S491" t="s">
        <v>18</v>
      </c>
      <c r="T491" t="s">
        <v>354</v>
      </c>
      <c r="U491" t="s">
        <v>354</v>
      </c>
      <c r="AJ491" t="s">
        <v>10</v>
      </c>
      <c r="AK491" t="s">
        <v>21</v>
      </c>
      <c r="AM491" t="s">
        <v>3238</v>
      </c>
      <c r="AR491" t="s">
        <v>3243</v>
      </c>
      <c r="AT491" t="s">
        <v>3245</v>
      </c>
      <c r="AU491" t="s">
        <v>3246</v>
      </c>
    </row>
    <row r="492" spans="1:52" x14ac:dyDescent="0.25">
      <c r="A492" t="s">
        <v>7</v>
      </c>
      <c r="B492" t="s">
        <v>408</v>
      </c>
      <c r="C492" t="s">
        <v>409</v>
      </c>
      <c r="D492" t="s">
        <v>24</v>
      </c>
      <c r="E492" t="s">
        <v>411</v>
      </c>
      <c r="F492" t="s">
        <v>26</v>
      </c>
      <c r="G492" t="str">
        <f>HYPERLINK("https://vk.com/wall-197114981_31?reply=1283")</f>
        <v>https://vk.com/wall-197114981_31?reply=1283</v>
      </c>
      <c r="H492" t="s">
        <v>13</v>
      </c>
      <c r="I492" t="s">
        <v>388</v>
      </c>
      <c r="J492" t="str">
        <f>HYPERLINK("http://vk.com/id169523743")</f>
        <v>http://vk.com/id169523743</v>
      </c>
      <c r="K492">
        <v>50</v>
      </c>
      <c r="L492" t="s">
        <v>80</v>
      </c>
      <c r="M492">
        <v>24</v>
      </c>
      <c r="N492" t="s">
        <v>16</v>
      </c>
      <c r="O492" t="s">
        <v>27</v>
      </c>
      <c r="P492" t="str">
        <f>HYPERLINK("http://vk.com/club197114981")</f>
        <v>http://vk.com/club197114981</v>
      </c>
      <c r="Q492">
        <v>38</v>
      </c>
      <c r="R492" t="s">
        <v>17</v>
      </c>
      <c r="S492" t="s">
        <v>18</v>
      </c>
      <c r="T492" t="s">
        <v>231</v>
      </c>
      <c r="U492" t="s">
        <v>232</v>
      </c>
      <c r="AJ492" t="s">
        <v>10</v>
      </c>
      <c r="AK492" t="s">
        <v>21</v>
      </c>
      <c r="AM492" t="s">
        <v>3238</v>
      </c>
      <c r="AO492" t="s">
        <v>3240</v>
      </c>
      <c r="AR492" t="s">
        <v>3243</v>
      </c>
      <c r="AV492" t="s">
        <v>3247</v>
      </c>
      <c r="AX492" t="s">
        <v>3249</v>
      </c>
    </row>
    <row r="493" spans="1:52" x14ac:dyDescent="0.25">
      <c r="A493" t="s">
        <v>414</v>
      </c>
      <c r="B493" t="s">
        <v>528</v>
      </c>
      <c r="C493" t="s">
        <v>529</v>
      </c>
      <c r="D493" t="s">
        <v>10</v>
      </c>
      <c r="E493" t="s">
        <v>530</v>
      </c>
      <c r="F493" t="s">
        <v>12</v>
      </c>
      <c r="G493" t="str">
        <f>HYPERLINK("https://vk.com/wall80212439_1780")</f>
        <v>https://vk.com/wall80212439_1780</v>
      </c>
      <c r="H493" t="s">
        <v>13</v>
      </c>
      <c r="I493" t="s">
        <v>531</v>
      </c>
      <c r="J493" t="str">
        <f>HYPERLINK("http://vk.com/id80212439")</f>
        <v>http://vk.com/id80212439</v>
      </c>
      <c r="K493">
        <v>729</v>
      </c>
      <c r="L493" t="s">
        <v>15</v>
      </c>
      <c r="M493">
        <v>32</v>
      </c>
      <c r="N493" t="s">
        <v>16</v>
      </c>
      <c r="O493" t="s">
        <v>531</v>
      </c>
      <c r="P493" t="str">
        <f>HYPERLINK("http://vk.com/id80212439")</f>
        <v>http://vk.com/id80212439</v>
      </c>
      <c r="Q493">
        <v>729</v>
      </c>
      <c r="R493" t="s">
        <v>17</v>
      </c>
      <c r="S493" t="s">
        <v>18</v>
      </c>
      <c r="T493" t="s">
        <v>189</v>
      </c>
      <c r="U493" t="s">
        <v>532</v>
      </c>
      <c r="W493">
        <v>0</v>
      </c>
      <c r="X493">
        <v>0</v>
      </c>
      <c r="AE493">
        <v>0</v>
      </c>
      <c r="AF493">
        <v>0</v>
      </c>
      <c r="AG493">
        <v>13</v>
      </c>
      <c r="AI493" t="str">
        <f>HYPERLINK("https://sun1-22.userapi.com/UZy7-pMygrkTfsthVrTVsxq2Z3EQnnaZuePd7w/q-q0fBwp1qA.jpg")</f>
        <v>https://sun1-22.userapi.com/UZy7-pMygrkTfsthVrTVsxq2Z3EQnnaZuePd7w/q-q0fBwp1qA.jpg</v>
      </c>
      <c r="AJ493" t="s">
        <v>10</v>
      </c>
      <c r="AK493" t="s">
        <v>21</v>
      </c>
      <c r="AO493" t="s">
        <v>3240</v>
      </c>
      <c r="AR493" t="s">
        <v>3243</v>
      </c>
      <c r="AV493" t="s">
        <v>3247</v>
      </c>
      <c r="AW493" t="s">
        <v>3248</v>
      </c>
      <c r="AY493" t="s">
        <v>3250</v>
      </c>
      <c r="AZ493" t="s">
        <v>3251</v>
      </c>
    </row>
    <row r="494" spans="1:52" x14ac:dyDescent="0.25">
      <c r="A494" t="s">
        <v>414</v>
      </c>
      <c r="B494" t="s">
        <v>654</v>
      </c>
      <c r="C494" t="s">
        <v>655</v>
      </c>
      <c r="D494" t="s">
        <v>24</v>
      </c>
      <c r="E494" t="s">
        <v>656</v>
      </c>
      <c r="F494" t="s">
        <v>26</v>
      </c>
      <c r="G494" t="str">
        <f>HYPERLINK("https://vk.com/wall-197114981_31?reply=1197&amp;thread=1098")</f>
        <v>https://vk.com/wall-197114981_31?reply=1197&amp;thread=1098</v>
      </c>
      <c r="H494" t="s">
        <v>13</v>
      </c>
      <c r="I494" t="s">
        <v>27</v>
      </c>
      <c r="J494" t="str">
        <f>HYPERLINK("http://vk.com/club197114981")</f>
        <v>http://vk.com/club197114981</v>
      </c>
      <c r="K494">
        <v>38</v>
      </c>
      <c r="L494" t="s">
        <v>28</v>
      </c>
      <c r="N494" t="s">
        <v>16</v>
      </c>
      <c r="O494" t="s">
        <v>27</v>
      </c>
      <c r="P494" t="str">
        <f>HYPERLINK("http://vk.com/club197114981")</f>
        <v>http://vk.com/club197114981</v>
      </c>
      <c r="Q494">
        <v>38</v>
      </c>
      <c r="R494" t="s">
        <v>17</v>
      </c>
      <c r="AJ494" t="s">
        <v>10</v>
      </c>
      <c r="AK494" t="s">
        <v>21</v>
      </c>
      <c r="AN494" t="s">
        <v>3239</v>
      </c>
      <c r="AR494" t="s">
        <v>3243</v>
      </c>
      <c r="AT494" t="s">
        <v>3245</v>
      </c>
      <c r="AU494" t="s">
        <v>3246</v>
      </c>
      <c r="AY494" t="s">
        <v>3250</v>
      </c>
      <c r="AZ494" t="s">
        <v>3251</v>
      </c>
    </row>
    <row r="495" spans="1:52" x14ac:dyDescent="0.25">
      <c r="A495" t="s">
        <v>1017</v>
      </c>
      <c r="B495" t="s">
        <v>628</v>
      </c>
      <c r="C495" t="s">
        <v>1091</v>
      </c>
      <c r="D495" t="s">
        <v>10</v>
      </c>
      <c r="E495" t="s">
        <v>1008</v>
      </c>
      <c r="F495" t="s">
        <v>12</v>
      </c>
      <c r="G495" t="str">
        <f>HYPERLINK("https://www.facebook.com/permalink.php?story_fbid=2664834093799481&amp;id=100008187480757")</f>
        <v>https://www.facebook.com/permalink.php?story_fbid=2664834093799481&amp;id=100008187480757</v>
      </c>
      <c r="H495" t="s">
        <v>13</v>
      </c>
      <c r="I495" t="s">
        <v>1092</v>
      </c>
      <c r="J495" t="str">
        <f>HYPERLINK("https://www.facebook.com/100008187480757")</f>
        <v>https://www.facebook.com/100008187480757</v>
      </c>
      <c r="K495">
        <v>163</v>
      </c>
      <c r="L495" t="s">
        <v>80</v>
      </c>
      <c r="N495" t="s">
        <v>179</v>
      </c>
      <c r="O495" t="s">
        <v>1092</v>
      </c>
      <c r="P495" t="str">
        <f>HYPERLINK("https://www.facebook.com/100008187480757")</f>
        <v>https://www.facebook.com/100008187480757</v>
      </c>
      <c r="Q495">
        <v>163</v>
      </c>
      <c r="R495" t="s">
        <v>17</v>
      </c>
      <c r="S495" t="s">
        <v>180</v>
      </c>
      <c r="T495" t="s">
        <v>1010</v>
      </c>
      <c r="U495" t="s">
        <v>1011</v>
      </c>
      <c r="W495">
        <v>0</v>
      </c>
      <c r="X495">
        <v>0</v>
      </c>
      <c r="Y495">
        <v>0</v>
      </c>
      <c r="Z495">
        <v>0</v>
      </c>
      <c r="AA495">
        <v>0</v>
      </c>
      <c r="AB495">
        <v>0</v>
      </c>
      <c r="AC495">
        <v>0</v>
      </c>
      <c r="AE495">
        <v>0</v>
      </c>
      <c r="AF495">
        <v>0</v>
      </c>
      <c r="AI495" t="str">
        <f>HYPERLINK("https://scontent-hel2-1.xx.fbcdn.net/v/t1.0-9/117343623_568421917161508_8241900155472477173_n.jpg?_nc_cat=106&amp;_nc_sid=b9115d&amp;_nc_ohc=d3SRxZxD1XMAX_ankN4&amp;_nc_ht=scontent-hel2-1.xx&amp;oh=2c2ad72bad78972a5ed02d6cb9dfb254&amp;oe=5F571522")</f>
        <v>https://scontent-hel2-1.xx.fbcdn.net/v/t1.0-9/117343623_568421917161508_8241900155472477173_n.jpg?_nc_cat=106&amp;_nc_sid=b9115d&amp;_nc_ohc=d3SRxZxD1XMAX_ankN4&amp;_nc_ht=scontent-hel2-1.xx&amp;oh=2c2ad72bad78972a5ed02d6cb9dfb254&amp;oe=5F571522</v>
      </c>
      <c r="AJ495" t="s">
        <v>10</v>
      </c>
      <c r="AK495" t="s">
        <v>21</v>
      </c>
      <c r="AN495" t="s">
        <v>3239</v>
      </c>
      <c r="AR495" t="s">
        <v>3243</v>
      </c>
      <c r="AW495" t="s">
        <v>3248</v>
      </c>
      <c r="AX495" t="s">
        <v>3249</v>
      </c>
      <c r="AY495" t="s">
        <v>3250</v>
      </c>
    </row>
    <row r="496" spans="1:52" x14ac:dyDescent="0.25">
      <c r="A496" t="s">
        <v>2472</v>
      </c>
      <c r="B496" t="s">
        <v>1584</v>
      </c>
      <c r="C496" t="s">
        <v>968</v>
      </c>
      <c r="D496" t="s">
        <v>2532</v>
      </c>
      <c r="E496" t="s">
        <v>2533</v>
      </c>
      <c r="F496" t="s">
        <v>26</v>
      </c>
      <c r="G496" t="str">
        <f>HYPERLINK("https://vk.com/wall-81455107_664248?reply=664442")</f>
        <v>https://vk.com/wall-81455107_664248?reply=664442</v>
      </c>
      <c r="H496" t="s">
        <v>885</v>
      </c>
      <c r="I496" t="s">
        <v>2534</v>
      </c>
      <c r="J496" t="str">
        <f>HYPERLINK("http://vk.com/id424887840")</f>
        <v>http://vk.com/id424887840</v>
      </c>
      <c r="K496">
        <v>22</v>
      </c>
      <c r="L496" t="s">
        <v>80</v>
      </c>
      <c r="N496" t="s">
        <v>16</v>
      </c>
      <c r="O496" t="s">
        <v>2535</v>
      </c>
      <c r="P496" t="str">
        <f>HYPERLINK("http://vk.com/club81455107")</f>
        <v>http://vk.com/club81455107</v>
      </c>
      <c r="Q496">
        <v>12972</v>
      </c>
      <c r="R496" t="s">
        <v>17</v>
      </c>
      <c r="S496" t="s">
        <v>18</v>
      </c>
      <c r="T496" t="s">
        <v>354</v>
      </c>
      <c r="U496" t="s">
        <v>354</v>
      </c>
      <c r="AJ496" t="s">
        <v>10</v>
      </c>
      <c r="AK496" t="s">
        <v>21</v>
      </c>
      <c r="AL496" t="s">
        <v>3237</v>
      </c>
      <c r="AN496" t="s">
        <v>3239</v>
      </c>
      <c r="AR496" t="s">
        <v>3243</v>
      </c>
      <c r="AY496" t="s">
        <v>3250</v>
      </c>
    </row>
    <row r="497" spans="1:51" x14ac:dyDescent="0.25">
      <c r="A497" t="s">
        <v>414</v>
      </c>
      <c r="B497" t="s">
        <v>728</v>
      </c>
      <c r="C497" t="s">
        <v>729</v>
      </c>
      <c r="D497" t="s">
        <v>10</v>
      </c>
      <c r="E497" t="s">
        <v>730</v>
      </c>
      <c r="F497" t="s">
        <v>45</v>
      </c>
      <c r="G497" t="str">
        <f>HYPERLINK("https://www.facebook.com/shatalovadaria/posts/3178259035589983")</f>
        <v>https://www.facebook.com/shatalovadaria/posts/3178259035589983</v>
      </c>
      <c r="H497" t="s">
        <v>13</v>
      </c>
      <c r="I497" t="s">
        <v>731</v>
      </c>
      <c r="J497" t="str">
        <f>HYPERLINK("https://www.facebook.com/100002177524691")</f>
        <v>https://www.facebook.com/100002177524691</v>
      </c>
      <c r="K497">
        <v>0</v>
      </c>
      <c r="L497" t="s">
        <v>80</v>
      </c>
      <c r="N497" t="s">
        <v>179</v>
      </c>
      <c r="O497" t="s">
        <v>731</v>
      </c>
      <c r="P497" t="str">
        <f>HYPERLINK("https://www.facebook.com/100002177524691")</f>
        <v>https://www.facebook.com/100002177524691</v>
      </c>
      <c r="Q497">
        <v>0</v>
      </c>
      <c r="R497" t="s">
        <v>17</v>
      </c>
      <c r="S497" t="s">
        <v>18</v>
      </c>
      <c r="T497" t="s">
        <v>126</v>
      </c>
      <c r="U497" t="s">
        <v>127</v>
      </c>
      <c r="W497">
        <v>0</v>
      </c>
      <c r="X497">
        <v>0</v>
      </c>
      <c r="Y497">
        <v>0</v>
      </c>
      <c r="Z497">
        <v>0</v>
      </c>
      <c r="AA497">
        <v>0</v>
      </c>
      <c r="AB497">
        <v>0</v>
      </c>
      <c r="AC497">
        <v>0</v>
      </c>
      <c r="AE497">
        <v>0</v>
      </c>
      <c r="AF497">
        <v>0</v>
      </c>
      <c r="AI497" t="str">
        <f>HYPERLINK("https://vademec.ru/upload/iblock/488/48863db98d33de4541fe23b51a5b576f.jpg")</f>
        <v>https://vademec.ru/upload/iblock/488/48863db98d33de4541fe23b51a5b576f.jpg</v>
      </c>
      <c r="AJ497" t="s">
        <v>10</v>
      </c>
      <c r="AK497" t="s">
        <v>21</v>
      </c>
      <c r="AR497" t="s">
        <v>3243</v>
      </c>
      <c r="AY497" t="s">
        <v>3250</v>
      </c>
    </row>
    <row r="498" spans="1:51" x14ac:dyDescent="0.25">
      <c r="A498" t="s">
        <v>1352</v>
      </c>
      <c r="B498" t="s">
        <v>1374</v>
      </c>
      <c r="C498" t="s">
        <v>1375</v>
      </c>
      <c r="D498" t="s">
        <v>1203</v>
      </c>
      <c r="E498" t="s">
        <v>1204</v>
      </c>
      <c r="F498" t="s">
        <v>45</v>
      </c>
      <c r="G498" t="str">
        <f>HYPERLINK("https://www.google.com/maps/reviews/data=!4m5!14m4!1m3!1m2!1s113949291278716343220!2s0x0:0x4f16bea49627273c?hl=en-NL")</f>
        <v>https://www.google.com/maps/reviews/data=!4m5!14m4!1m3!1m2!1s113949291278716343220!2s0x0:0x4f16bea49627273c?hl=en-NL</v>
      </c>
      <c r="H498" t="s">
        <v>13</v>
      </c>
      <c r="I498" t="s">
        <v>1376</v>
      </c>
      <c r="J498" t="str">
        <f>HYPERLINK("https://maps.google.com/maps/contrib/113949291278716343220")</f>
        <v>https://maps.google.com/maps/contrib/113949291278716343220</v>
      </c>
      <c r="N498" t="s">
        <v>615</v>
      </c>
      <c r="O498" t="s">
        <v>1203</v>
      </c>
      <c r="P498" t="str">
        <f>HYPERLINK("https://maps.google.com/maps/place/data=!3m1!4b1!4m5!3m4!1s0x0:0x4f16bea49627273c!8m2!3d28.645680!4d77.134860")</f>
        <v>https://maps.google.com/maps/place/data=!3m1!4b1!4m5!3m4!1s0x0:0x4f16bea49627273c!8m2!3d28.645680!4d77.134860</v>
      </c>
      <c r="R498" t="s">
        <v>616</v>
      </c>
      <c r="S498" t="s">
        <v>1206</v>
      </c>
      <c r="T498" t="s">
        <v>1207</v>
      </c>
      <c r="U498" t="s">
        <v>1208</v>
      </c>
      <c r="W498">
        <v>1</v>
      </c>
      <c r="X498">
        <v>1</v>
      </c>
      <c r="AH498">
        <v>5</v>
      </c>
      <c r="AJ498" t="s">
        <v>10</v>
      </c>
      <c r="AK498" t="s">
        <v>21</v>
      </c>
      <c r="AL498" t="s">
        <v>3237</v>
      </c>
      <c r="AR498" t="s">
        <v>3243</v>
      </c>
      <c r="AY498" t="s">
        <v>3250</v>
      </c>
    </row>
    <row r="499" spans="1:51" x14ac:dyDescent="0.25">
      <c r="A499" t="s">
        <v>1352</v>
      </c>
      <c r="B499" t="s">
        <v>1386</v>
      </c>
      <c r="C499" t="s">
        <v>984</v>
      </c>
      <c r="D499" t="s">
        <v>10</v>
      </c>
      <c r="E499" t="s">
        <v>1353</v>
      </c>
      <c r="F499" t="s">
        <v>12</v>
      </c>
      <c r="G499" t="str">
        <f>HYPERLINK("https://www.facebook.com/permalink.php?story_fbid=1364103877119132&amp;id=100005585983932")</f>
        <v>https://www.facebook.com/permalink.php?story_fbid=1364103877119132&amp;id=100005585983932</v>
      </c>
      <c r="H499" t="s">
        <v>885</v>
      </c>
      <c r="I499" t="s">
        <v>1074</v>
      </c>
      <c r="J499" t="str">
        <f>HYPERLINK("https://www.facebook.com/100005585983932")</f>
        <v>https://www.facebook.com/100005585983932</v>
      </c>
      <c r="K499">
        <v>485</v>
      </c>
      <c r="L499" t="s">
        <v>80</v>
      </c>
      <c r="N499" t="s">
        <v>179</v>
      </c>
      <c r="O499" t="s">
        <v>1074</v>
      </c>
      <c r="P499" t="str">
        <f>HYPERLINK("https://www.facebook.com/100005585983932")</f>
        <v>https://www.facebook.com/100005585983932</v>
      </c>
      <c r="Q499">
        <v>485</v>
      </c>
      <c r="R499" t="s">
        <v>17</v>
      </c>
      <c r="S499" t="s">
        <v>18</v>
      </c>
      <c r="T499" t="s">
        <v>1015</v>
      </c>
      <c r="U499" t="s">
        <v>1016</v>
      </c>
      <c r="W499">
        <v>2</v>
      </c>
      <c r="X499">
        <v>2</v>
      </c>
      <c r="Y499">
        <v>0</v>
      </c>
      <c r="Z499">
        <v>0</v>
      </c>
      <c r="AA499">
        <v>0</v>
      </c>
      <c r="AB499">
        <v>0</v>
      </c>
      <c r="AC499">
        <v>0</v>
      </c>
      <c r="AE499">
        <v>0</v>
      </c>
      <c r="AI499" t="str">
        <f>HYPERLINK("https://scontent-hel2-1.xx.fbcdn.net/v/t1.0-9/s960x960/116873663_3235624996503955_8100360529451218858_o.jpg?_nc_cat=109&amp;_nc_sid=730e14&amp;_nc_ohc=0Ed0EGx6qKIAX_kU6pD&amp;_nc_ht=scontent-hel2-1.xx&amp;_nc_tp=7&amp;oh=91cb5d2c843d6b065d87674f1f4d9a22&amp;oe=5F4BCE9E")</f>
        <v>https://scontent-hel2-1.xx.fbcdn.net/v/t1.0-9/s960x960/116873663_3235624996503955_8100360529451218858_o.jpg?_nc_cat=109&amp;_nc_sid=730e14&amp;_nc_ohc=0Ed0EGx6qKIAX_kU6pD&amp;_nc_ht=scontent-hel2-1.xx&amp;_nc_tp=7&amp;oh=91cb5d2c843d6b065d87674f1f4d9a22&amp;oe=5F4BCE9E</v>
      </c>
      <c r="AJ499" t="s">
        <v>10</v>
      </c>
      <c r="AK499" t="s">
        <v>21</v>
      </c>
      <c r="AR499" t="s">
        <v>3243</v>
      </c>
    </row>
    <row r="500" spans="1:51" x14ac:dyDescent="0.25">
      <c r="A500" t="s">
        <v>1597</v>
      </c>
      <c r="B500" t="s">
        <v>1708</v>
      </c>
      <c r="C500" t="s">
        <v>984</v>
      </c>
      <c r="D500" t="s">
        <v>10</v>
      </c>
      <c r="E500" t="s">
        <v>1709</v>
      </c>
      <c r="F500" t="s">
        <v>26</v>
      </c>
      <c r="G500" t="str">
        <f>HYPERLINK("https://twitter.com/814261651/status/1288271181938921472")</f>
        <v>https://twitter.com/814261651/status/1288271181938921472</v>
      </c>
      <c r="H500" t="s">
        <v>885</v>
      </c>
      <c r="I500" t="s">
        <v>1710</v>
      </c>
      <c r="J500" t="str">
        <f>HYPERLINK("http://twitter.com/comboverwhelmed")</f>
        <v>http://twitter.com/comboverwhelmed</v>
      </c>
      <c r="K500">
        <v>2435</v>
      </c>
      <c r="N500" t="s">
        <v>54</v>
      </c>
      <c r="R500" t="s">
        <v>17</v>
      </c>
      <c r="W500">
        <v>2</v>
      </c>
      <c r="X500">
        <v>2</v>
      </c>
      <c r="AE500">
        <v>1</v>
      </c>
      <c r="AF500">
        <v>0</v>
      </c>
      <c r="AJ500" t="s">
        <v>10</v>
      </c>
      <c r="AK500" t="s">
        <v>21</v>
      </c>
      <c r="AR500" t="s">
        <v>3243</v>
      </c>
      <c r="AU500" t="s">
        <v>3246</v>
      </c>
      <c r="AV500" t="s">
        <v>3247</v>
      </c>
      <c r="AW500" t="s">
        <v>3248</v>
      </c>
      <c r="AY500" t="s">
        <v>3250</v>
      </c>
    </row>
    <row r="501" spans="1:51" x14ac:dyDescent="0.25">
      <c r="A501" t="s">
        <v>1930</v>
      </c>
      <c r="B501" t="s">
        <v>122</v>
      </c>
      <c r="C501" t="s">
        <v>984</v>
      </c>
      <c r="D501" t="s">
        <v>10</v>
      </c>
      <c r="E501" t="s">
        <v>1965</v>
      </c>
      <c r="F501" t="s">
        <v>45</v>
      </c>
      <c r="G501" t="str">
        <f>HYPERLINK("https://www.facebook.com/expert.klinika.stavropol/photos/a.108004590782008/168892118026588/?type=3")</f>
        <v>https://www.facebook.com/expert.klinika.stavropol/photos/a.108004590782008/168892118026588/?type=3</v>
      </c>
      <c r="H501" t="s">
        <v>885</v>
      </c>
      <c r="I501" t="s">
        <v>640</v>
      </c>
      <c r="J501" t="str">
        <f>HYPERLINK("https://www.facebook.com/107325724183228")</f>
        <v>https://www.facebook.com/107325724183228</v>
      </c>
      <c r="K501">
        <v>1</v>
      </c>
      <c r="L501" t="s">
        <v>28</v>
      </c>
      <c r="N501" t="s">
        <v>179</v>
      </c>
      <c r="O501" t="s">
        <v>640</v>
      </c>
      <c r="P501" t="str">
        <f>HYPERLINK("https://www.facebook.com/107325724183228")</f>
        <v>https://www.facebook.com/107325724183228</v>
      </c>
      <c r="Q501">
        <v>1</v>
      </c>
      <c r="R501" t="s">
        <v>17</v>
      </c>
      <c r="S501" t="s">
        <v>18</v>
      </c>
      <c r="T501" t="s">
        <v>641</v>
      </c>
      <c r="U501" t="s">
        <v>642</v>
      </c>
      <c r="W501">
        <v>0</v>
      </c>
      <c r="X501">
        <v>0</v>
      </c>
      <c r="Y501">
        <v>0</v>
      </c>
      <c r="Z501">
        <v>0</v>
      </c>
      <c r="AA501">
        <v>0</v>
      </c>
      <c r="AB501">
        <v>0</v>
      </c>
      <c r="AC501">
        <v>0</v>
      </c>
      <c r="AE501">
        <v>0</v>
      </c>
      <c r="AI501" t="str">
        <f>HYPERLINK("https://scontent-hel2-1.xx.fbcdn.net/v/t1.0-0/p526x296/116288599_168892121359921_111283832098543181_n.jpg?_nc_cat=107&amp;_nc_sid=9267fe&amp;_nc_ohc=gMyNj6mgsaMAX9LngwU&amp;_nc_ht=scontent-hel2-1.xx&amp;_nc_tp=6&amp;oh=d46efe9eb59743327dc810b3a39a5a1b&amp;oe=5F43B3B8")</f>
        <v>https://scontent-hel2-1.xx.fbcdn.net/v/t1.0-0/p526x296/116288599_168892121359921_111283832098543181_n.jpg?_nc_cat=107&amp;_nc_sid=9267fe&amp;_nc_ohc=gMyNj6mgsaMAX9LngwU&amp;_nc_ht=scontent-hel2-1.xx&amp;_nc_tp=6&amp;oh=d46efe9eb59743327dc810b3a39a5a1b&amp;oe=5F43B3B8</v>
      </c>
      <c r="AJ501" t="s">
        <v>10</v>
      </c>
      <c r="AK501" t="s">
        <v>21</v>
      </c>
      <c r="AR501" t="s">
        <v>3243</v>
      </c>
      <c r="AT501" t="s">
        <v>3245</v>
      </c>
      <c r="AV501" t="s">
        <v>3247</v>
      </c>
      <c r="AX501" t="s">
        <v>3249</v>
      </c>
      <c r="AY501" t="s">
        <v>3250</v>
      </c>
    </row>
    <row r="502" spans="1:51" x14ac:dyDescent="0.25">
      <c r="A502" t="s">
        <v>2193</v>
      </c>
      <c r="B502" t="s">
        <v>1135</v>
      </c>
      <c r="C502" t="s">
        <v>968</v>
      </c>
      <c r="D502" t="s">
        <v>10</v>
      </c>
      <c r="E502" t="s">
        <v>2230</v>
      </c>
      <c r="F502" t="s">
        <v>45</v>
      </c>
      <c r="G502" t="str">
        <f>HYPERLINK("https://vk.com/wall-193845049_93")</f>
        <v>https://vk.com/wall-193845049_93</v>
      </c>
      <c r="H502" t="s">
        <v>885</v>
      </c>
      <c r="I502" t="s">
        <v>2231</v>
      </c>
      <c r="J502" t="str">
        <f>HYPERLINK("http://vk.com/club193845049")</f>
        <v>http://vk.com/club193845049</v>
      </c>
      <c r="K502">
        <v>623</v>
      </c>
      <c r="L502" t="s">
        <v>28</v>
      </c>
      <c r="N502" t="s">
        <v>16</v>
      </c>
      <c r="O502" t="s">
        <v>2231</v>
      </c>
      <c r="P502" t="str">
        <f>HYPERLINK("http://vk.com/club193845049")</f>
        <v>http://vk.com/club193845049</v>
      </c>
      <c r="Q502">
        <v>623</v>
      </c>
      <c r="R502" t="s">
        <v>17</v>
      </c>
      <c r="S502" t="s">
        <v>18</v>
      </c>
      <c r="T502" t="s">
        <v>141</v>
      </c>
      <c r="U502" t="s">
        <v>2232</v>
      </c>
      <c r="W502">
        <v>0</v>
      </c>
      <c r="X502">
        <v>0</v>
      </c>
      <c r="AE502">
        <v>0</v>
      </c>
      <c r="AF502">
        <v>0</v>
      </c>
      <c r="AG502">
        <v>180</v>
      </c>
      <c r="AI502" t="str">
        <f>HYPERLINK("https://sun1-91.userapi.com/gaK1Uh2GMrLJshYde8xVdtLTj1aMJ44OATJcMA/IsXAIQTOtfE.jpg")</f>
        <v>https://sun1-91.userapi.com/gaK1Uh2GMrLJshYde8xVdtLTj1aMJ44OATJcMA/IsXAIQTOtfE.jpg</v>
      </c>
      <c r="AJ502" t="s">
        <v>10</v>
      </c>
      <c r="AK502" t="s">
        <v>21</v>
      </c>
      <c r="AR502" t="s">
        <v>3243</v>
      </c>
      <c r="AT502" t="s">
        <v>3245</v>
      </c>
      <c r="AW502" t="s">
        <v>3248</v>
      </c>
      <c r="AX502" t="s">
        <v>3249</v>
      </c>
      <c r="AY502" t="s">
        <v>3250</v>
      </c>
    </row>
    <row r="503" spans="1:51" x14ac:dyDescent="0.25">
      <c r="A503" t="s">
        <v>7</v>
      </c>
      <c r="B503" t="s">
        <v>29</v>
      </c>
      <c r="C503" t="s">
        <v>30</v>
      </c>
      <c r="D503" t="s">
        <v>24</v>
      </c>
      <c r="E503" t="s">
        <v>25</v>
      </c>
      <c r="F503" t="s">
        <v>26</v>
      </c>
      <c r="G503" t="str">
        <f>HYPERLINK("https://vk.com/wall-197114981_31?reply=1378&amp;thread=1352")</f>
        <v>https://vk.com/wall-197114981_31?reply=1378&amp;thread=1352</v>
      </c>
      <c r="H503" t="s">
        <v>13</v>
      </c>
      <c r="I503" t="s">
        <v>27</v>
      </c>
      <c r="J503" t="str">
        <f>HYPERLINK("http://vk.com/club197114981")</f>
        <v>http://vk.com/club197114981</v>
      </c>
      <c r="K503">
        <v>38</v>
      </c>
      <c r="L503" t="s">
        <v>28</v>
      </c>
      <c r="N503" t="s">
        <v>16</v>
      </c>
      <c r="O503" t="s">
        <v>27</v>
      </c>
      <c r="P503" t="str">
        <f>HYPERLINK("http://vk.com/club197114981")</f>
        <v>http://vk.com/club197114981</v>
      </c>
      <c r="Q503">
        <v>38</v>
      </c>
      <c r="R503" t="s">
        <v>17</v>
      </c>
      <c r="AJ503" t="s">
        <v>10</v>
      </c>
      <c r="AK503" t="s">
        <v>21</v>
      </c>
      <c r="AL503" t="s">
        <v>3237</v>
      </c>
      <c r="AO503" t="s">
        <v>3240</v>
      </c>
      <c r="AR503" t="s">
        <v>3243</v>
      </c>
      <c r="AW503" t="s">
        <v>3248</v>
      </c>
      <c r="AY503" t="s">
        <v>3250</v>
      </c>
    </row>
    <row r="504" spans="1:51" x14ac:dyDescent="0.25">
      <c r="A504" t="s">
        <v>7</v>
      </c>
      <c r="B504" t="s">
        <v>97</v>
      </c>
      <c r="C504" t="s">
        <v>98</v>
      </c>
      <c r="D504" t="s">
        <v>24</v>
      </c>
      <c r="E504" t="s">
        <v>41</v>
      </c>
      <c r="F504" t="s">
        <v>26</v>
      </c>
      <c r="G504" t="str">
        <f>HYPERLINK("https://vk.com/wall-197114981_31?reply=1367&amp;thread=1335")</f>
        <v>https://vk.com/wall-197114981_31?reply=1367&amp;thread=1335</v>
      </c>
      <c r="H504" t="s">
        <v>13</v>
      </c>
      <c r="I504" t="s">
        <v>27</v>
      </c>
      <c r="J504" t="str">
        <f>HYPERLINK("http://vk.com/club197114981")</f>
        <v>http://vk.com/club197114981</v>
      </c>
      <c r="K504">
        <v>38</v>
      </c>
      <c r="L504" t="s">
        <v>28</v>
      </c>
      <c r="N504" t="s">
        <v>16</v>
      </c>
      <c r="O504" t="s">
        <v>27</v>
      </c>
      <c r="P504" t="str">
        <f>HYPERLINK("http://vk.com/club197114981")</f>
        <v>http://vk.com/club197114981</v>
      </c>
      <c r="Q504">
        <v>38</v>
      </c>
      <c r="R504" t="s">
        <v>17</v>
      </c>
      <c r="AJ504" t="s">
        <v>10</v>
      </c>
      <c r="AK504" t="s">
        <v>21</v>
      </c>
      <c r="AO504" t="s">
        <v>3240</v>
      </c>
      <c r="AR504" t="s">
        <v>3243</v>
      </c>
      <c r="AT504" t="s">
        <v>3245</v>
      </c>
      <c r="AV504" t="s">
        <v>3247</v>
      </c>
      <c r="AX504" t="s">
        <v>3249</v>
      </c>
    </row>
    <row r="505" spans="1:51" x14ac:dyDescent="0.25">
      <c r="A505" t="s">
        <v>772</v>
      </c>
      <c r="B505" t="s">
        <v>519</v>
      </c>
      <c r="C505" t="s">
        <v>883</v>
      </c>
      <c r="D505" t="s">
        <v>24</v>
      </c>
      <c r="E505" t="s">
        <v>886</v>
      </c>
      <c r="F505" t="s">
        <v>26</v>
      </c>
      <c r="G505" t="str">
        <f>HYPERLINK("https://vk.com/wall-197114981_31?reply=1128")</f>
        <v>https://vk.com/wall-197114981_31?reply=1128</v>
      </c>
      <c r="H505" t="s">
        <v>885</v>
      </c>
      <c r="I505" t="s">
        <v>247</v>
      </c>
      <c r="J505" t="str">
        <f>HYPERLINK("http://vk.com/id38095165")</f>
        <v>http://vk.com/id38095165</v>
      </c>
      <c r="K505">
        <v>1193</v>
      </c>
      <c r="L505" t="s">
        <v>80</v>
      </c>
      <c r="N505" t="s">
        <v>16</v>
      </c>
      <c r="O505" t="s">
        <v>27</v>
      </c>
      <c r="P505" t="str">
        <f>HYPERLINK("http://vk.com/club197114981")</f>
        <v>http://vk.com/club197114981</v>
      </c>
      <c r="Q505">
        <v>38</v>
      </c>
      <c r="R505" t="s">
        <v>17</v>
      </c>
      <c r="S505" t="s">
        <v>18</v>
      </c>
      <c r="T505" t="s">
        <v>248</v>
      </c>
      <c r="U505" t="s">
        <v>249</v>
      </c>
      <c r="AJ505" t="s">
        <v>10</v>
      </c>
      <c r="AK505" t="s">
        <v>21</v>
      </c>
      <c r="AO505" t="s">
        <v>3240</v>
      </c>
      <c r="AR505" t="s">
        <v>3243</v>
      </c>
      <c r="AU505" t="s">
        <v>3246</v>
      </c>
      <c r="AW505" t="s">
        <v>3248</v>
      </c>
    </row>
    <row r="506" spans="1:51" x14ac:dyDescent="0.25">
      <c r="A506" t="s">
        <v>1017</v>
      </c>
      <c r="B506" t="s">
        <v>1075</v>
      </c>
      <c r="C506" t="s">
        <v>984</v>
      </c>
      <c r="D506" t="s">
        <v>10</v>
      </c>
      <c r="E506" t="s">
        <v>1023</v>
      </c>
      <c r="F506" t="s">
        <v>12</v>
      </c>
      <c r="G506" t="str">
        <f>HYPERLINK("https://vk.com/wall52949648_2061")</f>
        <v>https://vk.com/wall52949648_2061</v>
      </c>
      <c r="H506" t="s">
        <v>885</v>
      </c>
      <c r="I506" t="s">
        <v>1076</v>
      </c>
      <c r="J506" t="str">
        <f>HYPERLINK("http://vk.com/id52949648")</f>
        <v>http://vk.com/id52949648</v>
      </c>
      <c r="K506">
        <v>389</v>
      </c>
      <c r="L506" t="s">
        <v>80</v>
      </c>
      <c r="N506" t="s">
        <v>16</v>
      </c>
      <c r="O506" t="s">
        <v>1076</v>
      </c>
      <c r="P506" t="str">
        <f>HYPERLINK("http://vk.com/id52949648")</f>
        <v>http://vk.com/id52949648</v>
      </c>
      <c r="Q506">
        <v>389</v>
      </c>
      <c r="R506" t="s">
        <v>17</v>
      </c>
      <c r="S506" t="s">
        <v>18</v>
      </c>
      <c r="T506" t="s">
        <v>1015</v>
      </c>
      <c r="U506" t="s">
        <v>1016</v>
      </c>
      <c r="W506">
        <v>2</v>
      </c>
      <c r="X506">
        <v>2</v>
      </c>
      <c r="AE506">
        <v>0</v>
      </c>
      <c r="AF506">
        <v>0</v>
      </c>
      <c r="AG506">
        <v>19</v>
      </c>
      <c r="AI506" t="str">
        <f>HYPERLINK("https://sun9-40.userapi.com/opX5IBLF-1siB9r08EeJTIZVQxHvWWloJijsSg/YVPQrsHFC90.jpg")</f>
        <v>https://sun9-40.userapi.com/opX5IBLF-1siB9r08EeJTIZVQxHvWWloJijsSg/YVPQrsHFC90.jpg</v>
      </c>
      <c r="AJ506" t="s">
        <v>10</v>
      </c>
      <c r="AK506" t="s">
        <v>21</v>
      </c>
      <c r="AO506" t="s">
        <v>3240</v>
      </c>
      <c r="AR506" t="s">
        <v>3243</v>
      </c>
      <c r="AU506" t="s">
        <v>3246</v>
      </c>
      <c r="AX506" t="s">
        <v>3249</v>
      </c>
      <c r="AY506" t="s">
        <v>3250</v>
      </c>
    </row>
    <row r="507" spans="1:51" x14ac:dyDescent="0.25">
      <c r="A507" t="s">
        <v>1017</v>
      </c>
      <c r="B507" t="s">
        <v>1106</v>
      </c>
      <c r="C507" t="s">
        <v>984</v>
      </c>
      <c r="D507" t="s">
        <v>10</v>
      </c>
      <c r="E507" t="s">
        <v>1095</v>
      </c>
      <c r="F507" t="s">
        <v>45</v>
      </c>
      <c r="G507" t="str">
        <f>HYPERLINK("https://vk.com/wall-158715833_42200")</f>
        <v>https://vk.com/wall-158715833_42200</v>
      </c>
      <c r="H507" t="s">
        <v>885</v>
      </c>
      <c r="I507" t="s">
        <v>1085</v>
      </c>
      <c r="J507" t="str">
        <f>HYPERLINK("http://vk.com/id162385864")</f>
        <v>http://vk.com/id162385864</v>
      </c>
      <c r="K507">
        <v>359</v>
      </c>
      <c r="L507" t="s">
        <v>80</v>
      </c>
      <c r="N507" t="s">
        <v>16</v>
      </c>
      <c r="O507" t="s">
        <v>1107</v>
      </c>
      <c r="P507" t="str">
        <f>HYPERLINK("http://vk.com/club158715833")</f>
        <v>http://vk.com/club158715833</v>
      </c>
      <c r="Q507">
        <v>2926</v>
      </c>
      <c r="R507" t="s">
        <v>17</v>
      </c>
      <c r="S507" t="s">
        <v>18</v>
      </c>
      <c r="W507">
        <v>1</v>
      </c>
      <c r="X507">
        <v>1</v>
      </c>
      <c r="AE507">
        <v>0</v>
      </c>
      <c r="AF507">
        <v>0</v>
      </c>
      <c r="AI507" t="str">
        <f>HYPERLINK("https://sun9-27.userapi.com/c857320/v857320814/1fa721/wgikp9hpU1g.jpg")</f>
        <v>https://sun9-27.userapi.com/c857320/v857320814/1fa721/wgikp9hpU1g.jpg</v>
      </c>
      <c r="AJ507" t="s">
        <v>10</v>
      </c>
      <c r="AK507" t="s">
        <v>21</v>
      </c>
      <c r="AL507" t="s">
        <v>3237</v>
      </c>
      <c r="AO507" t="s">
        <v>3240</v>
      </c>
      <c r="AR507" t="s">
        <v>3243</v>
      </c>
      <c r="AT507" t="s">
        <v>3245</v>
      </c>
      <c r="AU507" t="s">
        <v>3246</v>
      </c>
      <c r="AV507" t="s">
        <v>3247</v>
      </c>
      <c r="AY507" t="s">
        <v>3250</v>
      </c>
    </row>
    <row r="508" spans="1:51" x14ac:dyDescent="0.25">
      <c r="A508" t="s">
        <v>1017</v>
      </c>
      <c r="B508" t="s">
        <v>1114</v>
      </c>
      <c r="C508" t="s">
        <v>1115</v>
      </c>
      <c r="D508" t="s">
        <v>10</v>
      </c>
      <c r="E508" t="s">
        <v>1008</v>
      </c>
      <c r="F508" t="s">
        <v>12</v>
      </c>
      <c r="G508" t="str">
        <f>HYPERLINK("https://www.facebook.com/permalink.php?story_fbid=686776605245090&amp;id=100017382696853")</f>
        <v>https://www.facebook.com/permalink.php?story_fbid=686776605245090&amp;id=100017382696853</v>
      </c>
      <c r="H508" t="s">
        <v>13</v>
      </c>
      <c r="I508" t="s">
        <v>1116</v>
      </c>
      <c r="J508" t="str">
        <f>HYPERLINK("https://www.facebook.com/100017382696853")</f>
        <v>https://www.facebook.com/100017382696853</v>
      </c>
      <c r="K508">
        <v>59</v>
      </c>
      <c r="L508" t="s">
        <v>80</v>
      </c>
      <c r="N508" t="s">
        <v>179</v>
      </c>
      <c r="O508" t="s">
        <v>1116</v>
      </c>
      <c r="P508" t="str">
        <f>HYPERLINK("https://www.facebook.com/100017382696853")</f>
        <v>https://www.facebook.com/100017382696853</v>
      </c>
      <c r="Q508">
        <v>59</v>
      </c>
      <c r="R508" t="s">
        <v>17</v>
      </c>
      <c r="W508">
        <v>1</v>
      </c>
      <c r="X508">
        <v>1</v>
      </c>
      <c r="Y508">
        <v>0</v>
      </c>
      <c r="Z508">
        <v>0</v>
      </c>
      <c r="AA508">
        <v>0</v>
      </c>
      <c r="AB508">
        <v>0</v>
      </c>
      <c r="AC508">
        <v>0</v>
      </c>
      <c r="AE508">
        <v>0</v>
      </c>
      <c r="AF508">
        <v>0</v>
      </c>
      <c r="AI508" t="str">
        <f>HYPERLINK("https://scontent-hel2-1.xx.fbcdn.net/v/t1.0-9/117343623_568421917161508_8241900155472477173_n.jpg?_nc_cat=106&amp;_nc_sid=b9115d&amp;_nc_ohc=d3SRxZxD1XMAX_AX8j4&amp;_nc_ht=scontent-hel2-1.xx&amp;oh=b8412ddbca5e0a1215f963bba0f43dd1&amp;oe=5F571522")</f>
        <v>https://scontent-hel2-1.xx.fbcdn.net/v/t1.0-9/117343623_568421917161508_8241900155472477173_n.jpg?_nc_cat=106&amp;_nc_sid=b9115d&amp;_nc_ohc=d3SRxZxD1XMAX_AX8j4&amp;_nc_ht=scontent-hel2-1.xx&amp;oh=b8412ddbca5e0a1215f963bba0f43dd1&amp;oe=5F571522</v>
      </c>
      <c r="AJ508" t="s">
        <v>10</v>
      </c>
      <c r="AK508" t="s">
        <v>21</v>
      </c>
      <c r="AO508" t="s">
        <v>3240</v>
      </c>
      <c r="AR508" t="s">
        <v>3243</v>
      </c>
      <c r="AU508" t="s">
        <v>3246</v>
      </c>
      <c r="AV508" t="s">
        <v>3247</v>
      </c>
      <c r="AX508" t="s">
        <v>3249</v>
      </c>
      <c r="AY508" t="s">
        <v>3250</v>
      </c>
    </row>
    <row r="509" spans="1:51" x14ac:dyDescent="0.25">
      <c r="A509" t="s">
        <v>2541</v>
      </c>
      <c r="B509" t="s">
        <v>183</v>
      </c>
      <c r="C509" t="s">
        <v>968</v>
      </c>
      <c r="D509" t="s">
        <v>2571</v>
      </c>
      <c r="E509" t="s">
        <v>2572</v>
      </c>
      <c r="F509" t="s">
        <v>45</v>
      </c>
      <c r="G509" t="str">
        <f>HYPERLINK("https://www.tigerdroppings.com/rant/politics/masks-finally-found-an-answer-as-to-why-the-push-for-them/90939946")</f>
        <v>https://www.tigerdroppings.com/rant/politics/masks-finally-found-an-answer-as-to-why-the-push-for-them/90939946</v>
      </c>
      <c r="H509" t="s">
        <v>885</v>
      </c>
      <c r="I509" t="s">
        <v>2573</v>
      </c>
      <c r="J509" t="str">
        <f>HYPERLINK("https://www.tigerdroppings.com/users/prof.aspx?u=133110")</f>
        <v>https://www.tigerdroppings.com/users/prof.aspx?u=133110</v>
      </c>
      <c r="N509" t="s">
        <v>2574</v>
      </c>
      <c r="O509" t="s">
        <v>2575</v>
      </c>
      <c r="P509" t="str">
        <f>HYPERLINK("https://www.tigerdroppings.com/rant/politics/")</f>
        <v>https://www.tigerdroppings.com/rant/politics/</v>
      </c>
      <c r="R509" t="s">
        <v>1293</v>
      </c>
      <c r="S509" t="s">
        <v>425</v>
      </c>
      <c r="AJ509" t="s">
        <v>10</v>
      </c>
      <c r="AK509" t="s">
        <v>21</v>
      </c>
      <c r="AO509" t="s">
        <v>3240</v>
      </c>
      <c r="AR509" t="s">
        <v>3243</v>
      </c>
      <c r="AU509" t="s">
        <v>3246</v>
      </c>
      <c r="AY509" t="s">
        <v>3250</v>
      </c>
    </row>
    <row r="510" spans="1:51" x14ac:dyDescent="0.25">
      <c r="A510" t="s">
        <v>2767</v>
      </c>
      <c r="B510" t="s">
        <v>864</v>
      </c>
      <c r="C510" t="s">
        <v>968</v>
      </c>
      <c r="D510" t="s">
        <v>10</v>
      </c>
      <c r="E510" t="s">
        <v>2212</v>
      </c>
      <c r="F510" t="s">
        <v>45</v>
      </c>
      <c r="G510" t="str">
        <f>HYPERLINK("https://vk.com/wall-158633337_923")</f>
        <v>https://vk.com/wall-158633337_923</v>
      </c>
      <c r="H510" t="s">
        <v>889</v>
      </c>
      <c r="I510" t="s">
        <v>125</v>
      </c>
      <c r="J510" t="str">
        <f>HYPERLINK("http://vk.com/club158633337")</f>
        <v>http://vk.com/club158633337</v>
      </c>
      <c r="K510">
        <v>4852</v>
      </c>
      <c r="L510" t="s">
        <v>28</v>
      </c>
      <c r="N510" t="s">
        <v>16</v>
      </c>
      <c r="O510" t="s">
        <v>125</v>
      </c>
      <c r="P510" t="str">
        <f>HYPERLINK("http://vk.com/club158633337")</f>
        <v>http://vk.com/club158633337</v>
      </c>
      <c r="Q510">
        <v>4852</v>
      </c>
      <c r="R510" t="s">
        <v>17</v>
      </c>
      <c r="S510" t="s">
        <v>18</v>
      </c>
      <c r="T510" t="s">
        <v>126</v>
      </c>
      <c r="U510" t="s">
        <v>127</v>
      </c>
      <c r="W510">
        <v>0</v>
      </c>
      <c r="X510">
        <v>0</v>
      </c>
      <c r="AE510">
        <v>0</v>
      </c>
      <c r="AF510">
        <v>0</v>
      </c>
      <c r="AG510">
        <v>109</v>
      </c>
      <c r="AI510" t="str">
        <f>HYPERLINK("https://sun1-84.userapi.com/cct1nWwu1-ndHG6Y4GIv9o-3hjKvLj4vnlrGEw/9rjSvME2dto.jpg")</f>
        <v>https://sun1-84.userapi.com/cct1nWwu1-ndHG6Y4GIv9o-3hjKvLj4vnlrGEw/9rjSvME2dto.jpg</v>
      </c>
      <c r="AJ510" t="s">
        <v>10</v>
      </c>
      <c r="AK510" t="s">
        <v>21</v>
      </c>
      <c r="AO510" t="s">
        <v>3240</v>
      </c>
      <c r="AR510" t="s">
        <v>3243</v>
      </c>
      <c r="AT510" t="s">
        <v>3245</v>
      </c>
      <c r="AV510" t="s">
        <v>3247</v>
      </c>
      <c r="AX510" t="s">
        <v>3249</v>
      </c>
      <c r="AY510" t="s">
        <v>3250</v>
      </c>
    </row>
    <row r="511" spans="1:51" x14ac:dyDescent="0.25">
      <c r="A511" t="s">
        <v>7</v>
      </c>
      <c r="B511" t="s">
        <v>309</v>
      </c>
      <c r="C511" t="s">
        <v>310</v>
      </c>
      <c r="D511" t="s">
        <v>24</v>
      </c>
      <c r="E511" t="s">
        <v>311</v>
      </c>
      <c r="F511" t="s">
        <v>26</v>
      </c>
      <c r="G511" t="str">
        <f>HYPERLINK("https://vk.com/wall-197114981_31?reply=1337&amp;thread=1335")</f>
        <v>https://vk.com/wall-197114981_31?reply=1337&amp;thread=1335</v>
      </c>
      <c r="H511" t="s">
        <v>13</v>
      </c>
      <c r="I511" t="s">
        <v>27</v>
      </c>
      <c r="J511" t="str">
        <f>HYPERLINK("http://vk.com/club197114981")</f>
        <v>http://vk.com/club197114981</v>
      </c>
      <c r="K511">
        <v>38</v>
      </c>
      <c r="L511" t="s">
        <v>28</v>
      </c>
      <c r="N511" t="s">
        <v>16</v>
      </c>
      <c r="O511" t="s">
        <v>27</v>
      </c>
      <c r="P511" t="str">
        <f>HYPERLINK("http://vk.com/club197114981")</f>
        <v>http://vk.com/club197114981</v>
      </c>
      <c r="Q511">
        <v>38</v>
      </c>
      <c r="R511" t="s">
        <v>17</v>
      </c>
      <c r="AJ511" t="s">
        <v>10</v>
      </c>
      <c r="AK511" t="s">
        <v>21</v>
      </c>
      <c r="AL511" t="s">
        <v>3237</v>
      </c>
      <c r="AN511" t="s">
        <v>3239</v>
      </c>
      <c r="AR511" t="s">
        <v>3243</v>
      </c>
      <c r="AU511" t="s">
        <v>3246</v>
      </c>
      <c r="AV511" t="s">
        <v>3247</v>
      </c>
      <c r="AX511" t="s">
        <v>3249</v>
      </c>
      <c r="AY511" t="s">
        <v>3250</v>
      </c>
    </row>
    <row r="512" spans="1:51" x14ac:dyDescent="0.25">
      <c r="A512" t="s">
        <v>1017</v>
      </c>
      <c r="B512" t="s">
        <v>851</v>
      </c>
      <c r="C512" t="s">
        <v>984</v>
      </c>
      <c r="D512" t="s">
        <v>1042</v>
      </c>
      <c r="E512" t="s">
        <v>1043</v>
      </c>
      <c r="F512" t="s">
        <v>45</v>
      </c>
      <c r="G512" t="str">
        <f>HYPERLINK("https://ok.ru/group/47239338524722/topic/152395454647602")</f>
        <v>https://ok.ru/group/47239338524722/topic/152395454647602</v>
      </c>
      <c r="H512" t="s">
        <v>885</v>
      </c>
      <c r="I512" t="s">
        <v>1041</v>
      </c>
      <c r="J512" t="str">
        <f>HYPERLINK("https://ok.ru/profile/525192653731")</f>
        <v>https://ok.ru/profile/525192653731</v>
      </c>
      <c r="K512">
        <v>1458</v>
      </c>
      <c r="L512" t="s">
        <v>15</v>
      </c>
      <c r="M512">
        <v>29</v>
      </c>
      <c r="N512" t="s">
        <v>135</v>
      </c>
      <c r="O512" t="s">
        <v>1044</v>
      </c>
      <c r="P512" t="str">
        <f>HYPERLINK("https://ok.ru/group/47239338524722")</f>
        <v>https://ok.ru/group/47239338524722</v>
      </c>
      <c r="Q512">
        <v>40590</v>
      </c>
      <c r="R512" t="s">
        <v>17</v>
      </c>
      <c r="S512" t="s">
        <v>18</v>
      </c>
      <c r="T512" t="s">
        <v>617</v>
      </c>
      <c r="U512" t="s">
        <v>1034</v>
      </c>
      <c r="W512">
        <v>1</v>
      </c>
      <c r="X512">
        <v>1</v>
      </c>
      <c r="Y512">
        <v>0</v>
      </c>
      <c r="Z512">
        <v>0</v>
      </c>
      <c r="AA512">
        <v>0</v>
      </c>
      <c r="AB512">
        <v>0</v>
      </c>
      <c r="AE512">
        <v>0</v>
      </c>
      <c r="AF512">
        <v>0</v>
      </c>
      <c r="AI512" t="str">
        <f>HYPERLINK("https://i.mycdn.me/image?id=907987979314&amp;t=20&amp;plc=API&amp;aid=1131601408&amp;tkn=*e6AoDESb9K8rme_bYdE41S9th1E")</f>
        <v>https://i.mycdn.me/image?id=907987979314&amp;t=20&amp;plc=API&amp;aid=1131601408&amp;tkn=*e6AoDESb9K8rme_bYdE41S9th1E</v>
      </c>
      <c r="AJ512" t="s">
        <v>10</v>
      </c>
      <c r="AK512" t="s">
        <v>21</v>
      </c>
      <c r="AM512" t="s">
        <v>3238</v>
      </c>
      <c r="AR512" t="s">
        <v>3243</v>
      </c>
      <c r="AT512" t="s">
        <v>3245</v>
      </c>
      <c r="AU512" t="s">
        <v>3246</v>
      </c>
    </row>
    <row r="513" spans="1:52" x14ac:dyDescent="0.25">
      <c r="A513" t="s">
        <v>7</v>
      </c>
      <c r="B513" t="s">
        <v>260</v>
      </c>
      <c r="C513" t="s">
        <v>261</v>
      </c>
      <c r="D513" t="s">
        <v>262</v>
      </c>
      <c r="E513" t="s">
        <v>263</v>
      </c>
      <c r="F513" t="s">
        <v>26</v>
      </c>
      <c r="G513" t="str">
        <f>HYPERLINK("https://vk.com/wall-92972218_1535?reply=1555")</f>
        <v>https://vk.com/wall-92972218_1535?reply=1555</v>
      </c>
      <c r="H513" t="s">
        <v>13</v>
      </c>
      <c r="I513" t="s">
        <v>264</v>
      </c>
      <c r="J513" t="str">
        <f>HYPERLINK("http://vk.com/id469960421")</f>
        <v>http://vk.com/id469960421</v>
      </c>
      <c r="K513">
        <v>346</v>
      </c>
      <c r="L513" t="s">
        <v>15</v>
      </c>
      <c r="M513">
        <v>44</v>
      </c>
      <c r="N513" t="s">
        <v>16</v>
      </c>
      <c r="O513" t="s">
        <v>265</v>
      </c>
      <c r="P513" t="str">
        <f>HYPERLINK("http://vk.com/club92972218")</f>
        <v>http://vk.com/club92972218</v>
      </c>
      <c r="Q513">
        <v>5227</v>
      </c>
      <c r="R513" t="s">
        <v>17</v>
      </c>
      <c r="S513" t="s">
        <v>18</v>
      </c>
      <c r="T513" t="s">
        <v>266</v>
      </c>
      <c r="U513" t="s">
        <v>266</v>
      </c>
      <c r="AJ513" t="s">
        <v>10</v>
      </c>
      <c r="AK513" t="s">
        <v>21</v>
      </c>
      <c r="AM513" t="s">
        <v>3238</v>
      </c>
      <c r="AR513" t="s">
        <v>3243</v>
      </c>
      <c r="AT513" t="s">
        <v>3245</v>
      </c>
      <c r="AU513" t="s">
        <v>3246</v>
      </c>
      <c r="AV513" t="s">
        <v>3247</v>
      </c>
    </row>
    <row r="514" spans="1:52" x14ac:dyDescent="0.25">
      <c r="A514" t="s">
        <v>772</v>
      </c>
      <c r="B514" t="s">
        <v>914</v>
      </c>
      <c r="C514" t="s">
        <v>915</v>
      </c>
      <c r="D514" t="s">
        <v>24</v>
      </c>
      <c r="E514" t="s">
        <v>395</v>
      </c>
      <c r="F514" t="s">
        <v>26</v>
      </c>
      <c r="G514" t="str">
        <f>HYPERLINK("https://vk.com/wall-197114981_31?reply=1112")</f>
        <v>https://vk.com/wall-197114981_31?reply=1112</v>
      </c>
      <c r="H514" t="s">
        <v>885</v>
      </c>
      <c r="I514" t="s">
        <v>917</v>
      </c>
      <c r="J514" t="str">
        <f>HYPERLINK("http://vk.com/id603151212")</f>
        <v>http://vk.com/id603151212</v>
      </c>
      <c r="L514" t="s">
        <v>80</v>
      </c>
      <c r="N514" t="s">
        <v>16</v>
      </c>
      <c r="O514" t="s">
        <v>27</v>
      </c>
      <c r="P514" t="str">
        <f>HYPERLINK("http://vk.com/club197114981")</f>
        <v>http://vk.com/club197114981</v>
      </c>
      <c r="Q514">
        <v>38</v>
      </c>
      <c r="R514" t="s">
        <v>17</v>
      </c>
      <c r="S514" t="s">
        <v>18</v>
      </c>
      <c r="T514" t="s">
        <v>231</v>
      </c>
      <c r="U514" t="s">
        <v>232</v>
      </c>
      <c r="AJ514" t="s">
        <v>10</v>
      </c>
      <c r="AK514" t="s">
        <v>21</v>
      </c>
      <c r="AR514" t="s">
        <v>3243</v>
      </c>
      <c r="AT514" t="s">
        <v>3245</v>
      </c>
      <c r="AU514" t="s">
        <v>3246</v>
      </c>
    </row>
    <row r="515" spans="1:52" x14ac:dyDescent="0.25">
      <c r="A515" t="s">
        <v>772</v>
      </c>
      <c r="B515" t="s">
        <v>1012</v>
      </c>
      <c r="C515" t="s">
        <v>1013</v>
      </c>
      <c r="D515" t="s">
        <v>10</v>
      </c>
      <c r="E515" t="s">
        <v>730</v>
      </c>
      <c r="F515" t="s">
        <v>45</v>
      </c>
      <c r="G515" t="str">
        <f>HYPERLINK("https://www.facebook.com/polinavasilisa/posts/3237553086340242")</f>
        <v>https://www.facebook.com/polinavasilisa/posts/3237553086340242</v>
      </c>
      <c r="H515" t="s">
        <v>885</v>
      </c>
      <c r="I515" t="s">
        <v>1014</v>
      </c>
      <c r="J515" t="str">
        <f>HYPERLINK("https://www.facebook.com/100002567463651")</f>
        <v>https://www.facebook.com/100002567463651</v>
      </c>
      <c r="K515">
        <v>4994</v>
      </c>
      <c r="L515" t="s">
        <v>80</v>
      </c>
      <c r="N515" t="s">
        <v>179</v>
      </c>
      <c r="O515" t="s">
        <v>1014</v>
      </c>
      <c r="P515" t="str">
        <f>HYPERLINK("https://www.facebook.com/100002567463651")</f>
        <v>https://www.facebook.com/100002567463651</v>
      </c>
      <c r="Q515">
        <v>4994</v>
      </c>
      <c r="R515" t="s">
        <v>17</v>
      </c>
      <c r="S515" t="s">
        <v>18</v>
      </c>
      <c r="T515" t="s">
        <v>1015</v>
      </c>
      <c r="U515" t="s">
        <v>1016</v>
      </c>
      <c r="W515">
        <v>44</v>
      </c>
      <c r="X515">
        <v>44</v>
      </c>
      <c r="Y515">
        <v>0</v>
      </c>
      <c r="Z515">
        <v>0</v>
      </c>
      <c r="AA515">
        <v>0</v>
      </c>
      <c r="AB515">
        <v>0</v>
      </c>
      <c r="AC515">
        <v>0</v>
      </c>
      <c r="AE515">
        <v>3</v>
      </c>
      <c r="AF515">
        <v>2</v>
      </c>
      <c r="AI515" t="str">
        <f>HYPERLINK("https://vademec.ru/upload/iblock/488/48863db98d33de4541fe23b51a5b576f.jpg")</f>
        <v>https://vademec.ru/upload/iblock/488/48863db98d33de4541fe23b51a5b576f.jpg</v>
      </c>
      <c r="AJ515" t="s">
        <v>10</v>
      </c>
      <c r="AK515" t="s">
        <v>21</v>
      </c>
      <c r="AR515" t="s">
        <v>3243</v>
      </c>
      <c r="AV515" t="s">
        <v>3247</v>
      </c>
      <c r="AY515" t="s">
        <v>3250</v>
      </c>
    </row>
    <row r="516" spans="1:52" x14ac:dyDescent="0.25">
      <c r="A516" t="s">
        <v>2380</v>
      </c>
      <c r="B516" t="s">
        <v>2412</v>
      </c>
      <c r="C516" t="s">
        <v>968</v>
      </c>
      <c r="D516" t="s">
        <v>10</v>
      </c>
      <c r="E516" t="s">
        <v>2413</v>
      </c>
      <c r="F516" t="s">
        <v>45</v>
      </c>
      <c r="G516" t="str">
        <f>HYPERLINK("https://vk.com/wall-8241837_1306")</f>
        <v>https://vk.com/wall-8241837_1306</v>
      </c>
      <c r="H516" t="s">
        <v>885</v>
      </c>
      <c r="I516" t="s">
        <v>1058</v>
      </c>
      <c r="J516" t="str">
        <f>HYPERLINK("http://vk.com/id71191578")</f>
        <v>http://vk.com/id71191578</v>
      </c>
      <c r="K516">
        <v>1008</v>
      </c>
      <c r="L516" t="s">
        <v>15</v>
      </c>
      <c r="M516">
        <v>55</v>
      </c>
      <c r="N516" t="s">
        <v>16</v>
      </c>
      <c r="O516" t="s">
        <v>1279</v>
      </c>
      <c r="P516" t="str">
        <f>HYPERLINK("http://vk.com/club8241837")</f>
        <v>http://vk.com/club8241837</v>
      </c>
      <c r="Q516">
        <v>3195</v>
      </c>
      <c r="R516" t="s">
        <v>17</v>
      </c>
      <c r="S516" t="s">
        <v>18</v>
      </c>
      <c r="T516" t="s">
        <v>1060</v>
      </c>
      <c r="U516" t="s">
        <v>1061</v>
      </c>
      <c r="W516">
        <v>1</v>
      </c>
      <c r="X516">
        <v>1</v>
      </c>
      <c r="AE516">
        <v>0</v>
      </c>
      <c r="AF516">
        <v>0</v>
      </c>
      <c r="AI516" t="str">
        <f>HYPERLINK("https://sun1-27.userapi.com/09yFM_f3fiGIckVrrlnhGM9KQ9LPEUagp5AHFA/5b4LDiNqAGc.jpg")</f>
        <v>https://sun1-27.userapi.com/09yFM_f3fiGIckVrrlnhGM9KQ9LPEUagp5AHFA/5b4LDiNqAGc.jpg</v>
      </c>
      <c r="AJ516" t="s">
        <v>10</v>
      </c>
      <c r="AK516" t="s">
        <v>21</v>
      </c>
      <c r="AM516" t="s">
        <v>3238</v>
      </c>
      <c r="AR516" t="s">
        <v>3243</v>
      </c>
      <c r="AW516" t="s">
        <v>3248</v>
      </c>
      <c r="AY516" t="s">
        <v>3250</v>
      </c>
    </row>
    <row r="517" spans="1:52" x14ac:dyDescent="0.25">
      <c r="A517" t="s">
        <v>1462</v>
      </c>
      <c r="B517" t="s">
        <v>1495</v>
      </c>
      <c r="C517" t="s">
        <v>984</v>
      </c>
      <c r="D517" t="s">
        <v>10</v>
      </c>
      <c r="E517" t="s">
        <v>1487</v>
      </c>
      <c r="F517" t="s">
        <v>12</v>
      </c>
      <c r="G517" t="str">
        <f>HYPERLINK("https://www.facebook.com/permalink.php?story_fbid=1362256343970552&amp;id=100005585983932")</f>
        <v>https://www.facebook.com/permalink.php?story_fbid=1362256343970552&amp;id=100005585983932</v>
      </c>
      <c r="H517" t="s">
        <v>889</v>
      </c>
      <c r="I517" t="s">
        <v>1074</v>
      </c>
      <c r="J517" t="str">
        <f>HYPERLINK("https://www.facebook.com/100005585983932")</f>
        <v>https://www.facebook.com/100005585983932</v>
      </c>
      <c r="K517">
        <v>485</v>
      </c>
      <c r="L517" t="s">
        <v>80</v>
      </c>
      <c r="N517" t="s">
        <v>179</v>
      </c>
      <c r="O517" t="s">
        <v>1074</v>
      </c>
      <c r="P517" t="str">
        <f>HYPERLINK("https://www.facebook.com/100005585983932")</f>
        <v>https://www.facebook.com/100005585983932</v>
      </c>
      <c r="Q517">
        <v>485</v>
      </c>
      <c r="R517" t="s">
        <v>17</v>
      </c>
      <c r="S517" t="s">
        <v>18</v>
      </c>
      <c r="T517" t="s">
        <v>1015</v>
      </c>
      <c r="U517" t="s">
        <v>1016</v>
      </c>
      <c r="W517">
        <v>6</v>
      </c>
      <c r="X517">
        <v>6</v>
      </c>
      <c r="Y517">
        <v>0</v>
      </c>
      <c r="Z517">
        <v>0</v>
      </c>
      <c r="AA517">
        <v>0</v>
      </c>
      <c r="AB517">
        <v>0</v>
      </c>
      <c r="AC517">
        <v>0</v>
      </c>
      <c r="AE517">
        <v>1</v>
      </c>
      <c r="AF517">
        <v>1</v>
      </c>
      <c r="AI517" t="str">
        <f>HYPERLINK("https://scontent-hel2-1.xx.fbcdn.net/v/t1.0-9/s960x960/116580080_3229936993739422_7168008555214612237_o.jpg?_nc_cat=104&amp;_nc_sid=730e14&amp;_nc_ohc=VCAYeXMTu2kAX-gCaRY&amp;_nc_ht=scontent-hel2-1.xx&amp;_nc_tp=7&amp;oh=e0fc12a74d00935edd6ce6e39b7279d8&amp;oe=5F4D3E42")</f>
        <v>https://scontent-hel2-1.xx.fbcdn.net/v/t1.0-9/s960x960/116580080_3229936993739422_7168008555214612237_o.jpg?_nc_cat=104&amp;_nc_sid=730e14&amp;_nc_ohc=VCAYeXMTu2kAX-gCaRY&amp;_nc_ht=scontent-hel2-1.xx&amp;_nc_tp=7&amp;oh=e0fc12a74d00935edd6ce6e39b7279d8&amp;oe=5F4D3E42</v>
      </c>
      <c r="AJ517" t="s">
        <v>10</v>
      </c>
      <c r="AK517" t="s">
        <v>21</v>
      </c>
      <c r="AM517" t="s">
        <v>3238</v>
      </c>
      <c r="AR517" t="s">
        <v>3243</v>
      </c>
      <c r="AT517" t="s">
        <v>3245</v>
      </c>
      <c r="AU517" t="s">
        <v>3246</v>
      </c>
      <c r="AV517" t="s">
        <v>3247</v>
      </c>
      <c r="AW517" t="s">
        <v>3248</v>
      </c>
      <c r="AY517" t="s">
        <v>3250</v>
      </c>
    </row>
    <row r="518" spans="1:52" x14ac:dyDescent="0.25">
      <c r="A518" t="s">
        <v>1838</v>
      </c>
      <c r="B518" t="s">
        <v>1871</v>
      </c>
      <c r="C518" t="s">
        <v>984</v>
      </c>
      <c r="D518" t="s">
        <v>10</v>
      </c>
      <c r="E518" t="s">
        <v>1872</v>
      </c>
      <c r="F518" t="s">
        <v>45</v>
      </c>
      <c r="G518" t="str">
        <f>HYPERLINK("https://www.facebook.com/mriexpert/posts/3221214674611654")</f>
        <v>https://www.facebook.com/mriexpert/posts/3221214674611654</v>
      </c>
      <c r="H518" t="s">
        <v>885</v>
      </c>
      <c r="I518" t="s">
        <v>46</v>
      </c>
      <c r="J518" t="str">
        <f>HYPERLINK("https://www.facebook.com/902980129768465")</f>
        <v>https://www.facebook.com/902980129768465</v>
      </c>
      <c r="K518">
        <v>1509</v>
      </c>
      <c r="L518" t="s">
        <v>28</v>
      </c>
      <c r="N518" t="s">
        <v>179</v>
      </c>
      <c r="O518" t="s">
        <v>46</v>
      </c>
      <c r="P518" t="str">
        <f>HYPERLINK("https://www.facebook.com/902980129768465")</f>
        <v>https://www.facebook.com/902980129768465</v>
      </c>
      <c r="Q518">
        <v>1509</v>
      </c>
      <c r="R518" t="s">
        <v>17</v>
      </c>
      <c r="W518">
        <v>1</v>
      </c>
      <c r="X518">
        <v>1</v>
      </c>
      <c r="Y518">
        <v>0</v>
      </c>
      <c r="Z518">
        <v>0</v>
      </c>
      <c r="AA518">
        <v>0</v>
      </c>
      <c r="AB518">
        <v>0</v>
      </c>
      <c r="AC518">
        <v>0</v>
      </c>
      <c r="AE518">
        <v>0</v>
      </c>
      <c r="AI518" t="str">
        <f>HYPERLINK("https://scontent-hel2-1.xx.fbcdn.net/v/t1.0-9/s960x960/116264712_3221214531278335_5770847182222032040_o.jpg?_nc_cat=103&amp;_nc_sid=730e14&amp;_nc_ohc=Yki_jPz3m6UAX9cjT8n&amp;_nc_ht=scontent-hel2-1.xx&amp;_nc_tp=7&amp;oh=ae9e07f83818445f958a93ccd008f240&amp;oe=5F44D9A7")</f>
        <v>https://scontent-hel2-1.xx.fbcdn.net/v/t1.0-9/s960x960/116264712_3221214531278335_5770847182222032040_o.jpg?_nc_cat=103&amp;_nc_sid=730e14&amp;_nc_ohc=Yki_jPz3m6UAX9cjT8n&amp;_nc_ht=scontent-hel2-1.xx&amp;_nc_tp=7&amp;oh=ae9e07f83818445f958a93ccd008f240&amp;oe=5F44D9A7</v>
      </c>
      <c r="AJ518" t="s">
        <v>10</v>
      </c>
      <c r="AK518" t="s">
        <v>21</v>
      </c>
      <c r="AR518" t="s">
        <v>3243</v>
      </c>
      <c r="AV518" t="s">
        <v>3247</v>
      </c>
      <c r="AW518" t="s">
        <v>3248</v>
      </c>
      <c r="AY518" t="s">
        <v>3250</v>
      </c>
    </row>
    <row r="519" spans="1:52" x14ac:dyDescent="0.25">
      <c r="A519" t="s">
        <v>2057</v>
      </c>
      <c r="B519" t="s">
        <v>1186</v>
      </c>
      <c r="C519" t="s">
        <v>968</v>
      </c>
      <c r="D519" t="s">
        <v>1959</v>
      </c>
      <c r="E519" t="s">
        <v>2100</v>
      </c>
      <c r="F519" t="s">
        <v>26</v>
      </c>
      <c r="G519" t="str">
        <f>HYPERLINK("https://www.facebook.com/permalink.php?story_fbid=2626249161024079&amp;id=100009170625998&amp;comment_id=2626327851016210")</f>
        <v>https://www.facebook.com/permalink.php?story_fbid=2626249161024079&amp;id=100009170625998&amp;comment_id=2626327851016210</v>
      </c>
      <c r="H519" t="s">
        <v>889</v>
      </c>
      <c r="I519" t="s">
        <v>2101</v>
      </c>
      <c r="J519" t="str">
        <f>HYPERLINK("https://www.facebook.com/100004680065891")</f>
        <v>https://www.facebook.com/100004680065891</v>
      </c>
      <c r="K519">
        <v>6284</v>
      </c>
      <c r="L519" t="s">
        <v>80</v>
      </c>
      <c r="N519" t="s">
        <v>179</v>
      </c>
      <c r="O519" t="s">
        <v>1961</v>
      </c>
      <c r="P519" t="str">
        <f>HYPERLINK("https://www.facebook.com/100009170625998")</f>
        <v>https://www.facebook.com/100009170625998</v>
      </c>
      <c r="Q519">
        <v>759</v>
      </c>
      <c r="R519" t="s">
        <v>17</v>
      </c>
      <c r="S519" t="s">
        <v>18</v>
      </c>
      <c r="T519" t="s">
        <v>354</v>
      </c>
      <c r="U519" t="s">
        <v>354</v>
      </c>
      <c r="AJ519" t="s">
        <v>10</v>
      </c>
      <c r="AK519" t="s">
        <v>21</v>
      </c>
      <c r="AR519" t="s">
        <v>3243</v>
      </c>
      <c r="AT519" t="s">
        <v>3245</v>
      </c>
      <c r="AW519" t="s">
        <v>3248</v>
      </c>
      <c r="AY519" t="s">
        <v>3250</v>
      </c>
    </row>
    <row r="520" spans="1:52" x14ac:dyDescent="0.25">
      <c r="A520" t="s">
        <v>2057</v>
      </c>
      <c r="B520" t="s">
        <v>2115</v>
      </c>
      <c r="C520" t="s">
        <v>968</v>
      </c>
      <c r="D520" t="s">
        <v>10</v>
      </c>
      <c r="E520" t="s">
        <v>2116</v>
      </c>
      <c r="F520" t="s">
        <v>45</v>
      </c>
      <c r="G520" t="str">
        <f>HYPERLINK("https://www.instagram.com/p/CDAzn0Pp1Un")</f>
        <v>https://www.instagram.com/p/CDAzn0Pp1Un</v>
      </c>
      <c r="H520" t="s">
        <v>889</v>
      </c>
      <c r="I520" t="s">
        <v>2117</v>
      </c>
      <c r="J520" t="str">
        <f>HYPERLINK("http://instagram.com/sport_massazh_26")</f>
        <v>http://instagram.com/sport_massazh_26</v>
      </c>
      <c r="K520">
        <v>5794</v>
      </c>
      <c r="L520" t="s">
        <v>80</v>
      </c>
      <c r="N520" t="s">
        <v>69</v>
      </c>
      <c r="O520" t="s">
        <v>2117</v>
      </c>
      <c r="P520" t="str">
        <f>HYPERLINK("http://instagram.com/sport_massazh_26")</f>
        <v>http://instagram.com/sport_massazh_26</v>
      </c>
      <c r="Q520">
        <v>5794</v>
      </c>
      <c r="R520" t="s">
        <v>17</v>
      </c>
      <c r="S520" t="s">
        <v>18</v>
      </c>
      <c r="AI520" t="str">
        <f>HYPERLINK("https://www.instagram.com/p/CDAzn0Pp1Un/media/?size=l")</f>
        <v>https://www.instagram.com/p/CDAzn0Pp1Un/media/?size=l</v>
      </c>
      <c r="AJ520" t="s">
        <v>10</v>
      </c>
      <c r="AK520" t="s">
        <v>21</v>
      </c>
      <c r="AR520" t="s">
        <v>3243</v>
      </c>
      <c r="AU520" t="s">
        <v>3246</v>
      </c>
      <c r="AX520" t="s">
        <v>3249</v>
      </c>
    </row>
    <row r="521" spans="1:52" x14ac:dyDescent="0.25">
      <c r="A521" t="s">
        <v>772</v>
      </c>
      <c r="B521" t="s">
        <v>961</v>
      </c>
      <c r="C521" t="s">
        <v>962</v>
      </c>
      <c r="D521" t="s">
        <v>963</v>
      </c>
      <c r="E521" t="s">
        <v>964</v>
      </c>
      <c r="F521" t="s">
        <v>45</v>
      </c>
      <c r="G521" t="str">
        <f>HYPERLINK("http://johnnyvyzaa.digiblogbox.com/19029358/5-easy-facts-about-residential-assisted-living-described")</f>
        <v>http://johnnyvyzaa.digiblogbox.com/19029358/5-easy-facts-about-residential-assisted-living-described</v>
      </c>
      <c r="H521" t="s">
        <v>13</v>
      </c>
      <c r="N521" t="s">
        <v>965</v>
      </c>
      <c r="R521" t="s">
        <v>966</v>
      </c>
      <c r="S521" t="s">
        <v>425</v>
      </c>
      <c r="AJ521" t="s">
        <v>10</v>
      </c>
      <c r="AK521" t="s">
        <v>21</v>
      </c>
      <c r="AR521" t="s">
        <v>3243</v>
      </c>
      <c r="AU521" t="s">
        <v>3246</v>
      </c>
      <c r="AX521" t="s">
        <v>3249</v>
      </c>
    </row>
    <row r="522" spans="1:52" x14ac:dyDescent="0.25">
      <c r="A522" t="s">
        <v>2589</v>
      </c>
      <c r="B522" t="s">
        <v>1235</v>
      </c>
      <c r="C522" t="s">
        <v>968</v>
      </c>
      <c r="D522" t="s">
        <v>2592</v>
      </c>
      <c r="E522" t="s">
        <v>2593</v>
      </c>
      <c r="F522" t="s">
        <v>26</v>
      </c>
      <c r="G522" t="str">
        <f>HYPERLINK("https://vk.com/wall-86168582_1049099?reply=1050065")</f>
        <v>https://vk.com/wall-86168582_1049099?reply=1050065</v>
      </c>
      <c r="H522" t="s">
        <v>889</v>
      </c>
      <c r="I522" t="s">
        <v>2594</v>
      </c>
      <c r="J522" t="str">
        <f>HYPERLINK("http://vk.com/id590861596")</f>
        <v>http://vk.com/id590861596</v>
      </c>
      <c r="K522">
        <v>13</v>
      </c>
      <c r="L522" t="s">
        <v>15</v>
      </c>
      <c r="M522">
        <v>32</v>
      </c>
      <c r="N522" t="s">
        <v>16</v>
      </c>
      <c r="O522" t="s">
        <v>1922</v>
      </c>
      <c r="P522" t="str">
        <f>HYPERLINK("http://vk.com/club86168582")</f>
        <v>http://vk.com/club86168582</v>
      </c>
      <c r="Q522">
        <v>66398</v>
      </c>
      <c r="R522" t="s">
        <v>17</v>
      </c>
      <c r="S522" t="s">
        <v>18</v>
      </c>
      <c r="T522" t="s">
        <v>2595</v>
      </c>
      <c r="U522" t="s">
        <v>2596</v>
      </c>
      <c r="AJ522" t="s">
        <v>10</v>
      </c>
      <c r="AK522" t="s">
        <v>21</v>
      </c>
      <c r="AR522" t="s">
        <v>3243</v>
      </c>
    </row>
    <row r="523" spans="1:52" x14ac:dyDescent="0.25">
      <c r="A523" t="s">
        <v>3021</v>
      </c>
      <c r="B523" t="s">
        <v>3078</v>
      </c>
      <c r="C523" t="s">
        <v>968</v>
      </c>
      <c r="D523" t="s">
        <v>10</v>
      </c>
      <c r="E523" t="s">
        <v>3079</v>
      </c>
      <c r="F523" t="s">
        <v>12</v>
      </c>
      <c r="G523" t="str">
        <f>HYPERLINK("https://vk.com/wall530507_98164")</f>
        <v>https://vk.com/wall530507_98164</v>
      </c>
      <c r="H523" t="s">
        <v>885</v>
      </c>
      <c r="I523" t="s">
        <v>3080</v>
      </c>
      <c r="J523" t="str">
        <f>HYPERLINK("http://vk.com/id530507")</f>
        <v>http://vk.com/id530507</v>
      </c>
      <c r="K523">
        <v>8128</v>
      </c>
      <c r="L523" t="s">
        <v>15</v>
      </c>
      <c r="N523" t="s">
        <v>16</v>
      </c>
      <c r="O523" t="s">
        <v>3080</v>
      </c>
      <c r="P523" t="str">
        <f>HYPERLINK("http://vk.com/id530507")</f>
        <v>http://vk.com/id530507</v>
      </c>
      <c r="Q523">
        <v>8128</v>
      </c>
      <c r="R523" t="s">
        <v>17</v>
      </c>
      <c r="S523" t="s">
        <v>18</v>
      </c>
      <c r="T523" t="s">
        <v>266</v>
      </c>
      <c r="U523" t="s">
        <v>266</v>
      </c>
      <c r="W523">
        <v>1</v>
      </c>
      <c r="X523">
        <v>1</v>
      </c>
      <c r="AE523">
        <v>0</v>
      </c>
      <c r="AF523">
        <v>0</v>
      </c>
      <c r="AG523">
        <v>15</v>
      </c>
      <c r="AI523" t="str">
        <f>HYPERLINK("https://sun9-12.userapi.com/GmyxolE33tLvJYua4K9u_vfNrrRHewnKHhgkCg/XK9awxbTMDk.jpg")</f>
        <v>https://sun9-12.userapi.com/GmyxolE33tLvJYua4K9u_vfNrrRHewnKHhgkCg/XK9awxbTMDk.jpg</v>
      </c>
      <c r="AJ523" t="s">
        <v>10</v>
      </c>
      <c r="AK523" t="s">
        <v>21</v>
      </c>
      <c r="AR523" t="s">
        <v>3243</v>
      </c>
    </row>
    <row r="524" spans="1:52" x14ac:dyDescent="0.25">
      <c r="A524" t="s">
        <v>772</v>
      </c>
      <c r="B524" t="s">
        <v>462</v>
      </c>
      <c r="C524" t="s">
        <v>811</v>
      </c>
      <c r="D524" t="s">
        <v>262</v>
      </c>
      <c r="E524" t="s">
        <v>812</v>
      </c>
      <c r="F524" t="s">
        <v>26</v>
      </c>
      <c r="G524" t="str">
        <f>HYPERLINK("https://vk.com/wall-92972218_1535?reply=1550")</f>
        <v>https://vk.com/wall-92972218_1535?reply=1550</v>
      </c>
      <c r="H524" t="s">
        <v>13</v>
      </c>
      <c r="I524" t="s">
        <v>264</v>
      </c>
      <c r="J524" t="str">
        <f>HYPERLINK("http://vk.com/id469960421")</f>
        <v>http://vk.com/id469960421</v>
      </c>
      <c r="K524">
        <v>346</v>
      </c>
      <c r="L524" t="s">
        <v>15</v>
      </c>
      <c r="M524">
        <v>44</v>
      </c>
      <c r="N524" t="s">
        <v>16</v>
      </c>
      <c r="O524" t="s">
        <v>265</v>
      </c>
      <c r="P524" t="str">
        <f>HYPERLINK("http://vk.com/club92972218")</f>
        <v>http://vk.com/club92972218</v>
      </c>
      <c r="Q524">
        <v>5227</v>
      </c>
      <c r="R524" t="s">
        <v>17</v>
      </c>
      <c r="S524" t="s">
        <v>18</v>
      </c>
      <c r="T524" t="s">
        <v>266</v>
      </c>
      <c r="U524" t="s">
        <v>266</v>
      </c>
      <c r="AJ524" t="s">
        <v>10</v>
      </c>
      <c r="AK524" t="s">
        <v>21</v>
      </c>
      <c r="AR524" t="s">
        <v>3243</v>
      </c>
    </row>
    <row r="525" spans="1:52" x14ac:dyDescent="0.25">
      <c r="A525" t="s">
        <v>1017</v>
      </c>
      <c r="B525" t="s">
        <v>967</v>
      </c>
      <c r="C525" t="s">
        <v>984</v>
      </c>
      <c r="D525" t="s">
        <v>10</v>
      </c>
      <c r="E525" t="s">
        <v>1087</v>
      </c>
      <c r="F525" t="s">
        <v>45</v>
      </c>
      <c r="G525" t="str">
        <f>HYPERLINK("https://vk.com/wall-197114981_737")</f>
        <v>https://vk.com/wall-197114981_737</v>
      </c>
      <c r="H525" t="s">
        <v>885</v>
      </c>
      <c r="I525" t="s">
        <v>27</v>
      </c>
      <c r="J525" t="str">
        <f>HYPERLINK("http://vk.com/club197114981")</f>
        <v>http://vk.com/club197114981</v>
      </c>
      <c r="K525">
        <v>38</v>
      </c>
      <c r="L525" t="s">
        <v>28</v>
      </c>
      <c r="N525" t="s">
        <v>16</v>
      </c>
      <c r="O525" t="s">
        <v>27</v>
      </c>
      <c r="P525" t="str">
        <f>HYPERLINK("http://vk.com/club197114981")</f>
        <v>http://vk.com/club197114981</v>
      </c>
      <c r="Q525">
        <v>38</v>
      </c>
      <c r="R525" t="s">
        <v>17</v>
      </c>
      <c r="W525">
        <v>3</v>
      </c>
      <c r="X525">
        <v>3</v>
      </c>
      <c r="AE525">
        <v>0</v>
      </c>
      <c r="AF525">
        <v>0</v>
      </c>
      <c r="AG525">
        <v>96</v>
      </c>
      <c r="AI525" t="str">
        <f>HYPERLINK("https://sun1-18.userapi.com/jn6sG08BPTXwNDlF_SxoIQwnNabP0i-aQr-7TA/7r9ylA2NPTg.jpg")</f>
        <v>https://sun1-18.userapi.com/jn6sG08BPTXwNDlF_SxoIQwnNabP0i-aQr-7TA/7r9ylA2NPTg.jpg</v>
      </c>
      <c r="AJ525" t="s">
        <v>10</v>
      </c>
      <c r="AK525" t="s">
        <v>21</v>
      </c>
      <c r="AM525" t="s">
        <v>3238</v>
      </c>
      <c r="AR525" t="s">
        <v>3243</v>
      </c>
    </row>
    <row r="526" spans="1:52" x14ac:dyDescent="0.25">
      <c r="A526" t="s">
        <v>1017</v>
      </c>
      <c r="B526" t="s">
        <v>1108</v>
      </c>
      <c r="C526" t="s">
        <v>984</v>
      </c>
      <c r="D526" t="s">
        <v>10</v>
      </c>
      <c r="E526" t="s">
        <v>1095</v>
      </c>
      <c r="F526" t="s">
        <v>45</v>
      </c>
      <c r="G526" t="str">
        <f>HYPERLINK("https://vk.com/wall-138111244_29295")</f>
        <v>https://vk.com/wall-138111244_29295</v>
      </c>
      <c r="H526" t="s">
        <v>885</v>
      </c>
      <c r="I526" t="s">
        <v>1085</v>
      </c>
      <c r="J526" t="str">
        <f>HYPERLINK("http://vk.com/id162385864")</f>
        <v>http://vk.com/id162385864</v>
      </c>
      <c r="K526">
        <v>359</v>
      </c>
      <c r="L526" t="s">
        <v>80</v>
      </c>
      <c r="N526" t="s">
        <v>16</v>
      </c>
      <c r="O526" t="s">
        <v>1109</v>
      </c>
      <c r="P526" t="str">
        <f>HYPERLINK("http://vk.com/club138111244")</f>
        <v>http://vk.com/club138111244</v>
      </c>
      <c r="Q526">
        <v>5175</v>
      </c>
      <c r="R526" t="s">
        <v>17</v>
      </c>
      <c r="S526" t="s">
        <v>18</v>
      </c>
      <c r="W526">
        <v>0</v>
      </c>
      <c r="X526">
        <v>0</v>
      </c>
      <c r="AE526">
        <v>0</v>
      </c>
      <c r="AF526">
        <v>0</v>
      </c>
      <c r="AI526" t="str">
        <f>HYPERLINK("https://sun9-10.userapi.com/c856032/v856032814/2480a5/HfznDaju8MQ.jpg")</f>
        <v>https://sun9-10.userapi.com/c856032/v856032814/2480a5/HfznDaju8MQ.jpg</v>
      </c>
      <c r="AJ526" t="s">
        <v>10</v>
      </c>
      <c r="AK526" t="s">
        <v>21</v>
      </c>
      <c r="AM526" t="s">
        <v>3238</v>
      </c>
      <c r="AR526" t="s">
        <v>3243</v>
      </c>
    </row>
    <row r="527" spans="1:52" x14ac:dyDescent="0.25">
      <c r="A527" t="s">
        <v>1425</v>
      </c>
      <c r="B527" t="s">
        <v>1138</v>
      </c>
      <c r="C527" t="s">
        <v>984</v>
      </c>
      <c r="D527" t="s">
        <v>10</v>
      </c>
      <c r="E527" t="s">
        <v>1437</v>
      </c>
      <c r="F527" t="s">
        <v>45</v>
      </c>
      <c r="G527" t="str">
        <f>HYPERLINK("https://www.instagram.com/p/CDV6qs3hBMP")</f>
        <v>https://www.instagram.com/p/CDV6qs3hBMP</v>
      </c>
      <c r="H527" t="s">
        <v>889</v>
      </c>
      <c r="I527" t="s">
        <v>1145</v>
      </c>
      <c r="J527" t="str">
        <f>HYPERLINK("http://instagram.com/dr_kosmetolog_kursk")</f>
        <v>http://instagram.com/dr_kosmetolog_kursk</v>
      </c>
      <c r="K527">
        <v>1296</v>
      </c>
      <c r="N527" t="s">
        <v>69</v>
      </c>
      <c r="O527" t="s">
        <v>1145</v>
      </c>
      <c r="P527" t="str">
        <f>HYPERLINK("http://instagram.com/dr_kosmetolog_kursk")</f>
        <v>http://instagram.com/dr_kosmetolog_kursk</v>
      </c>
      <c r="Q527">
        <v>1296</v>
      </c>
      <c r="R527" t="s">
        <v>17</v>
      </c>
      <c r="S527" t="s">
        <v>18</v>
      </c>
      <c r="T527" t="s">
        <v>231</v>
      </c>
      <c r="U527" t="s">
        <v>1266</v>
      </c>
      <c r="AI527" t="str">
        <f>HYPERLINK("https://www.instagram.com/p/CDV6qs3hBMP/media/?size=l")</f>
        <v>https://www.instagram.com/p/CDV6qs3hBMP/media/?size=l</v>
      </c>
      <c r="AJ527" t="s">
        <v>10</v>
      </c>
      <c r="AK527" t="s">
        <v>21</v>
      </c>
      <c r="AR527" t="s">
        <v>3243</v>
      </c>
      <c r="AT527" t="s">
        <v>3245</v>
      </c>
      <c r="AV527" t="s">
        <v>3247</v>
      </c>
      <c r="AZ527" t="s">
        <v>3251</v>
      </c>
    </row>
    <row r="528" spans="1:52" x14ac:dyDescent="0.25">
      <c r="A528" t="s">
        <v>1462</v>
      </c>
      <c r="B528" t="s">
        <v>1463</v>
      </c>
      <c r="C528" t="s">
        <v>984</v>
      </c>
      <c r="D528" t="s">
        <v>1464</v>
      </c>
      <c r="E528" t="s">
        <v>1465</v>
      </c>
      <c r="F528" t="s">
        <v>45</v>
      </c>
      <c r="G528" t="str">
        <f>HYPERLINK("https://wsau.com/2020/07/31/masks-dont-stop-viruses-the-proof")</f>
        <v>https://wsau.com/2020/07/31/masks-dont-stop-viruses-the-proof</v>
      </c>
      <c r="H528" t="s">
        <v>885</v>
      </c>
      <c r="I528" t="s">
        <v>1466</v>
      </c>
      <c r="J528" t="str">
        <f>HYPERLINK("https://wsau.com/2020/07/31/masks-dont-stop-viruses-the-proof/")</f>
        <v>https://wsau.com/2020/07/31/masks-dont-stop-viruses-the-proof/</v>
      </c>
      <c r="L528" t="s">
        <v>15</v>
      </c>
      <c r="N528" t="s">
        <v>1467</v>
      </c>
      <c r="R528" t="s">
        <v>239</v>
      </c>
      <c r="S528" t="s">
        <v>425</v>
      </c>
      <c r="AJ528" t="s">
        <v>10</v>
      </c>
      <c r="AK528" t="s">
        <v>21</v>
      </c>
      <c r="AR528" t="s">
        <v>3243</v>
      </c>
      <c r="AU528" t="s">
        <v>3246</v>
      </c>
    </row>
    <row r="529" spans="1:52" x14ac:dyDescent="0.25">
      <c r="A529" t="s">
        <v>2057</v>
      </c>
      <c r="B529" t="s">
        <v>1885</v>
      </c>
      <c r="C529" t="s">
        <v>968</v>
      </c>
      <c r="D529" t="s">
        <v>1959</v>
      </c>
      <c r="E529" t="s">
        <v>2095</v>
      </c>
      <c r="F529" t="s">
        <v>26</v>
      </c>
      <c r="G529" t="str">
        <f>HYPERLINK("https://www.facebook.com/permalink.php?story_fbid=2626249161024079&amp;id=100009170625998&amp;comment_id=2626416007674061")</f>
        <v>https://www.facebook.com/permalink.php?story_fbid=2626249161024079&amp;id=100009170625998&amp;comment_id=2626416007674061</v>
      </c>
      <c r="H529" t="s">
        <v>885</v>
      </c>
      <c r="I529" t="s">
        <v>2022</v>
      </c>
      <c r="J529" t="str">
        <f>HYPERLINK("https://www.facebook.com/100009199330550")</f>
        <v>https://www.facebook.com/100009199330550</v>
      </c>
      <c r="K529">
        <v>142</v>
      </c>
      <c r="L529" t="s">
        <v>15</v>
      </c>
      <c r="N529" t="s">
        <v>179</v>
      </c>
      <c r="O529" t="s">
        <v>1961</v>
      </c>
      <c r="P529" t="str">
        <f>HYPERLINK("https://www.facebook.com/100009170625998")</f>
        <v>https://www.facebook.com/100009170625998</v>
      </c>
      <c r="Q529">
        <v>759</v>
      </c>
      <c r="R529" t="s">
        <v>17</v>
      </c>
      <c r="S529" t="s">
        <v>18</v>
      </c>
      <c r="T529" t="s">
        <v>1015</v>
      </c>
      <c r="U529" t="s">
        <v>1016</v>
      </c>
      <c r="AJ529" t="s">
        <v>10</v>
      </c>
      <c r="AK529" t="s">
        <v>21</v>
      </c>
      <c r="AM529" t="s">
        <v>3238</v>
      </c>
      <c r="AR529" t="s">
        <v>3243</v>
      </c>
    </row>
    <row r="530" spans="1:52" x14ac:dyDescent="0.25">
      <c r="A530" t="s">
        <v>2122</v>
      </c>
      <c r="B530" t="s">
        <v>2175</v>
      </c>
      <c r="C530" t="s">
        <v>968</v>
      </c>
      <c r="D530" t="s">
        <v>10</v>
      </c>
      <c r="E530" t="s">
        <v>2176</v>
      </c>
      <c r="F530" t="s">
        <v>45</v>
      </c>
      <c r="G530" t="str">
        <f>HYPERLINK("https://www.facebook.com/permalink.php?story_fbid=3160900047319672&amp;id=100001991236053")</f>
        <v>https://www.facebook.com/permalink.php?story_fbid=3160900047319672&amp;id=100001991236053</v>
      </c>
      <c r="H530" t="s">
        <v>889</v>
      </c>
      <c r="I530" t="s">
        <v>2177</v>
      </c>
      <c r="J530" t="str">
        <f>HYPERLINK("https://www.facebook.com/100001991236053")</f>
        <v>https://www.facebook.com/100001991236053</v>
      </c>
      <c r="K530">
        <v>5786</v>
      </c>
      <c r="L530" t="s">
        <v>80</v>
      </c>
      <c r="N530" t="s">
        <v>179</v>
      </c>
      <c r="O530" t="s">
        <v>2177</v>
      </c>
      <c r="P530" t="str">
        <f>HYPERLINK("https://www.facebook.com/100001991236053")</f>
        <v>https://www.facebook.com/100001991236053</v>
      </c>
      <c r="Q530">
        <v>5786</v>
      </c>
      <c r="R530" t="s">
        <v>17</v>
      </c>
      <c r="S530" t="s">
        <v>18</v>
      </c>
      <c r="T530" t="s">
        <v>578</v>
      </c>
      <c r="U530" t="s">
        <v>579</v>
      </c>
      <c r="W530">
        <v>20</v>
      </c>
      <c r="X530">
        <v>20</v>
      </c>
      <c r="Y530">
        <v>0</v>
      </c>
      <c r="Z530">
        <v>0</v>
      </c>
      <c r="AA530">
        <v>0</v>
      </c>
      <c r="AB530">
        <v>0</v>
      </c>
      <c r="AC530">
        <v>0</v>
      </c>
      <c r="AE530">
        <v>1</v>
      </c>
      <c r="AI530" t="str">
        <f>HYPERLINK("https://scontent-hel2-1.xx.fbcdn.net/v/t1.0-9/109648541_3160899870653023_398081984642919857_n.jpg?_nc_cat=105&amp;_nc_sid=8bfeb9&amp;_nc_ohc=KGTqq0oIrdMAX9WsolO&amp;_nc_ht=scontent-hel2-1.xx&amp;oh=bd42d697d880fbb202bc6667de92484f&amp;oe=5F45544C")</f>
        <v>https://scontent-hel2-1.xx.fbcdn.net/v/t1.0-9/109648541_3160899870653023_398081984642919857_n.jpg?_nc_cat=105&amp;_nc_sid=8bfeb9&amp;_nc_ohc=KGTqq0oIrdMAX9WsolO&amp;_nc_ht=scontent-hel2-1.xx&amp;oh=bd42d697d880fbb202bc6667de92484f&amp;oe=5F45544C</v>
      </c>
      <c r="AJ530" t="s">
        <v>10</v>
      </c>
      <c r="AK530" t="s">
        <v>21</v>
      </c>
      <c r="AL530" t="s">
        <v>3237</v>
      </c>
      <c r="AR530" t="s">
        <v>3243</v>
      </c>
      <c r="AW530" t="s">
        <v>3248</v>
      </c>
    </row>
    <row r="531" spans="1:52" x14ac:dyDescent="0.25">
      <c r="A531" t="s">
        <v>2290</v>
      </c>
      <c r="B531" t="s">
        <v>2331</v>
      </c>
      <c r="C531" t="s">
        <v>968</v>
      </c>
      <c r="D531" t="s">
        <v>992</v>
      </c>
      <c r="E531" t="s">
        <v>2332</v>
      </c>
      <c r="F531" t="s">
        <v>26</v>
      </c>
      <c r="G531" t="str">
        <f>HYPERLINK("https://www.google.com/maps/reviews/data=!4m5!14m4!1m3!1m2!1s106511427384058315651!2s0x0:0x5c9fb01bdac1b248?hl=en-NL")</f>
        <v>https://www.google.com/maps/reviews/data=!4m5!14m4!1m3!1m2!1s106511427384058315651!2s0x0:0x5c9fb01bdac1b248?hl=en-NL</v>
      </c>
      <c r="H531" t="s">
        <v>885</v>
      </c>
      <c r="I531" t="s">
        <v>992</v>
      </c>
      <c r="J531" t="str">
        <f>HYPERLINK("https://maps.google.com/maps/place/data=!3m1!4b1!4m5!3m4!1s0x0:0x5c9fb01bdac1b248!8m2!3d43.429420!4d39.927810")</f>
        <v>https://maps.google.com/maps/place/data=!3m1!4b1!4m5!3m4!1s0x0:0x5c9fb01bdac1b248!8m2!3d43.429420!4d39.927810</v>
      </c>
      <c r="N531" t="s">
        <v>615</v>
      </c>
      <c r="O531" t="s">
        <v>992</v>
      </c>
      <c r="P531" t="str">
        <f>HYPERLINK("https://maps.google.com/maps/place/data=!3m1!4b1!4m5!3m4!1s0x0:0x5c9fb01bdac1b248!8m2!3d43.429420!4d39.927810")</f>
        <v>https://maps.google.com/maps/place/data=!3m1!4b1!4m5!3m4!1s0x0:0x5c9fb01bdac1b248!8m2!3d43.429420!4d39.927810</v>
      </c>
      <c r="R531" t="s">
        <v>616</v>
      </c>
      <c r="S531" t="s">
        <v>18</v>
      </c>
      <c r="T531" t="s">
        <v>617</v>
      </c>
      <c r="U531" t="s">
        <v>1034</v>
      </c>
      <c r="AJ531" t="s">
        <v>10</v>
      </c>
      <c r="AK531" t="s">
        <v>21</v>
      </c>
      <c r="AN531" t="s">
        <v>3239</v>
      </c>
      <c r="AR531" t="s">
        <v>3243</v>
      </c>
      <c r="AW531" t="s">
        <v>3248</v>
      </c>
      <c r="AZ531" t="s">
        <v>3251</v>
      </c>
    </row>
    <row r="532" spans="1:52" x14ac:dyDescent="0.25">
      <c r="A532" t="s">
        <v>2865</v>
      </c>
      <c r="B532" t="s">
        <v>2890</v>
      </c>
      <c r="C532" t="s">
        <v>968</v>
      </c>
      <c r="D532" t="s">
        <v>2891</v>
      </c>
      <c r="E532" t="s">
        <v>2892</v>
      </c>
      <c r="F532" t="s">
        <v>45</v>
      </c>
      <c r="G532" t="str">
        <f>HYPERLINK("https://sgtalk.org/mybb/Thread-New-Transport-Minister?page=5")</f>
        <v>https://sgtalk.org/mybb/Thread-New-Transport-Minister?page=5</v>
      </c>
      <c r="H532" t="s">
        <v>885</v>
      </c>
      <c r="I532" t="s">
        <v>2893</v>
      </c>
      <c r="J532" t="str">
        <f>HYPERLINK("https://sgtalk.org/mybb/Thread-New-Transport-Minister?page=5")</f>
        <v>https://sgtalk.org/mybb/Thread-New-Transport-Minister?page=5</v>
      </c>
      <c r="N532" t="s">
        <v>2894</v>
      </c>
      <c r="O532" t="s">
        <v>2895</v>
      </c>
      <c r="P532" t="str">
        <f>HYPERLINK("https://sgtalk.org/mybb/Forum-Market-Talk")</f>
        <v>https://sgtalk.org/mybb/Forum-Market-Talk</v>
      </c>
      <c r="R532" t="s">
        <v>1293</v>
      </c>
      <c r="S532" t="s">
        <v>2896</v>
      </c>
      <c r="AJ532" t="s">
        <v>10</v>
      </c>
      <c r="AK532" t="s">
        <v>21</v>
      </c>
      <c r="AN532" t="s">
        <v>3239</v>
      </c>
      <c r="AR532" t="s">
        <v>3243</v>
      </c>
      <c r="AT532" t="s">
        <v>3245</v>
      </c>
      <c r="AV532" t="s">
        <v>3247</v>
      </c>
      <c r="AW532" t="s">
        <v>3248</v>
      </c>
      <c r="AX532" t="s">
        <v>3249</v>
      </c>
      <c r="AZ532" t="s">
        <v>3251</v>
      </c>
    </row>
    <row r="533" spans="1:52" x14ac:dyDescent="0.25">
      <c r="A533" t="s">
        <v>3100</v>
      </c>
      <c r="B533" t="s">
        <v>3178</v>
      </c>
      <c r="C533" t="s">
        <v>968</v>
      </c>
      <c r="D533" t="s">
        <v>10</v>
      </c>
      <c r="E533" t="s">
        <v>3179</v>
      </c>
      <c r="F533" t="s">
        <v>45</v>
      </c>
      <c r="G533" t="str">
        <f>HYPERLINK("https://www.instagram.com/p/CCXoA9SszN2")</f>
        <v>https://www.instagram.com/p/CCXoA9SszN2</v>
      </c>
      <c r="H533" t="s">
        <v>885</v>
      </c>
      <c r="I533" t="s">
        <v>1269</v>
      </c>
      <c r="J533" t="str">
        <f>HYPERLINK("http://instagram.com/naradaclinic")</f>
        <v>http://instagram.com/naradaclinic</v>
      </c>
      <c r="K533">
        <v>633</v>
      </c>
      <c r="N533" t="s">
        <v>69</v>
      </c>
      <c r="O533" t="s">
        <v>1269</v>
      </c>
      <c r="P533" t="str">
        <f>HYPERLINK("http://instagram.com/naradaclinic")</f>
        <v>http://instagram.com/naradaclinic</v>
      </c>
      <c r="Q533">
        <v>633</v>
      </c>
      <c r="R533" t="s">
        <v>17</v>
      </c>
      <c r="S533" t="s">
        <v>281</v>
      </c>
      <c r="T533" t="s">
        <v>282</v>
      </c>
      <c r="U533" t="s">
        <v>282</v>
      </c>
      <c r="AI533" t="str">
        <f>HYPERLINK("https://www.instagram.com/p/CCXoA9SszN2/media/?size=l")</f>
        <v>https://www.instagram.com/p/CCXoA9SszN2/media/?size=l</v>
      </c>
      <c r="AJ533" t="s">
        <v>10</v>
      </c>
      <c r="AK533" t="s">
        <v>21</v>
      </c>
      <c r="AR533" t="s">
        <v>3243</v>
      </c>
      <c r="AT533" t="s">
        <v>3245</v>
      </c>
    </row>
    <row r="534" spans="1:52" x14ac:dyDescent="0.25">
      <c r="A534" t="s">
        <v>414</v>
      </c>
      <c r="B534" t="s">
        <v>719</v>
      </c>
      <c r="C534" t="s">
        <v>720</v>
      </c>
      <c r="D534" t="s">
        <v>24</v>
      </c>
      <c r="E534" t="s">
        <v>502</v>
      </c>
      <c r="F534" t="s">
        <v>26</v>
      </c>
      <c r="G534" t="str">
        <f>HYPERLINK("https://vk.com/wall-197114981_31?reply=1179&amp;thread=1098")</f>
        <v>https://vk.com/wall-197114981_31?reply=1179&amp;thread=1098</v>
      </c>
      <c r="H534" t="s">
        <v>13</v>
      </c>
      <c r="I534" t="s">
        <v>27</v>
      </c>
      <c r="J534" t="str">
        <f>HYPERLINK("http://vk.com/club197114981")</f>
        <v>http://vk.com/club197114981</v>
      </c>
      <c r="K534">
        <v>38</v>
      </c>
      <c r="L534" t="s">
        <v>28</v>
      </c>
      <c r="N534" t="s">
        <v>16</v>
      </c>
      <c r="O534" t="s">
        <v>27</v>
      </c>
      <c r="P534" t="str">
        <f>HYPERLINK("http://vk.com/club197114981")</f>
        <v>http://vk.com/club197114981</v>
      </c>
      <c r="Q534">
        <v>38</v>
      </c>
      <c r="R534" t="s">
        <v>17</v>
      </c>
      <c r="AJ534" t="s">
        <v>10</v>
      </c>
      <c r="AK534" t="s">
        <v>21</v>
      </c>
      <c r="AN534" t="s">
        <v>3239</v>
      </c>
      <c r="AO534" t="s">
        <v>3240</v>
      </c>
      <c r="AR534" t="s">
        <v>3243</v>
      </c>
    </row>
    <row r="535" spans="1:52" x14ac:dyDescent="0.25">
      <c r="A535" t="s">
        <v>772</v>
      </c>
      <c r="B535" t="s">
        <v>928</v>
      </c>
      <c r="C535" t="s">
        <v>929</v>
      </c>
      <c r="D535" t="s">
        <v>24</v>
      </c>
      <c r="E535" t="s">
        <v>931</v>
      </c>
      <c r="F535" t="s">
        <v>26</v>
      </c>
      <c r="G535" t="str">
        <f>HYPERLINK("https://vk.com/wall-197114981_31?reply=1107&amp;thread=294")</f>
        <v>https://vk.com/wall-197114981_31?reply=1107&amp;thread=294</v>
      </c>
      <c r="H535" t="s">
        <v>885</v>
      </c>
      <c r="I535" t="s">
        <v>817</v>
      </c>
      <c r="J535" t="str">
        <f>HYPERLINK("http://vk.com/id143266537")</f>
        <v>http://vk.com/id143266537</v>
      </c>
      <c r="K535">
        <v>668</v>
      </c>
      <c r="L535" t="s">
        <v>80</v>
      </c>
      <c r="N535" t="s">
        <v>16</v>
      </c>
      <c r="O535" t="s">
        <v>27</v>
      </c>
      <c r="P535" t="str">
        <f>HYPERLINK("http://vk.com/club197114981")</f>
        <v>http://vk.com/club197114981</v>
      </c>
      <c r="Q535">
        <v>38</v>
      </c>
      <c r="R535" t="s">
        <v>17</v>
      </c>
      <c r="S535" t="s">
        <v>18</v>
      </c>
      <c r="T535" t="s">
        <v>231</v>
      </c>
      <c r="U535" t="s">
        <v>232</v>
      </c>
      <c r="AJ535" t="s">
        <v>10</v>
      </c>
      <c r="AK535" t="s">
        <v>21</v>
      </c>
      <c r="AR535" t="s">
        <v>3243</v>
      </c>
      <c r="AU535" t="s">
        <v>3246</v>
      </c>
      <c r="AV535" t="s">
        <v>3247</v>
      </c>
      <c r="AW535" t="s">
        <v>3248</v>
      </c>
      <c r="AZ535" t="s">
        <v>3251</v>
      </c>
    </row>
    <row r="536" spans="1:52" x14ac:dyDescent="0.25">
      <c r="A536" t="s">
        <v>772</v>
      </c>
      <c r="B536" t="s">
        <v>976</v>
      </c>
      <c r="C536" t="s">
        <v>977</v>
      </c>
      <c r="D536" t="s">
        <v>978</v>
      </c>
      <c r="E536" t="s">
        <v>979</v>
      </c>
      <c r="F536" t="s">
        <v>12</v>
      </c>
      <c r="G536" t="str">
        <f>HYPERLINK("https://ok.ru/profile/574610028060/statuses/151852396319516")</f>
        <v>https://ok.ru/profile/574610028060/statuses/151852396319516</v>
      </c>
      <c r="H536" t="s">
        <v>13</v>
      </c>
      <c r="I536" t="s">
        <v>980</v>
      </c>
      <c r="J536" t="str">
        <f>HYPERLINK("https://ok.ru/profile/574610028060")</f>
        <v>https://ok.ru/profile/574610028060</v>
      </c>
      <c r="K536">
        <v>747</v>
      </c>
      <c r="L536" t="s">
        <v>80</v>
      </c>
      <c r="M536">
        <v>50</v>
      </c>
      <c r="N536" t="s">
        <v>135</v>
      </c>
      <c r="O536" t="s">
        <v>980</v>
      </c>
      <c r="P536" t="str">
        <f>HYPERLINK("https://ok.ru/profile/574610028060")</f>
        <v>https://ok.ru/profile/574610028060</v>
      </c>
      <c r="Q536">
        <v>747</v>
      </c>
      <c r="R536" t="s">
        <v>17</v>
      </c>
      <c r="S536" t="s">
        <v>18</v>
      </c>
      <c r="T536" t="s">
        <v>981</v>
      </c>
      <c r="U536" t="s">
        <v>982</v>
      </c>
      <c r="W536">
        <v>2</v>
      </c>
      <c r="X536">
        <v>2</v>
      </c>
      <c r="Y536">
        <v>0</v>
      </c>
      <c r="Z536">
        <v>0</v>
      </c>
      <c r="AA536">
        <v>0</v>
      </c>
      <c r="AB536">
        <v>0</v>
      </c>
      <c r="AE536">
        <v>0</v>
      </c>
      <c r="AF536">
        <v>0</v>
      </c>
      <c r="AI536" t="str">
        <f>HYPERLINK("https://i.mycdn.me/image?id=896602308382&amp;t=20&amp;plc=API&amp;aid=1131601408&amp;tkn=*B463Bsubn-M2rXAn-hTCwEY-r-I")</f>
        <v>https://i.mycdn.me/image?id=896602308382&amp;t=20&amp;plc=API&amp;aid=1131601408&amp;tkn=*B463Bsubn-M2rXAn-hTCwEY-r-I</v>
      </c>
      <c r="AJ536" t="s">
        <v>10</v>
      </c>
      <c r="AK536" t="s">
        <v>21</v>
      </c>
      <c r="AO536" t="s">
        <v>3240</v>
      </c>
      <c r="AR536" t="s">
        <v>3243</v>
      </c>
      <c r="AT536" t="s">
        <v>3245</v>
      </c>
      <c r="AW536" t="s">
        <v>3248</v>
      </c>
      <c r="AZ536" t="s">
        <v>3251</v>
      </c>
    </row>
    <row r="537" spans="1:52" x14ac:dyDescent="0.25">
      <c r="A537" t="s">
        <v>1017</v>
      </c>
      <c r="B537" t="s">
        <v>1052</v>
      </c>
      <c r="C537" t="s">
        <v>984</v>
      </c>
      <c r="D537" t="s">
        <v>10</v>
      </c>
      <c r="E537" t="s">
        <v>1037</v>
      </c>
      <c r="F537" t="s">
        <v>45</v>
      </c>
      <c r="G537" t="str">
        <f>HYPERLINK("https://www.facebook.com/sochi24.tv/posts/2780857425467420")</f>
        <v>https://www.facebook.com/sochi24.tv/posts/2780857425467420</v>
      </c>
      <c r="H537" t="s">
        <v>885</v>
      </c>
      <c r="I537" t="s">
        <v>1053</v>
      </c>
      <c r="J537" t="str">
        <f>HYPERLINK("https://www.facebook.com/1545376189015556")</f>
        <v>https://www.facebook.com/1545376189015556</v>
      </c>
      <c r="K537">
        <v>8641</v>
      </c>
      <c r="L537" t="s">
        <v>28</v>
      </c>
      <c r="N537" t="s">
        <v>179</v>
      </c>
      <c r="O537" t="s">
        <v>1053</v>
      </c>
      <c r="P537" t="str">
        <f>HYPERLINK("https://www.facebook.com/1545376189015556")</f>
        <v>https://www.facebook.com/1545376189015556</v>
      </c>
      <c r="Q537">
        <v>8641</v>
      </c>
      <c r="R537" t="s">
        <v>17</v>
      </c>
      <c r="S537" t="s">
        <v>18</v>
      </c>
      <c r="T537" t="s">
        <v>617</v>
      </c>
      <c r="U537" t="s">
        <v>1034</v>
      </c>
      <c r="W537">
        <v>3</v>
      </c>
      <c r="X537">
        <v>3</v>
      </c>
      <c r="Y537">
        <v>0</v>
      </c>
      <c r="Z537">
        <v>0</v>
      </c>
      <c r="AA537">
        <v>0</v>
      </c>
      <c r="AB537">
        <v>0</v>
      </c>
      <c r="AC537">
        <v>0</v>
      </c>
      <c r="AE537">
        <v>0</v>
      </c>
      <c r="AF537">
        <v>4</v>
      </c>
      <c r="AI537" t="str">
        <f>HYPERLINK("https://scontent-hel2-1.xx.fbcdn.net/v/t1.0-9/117340829_2780857252134104_4934143628202898961_n.jpg?_nc_cat=107&amp;_nc_sid=a26aad&amp;_nc_ohc=F6ZIKwYs4vIAX9SRqdr&amp;_nc_ht=scontent-hel2-1.xx&amp;oh=0ff10962a732940bd487655f754f8b22&amp;oe=5F54ADEA")</f>
        <v>https://scontent-hel2-1.xx.fbcdn.net/v/t1.0-9/117340829_2780857252134104_4934143628202898961_n.jpg?_nc_cat=107&amp;_nc_sid=a26aad&amp;_nc_ohc=F6ZIKwYs4vIAX9SRqdr&amp;_nc_ht=scontent-hel2-1.xx&amp;oh=0ff10962a732940bd487655f754f8b22&amp;oe=5F54ADEA</v>
      </c>
      <c r="AJ537" t="s">
        <v>10</v>
      </c>
      <c r="AK537" t="s">
        <v>21</v>
      </c>
      <c r="AO537" t="s">
        <v>3240</v>
      </c>
      <c r="AR537" t="s">
        <v>3243</v>
      </c>
      <c r="AU537" t="s">
        <v>3246</v>
      </c>
      <c r="AZ537" t="s">
        <v>3251</v>
      </c>
    </row>
    <row r="538" spans="1:52" x14ac:dyDescent="0.25">
      <c r="A538" t="s">
        <v>1017</v>
      </c>
      <c r="B538" t="s">
        <v>533</v>
      </c>
      <c r="C538" t="s">
        <v>984</v>
      </c>
      <c r="D538" t="s">
        <v>10</v>
      </c>
      <c r="E538" t="s">
        <v>1082</v>
      </c>
      <c r="F538" t="s">
        <v>45</v>
      </c>
      <c r="G538" t="str">
        <f>HYPERLINK("https://vk.com/wall-48669646_10275")</f>
        <v>https://vk.com/wall-48669646_10275</v>
      </c>
      <c r="H538" t="s">
        <v>885</v>
      </c>
      <c r="I538" t="s">
        <v>46</v>
      </c>
      <c r="J538" t="str">
        <f>HYPERLINK("http://vk.com/club48669646")</f>
        <v>http://vk.com/club48669646</v>
      </c>
      <c r="K538">
        <v>5795</v>
      </c>
      <c r="L538" t="s">
        <v>28</v>
      </c>
      <c r="N538" t="s">
        <v>16</v>
      </c>
      <c r="O538" t="s">
        <v>46</v>
      </c>
      <c r="P538" t="str">
        <f>HYPERLINK("http://vk.com/club48669646")</f>
        <v>http://vk.com/club48669646</v>
      </c>
      <c r="Q538">
        <v>5795</v>
      </c>
      <c r="R538" t="s">
        <v>17</v>
      </c>
      <c r="S538" t="s">
        <v>18</v>
      </c>
      <c r="W538">
        <v>26</v>
      </c>
      <c r="X538">
        <v>26</v>
      </c>
      <c r="AE538">
        <v>0</v>
      </c>
      <c r="AF538">
        <v>11</v>
      </c>
      <c r="AG538">
        <v>904</v>
      </c>
      <c r="AI538" t="str">
        <f>HYPERLINK("https://sun1-21.userapi.com/mJOJQccIOpV-Svy0b8d4r46iH2BHCFdhnqgAuA/gwALMz5IGrU.jpg")</f>
        <v>https://sun1-21.userapi.com/mJOJQccIOpV-Svy0b8d4r46iH2BHCFdhnqgAuA/gwALMz5IGrU.jpg</v>
      </c>
      <c r="AJ538" t="s">
        <v>10</v>
      </c>
      <c r="AK538" t="s">
        <v>21</v>
      </c>
      <c r="AL538" t="s">
        <v>3237</v>
      </c>
      <c r="AO538" t="s">
        <v>3240</v>
      </c>
      <c r="AR538" t="s">
        <v>3243</v>
      </c>
      <c r="AV538" t="s">
        <v>3247</v>
      </c>
      <c r="AW538" t="s">
        <v>3248</v>
      </c>
      <c r="AX538" t="s">
        <v>3249</v>
      </c>
      <c r="AZ538" t="s">
        <v>3251</v>
      </c>
    </row>
    <row r="539" spans="1:52" x14ac:dyDescent="0.25">
      <c r="A539" t="s">
        <v>1277</v>
      </c>
      <c r="B539" t="s">
        <v>1324</v>
      </c>
      <c r="C539" t="s">
        <v>984</v>
      </c>
      <c r="D539" t="s">
        <v>1311</v>
      </c>
      <c r="E539" t="s">
        <v>1325</v>
      </c>
      <c r="F539" t="s">
        <v>26</v>
      </c>
      <c r="G539" t="str">
        <f>HYPERLINK("https://vk.com/wall-59575459_1394514?reply=1394676")</f>
        <v>https://vk.com/wall-59575459_1394514?reply=1394676</v>
      </c>
      <c r="H539" t="s">
        <v>889</v>
      </c>
      <c r="I539" t="s">
        <v>1326</v>
      </c>
      <c r="J539" t="str">
        <f>HYPERLINK("http://vk.com/id115113910")</f>
        <v>http://vk.com/id115113910</v>
      </c>
      <c r="K539">
        <v>193</v>
      </c>
      <c r="L539" t="s">
        <v>80</v>
      </c>
      <c r="N539" t="s">
        <v>16</v>
      </c>
      <c r="O539" t="s">
        <v>1314</v>
      </c>
      <c r="P539" t="str">
        <f>HYPERLINK("http://vk.com/club59575459")</f>
        <v>http://vk.com/club59575459</v>
      </c>
      <c r="Q539">
        <v>39440</v>
      </c>
      <c r="R539" t="s">
        <v>17</v>
      </c>
      <c r="S539" t="s">
        <v>18</v>
      </c>
      <c r="T539" t="s">
        <v>1315</v>
      </c>
      <c r="U539" t="s">
        <v>1316</v>
      </c>
      <c r="AJ539" t="s">
        <v>10</v>
      </c>
      <c r="AK539" t="s">
        <v>21</v>
      </c>
      <c r="AO539" t="s">
        <v>3240</v>
      </c>
      <c r="AR539" t="s">
        <v>3243</v>
      </c>
      <c r="AT539" t="s">
        <v>3245</v>
      </c>
      <c r="AU539" t="s">
        <v>3246</v>
      </c>
      <c r="AV539" t="s">
        <v>3247</v>
      </c>
      <c r="AW539" t="s">
        <v>3248</v>
      </c>
      <c r="AZ539" t="s">
        <v>3251</v>
      </c>
    </row>
    <row r="540" spans="1:52" x14ac:dyDescent="0.25">
      <c r="A540" t="s">
        <v>1352</v>
      </c>
      <c r="B540" t="s">
        <v>1369</v>
      </c>
      <c r="C540" t="s">
        <v>984</v>
      </c>
      <c r="D540" t="s">
        <v>10</v>
      </c>
      <c r="E540" t="s">
        <v>1370</v>
      </c>
      <c r="F540" t="s">
        <v>1020</v>
      </c>
      <c r="G540" t="str">
        <f>HYPERLINK("https://twitter.com/177999503/status/1289954825191305217")</f>
        <v>https://twitter.com/177999503/status/1289954825191305217</v>
      </c>
      <c r="H540" t="s">
        <v>885</v>
      </c>
      <c r="I540" t="s">
        <v>1371</v>
      </c>
      <c r="J540" t="str">
        <f>HYPERLINK("http://twitter.com/IronManIndianDr")</f>
        <v>http://twitter.com/IronManIndianDr</v>
      </c>
      <c r="K540">
        <v>306</v>
      </c>
      <c r="N540" t="s">
        <v>54</v>
      </c>
      <c r="R540" t="s">
        <v>17</v>
      </c>
      <c r="S540" t="s">
        <v>1372</v>
      </c>
      <c r="T540" t="s">
        <v>1373</v>
      </c>
      <c r="U540" t="s">
        <v>1373</v>
      </c>
      <c r="W540">
        <v>0</v>
      </c>
      <c r="X540">
        <v>0</v>
      </c>
      <c r="AF540">
        <v>0</v>
      </c>
      <c r="AJ540" t="s">
        <v>10</v>
      </c>
      <c r="AK540" t="s">
        <v>21</v>
      </c>
      <c r="AN540" t="s">
        <v>3239</v>
      </c>
      <c r="AR540" t="s">
        <v>3243</v>
      </c>
      <c r="AT540" t="s">
        <v>3245</v>
      </c>
      <c r="AU540" t="s">
        <v>3246</v>
      </c>
      <c r="AW540" t="s">
        <v>3248</v>
      </c>
      <c r="AZ540" t="s">
        <v>3251</v>
      </c>
    </row>
    <row r="541" spans="1:52" x14ac:dyDescent="0.25">
      <c r="A541" t="s">
        <v>1352</v>
      </c>
      <c r="B541" t="s">
        <v>1386</v>
      </c>
      <c r="C541" t="s">
        <v>984</v>
      </c>
      <c r="D541" t="s">
        <v>10</v>
      </c>
      <c r="E541" t="s">
        <v>1387</v>
      </c>
      <c r="F541" t="s">
        <v>12</v>
      </c>
      <c r="G541" t="str">
        <f>HYPERLINK("https://www.facebook.com/permalink.php?story_fbid=1364103807119139&amp;id=100005585983932")</f>
        <v>https://www.facebook.com/permalink.php?story_fbid=1364103807119139&amp;id=100005585983932</v>
      </c>
      <c r="H541" t="s">
        <v>885</v>
      </c>
      <c r="I541" t="s">
        <v>1074</v>
      </c>
      <c r="J541" t="str">
        <f>HYPERLINK("https://www.facebook.com/100005585983932")</f>
        <v>https://www.facebook.com/100005585983932</v>
      </c>
      <c r="K541">
        <v>485</v>
      </c>
      <c r="L541" t="s">
        <v>80</v>
      </c>
      <c r="N541" t="s">
        <v>179</v>
      </c>
      <c r="O541" t="s">
        <v>1074</v>
      </c>
      <c r="P541" t="str">
        <f>HYPERLINK("https://www.facebook.com/100005585983932")</f>
        <v>https://www.facebook.com/100005585983932</v>
      </c>
      <c r="Q541">
        <v>485</v>
      </c>
      <c r="R541" t="s">
        <v>17</v>
      </c>
      <c r="S541" t="s">
        <v>18</v>
      </c>
      <c r="T541" t="s">
        <v>1015</v>
      </c>
      <c r="U541" t="s">
        <v>1016</v>
      </c>
      <c r="W541">
        <v>2</v>
      </c>
      <c r="X541">
        <v>2</v>
      </c>
      <c r="Y541">
        <v>0</v>
      </c>
      <c r="Z541">
        <v>0</v>
      </c>
      <c r="AA541">
        <v>0</v>
      </c>
      <c r="AB541">
        <v>0</v>
      </c>
      <c r="AC541">
        <v>0</v>
      </c>
      <c r="AE541">
        <v>0</v>
      </c>
      <c r="AF541">
        <v>1</v>
      </c>
      <c r="AI541" t="str">
        <f>HYPERLINK("https://scontent-hel2-1.xx.fbcdn.net/v/t1.0-0/p526x296/116884113_3236120083121113_5139901714793828146_o.jpg?_nc_cat=107&amp;_nc_sid=730e14&amp;_nc_ohc=WQal7HkBKxgAX-bUkxl&amp;_nc_ht=scontent-hel2-1.xx&amp;_nc_tp=6&amp;oh=89ea4665f20c128aba7885ac36f65735&amp;oe=5F4C2D57")</f>
        <v>https://scontent-hel2-1.xx.fbcdn.net/v/t1.0-0/p526x296/116884113_3236120083121113_5139901714793828146_o.jpg?_nc_cat=107&amp;_nc_sid=730e14&amp;_nc_ohc=WQal7HkBKxgAX-bUkxl&amp;_nc_ht=scontent-hel2-1.xx&amp;_nc_tp=6&amp;oh=89ea4665f20c128aba7885ac36f65735&amp;oe=5F4C2D57</v>
      </c>
      <c r="AJ541" t="s">
        <v>10</v>
      </c>
      <c r="AK541" t="s">
        <v>21</v>
      </c>
      <c r="AL541" t="s">
        <v>3237</v>
      </c>
      <c r="AN541" t="s">
        <v>3239</v>
      </c>
      <c r="AR541" t="s">
        <v>3243</v>
      </c>
      <c r="AT541" t="s">
        <v>3245</v>
      </c>
      <c r="AU541" t="s">
        <v>3246</v>
      </c>
      <c r="AV541" t="s">
        <v>3247</v>
      </c>
      <c r="AZ541" t="s">
        <v>3251</v>
      </c>
    </row>
    <row r="542" spans="1:52" x14ac:dyDescent="0.25">
      <c r="A542" t="s">
        <v>1352</v>
      </c>
      <c r="B542" t="s">
        <v>277</v>
      </c>
      <c r="C542" t="s">
        <v>984</v>
      </c>
      <c r="D542" t="s">
        <v>10</v>
      </c>
      <c r="E542" t="s">
        <v>1410</v>
      </c>
      <c r="F542" t="s">
        <v>12</v>
      </c>
      <c r="G542" t="str">
        <f>HYPERLINK("https://www.facebook.com/568390943273818/posts/3027546634024891")</f>
        <v>https://www.facebook.com/568390943273818/posts/3027546634024891</v>
      </c>
      <c r="H542" t="s">
        <v>885</v>
      </c>
      <c r="I542" t="s">
        <v>280</v>
      </c>
      <c r="J542" t="str">
        <f>HYPERLINK("https://www.facebook.com/568390943273818")</f>
        <v>https://www.facebook.com/568390943273818</v>
      </c>
      <c r="K542">
        <v>18918</v>
      </c>
      <c r="L542" t="s">
        <v>28</v>
      </c>
      <c r="N542" t="s">
        <v>179</v>
      </c>
      <c r="O542" t="s">
        <v>280</v>
      </c>
      <c r="P542" t="str">
        <f>HYPERLINK("https://www.facebook.com/568390943273818")</f>
        <v>https://www.facebook.com/568390943273818</v>
      </c>
      <c r="Q542">
        <v>18918</v>
      </c>
      <c r="R542" t="s">
        <v>17</v>
      </c>
      <c r="S542" t="s">
        <v>281</v>
      </c>
      <c r="T542" t="s">
        <v>282</v>
      </c>
      <c r="U542" t="s">
        <v>282</v>
      </c>
      <c r="AI542" t="str">
        <f>HYPERLINK("https://scontent-cdt1-1.xx.fbcdn.net/v/t1.0-9/p720x720/114674673_3027527847360103_7708374215339730050_o.jpg?_nc_cat=105&amp;_nc_sid=8024bb&amp;_nc_ohc=J-No5NbE9_QAX9NRtB_&amp;_nc_ht=scontent-cdt1-1.xx&amp;_nc_tp=6&amp;oh=e04da2539c969964e856c66dbe27c729&amp;oe=5F4D72D3")</f>
        <v>https://scontent-cdt1-1.xx.fbcdn.net/v/t1.0-9/p720x720/114674673_3027527847360103_7708374215339730050_o.jpg?_nc_cat=105&amp;_nc_sid=8024bb&amp;_nc_ohc=J-No5NbE9_QAX9NRtB_&amp;_nc_ht=scontent-cdt1-1.xx&amp;_nc_tp=6&amp;oh=e04da2539c969964e856c66dbe27c729&amp;oe=5F4D72D3</v>
      </c>
      <c r="AJ542" t="s">
        <v>10</v>
      </c>
      <c r="AK542" t="s">
        <v>21</v>
      </c>
      <c r="AN542" t="s">
        <v>3239</v>
      </c>
      <c r="AR542" t="s">
        <v>3243</v>
      </c>
      <c r="AT542" t="s">
        <v>3245</v>
      </c>
      <c r="AU542" t="s">
        <v>3246</v>
      </c>
      <c r="AZ542" t="s">
        <v>3251</v>
      </c>
    </row>
    <row r="543" spans="1:52" x14ac:dyDescent="0.25">
      <c r="A543" t="s">
        <v>2193</v>
      </c>
      <c r="B543" t="s">
        <v>2215</v>
      </c>
      <c r="C543" t="s">
        <v>968</v>
      </c>
      <c r="D543" t="s">
        <v>10</v>
      </c>
      <c r="E543" t="s">
        <v>2216</v>
      </c>
      <c r="F543" t="s">
        <v>26</v>
      </c>
      <c r="G543" t="str">
        <f>HYPERLINK("https://twitter.com/2204185542/status/1285942306546372608")</f>
        <v>https://twitter.com/2204185542/status/1285942306546372608</v>
      </c>
      <c r="H543" t="s">
        <v>885</v>
      </c>
      <c r="I543" t="s">
        <v>2217</v>
      </c>
      <c r="J543" t="str">
        <f>HYPERLINK("http://twitter.com/MisterKontos")</f>
        <v>http://twitter.com/MisterKontos</v>
      </c>
      <c r="K543">
        <v>130</v>
      </c>
      <c r="N543" t="s">
        <v>54</v>
      </c>
      <c r="R543" t="s">
        <v>17</v>
      </c>
      <c r="W543">
        <v>0</v>
      </c>
      <c r="X543">
        <v>0</v>
      </c>
      <c r="AF543">
        <v>0</v>
      </c>
      <c r="AJ543" t="s">
        <v>10</v>
      </c>
      <c r="AK543" t="s">
        <v>21</v>
      </c>
      <c r="AN543" t="s">
        <v>3239</v>
      </c>
      <c r="AR543" t="s">
        <v>3243</v>
      </c>
      <c r="AX543" t="s">
        <v>3249</v>
      </c>
      <c r="AZ543" t="s">
        <v>3251</v>
      </c>
    </row>
    <row r="544" spans="1:52" x14ac:dyDescent="0.25">
      <c r="A544" t="s">
        <v>2260</v>
      </c>
      <c r="B544" t="s">
        <v>2023</v>
      </c>
      <c r="C544" t="s">
        <v>968</v>
      </c>
      <c r="D544" t="s">
        <v>10</v>
      </c>
      <c r="E544" t="s">
        <v>1896</v>
      </c>
      <c r="F544" t="s">
        <v>45</v>
      </c>
      <c r="G544" t="str">
        <f>HYPERLINK("https://www.facebook.com/expert.klinika.stavropol/photos/a.108004590782008/167469311502202/?type=3")</f>
        <v>https://www.facebook.com/expert.klinika.stavropol/photos/a.108004590782008/167469311502202/?type=3</v>
      </c>
      <c r="H544" t="s">
        <v>885</v>
      </c>
      <c r="I544" t="s">
        <v>640</v>
      </c>
      <c r="J544" t="str">
        <f>HYPERLINK("https://www.facebook.com/107325724183228")</f>
        <v>https://www.facebook.com/107325724183228</v>
      </c>
      <c r="K544">
        <v>1</v>
      </c>
      <c r="L544" t="s">
        <v>28</v>
      </c>
      <c r="N544" t="s">
        <v>179</v>
      </c>
      <c r="O544" t="s">
        <v>640</v>
      </c>
      <c r="P544" t="str">
        <f>HYPERLINK("https://www.facebook.com/107325724183228")</f>
        <v>https://www.facebook.com/107325724183228</v>
      </c>
      <c r="Q544">
        <v>1</v>
      </c>
      <c r="R544" t="s">
        <v>17</v>
      </c>
      <c r="S544" t="s">
        <v>18</v>
      </c>
      <c r="T544" t="s">
        <v>641</v>
      </c>
      <c r="U544" t="s">
        <v>642</v>
      </c>
      <c r="W544">
        <v>0</v>
      </c>
      <c r="X544">
        <v>0</v>
      </c>
      <c r="Y544">
        <v>0</v>
      </c>
      <c r="Z544">
        <v>0</v>
      </c>
      <c r="AA544">
        <v>0</v>
      </c>
      <c r="AB544">
        <v>0</v>
      </c>
      <c r="AC544">
        <v>0</v>
      </c>
      <c r="AE544">
        <v>0</v>
      </c>
      <c r="AI544" t="str">
        <f>HYPERLINK("https://scontent-hel2-1.xx.fbcdn.net/v/t1.0-0/p526x296/109840013_167469314835535_1228024394057861148_o.jpg?_nc_cat=106&amp;_nc_sid=9267fe&amp;_nc_ohc=efwassnifEUAX_olYtf&amp;_nc_ht=scontent-hel2-1.xx&amp;_nc_tp=6&amp;oh=0fc1b7d089230d14c537614ca6aa8c85&amp;oe=5F3E9892")</f>
        <v>https://scontent-hel2-1.xx.fbcdn.net/v/t1.0-0/p526x296/109840013_167469314835535_1228024394057861148_o.jpg?_nc_cat=106&amp;_nc_sid=9267fe&amp;_nc_ohc=efwassnifEUAX_olYtf&amp;_nc_ht=scontent-hel2-1.xx&amp;_nc_tp=6&amp;oh=0fc1b7d089230d14c537614ca6aa8c85&amp;oe=5F3E9892</v>
      </c>
      <c r="AJ544" t="s">
        <v>10</v>
      </c>
      <c r="AK544" t="s">
        <v>21</v>
      </c>
      <c r="AR544" t="s">
        <v>3243</v>
      </c>
      <c r="AT544" t="s">
        <v>3245</v>
      </c>
      <c r="AW544" t="s">
        <v>3248</v>
      </c>
      <c r="AX544" t="s">
        <v>3249</v>
      </c>
      <c r="AZ544" t="s">
        <v>3251</v>
      </c>
    </row>
    <row r="545" spans="1:52" x14ac:dyDescent="0.25">
      <c r="A545" t="s">
        <v>2915</v>
      </c>
      <c r="B545" t="s">
        <v>1226</v>
      </c>
      <c r="C545" t="s">
        <v>968</v>
      </c>
      <c r="D545" t="s">
        <v>10</v>
      </c>
      <c r="E545" t="s">
        <v>2916</v>
      </c>
      <c r="F545" t="s">
        <v>26</v>
      </c>
      <c r="G545" t="str">
        <f>HYPERLINK("https://twitter.com/818132839702986753/status/1282048613468823552")</f>
        <v>https://twitter.com/818132839702986753/status/1282048613468823552</v>
      </c>
      <c r="H545" t="s">
        <v>885</v>
      </c>
      <c r="I545" t="s">
        <v>2917</v>
      </c>
      <c r="J545" t="str">
        <f>HYPERLINK("http://twitter.com/lil_tinyoranges")</f>
        <v>http://twitter.com/lil_tinyoranges</v>
      </c>
      <c r="K545">
        <v>208</v>
      </c>
      <c r="N545" t="s">
        <v>54</v>
      </c>
      <c r="R545" t="s">
        <v>17</v>
      </c>
      <c r="S545" t="s">
        <v>425</v>
      </c>
      <c r="T545" t="s">
        <v>2918</v>
      </c>
      <c r="U545" t="s">
        <v>2919</v>
      </c>
      <c r="W545">
        <v>0</v>
      </c>
      <c r="X545">
        <v>0</v>
      </c>
      <c r="AE545">
        <v>1</v>
      </c>
      <c r="AF545">
        <v>0</v>
      </c>
      <c r="AJ545" t="s">
        <v>10</v>
      </c>
      <c r="AK545" t="s">
        <v>21</v>
      </c>
      <c r="AR545" t="s">
        <v>3243</v>
      </c>
      <c r="AV545" t="s">
        <v>3247</v>
      </c>
      <c r="AZ545" t="s">
        <v>3251</v>
      </c>
    </row>
    <row r="546" spans="1:52" x14ac:dyDescent="0.25">
      <c r="A546" t="s">
        <v>7</v>
      </c>
      <c r="B546" t="s">
        <v>22</v>
      </c>
      <c r="C546" t="s">
        <v>23</v>
      </c>
      <c r="D546" t="s">
        <v>24</v>
      </c>
      <c r="E546" t="s">
        <v>25</v>
      </c>
      <c r="F546" t="s">
        <v>26</v>
      </c>
      <c r="G546" t="str">
        <f>HYPERLINK("https://vk.com/wall-197114981_31?reply=1379&amp;thread=1352")</f>
        <v>https://vk.com/wall-197114981_31?reply=1379&amp;thread=1352</v>
      </c>
      <c r="H546" t="s">
        <v>13</v>
      </c>
      <c r="I546" t="s">
        <v>27</v>
      </c>
      <c r="J546" t="str">
        <f>HYPERLINK("http://vk.com/club197114981")</f>
        <v>http://vk.com/club197114981</v>
      </c>
      <c r="K546">
        <v>38</v>
      </c>
      <c r="L546" t="s">
        <v>28</v>
      </c>
      <c r="N546" t="s">
        <v>16</v>
      </c>
      <c r="O546" t="s">
        <v>27</v>
      </c>
      <c r="P546" t="str">
        <f>HYPERLINK("http://vk.com/club197114981")</f>
        <v>http://vk.com/club197114981</v>
      </c>
      <c r="Q546">
        <v>38</v>
      </c>
      <c r="R546" t="s">
        <v>17</v>
      </c>
      <c r="AJ546" t="s">
        <v>10</v>
      </c>
      <c r="AK546" t="s">
        <v>21</v>
      </c>
      <c r="AR546" t="s">
        <v>3243</v>
      </c>
      <c r="AT546" t="s">
        <v>3245</v>
      </c>
      <c r="AV546" t="s">
        <v>3247</v>
      </c>
      <c r="AZ546" t="s">
        <v>3251</v>
      </c>
    </row>
    <row r="547" spans="1:52" x14ac:dyDescent="0.25">
      <c r="A547" t="s">
        <v>414</v>
      </c>
      <c r="B547" t="s">
        <v>481</v>
      </c>
      <c r="C547" t="s">
        <v>482</v>
      </c>
      <c r="D547" t="s">
        <v>24</v>
      </c>
      <c r="E547" t="s">
        <v>483</v>
      </c>
      <c r="F547" t="s">
        <v>26</v>
      </c>
      <c r="G547" t="str">
        <f>HYPERLINK("https://vk.com/wall-197114981_31?reply=1251&amp;thread=1250")</f>
        <v>https://vk.com/wall-197114981_31?reply=1251&amp;thread=1250</v>
      </c>
      <c r="H547" t="s">
        <v>13</v>
      </c>
      <c r="I547" t="s">
        <v>27</v>
      </c>
      <c r="J547" t="str">
        <f>HYPERLINK("http://vk.com/club197114981")</f>
        <v>http://vk.com/club197114981</v>
      </c>
      <c r="K547">
        <v>38</v>
      </c>
      <c r="L547" t="s">
        <v>28</v>
      </c>
      <c r="N547" t="s">
        <v>16</v>
      </c>
      <c r="O547" t="s">
        <v>27</v>
      </c>
      <c r="P547" t="str">
        <f>HYPERLINK("http://vk.com/club197114981")</f>
        <v>http://vk.com/club197114981</v>
      </c>
      <c r="Q547">
        <v>38</v>
      </c>
      <c r="R547" t="s">
        <v>17</v>
      </c>
      <c r="AJ547" t="s">
        <v>10</v>
      </c>
      <c r="AK547" t="s">
        <v>21</v>
      </c>
      <c r="AR547" t="s">
        <v>3243</v>
      </c>
      <c r="AT547" t="s">
        <v>3245</v>
      </c>
      <c r="AU547" t="s">
        <v>3246</v>
      </c>
      <c r="AX547" t="s">
        <v>3249</v>
      </c>
      <c r="AZ547" t="s">
        <v>3251</v>
      </c>
    </row>
    <row r="548" spans="1:52" x14ac:dyDescent="0.25">
      <c r="A548" t="s">
        <v>414</v>
      </c>
      <c r="B548" t="s">
        <v>628</v>
      </c>
      <c r="C548" t="s">
        <v>629</v>
      </c>
      <c r="D548" t="s">
        <v>24</v>
      </c>
      <c r="E548" t="s">
        <v>259</v>
      </c>
      <c r="F548" t="s">
        <v>26</v>
      </c>
      <c r="G548" t="str">
        <f>HYPERLINK("https://vk.com/wall-197114981_31?reply=1205&amp;thread=1195")</f>
        <v>https://vk.com/wall-197114981_31?reply=1205&amp;thread=1195</v>
      </c>
      <c r="H548" t="s">
        <v>13</v>
      </c>
      <c r="I548" t="s">
        <v>27</v>
      </c>
      <c r="J548" t="str">
        <f>HYPERLINK("http://vk.com/club197114981")</f>
        <v>http://vk.com/club197114981</v>
      </c>
      <c r="K548">
        <v>38</v>
      </c>
      <c r="L548" t="s">
        <v>28</v>
      </c>
      <c r="N548" t="s">
        <v>16</v>
      </c>
      <c r="O548" t="s">
        <v>27</v>
      </c>
      <c r="P548" t="str">
        <f>HYPERLINK("http://vk.com/club197114981")</f>
        <v>http://vk.com/club197114981</v>
      </c>
      <c r="Q548">
        <v>38</v>
      </c>
      <c r="R548" t="s">
        <v>17</v>
      </c>
      <c r="AJ548" t="s">
        <v>10</v>
      </c>
      <c r="AK548" t="s">
        <v>21</v>
      </c>
      <c r="AR548" t="s">
        <v>3243</v>
      </c>
      <c r="AT548" t="s">
        <v>3245</v>
      </c>
      <c r="AV548" t="s">
        <v>3247</v>
      </c>
      <c r="AW548" t="s">
        <v>3248</v>
      </c>
      <c r="AZ548" t="s">
        <v>3251</v>
      </c>
    </row>
    <row r="549" spans="1:52" x14ac:dyDescent="0.25">
      <c r="A549" t="s">
        <v>772</v>
      </c>
      <c r="B549" t="s">
        <v>895</v>
      </c>
      <c r="C549" t="s">
        <v>896</v>
      </c>
      <c r="D549" t="s">
        <v>24</v>
      </c>
      <c r="E549" t="s">
        <v>897</v>
      </c>
      <c r="F549" t="s">
        <v>26</v>
      </c>
      <c r="G549" t="str">
        <f>HYPERLINK("https://vk.com/wall-197114981_31?reply=1122&amp;thread=1121")</f>
        <v>https://vk.com/wall-197114981_31?reply=1122&amp;thread=1121</v>
      </c>
      <c r="H549" t="s">
        <v>885</v>
      </c>
      <c r="I549" t="s">
        <v>27</v>
      </c>
      <c r="J549" t="str">
        <f>HYPERLINK("http://vk.com/club197114981")</f>
        <v>http://vk.com/club197114981</v>
      </c>
      <c r="K549">
        <v>38</v>
      </c>
      <c r="L549" t="s">
        <v>28</v>
      </c>
      <c r="N549" t="s">
        <v>16</v>
      </c>
      <c r="O549" t="s">
        <v>27</v>
      </c>
      <c r="P549" t="str">
        <f>HYPERLINK("http://vk.com/club197114981")</f>
        <v>http://vk.com/club197114981</v>
      </c>
      <c r="Q549">
        <v>38</v>
      </c>
      <c r="R549" t="s">
        <v>17</v>
      </c>
      <c r="AJ549" t="s">
        <v>10</v>
      </c>
      <c r="AK549" t="s">
        <v>21</v>
      </c>
      <c r="AR549" t="s">
        <v>3243</v>
      </c>
      <c r="AT549" t="s">
        <v>3245</v>
      </c>
      <c r="AU549" t="s">
        <v>3246</v>
      </c>
      <c r="AV549" t="s">
        <v>3247</v>
      </c>
      <c r="AX549" t="s">
        <v>3249</v>
      </c>
      <c r="AZ549" t="s">
        <v>3251</v>
      </c>
    </row>
    <row r="550" spans="1:52" x14ac:dyDescent="0.25">
      <c r="A550" t="s">
        <v>1518</v>
      </c>
      <c r="B550" t="s">
        <v>1552</v>
      </c>
      <c r="C550" t="s">
        <v>984</v>
      </c>
      <c r="D550" t="s">
        <v>10</v>
      </c>
      <c r="E550" t="s">
        <v>1553</v>
      </c>
      <c r="F550" t="s">
        <v>45</v>
      </c>
      <c r="G550" t="str">
        <f>HYPERLINK("https://www.instagram.com/p/CDQ65ktBUrO")</f>
        <v>https://www.instagram.com/p/CDQ65ktBUrO</v>
      </c>
      <c r="H550" t="s">
        <v>889</v>
      </c>
      <c r="I550" t="s">
        <v>1145</v>
      </c>
      <c r="J550" t="str">
        <f>HYPERLINK("http://instagram.com/dr_kosmetolog_kursk")</f>
        <v>http://instagram.com/dr_kosmetolog_kursk</v>
      </c>
      <c r="K550">
        <v>1296</v>
      </c>
      <c r="N550" t="s">
        <v>69</v>
      </c>
      <c r="O550" t="s">
        <v>1145</v>
      </c>
      <c r="P550" t="str">
        <f>HYPERLINK("http://instagram.com/dr_kosmetolog_kursk")</f>
        <v>http://instagram.com/dr_kosmetolog_kursk</v>
      </c>
      <c r="Q550">
        <v>1296</v>
      </c>
      <c r="R550" t="s">
        <v>17</v>
      </c>
      <c r="S550" t="s">
        <v>18</v>
      </c>
      <c r="T550" t="s">
        <v>231</v>
      </c>
      <c r="U550" t="s">
        <v>1266</v>
      </c>
      <c r="AI550" t="str">
        <f>HYPERLINK("https://www.instagram.com/p/CDQ65ktBUrO/media/?size=l")</f>
        <v>https://www.instagram.com/p/CDQ65ktBUrO/media/?size=l</v>
      </c>
      <c r="AJ550" t="s">
        <v>10</v>
      </c>
      <c r="AK550" t="s">
        <v>21</v>
      </c>
      <c r="AR550" t="s">
        <v>3243</v>
      </c>
      <c r="AZ550" t="s">
        <v>3251</v>
      </c>
    </row>
    <row r="551" spans="1:52" x14ac:dyDescent="0.25">
      <c r="A551" t="s">
        <v>1723</v>
      </c>
      <c r="B551" t="s">
        <v>1762</v>
      </c>
      <c r="C551" t="s">
        <v>984</v>
      </c>
      <c r="D551" t="s">
        <v>10</v>
      </c>
      <c r="E551" t="s">
        <v>1768</v>
      </c>
      <c r="F551" t="s">
        <v>45</v>
      </c>
      <c r="G551" t="str">
        <f>HYPERLINK("https://vk.com/wall-48669646_10227")</f>
        <v>https://vk.com/wall-48669646_10227</v>
      </c>
      <c r="H551" t="s">
        <v>885</v>
      </c>
      <c r="I551" t="s">
        <v>46</v>
      </c>
      <c r="J551" t="str">
        <f>HYPERLINK("http://vk.com/club48669646")</f>
        <v>http://vk.com/club48669646</v>
      </c>
      <c r="K551">
        <v>5795</v>
      </c>
      <c r="L551" t="s">
        <v>28</v>
      </c>
      <c r="N551" t="s">
        <v>16</v>
      </c>
      <c r="O551" t="s">
        <v>46</v>
      </c>
      <c r="P551" t="str">
        <f>HYPERLINK("http://vk.com/club48669646")</f>
        <v>http://vk.com/club48669646</v>
      </c>
      <c r="Q551">
        <v>5795</v>
      </c>
      <c r="R551" t="s">
        <v>17</v>
      </c>
      <c r="S551" t="s">
        <v>18</v>
      </c>
      <c r="W551">
        <v>2</v>
      </c>
      <c r="X551">
        <v>2</v>
      </c>
      <c r="AE551">
        <v>0</v>
      </c>
      <c r="AF551">
        <v>0</v>
      </c>
      <c r="AG551">
        <v>410</v>
      </c>
      <c r="AI551" t="str">
        <f>HYPERLINK("https://sun1-16.userapi.com/IACFSuqzxtmzmTJtL64jZYPy8DLEHSa4aKCVPA/Pyxe9V3c0v4.jpg")</f>
        <v>https://sun1-16.userapi.com/IACFSuqzxtmzmTJtL64jZYPy8DLEHSa4aKCVPA/Pyxe9V3c0v4.jpg</v>
      </c>
      <c r="AJ551" t="s">
        <v>10</v>
      </c>
      <c r="AK551" t="s">
        <v>21</v>
      </c>
      <c r="AR551" t="s">
        <v>3243</v>
      </c>
      <c r="AT551" t="s">
        <v>3245</v>
      </c>
      <c r="AX551" t="s">
        <v>3249</v>
      </c>
      <c r="AZ551" t="s">
        <v>3251</v>
      </c>
    </row>
    <row r="552" spans="1:52" x14ac:dyDescent="0.25">
      <c r="A552" t="s">
        <v>7</v>
      </c>
      <c r="B552" t="s">
        <v>65</v>
      </c>
      <c r="C552" t="s">
        <v>66</v>
      </c>
      <c r="D552" t="s">
        <v>10</v>
      </c>
      <c r="E552" t="s">
        <v>67</v>
      </c>
      <c r="F552" t="s">
        <v>45</v>
      </c>
      <c r="G552" t="str">
        <f>HYPERLINK("https://www.instagram.com/p/CDtOLOQlOIR")</f>
        <v>https://www.instagram.com/p/CDtOLOQlOIR</v>
      </c>
      <c r="H552" t="s">
        <v>13</v>
      </c>
      <c r="I552" t="s">
        <v>68</v>
      </c>
      <c r="J552" t="str">
        <f>HYPERLINK("http://instagram.com/mrt_expert_62")</f>
        <v>http://instagram.com/mrt_expert_62</v>
      </c>
      <c r="K552">
        <v>484</v>
      </c>
      <c r="L552" t="s">
        <v>28</v>
      </c>
      <c r="N552" t="s">
        <v>69</v>
      </c>
      <c r="O552" t="s">
        <v>68</v>
      </c>
      <c r="P552" t="str">
        <f>HYPERLINK("http://instagram.com/mrt_expert_62")</f>
        <v>http://instagram.com/mrt_expert_62</v>
      </c>
      <c r="Q552">
        <v>484</v>
      </c>
      <c r="R552" t="s">
        <v>17</v>
      </c>
      <c r="S552" t="s">
        <v>18</v>
      </c>
      <c r="T552" t="s">
        <v>70</v>
      </c>
      <c r="U552" t="s">
        <v>71</v>
      </c>
      <c r="W552">
        <v>1</v>
      </c>
      <c r="X552">
        <v>1</v>
      </c>
      <c r="AE552">
        <v>0</v>
      </c>
      <c r="AI552" t="str">
        <f>HYPERLINK("https://www.instagram.com/p/CDtOLOQlOIR/media/?size=l")</f>
        <v>https://www.instagram.com/p/CDtOLOQlOIR/media/?size=l</v>
      </c>
      <c r="AJ552" t="s">
        <v>10</v>
      </c>
      <c r="AK552" t="s">
        <v>21</v>
      </c>
      <c r="AN552" t="s">
        <v>3239</v>
      </c>
      <c r="AO552" t="s">
        <v>3240</v>
      </c>
      <c r="AR552" t="s">
        <v>3243</v>
      </c>
      <c r="AT552" t="s">
        <v>3245</v>
      </c>
      <c r="AW552" t="s">
        <v>3248</v>
      </c>
      <c r="AX552" t="s">
        <v>3249</v>
      </c>
    </row>
    <row r="553" spans="1:52" x14ac:dyDescent="0.25">
      <c r="A553" t="s">
        <v>7</v>
      </c>
      <c r="B553" t="s">
        <v>243</v>
      </c>
      <c r="C553" t="s">
        <v>244</v>
      </c>
      <c r="D553" t="s">
        <v>24</v>
      </c>
      <c r="E553" t="s">
        <v>246</v>
      </c>
      <c r="F553" t="s">
        <v>26</v>
      </c>
      <c r="G553" t="str">
        <f>HYPERLINK("https://vk.com/wall-197114981_31?reply=1352")</f>
        <v>https://vk.com/wall-197114981_31?reply=1352</v>
      </c>
      <c r="H553" t="s">
        <v>13</v>
      </c>
      <c r="I553" t="s">
        <v>247</v>
      </c>
      <c r="J553" t="str">
        <f>HYPERLINK("http://vk.com/id38095165")</f>
        <v>http://vk.com/id38095165</v>
      </c>
      <c r="K553">
        <v>1193</v>
      </c>
      <c r="L553" t="s">
        <v>80</v>
      </c>
      <c r="N553" t="s">
        <v>16</v>
      </c>
      <c r="O553" t="s">
        <v>27</v>
      </c>
      <c r="P553" t="str">
        <f>HYPERLINK("http://vk.com/club197114981")</f>
        <v>http://vk.com/club197114981</v>
      </c>
      <c r="Q553">
        <v>38</v>
      </c>
      <c r="R553" t="s">
        <v>17</v>
      </c>
      <c r="S553" t="s">
        <v>18</v>
      </c>
      <c r="T553" t="s">
        <v>248</v>
      </c>
      <c r="U553" t="s">
        <v>249</v>
      </c>
      <c r="AJ553" t="s">
        <v>10</v>
      </c>
      <c r="AK553" t="s">
        <v>21</v>
      </c>
      <c r="AL553" t="s">
        <v>3237</v>
      </c>
      <c r="AR553" t="s">
        <v>3243</v>
      </c>
      <c r="AV553" t="s">
        <v>3247</v>
      </c>
      <c r="AX553" t="s">
        <v>3249</v>
      </c>
    </row>
    <row r="554" spans="1:52" x14ac:dyDescent="0.25">
      <c r="A554" t="s">
        <v>7</v>
      </c>
      <c r="B554" t="s">
        <v>343</v>
      </c>
      <c r="C554" t="s">
        <v>344</v>
      </c>
      <c r="D554" t="s">
        <v>24</v>
      </c>
      <c r="E554" t="s">
        <v>276</v>
      </c>
      <c r="F554" t="s">
        <v>26</v>
      </c>
      <c r="G554" t="str">
        <f>HYPERLINK("https://vk.com/wall-197114981_31?reply=1321&amp;thread=1263")</f>
        <v>https://vk.com/wall-197114981_31?reply=1321&amp;thread=1263</v>
      </c>
      <c r="H554" t="s">
        <v>13</v>
      </c>
      <c r="I554" t="s">
        <v>27</v>
      </c>
      <c r="J554" t="str">
        <f>HYPERLINK("http://vk.com/club197114981")</f>
        <v>http://vk.com/club197114981</v>
      </c>
      <c r="K554">
        <v>38</v>
      </c>
      <c r="L554" t="s">
        <v>28</v>
      </c>
      <c r="N554" t="s">
        <v>16</v>
      </c>
      <c r="O554" t="s">
        <v>27</v>
      </c>
      <c r="P554" t="str">
        <f>HYPERLINK("http://vk.com/club197114981")</f>
        <v>http://vk.com/club197114981</v>
      </c>
      <c r="Q554">
        <v>38</v>
      </c>
      <c r="R554" t="s">
        <v>17</v>
      </c>
      <c r="AJ554" t="s">
        <v>10</v>
      </c>
      <c r="AK554" t="s">
        <v>21</v>
      </c>
      <c r="AL554" t="s">
        <v>3237</v>
      </c>
      <c r="AR554" t="s">
        <v>3243</v>
      </c>
      <c r="AT554" t="s">
        <v>3245</v>
      </c>
    </row>
    <row r="555" spans="1:52" x14ac:dyDescent="0.25">
      <c r="A555" t="s">
        <v>414</v>
      </c>
      <c r="B555" t="s">
        <v>485</v>
      </c>
      <c r="C555" t="s">
        <v>486</v>
      </c>
      <c r="D555" t="s">
        <v>24</v>
      </c>
      <c r="E555" t="s">
        <v>488</v>
      </c>
      <c r="F555" t="s">
        <v>26</v>
      </c>
      <c r="G555" t="str">
        <f>HYPERLINK("https://vk.com/wall-197114981_31?reply=1248&amp;thread=1098")</f>
        <v>https://vk.com/wall-197114981_31?reply=1248&amp;thread=1098</v>
      </c>
      <c r="H555" t="s">
        <v>13</v>
      </c>
      <c r="I555" t="s">
        <v>489</v>
      </c>
      <c r="J555" t="str">
        <f>HYPERLINK("http://vk.com/id565363508")</f>
        <v>http://vk.com/id565363508</v>
      </c>
      <c r="K555">
        <v>140</v>
      </c>
      <c r="L555" t="s">
        <v>80</v>
      </c>
      <c r="N555" t="s">
        <v>16</v>
      </c>
      <c r="O555" t="s">
        <v>27</v>
      </c>
      <c r="P555" t="str">
        <f>HYPERLINK("http://vk.com/club197114981")</f>
        <v>http://vk.com/club197114981</v>
      </c>
      <c r="Q555">
        <v>38</v>
      </c>
      <c r="R555" t="s">
        <v>17</v>
      </c>
      <c r="S555" t="s">
        <v>18</v>
      </c>
      <c r="T555" t="s">
        <v>231</v>
      </c>
      <c r="U555" t="s">
        <v>232</v>
      </c>
      <c r="AJ555" t="s">
        <v>10</v>
      </c>
      <c r="AK555" t="s">
        <v>21</v>
      </c>
      <c r="AR555" t="s">
        <v>3243</v>
      </c>
      <c r="AT555" t="s">
        <v>3245</v>
      </c>
    </row>
    <row r="556" spans="1:52" x14ac:dyDescent="0.25">
      <c r="A556" t="s">
        <v>772</v>
      </c>
      <c r="B556" t="s">
        <v>803</v>
      </c>
      <c r="C556" t="s">
        <v>762</v>
      </c>
      <c r="D556" t="s">
        <v>763</v>
      </c>
      <c r="E556" t="s">
        <v>804</v>
      </c>
      <c r="F556" t="s">
        <v>26</v>
      </c>
      <c r="G556" t="str">
        <f>HYPERLINK("https://vk.com/wall470548199_1249?w=wall470548199_1249_r1253")</f>
        <v>https://vk.com/wall470548199_1249?w=wall470548199_1249_r1253</v>
      </c>
      <c r="H556" t="s">
        <v>13</v>
      </c>
      <c r="I556" t="s">
        <v>805</v>
      </c>
      <c r="J556" t="str">
        <f>HYPERLINK("http://vk.com/id73558046")</f>
        <v>http://vk.com/id73558046</v>
      </c>
      <c r="K556">
        <v>210</v>
      </c>
      <c r="L556" t="s">
        <v>80</v>
      </c>
      <c r="M556">
        <v>35</v>
      </c>
      <c r="N556" t="s">
        <v>16</v>
      </c>
      <c r="O556" t="s">
        <v>765</v>
      </c>
      <c r="P556" t="str">
        <f>HYPERLINK("http://vk.com/id470548199")</f>
        <v>http://vk.com/id470548199</v>
      </c>
      <c r="Q556">
        <v>2592</v>
      </c>
      <c r="R556" t="s">
        <v>17</v>
      </c>
      <c r="S556" t="s">
        <v>18</v>
      </c>
      <c r="T556" t="s">
        <v>766</v>
      </c>
      <c r="U556" t="s">
        <v>767</v>
      </c>
      <c r="W556">
        <v>0</v>
      </c>
      <c r="X556">
        <v>0</v>
      </c>
      <c r="AJ556" t="s">
        <v>10</v>
      </c>
      <c r="AK556" t="s">
        <v>21</v>
      </c>
      <c r="AM556" t="s">
        <v>3238</v>
      </c>
      <c r="AO556" t="s">
        <v>3240</v>
      </c>
      <c r="AR556" t="s">
        <v>3243</v>
      </c>
      <c r="AU556" t="s">
        <v>3246</v>
      </c>
      <c r="AW556" t="s">
        <v>3248</v>
      </c>
      <c r="AX556" t="s">
        <v>3249</v>
      </c>
    </row>
    <row r="557" spans="1:52" x14ac:dyDescent="0.25">
      <c r="A557" t="s">
        <v>772</v>
      </c>
      <c r="B557" t="s">
        <v>851</v>
      </c>
      <c r="C557" t="s">
        <v>852</v>
      </c>
      <c r="D557" t="s">
        <v>24</v>
      </c>
      <c r="E557" t="s">
        <v>854</v>
      </c>
      <c r="F557" t="s">
        <v>26</v>
      </c>
      <c r="G557" t="str">
        <f>HYPERLINK("https://vk.com/wall-197114981_31?reply=1135")</f>
        <v>https://vk.com/wall-197114981_31?reply=1135</v>
      </c>
      <c r="H557" t="s">
        <v>13</v>
      </c>
      <c r="I557" t="s">
        <v>558</v>
      </c>
      <c r="J557" t="str">
        <f>HYPERLINK("http://vk.com/id8978275")</f>
        <v>http://vk.com/id8978275</v>
      </c>
      <c r="K557">
        <v>344</v>
      </c>
      <c r="L557" t="s">
        <v>80</v>
      </c>
      <c r="M557">
        <v>31</v>
      </c>
      <c r="N557" t="s">
        <v>16</v>
      </c>
      <c r="O557" t="s">
        <v>27</v>
      </c>
      <c r="P557" t="str">
        <f>HYPERLINK("http://vk.com/club197114981")</f>
        <v>http://vk.com/club197114981</v>
      </c>
      <c r="Q557">
        <v>38</v>
      </c>
      <c r="R557" t="s">
        <v>17</v>
      </c>
      <c r="S557" t="s">
        <v>18</v>
      </c>
      <c r="T557" t="s">
        <v>231</v>
      </c>
      <c r="U557" t="s">
        <v>232</v>
      </c>
      <c r="AJ557" t="s">
        <v>10</v>
      </c>
      <c r="AK557" t="s">
        <v>21</v>
      </c>
      <c r="AO557" t="s">
        <v>3240</v>
      </c>
      <c r="AR557" t="s">
        <v>3243</v>
      </c>
      <c r="AT557" t="s">
        <v>3245</v>
      </c>
      <c r="AU557" t="s">
        <v>3246</v>
      </c>
      <c r="AV557" t="s">
        <v>3247</v>
      </c>
      <c r="AX557" t="s">
        <v>3249</v>
      </c>
    </row>
    <row r="558" spans="1:52" x14ac:dyDescent="0.25">
      <c r="A558" t="s">
        <v>1597</v>
      </c>
      <c r="B558" t="s">
        <v>914</v>
      </c>
      <c r="C558" t="s">
        <v>984</v>
      </c>
      <c r="D558" t="s">
        <v>1645</v>
      </c>
      <c r="E558" t="s">
        <v>1646</v>
      </c>
      <c r="F558" t="s">
        <v>45</v>
      </c>
      <c r="G558" t="str">
        <f>HYPERLINK("https://pressfrom.info/us/news/us/-498547-what-went-wrong-during-the-northeasts-first-covid-19-spike-and-is-the-region-ready-for-another.html")</f>
        <v>https://pressfrom.info/us/news/us/-498547-what-went-wrong-during-the-northeasts-first-covid-19-spike-and-is-the-region-ready-for-another.html</v>
      </c>
      <c r="H558" t="s">
        <v>885</v>
      </c>
      <c r="I558" t="s">
        <v>1647</v>
      </c>
      <c r="J558" t="str">
        <f>HYPERLINK("https://pressfrom.info")</f>
        <v>https://pressfrom.info</v>
      </c>
      <c r="N558" t="s">
        <v>1648</v>
      </c>
      <c r="R558" t="s">
        <v>239</v>
      </c>
      <c r="S558" t="s">
        <v>425</v>
      </c>
      <c r="AJ558" t="s">
        <v>10</v>
      </c>
      <c r="AK558" t="s">
        <v>21</v>
      </c>
      <c r="AM558" t="s">
        <v>3238</v>
      </c>
      <c r="AO558" t="s">
        <v>3240</v>
      </c>
      <c r="AR558" t="s">
        <v>3243</v>
      </c>
      <c r="AT558" t="s">
        <v>3245</v>
      </c>
      <c r="AU558" t="s">
        <v>3246</v>
      </c>
      <c r="AW558" t="s">
        <v>3248</v>
      </c>
      <c r="AX558" t="s">
        <v>3249</v>
      </c>
    </row>
    <row r="559" spans="1:52" x14ac:dyDescent="0.25">
      <c r="A559" t="s">
        <v>1838</v>
      </c>
      <c r="B559" t="s">
        <v>1911</v>
      </c>
      <c r="C559" t="s">
        <v>984</v>
      </c>
      <c r="D559" t="s">
        <v>10</v>
      </c>
      <c r="E559" t="s">
        <v>1701</v>
      </c>
      <c r="F559" t="s">
        <v>12</v>
      </c>
      <c r="G559" t="str">
        <f>HYPERLINK("https://twitter.com/2990145552/status/1287661226827210752")</f>
        <v>https://twitter.com/2990145552/status/1287661226827210752</v>
      </c>
      <c r="H559" t="s">
        <v>885</v>
      </c>
      <c r="I559" t="s">
        <v>1912</v>
      </c>
      <c r="J559" t="str">
        <f>HYPERLINK("http://twitter.com/ajeetprasad70")</f>
        <v>http://twitter.com/ajeetprasad70</v>
      </c>
      <c r="K559">
        <v>126</v>
      </c>
      <c r="L559" t="s">
        <v>15</v>
      </c>
      <c r="N559" t="s">
        <v>54</v>
      </c>
      <c r="R559" t="s">
        <v>17</v>
      </c>
      <c r="S559" t="s">
        <v>1206</v>
      </c>
      <c r="T559" t="s">
        <v>1913</v>
      </c>
      <c r="U559" t="s">
        <v>1914</v>
      </c>
      <c r="W559">
        <v>0</v>
      </c>
      <c r="X559">
        <v>0</v>
      </c>
      <c r="AJ559" t="s">
        <v>10</v>
      </c>
      <c r="AK559" t="s">
        <v>21</v>
      </c>
      <c r="AO559" t="s">
        <v>3240</v>
      </c>
      <c r="AR559" t="s">
        <v>3243</v>
      </c>
      <c r="AX559" t="s">
        <v>3249</v>
      </c>
    </row>
    <row r="560" spans="1:52" x14ac:dyDescent="0.25">
      <c r="A560" t="s">
        <v>2122</v>
      </c>
      <c r="B560" t="s">
        <v>637</v>
      </c>
      <c r="C560" t="s">
        <v>968</v>
      </c>
      <c r="D560" t="s">
        <v>10</v>
      </c>
      <c r="E560" t="s">
        <v>2167</v>
      </c>
      <c r="F560" t="s">
        <v>45</v>
      </c>
      <c r="G560" t="str">
        <f>HYPERLINK("https://www.facebook.com/mriexpert/photos/a.902990326434112/3209281919138263/?type=3")</f>
        <v>https://www.facebook.com/mriexpert/photos/a.902990326434112/3209281919138263/?type=3</v>
      </c>
      <c r="H560" t="s">
        <v>885</v>
      </c>
      <c r="I560" t="s">
        <v>46</v>
      </c>
      <c r="J560" t="str">
        <f>HYPERLINK("https://www.facebook.com/902980129768465")</f>
        <v>https://www.facebook.com/902980129768465</v>
      </c>
      <c r="K560">
        <v>1509</v>
      </c>
      <c r="L560" t="s">
        <v>28</v>
      </c>
      <c r="N560" t="s">
        <v>179</v>
      </c>
      <c r="O560" t="s">
        <v>46</v>
      </c>
      <c r="P560" t="str">
        <f>HYPERLINK("https://www.facebook.com/902980129768465")</f>
        <v>https://www.facebook.com/902980129768465</v>
      </c>
      <c r="Q560">
        <v>1509</v>
      </c>
      <c r="R560" t="s">
        <v>17</v>
      </c>
      <c r="W560">
        <v>1</v>
      </c>
      <c r="X560">
        <v>1</v>
      </c>
      <c r="Y560">
        <v>0</v>
      </c>
      <c r="Z560">
        <v>0</v>
      </c>
      <c r="AA560">
        <v>0</v>
      </c>
      <c r="AB560">
        <v>0</v>
      </c>
      <c r="AC560">
        <v>0</v>
      </c>
      <c r="AE560">
        <v>0</v>
      </c>
      <c r="AI560" t="str">
        <f>HYPERLINK("https://scontent-hel2-1.xx.fbcdn.net/v/t1.0-9/s960x960/116002210_3209281932471595_2116995336871745425_o.jpg?_nc_cat=108&amp;_nc_sid=9267fe&amp;_nc_ohc=AM6ghsAeaEYAX9w72aN&amp;_nc_ht=scontent-hel2-1.xx&amp;_nc_tp=7&amp;oh=6df4c573c7e39482584ac98428d1d1ce&amp;oe=5F3FD197")</f>
        <v>https://scontent-hel2-1.xx.fbcdn.net/v/t1.0-9/s960x960/116002210_3209281932471595_2116995336871745425_o.jpg?_nc_cat=108&amp;_nc_sid=9267fe&amp;_nc_ohc=AM6ghsAeaEYAX9w72aN&amp;_nc_ht=scontent-hel2-1.xx&amp;_nc_tp=7&amp;oh=6df4c573c7e39482584ac98428d1d1ce&amp;oe=5F3FD197</v>
      </c>
      <c r="AJ560" t="s">
        <v>10</v>
      </c>
      <c r="AK560" t="s">
        <v>21</v>
      </c>
      <c r="AO560" t="s">
        <v>3240</v>
      </c>
      <c r="AR560" t="s">
        <v>3243</v>
      </c>
      <c r="AU560" t="s">
        <v>3246</v>
      </c>
      <c r="AV560" t="s">
        <v>3247</v>
      </c>
      <c r="AX560" t="s">
        <v>3249</v>
      </c>
    </row>
    <row r="561" spans="1:52" x14ac:dyDescent="0.25">
      <c r="A561" t="s">
        <v>2193</v>
      </c>
      <c r="B561" t="s">
        <v>2249</v>
      </c>
      <c r="C561" t="s">
        <v>968</v>
      </c>
      <c r="D561" t="s">
        <v>2250</v>
      </c>
      <c r="E561" t="s">
        <v>2251</v>
      </c>
      <c r="F561" t="s">
        <v>26</v>
      </c>
      <c r="G561" t="str">
        <f>HYPERLINK("https://vk.com/wall-80773362_393142?reply=393368")</f>
        <v>https://vk.com/wall-80773362_393142?reply=393368</v>
      </c>
      <c r="H561" t="s">
        <v>889</v>
      </c>
      <c r="I561" t="s">
        <v>2252</v>
      </c>
      <c r="J561" t="str">
        <f>HYPERLINK("http://vk.com/id106193373")</f>
        <v>http://vk.com/id106193373</v>
      </c>
      <c r="K561">
        <v>727</v>
      </c>
      <c r="L561" t="s">
        <v>80</v>
      </c>
      <c r="N561" t="s">
        <v>16</v>
      </c>
      <c r="O561" t="s">
        <v>2253</v>
      </c>
      <c r="P561" t="str">
        <f>HYPERLINK("http://vk.com/club80773362")</f>
        <v>http://vk.com/club80773362</v>
      </c>
      <c r="Q561">
        <v>17542</v>
      </c>
      <c r="R561" t="s">
        <v>17</v>
      </c>
      <c r="S561" t="s">
        <v>18</v>
      </c>
      <c r="T561" t="s">
        <v>1214</v>
      </c>
      <c r="U561" t="s">
        <v>2047</v>
      </c>
      <c r="AJ561" t="s">
        <v>10</v>
      </c>
      <c r="AK561" t="s">
        <v>21</v>
      </c>
      <c r="AO561" t="s">
        <v>3240</v>
      </c>
      <c r="AR561" t="s">
        <v>3243</v>
      </c>
      <c r="AT561" t="s">
        <v>3245</v>
      </c>
      <c r="AU561" t="s">
        <v>3246</v>
      </c>
      <c r="AV561" t="s">
        <v>3247</v>
      </c>
      <c r="AW561" t="s">
        <v>3248</v>
      </c>
      <c r="AX561" t="s">
        <v>3249</v>
      </c>
    </row>
    <row r="562" spans="1:52" x14ac:dyDescent="0.25">
      <c r="A562" t="s">
        <v>2541</v>
      </c>
      <c r="B562" t="s">
        <v>1753</v>
      </c>
      <c r="C562" t="s">
        <v>968</v>
      </c>
      <c r="D562" t="s">
        <v>10</v>
      </c>
      <c r="E562" t="s">
        <v>1856</v>
      </c>
      <c r="F562" t="s">
        <v>12</v>
      </c>
      <c r="G562" t="str">
        <f>HYPERLINK("https://www.facebook.com/permalink.php?story_fbid=926287961222922&amp;id=100015251794464")</f>
        <v>https://www.facebook.com/permalink.php?story_fbid=926287961222922&amp;id=100015251794464</v>
      </c>
      <c r="H562" t="s">
        <v>885</v>
      </c>
      <c r="I562" t="s">
        <v>2555</v>
      </c>
      <c r="J562" t="str">
        <f>HYPERLINK("https://www.facebook.com/100015251794464")</f>
        <v>https://www.facebook.com/100015251794464</v>
      </c>
      <c r="K562">
        <v>156</v>
      </c>
      <c r="L562" t="s">
        <v>15</v>
      </c>
      <c r="N562" t="s">
        <v>179</v>
      </c>
      <c r="O562" t="s">
        <v>2555</v>
      </c>
      <c r="P562" t="str">
        <f>HYPERLINK("https://www.facebook.com/100015251794464")</f>
        <v>https://www.facebook.com/100015251794464</v>
      </c>
      <c r="Q562">
        <v>156</v>
      </c>
      <c r="R562" t="s">
        <v>17</v>
      </c>
      <c r="W562">
        <v>0</v>
      </c>
      <c r="X562">
        <v>0</v>
      </c>
      <c r="Y562">
        <v>0</v>
      </c>
      <c r="Z562">
        <v>0</v>
      </c>
      <c r="AA562">
        <v>0</v>
      </c>
      <c r="AB562">
        <v>0</v>
      </c>
      <c r="AC562">
        <v>0</v>
      </c>
      <c r="AE562">
        <v>0</v>
      </c>
      <c r="AI562" t="str">
        <f>HYPERLINK("https://scontent-hel2-1.xx.fbcdn.net/v/t1.0-0/p526x296/108131049_774531969957768_7843668891363115161_o.jpg?_nc_cat=107&amp;_nc_sid=9267fe&amp;_nc_ohc=EMuIm-HvjxsAX91OIqP&amp;_nc_ht=scontent-hel2-1.xx&amp;_nc_tp=6&amp;oh=205e8f128344ad483f4b9b99022bd6fe&amp;oe=5F364C59")</f>
        <v>https://scontent-hel2-1.xx.fbcdn.net/v/t1.0-0/p526x296/108131049_774531969957768_7843668891363115161_o.jpg?_nc_cat=107&amp;_nc_sid=9267fe&amp;_nc_ohc=EMuIm-HvjxsAX91OIqP&amp;_nc_ht=scontent-hel2-1.xx&amp;_nc_tp=6&amp;oh=205e8f128344ad483f4b9b99022bd6fe&amp;oe=5F364C59</v>
      </c>
      <c r="AJ562" t="s">
        <v>10</v>
      </c>
      <c r="AK562" t="s">
        <v>21</v>
      </c>
      <c r="AO562" t="s">
        <v>3240</v>
      </c>
      <c r="AR562" t="s">
        <v>3243</v>
      </c>
      <c r="AU562" t="s">
        <v>3246</v>
      </c>
      <c r="AX562" t="s">
        <v>3249</v>
      </c>
    </row>
    <row r="563" spans="1:52" x14ac:dyDescent="0.25">
      <c r="A563" t="s">
        <v>2589</v>
      </c>
      <c r="B563" t="s">
        <v>1484</v>
      </c>
      <c r="C563" t="s">
        <v>968</v>
      </c>
      <c r="D563" t="s">
        <v>10</v>
      </c>
      <c r="E563" t="s">
        <v>2641</v>
      </c>
      <c r="F563" t="s">
        <v>45</v>
      </c>
      <c r="G563" t="str">
        <f>HYPERLINK("https://www.facebook.com/expert.klinika.stavropol/photos/a.108004590782008/165802555002211/?type=3")</f>
        <v>https://www.facebook.com/expert.klinika.stavropol/photos/a.108004590782008/165802555002211/?type=3</v>
      </c>
      <c r="H563" t="s">
        <v>885</v>
      </c>
      <c r="I563" t="s">
        <v>640</v>
      </c>
      <c r="J563" t="str">
        <f>HYPERLINK("https://www.facebook.com/107325724183228")</f>
        <v>https://www.facebook.com/107325724183228</v>
      </c>
      <c r="K563">
        <v>1</v>
      </c>
      <c r="L563" t="s">
        <v>28</v>
      </c>
      <c r="N563" t="s">
        <v>179</v>
      </c>
      <c r="O563" t="s">
        <v>640</v>
      </c>
      <c r="P563" t="str">
        <f>HYPERLINK("https://www.facebook.com/107325724183228")</f>
        <v>https://www.facebook.com/107325724183228</v>
      </c>
      <c r="Q563">
        <v>1</v>
      </c>
      <c r="R563" t="s">
        <v>17</v>
      </c>
      <c r="S563" t="s">
        <v>18</v>
      </c>
      <c r="T563" t="s">
        <v>641</v>
      </c>
      <c r="U563" t="s">
        <v>642</v>
      </c>
      <c r="W563">
        <v>0</v>
      </c>
      <c r="X563">
        <v>0</v>
      </c>
      <c r="Y563">
        <v>0</v>
      </c>
      <c r="Z563">
        <v>0</v>
      </c>
      <c r="AA563">
        <v>0</v>
      </c>
      <c r="AB563">
        <v>0</v>
      </c>
      <c r="AC563">
        <v>0</v>
      </c>
      <c r="AE563">
        <v>0</v>
      </c>
      <c r="AI563" t="s">
        <v>2642</v>
      </c>
      <c r="AJ563" t="s">
        <v>10</v>
      </c>
      <c r="AK563" t="s">
        <v>21</v>
      </c>
      <c r="AM563" t="s">
        <v>3238</v>
      </c>
      <c r="AR563" t="s">
        <v>3243</v>
      </c>
      <c r="AT563" t="s">
        <v>3245</v>
      </c>
      <c r="AV563" t="s">
        <v>3247</v>
      </c>
      <c r="AX563" t="s">
        <v>3249</v>
      </c>
    </row>
    <row r="564" spans="1:52" x14ac:dyDescent="0.25">
      <c r="A564" t="s">
        <v>2865</v>
      </c>
      <c r="B564" t="s">
        <v>42</v>
      </c>
      <c r="C564" t="s">
        <v>968</v>
      </c>
      <c r="D564" t="s">
        <v>10</v>
      </c>
      <c r="E564" t="s">
        <v>2876</v>
      </c>
      <c r="F564" t="s">
        <v>12</v>
      </c>
      <c r="G564" t="str">
        <f>HYPERLINK("https://www.facebook.com/568390943273818/posts/2978677565578465")</f>
        <v>https://www.facebook.com/568390943273818/posts/2978677565578465</v>
      </c>
      <c r="H564" t="s">
        <v>885</v>
      </c>
      <c r="I564" t="s">
        <v>280</v>
      </c>
      <c r="J564" t="str">
        <f>HYPERLINK("https://www.facebook.com/568390943273818")</f>
        <v>https://www.facebook.com/568390943273818</v>
      </c>
      <c r="K564">
        <v>18918</v>
      </c>
      <c r="L564" t="s">
        <v>28</v>
      </c>
      <c r="N564" t="s">
        <v>179</v>
      </c>
      <c r="O564" t="s">
        <v>280</v>
      </c>
      <c r="P564" t="str">
        <f>HYPERLINK("https://www.facebook.com/568390943273818")</f>
        <v>https://www.facebook.com/568390943273818</v>
      </c>
      <c r="Q564">
        <v>18918</v>
      </c>
      <c r="R564" t="s">
        <v>17</v>
      </c>
      <c r="S564" t="s">
        <v>281</v>
      </c>
      <c r="T564" t="s">
        <v>282</v>
      </c>
      <c r="U564" t="s">
        <v>282</v>
      </c>
      <c r="AI564" t="str">
        <f>HYPERLINK("https://scontent-ams4-1.xx.fbcdn.net/v/t1.0-9/p720x720/107513297_2978674138912141_6134701413411767096_n.jpg?_nc_cat=110&amp;_nc_sid=8024bb&amp;_nc_ohc=qMdBGLhE-VAAX_CEr6y&amp;_nc_ht=scontent-ams4-1.xx&amp;_nc_tp=6&amp;oh=f574b434354af3a50d6043912543b493&amp;oe=5F2F19C2")</f>
        <v>https://scontent-ams4-1.xx.fbcdn.net/v/t1.0-9/p720x720/107513297_2978674138912141_6134701413411767096_n.jpg?_nc_cat=110&amp;_nc_sid=8024bb&amp;_nc_ohc=qMdBGLhE-VAAX_CEr6y&amp;_nc_ht=scontent-ams4-1.xx&amp;_nc_tp=6&amp;oh=f574b434354af3a50d6043912543b493&amp;oe=5F2F19C2</v>
      </c>
      <c r="AJ564" t="s">
        <v>10</v>
      </c>
      <c r="AK564" t="s">
        <v>21</v>
      </c>
      <c r="AM564" t="s">
        <v>3238</v>
      </c>
      <c r="AR564" t="s">
        <v>3243</v>
      </c>
      <c r="AT564" t="s">
        <v>3245</v>
      </c>
      <c r="AV564" t="s">
        <v>3247</v>
      </c>
    </row>
    <row r="565" spans="1:52" x14ac:dyDescent="0.25">
      <c r="A565" t="s">
        <v>2767</v>
      </c>
      <c r="B565" t="s">
        <v>2834</v>
      </c>
      <c r="C565" t="s">
        <v>968</v>
      </c>
      <c r="D565" t="s">
        <v>2835</v>
      </c>
      <c r="E565" t="s">
        <v>2836</v>
      </c>
      <c r="F565" t="s">
        <v>26</v>
      </c>
      <c r="G565" t="str">
        <f>HYPERLINK("https://vk.com/wall-125331076_734521?reply=752304")</f>
        <v>https://vk.com/wall-125331076_734521?reply=752304</v>
      </c>
      <c r="H565" t="s">
        <v>889</v>
      </c>
      <c r="I565" t="s">
        <v>2309</v>
      </c>
      <c r="J565" t="str">
        <f>HYPERLINK("http://vk.com/id14737732")</f>
        <v>http://vk.com/id14737732</v>
      </c>
      <c r="K565">
        <v>1091</v>
      </c>
      <c r="L565" t="s">
        <v>80</v>
      </c>
      <c r="N565" t="s">
        <v>16</v>
      </c>
      <c r="O565" t="s">
        <v>1154</v>
      </c>
      <c r="P565" t="str">
        <f>HYPERLINK("http://vk.com/club125331076")</f>
        <v>http://vk.com/club125331076</v>
      </c>
      <c r="Q565">
        <v>38231</v>
      </c>
      <c r="R565" t="s">
        <v>17</v>
      </c>
      <c r="AJ565" t="s">
        <v>10</v>
      </c>
      <c r="AK565" t="s">
        <v>21</v>
      </c>
      <c r="AR565" t="s">
        <v>3243</v>
      </c>
      <c r="AT565" t="s">
        <v>3245</v>
      </c>
      <c r="AV565" t="s">
        <v>3247</v>
      </c>
      <c r="AW565" t="s">
        <v>3248</v>
      </c>
    </row>
    <row r="566" spans="1:52" x14ac:dyDescent="0.25">
      <c r="A566" t="s">
        <v>772</v>
      </c>
      <c r="B566" t="s">
        <v>914</v>
      </c>
      <c r="C566" t="s">
        <v>915</v>
      </c>
      <c r="D566" t="s">
        <v>24</v>
      </c>
      <c r="E566" t="s">
        <v>916</v>
      </c>
      <c r="F566" t="s">
        <v>26</v>
      </c>
      <c r="G566" t="str">
        <f>HYPERLINK("https://vk.com/wall-197114981_31?reply=1113&amp;thread=1112")</f>
        <v>https://vk.com/wall-197114981_31?reply=1113&amp;thread=1112</v>
      </c>
      <c r="H566" t="s">
        <v>885</v>
      </c>
      <c r="I566" t="s">
        <v>27</v>
      </c>
      <c r="J566" t="str">
        <f>HYPERLINK("http://vk.com/club197114981")</f>
        <v>http://vk.com/club197114981</v>
      </c>
      <c r="K566">
        <v>38</v>
      </c>
      <c r="L566" t="s">
        <v>28</v>
      </c>
      <c r="N566" t="s">
        <v>16</v>
      </c>
      <c r="O566" t="s">
        <v>27</v>
      </c>
      <c r="P566" t="str">
        <f>HYPERLINK("http://vk.com/club197114981")</f>
        <v>http://vk.com/club197114981</v>
      </c>
      <c r="Q566">
        <v>38</v>
      </c>
      <c r="R566" t="s">
        <v>17</v>
      </c>
      <c r="AJ566" t="s">
        <v>10</v>
      </c>
      <c r="AK566" t="s">
        <v>21</v>
      </c>
      <c r="AM566" t="s">
        <v>3238</v>
      </c>
      <c r="AR566" t="s">
        <v>3243</v>
      </c>
      <c r="AU566" t="s">
        <v>3246</v>
      </c>
      <c r="AW566" t="s">
        <v>3248</v>
      </c>
    </row>
    <row r="567" spans="1:52" x14ac:dyDescent="0.25">
      <c r="A567" t="s">
        <v>1122</v>
      </c>
      <c r="B567" t="s">
        <v>1133</v>
      </c>
      <c r="C567" t="s">
        <v>984</v>
      </c>
      <c r="D567" t="s">
        <v>10</v>
      </c>
      <c r="E567" t="s">
        <v>1134</v>
      </c>
      <c r="F567" t="s">
        <v>45</v>
      </c>
      <c r="G567" t="str">
        <f>HYPERLINK("https://www.instagram.com/p/CDi-1nPlvHJ")</f>
        <v>https://www.instagram.com/p/CDi-1nPlvHJ</v>
      </c>
      <c r="H567" t="s">
        <v>885</v>
      </c>
      <c r="I567" t="s">
        <v>1128</v>
      </c>
      <c r="J567" t="str">
        <f>HYPERLINK("http://instagram.com/mrt_ekspert_sochi")</f>
        <v>http://instagram.com/mrt_ekspert_sochi</v>
      </c>
      <c r="K567">
        <v>657</v>
      </c>
      <c r="L567" t="s">
        <v>28</v>
      </c>
      <c r="N567" t="s">
        <v>69</v>
      </c>
      <c r="O567" t="s">
        <v>1128</v>
      </c>
      <c r="P567" t="str">
        <f>HYPERLINK("http://instagram.com/mrt_ekspert_sochi")</f>
        <v>http://instagram.com/mrt_ekspert_sochi</v>
      </c>
      <c r="Q567">
        <v>657</v>
      </c>
      <c r="R567" t="s">
        <v>17</v>
      </c>
      <c r="S567" t="s">
        <v>18</v>
      </c>
      <c r="T567" t="s">
        <v>617</v>
      </c>
      <c r="U567" t="s">
        <v>1034</v>
      </c>
      <c r="W567">
        <v>5</v>
      </c>
      <c r="X567">
        <v>5</v>
      </c>
      <c r="AE567">
        <v>0</v>
      </c>
      <c r="AI567" t="str">
        <f>HYPERLINK("https://www.instagram.com/p/CDi-1nPlvHJ/media/?size=l")</f>
        <v>https://www.instagram.com/p/CDi-1nPlvHJ/media/?size=l</v>
      </c>
      <c r="AJ567" t="s">
        <v>10</v>
      </c>
      <c r="AK567" t="s">
        <v>21</v>
      </c>
      <c r="AL567" t="s">
        <v>3237</v>
      </c>
      <c r="AR567" t="s">
        <v>3243</v>
      </c>
      <c r="AT567" t="s">
        <v>3245</v>
      </c>
      <c r="AV567" t="s">
        <v>3247</v>
      </c>
      <c r="AW567" t="s">
        <v>3248</v>
      </c>
    </row>
    <row r="568" spans="1:52" x14ac:dyDescent="0.25">
      <c r="A568" t="s">
        <v>2380</v>
      </c>
      <c r="B568" t="s">
        <v>347</v>
      </c>
      <c r="C568" t="s">
        <v>968</v>
      </c>
      <c r="D568" t="s">
        <v>10</v>
      </c>
      <c r="E568" t="s">
        <v>1701</v>
      </c>
      <c r="F568" t="s">
        <v>45</v>
      </c>
      <c r="G568" t="str">
        <f>HYPERLINK("https://twitter.com/2978272340/status/1284655718813974529")</f>
        <v>https://twitter.com/2978272340/status/1284655718813974529</v>
      </c>
      <c r="H568" t="s">
        <v>885</v>
      </c>
      <c r="I568" t="s">
        <v>2423</v>
      </c>
      <c r="J568" t="str">
        <f>HYPERLINK("http://twitter.com/Rasyog_Ayurved")</f>
        <v>http://twitter.com/Rasyog_Ayurved</v>
      </c>
      <c r="K568">
        <v>1</v>
      </c>
      <c r="N568" t="s">
        <v>54</v>
      </c>
      <c r="R568" t="s">
        <v>17</v>
      </c>
      <c r="S568" t="s">
        <v>1206</v>
      </c>
      <c r="T568" t="s">
        <v>1250</v>
      </c>
      <c r="U568" t="s">
        <v>2424</v>
      </c>
      <c r="W568">
        <v>36</v>
      </c>
      <c r="X568">
        <v>36</v>
      </c>
      <c r="AF568">
        <v>6</v>
      </c>
      <c r="AJ568" t="s">
        <v>10</v>
      </c>
      <c r="AK568" t="s">
        <v>21</v>
      </c>
      <c r="AL568" t="s">
        <v>3237</v>
      </c>
      <c r="AR568" t="s">
        <v>3243</v>
      </c>
      <c r="AT568" t="s">
        <v>3245</v>
      </c>
      <c r="AU568" t="s">
        <v>3246</v>
      </c>
      <c r="AV568" t="s">
        <v>3247</v>
      </c>
      <c r="AW568" t="s">
        <v>3248</v>
      </c>
      <c r="AX568" t="s">
        <v>3249</v>
      </c>
    </row>
    <row r="569" spans="1:52" x14ac:dyDescent="0.25">
      <c r="A569" t="s">
        <v>2684</v>
      </c>
      <c r="B569" t="s">
        <v>1077</v>
      </c>
      <c r="C569" t="s">
        <v>968</v>
      </c>
      <c r="D569" t="s">
        <v>10</v>
      </c>
      <c r="E569" t="s">
        <v>2731</v>
      </c>
      <c r="F569" t="s">
        <v>12</v>
      </c>
      <c r="G569" t="str">
        <f>HYPERLINK("https://www.facebook.com/astghik.brutyan/posts/1645644565590579")</f>
        <v>https://www.facebook.com/astghik.brutyan/posts/1645644565590579</v>
      </c>
      <c r="H569" t="s">
        <v>885</v>
      </c>
      <c r="I569" t="s">
        <v>2732</v>
      </c>
      <c r="J569" t="str">
        <f>HYPERLINK("https://www.facebook.com/100004351532729")</f>
        <v>https://www.facebook.com/100004351532729</v>
      </c>
      <c r="K569">
        <v>0</v>
      </c>
      <c r="L569" t="s">
        <v>80</v>
      </c>
      <c r="N569" t="s">
        <v>179</v>
      </c>
      <c r="O569" t="s">
        <v>2732</v>
      </c>
      <c r="P569" t="str">
        <f>HYPERLINK("https://www.facebook.com/100004351532729")</f>
        <v>https://www.facebook.com/100004351532729</v>
      </c>
      <c r="Q569">
        <v>0</v>
      </c>
      <c r="R569" t="s">
        <v>17</v>
      </c>
      <c r="S569" t="s">
        <v>2690</v>
      </c>
      <c r="T569" t="s">
        <v>2700</v>
      </c>
      <c r="U569" t="s">
        <v>2700</v>
      </c>
      <c r="W569">
        <v>0</v>
      </c>
      <c r="X569">
        <v>0</v>
      </c>
      <c r="Y569">
        <v>0</v>
      </c>
      <c r="Z569">
        <v>0</v>
      </c>
      <c r="AA569">
        <v>0</v>
      </c>
      <c r="AB569">
        <v>0</v>
      </c>
      <c r="AC569">
        <v>0</v>
      </c>
      <c r="AE569">
        <v>0</v>
      </c>
      <c r="AI569" t="str">
        <f>HYPERLINK("https://scontent-hel2-1.xx.fbcdn.net/v/t15.13418-10/107718255_3109660389083815_8825691245568026571_n.jpg?_nc_cat=108&amp;_nc_sid=ad6a45&amp;_nc_ohc=fyWVkB1ebcUAX9u0z2x&amp;_nc_ht=scontent-hel2-1.xx&amp;oh=0e6853b9373f7bcaa1eea0b79b770097&amp;oe=5F34D9DA")</f>
        <v>https://scontent-hel2-1.xx.fbcdn.net/v/t15.13418-10/107718255_3109660389083815_8825691245568026571_n.jpg?_nc_cat=108&amp;_nc_sid=ad6a45&amp;_nc_ohc=fyWVkB1ebcUAX9u0z2x&amp;_nc_ht=scontent-hel2-1.xx&amp;oh=0e6853b9373f7bcaa1eea0b79b770097&amp;oe=5F34D9DA</v>
      </c>
      <c r="AJ569" t="s">
        <v>10</v>
      </c>
      <c r="AK569" t="s">
        <v>21</v>
      </c>
      <c r="AL569" t="s">
        <v>3237</v>
      </c>
      <c r="AR569" t="s">
        <v>3243</v>
      </c>
      <c r="AT569" t="s">
        <v>3245</v>
      </c>
      <c r="AU569" t="s">
        <v>3246</v>
      </c>
      <c r="AV569" t="s">
        <v>3247</v>
      </c>
      <c r="AX569" t="s">
        <v>3249</v>
      </c>
    </row>
    <row r="570" spans="1:52" x14ac:dyDescent="0.25">
      <c r="A570" t="s">
        <v>2767</v>
      </c>
      <c r="B570" t="s">
        <v>2784</v>
      </c>
      <c r="C570" t="s">
        <v>968</v>
      </c>
      <c r="D570" t="s">
        <v>10</v>
      </c>
      <c r="E570" t="s">
        <v>2785</v>
      </c>
      <c r="F570" t="s">
        <v>45</v>
      </c>
      <c r="G570" t="str">
        <f>HYPERLINK("https://www.instagram.com/p/CClwKsLBY39")</f>
        <v>https://www.instagram.com/p/CClwKsLBY39</v>
      </c>
      <c r="H570" t="s">
        <v>889</v>
      </c>
      <c r="I570" t="s">
        <v>1476</v>
      </c>
      <c r="J570" t="str">
        <f>HYPERLINK("http://instagram.com/clinic_expert_kursk")</f>
        <v>http://instagram.com/clinic_expert_kursk</v>
      </c>
      <c r="K570">
        <v>1960</v>
      </c>
      <c r="N570" t="s">
        <v>69</v>
      </c>
      <c r="O570" t="s">
        <v>1476</v>
      </c>
      <c r="P570" t="str">
        <f>HYPERLINK("http://instagram.com/clinic_expert_kursk")</f>
        <v>http://instagram.com/clinic_expert_kursk</v>
      </c>
      <c r="Q570">
        <v>1960</v>
      </c>
      <c r="R570" t="s">
        <v>17</v>
      </c>
      <c r="S570" t="s">
        <v>18</v>
      </c>
      <c r="T570" t="s">
        <v>231</v>
      </c>
      <c r="U570" t="s">
        <v>232</v>
      </c>
      <c r="AI570" t="str">
        <f>HYPERLINK("https://www.instagram.com/p/CClwKsLBY39/media/?size=l")</f>
        <v>https://www.instagram.com/p/CClwKsLBY39/media/?size=l</v>
      </c>
      <c r="AJ570" t="s">
        <v>10</v>
      </c>
      <c r="AK570" t="s">
        <v>21</v>
      </c>
      <c r="AR570" t="s">
        <v>3243</v>
      </c>
      <c r="AV570" t="s">
        <v>3247</v>
      </c>
      <c r="AW570" t="s">
        <v>3248</v>
      </c>
    </row>
    <row r="571" spans="1:52" x14ac:dyDescent="0.25">
      <c r="A571" t="s">
        <v>1723</v>
      </c>
      <c r="B571" t="s">
        <v>1543</v>
      </c>
      <c r="C571" t="s">
        <v>984</v>
      </c>
      <c r="D571" t="s">
        <v>10</v>
      </c>
      <c r="E571" t="s">
        <v>1756</v>
      </c>
      <c r="F571" t="s">
        <v>45</v>
      </c>
      <c r="G571" t="str">
        <f>HYPERLINK("https://www.facebook.com/EdwardsCountyMedicalCenter/posts/3363249427028785")</f>
        <v>https://www.facebook.com/EdwardsCountyMedicalCenter/posts/3363249427028785</v>
      </c>
      <c r="H571" t="s">
        <v>885</v>
      </c>
      <c r="I571" t="s">
        <v>1757</v>
      </c>
      <c r="J571" t="str">
        <f>HYPERLINK("https://www.facebook.com/479412455412511")</f>
        <v>https://www.facebook.com/479412455412511</v>
      </c>
      <c r="K571">
        <v>1419</v>
      </c>
      <c r="L571" t="s">
        <v>28</v>
      </c>
      <c r="N571" t="s">
        <v>179</v>
      </c>
      <c r="O571" t="s">
        <v>1757</v>
      </c>
      <c r="P571" t="str">
        <f>HYPERLINK("https://www.facebook.com/479412455412511")</f>
        <v>https://www.facebook.com/479412455412511</v>
      </c>
      <c r="Q571">
        <v>1419</v>
      </c>
      <c r="R571" t="s">
        <v>17</v>
      </c>
      <c r="S571" t="s">
        <v>425</v>
      </c>
      <c r="T571" t="s">
        <v>1405</v>
      </c>
      <c r="U571" t="s">
        <v>1758</v>
      </c>
      <c r="W571">
        <v>2</v>
      </c>
      <c r="X571">
        <v>2</v>
      </c>
      <c r="Y571">
        <v>0</v>
      </c>
      <c r="Z571">
        <v>0</v>
      </c>
      <c r="AA571">
        <v>0</v>
      </c>
      <c r="AB571">
        <v>0</v>
      </c>
      <c r="AC571">
        <v>0</v>
      </c>
      <c r="AE571">
        <v>0</v>
      </c>
      <c r="AI571" t="str">
        <f>HYPERLINK("https://scontent-hel2-1.xx.fbcdn.net/v/t1.0-9/106933308_3363235930363468_1540023146281276257_o.png?_nc_cat=105&amp;_nc_sid=730e14&amp;_nc_ohc=ZRg95XsDXVwAX_1YHeL&amp;_nc_ht=scontent-hel2-1.xx&amp;oh=0b87c0c422f45e65a67944afea02b95c&amp;oe=5F4496CD")</f>
        <v>https://scontent-hel2-1.xx.fbcdn.net/v/t1.0-9/106933308_3363235930363468_1540023146281276257_o.png?_nc_cat=105&amp;_nc_sid=730e14&amp;_nc_ohc=ZRg95XsDXVwAX_1YHeL&amp;_nc_ht=scontent-hel2-1.xx&amp;oh=0b87c0c422f45e65a67944afea02b95c&amp;oe=5F4496CD</v>
      </c>
      <c r="AJ571" t="s">
        <v>10</v>
      </c>
      <c r="AK571" t="s">
        <v>21</v>
      </c>
      <c r="AR571" t="s">
        <v>3243</v>
      </c>
      <c r="AU571" t="s">
        <v>3246</v>
      </c>
    </row>
    <row r="572" spans="1:52" x14ac:dyDescent="0.25">
      <c r="A572" t="s">
        <v>1838</v>
      </c>
      <c r="B572" t="s">
        <v>1873</v>
      </c>
      <c r="C572" t="s">
        <v>984</v>
      </c>
      <c r="D572" t="s">
        <v>10</v>
      </c>
      <c r="E572" t="s">
        <v>1874</v>
      </c>
      <c r="F572" t="s">
        <v>45</v>
      </c>
      <c r="G572" t="str">
        <f>HYPERLINK("https://vk.com/wall-48669646_10223")</f>
        <v>https://vk.com/wall-48669646_10223</v>
      </c>
      <c r="H572" t="s">
        <v>885</v>
      </c>
      <c r="I572" t="s">
        <v>46</v>
      </c>
      <c r="J572" t="str">
        <f>HYPERLINK("http://vk.com/club48669646")</f>
        <v>http://vk.com/club48669646</v>
      </c>
      <c r="K572">
        <v>5795</v>
      </c>
      <c r="L572" t="s">
        <v>28</v>
      </c>
      <c r="N572" t="s">
        <v>16</v>
      </c>
      <c r="O572" t="s">
        <v>46</v>
      </c>
      <c r="P572" t="str">
        <f>HYPERLINK("http://vk.com/club48669646")</f>
        <v>http://vk.com/club48669646</v>
      </c>
      <c r="Q572">
        <v>5795</v>
      </c>
      <c r="R572" t="s">
        <v>17</v>
      </c>
      <c r="S572" t="s">
        <v>18</v>
      </c>
      <c r="W572">
        <v>0</v>
      </c>
      <c r="X572">
        <v>0</v>
      </c>
      <c r="AE572">
        <v>0</v>
      </c>
      <c r="AF572">
        <v>0</v>
      </c>
      <c r="AG572">
        <v>288</v>
      </c>
      <c r="AI572" t="str">
        <f>HYPERLINK("https://sun9-21.userapi.com/61566q4SLJZQCopRUwOMawFElTykJHrJQqrkug/XcLMalhtv2w.jpg")</f>
        <v>https://sun9-21.userapi.com/61566q4SLJZQCopRUwOMawFElTykJHrJQqrkug/XcLMalhtv2w.jpg</v>
      </c>
      <c r="AJ572" t="s">
        <v>10</v>
      </c>
      <c r="AK572" t="s">
        <v>21</v>
      </c>
      <c r="AS572" t="s">
        <v>3244</v>
      </c>
      <c r="AV572" t="s">
        <v>3247</v>
      </c>
      <c r="AX572" t="s">
        <v>3249</v>
      </c>
      <c r="AY572" t="s">
        <v>3250</v>
      </c>
      <c r="AZ572" t="s">
        <v>3251</v>
      </c>
    </row>
    <row r="573" spans="1:52" x14ac:dyDescent="0.25">
      <c r="A573" t="s">
        <v>1930</v>
      </c>
      <c r="B573" t="s">
        <v>860</v>
      </c>
      <c r="C573" t="s">
        <v>984</v>
      </c>
      <c r="D573" t="s">
        <v>10</v>
      </c>
      <c r="E573" t="s">
        <v>1946</v>
      </c>
      <c r="F573" t="s">
        <v>45</v>
      </c>
      <c r="G573" t="str">
        <f>HYPERLINK("https://www.instagram.com/p/CDHHpUIjqVP")</f>
        <v>https://www.instagram.com/p/CDHHpUIjqVP</v>
      </c>
      <c r="H573" t="s">
        <v>885</v>
      </c>
      <c r="I573" t="s">
        <v>1241</v>
      </c>
      <c r="J573" t="str">
        <f>HYPERLINK("http://instagram.com/dr.jdinkha")</f>
        <v>http://instagram.com/dr.jdinkha</v>
      </c>
      <c r="K573">
        <v>13350</v>
      </c>
      <c r="N573" t="s">
        <v>69</v>
      </c>
      <c r="O573" t="s">
        <v>1241</v>
      </c>
      <c r="P573" t="str">
        <f>HYPERLINK("http://instagram.com/dr.jdinkha")</f>
        <v>http://instagram.com/dr.jdinkha</v>
      </c>
      <c r="Q573">
        <v>13350</v>
      </c>
      <c r="R573" t="s">
        <v>17</v>
      </c>
      <c r="S573" t="s">
        <v>1242</v>
      </c>
      <c r="AI573" t="str">
        <f>HYPERLINK("https://www.instagram.com/p/CDHHpUIjqVP/media/?size=l")</f>
        <v>https://www.instagram.com/p/CDHHpUIjqVP/media/?size=l</v>
      </c>
      <c r="AJ573" t="s">
        <v>10</v>
      </c>
      <c r="AK573" t="s">
        <v>21</v>
      </c>
      <c r="AS573" t="s">
        <v>3244</v>
      </c>
      <c r="AY573" t="s">
        <v>3250</v>
      </c>
      <c r="AZ573" t="s">
        <v>3251</v>
      </c>
    </row>
    <row r="574" spans="1:52" x14ac:dyDescent="0.25">
      <c r="A574" t="s">
        <v>2193</v>
      </c>
      <c r="B574" t="s">
        <v>2006</v>
      </c>
      <c r="C574" t="s">
        <v>968</v>
      </c>
      <c r="D574" t="s">
        <v>10</v>
      </c>
      <c r="E574" t="s">
        <v>2214</v>
      </c>
      <c r="F574" t="s">
        <v>45</v>
      </c>
      <c r="G574" t="str">
        <f>HYPERLINK("https://vk.com/wall-48669646_10203")</f>
        <v>https://vk.com/wall-48669646_10203</v>
      </c>
      <c r="H574" t="s">
        <v>885</v>
      </c>
      <c r="I574" t="s">
        <v>46</v>
      </c>
      <c r="J574" t="str">
        <f>HYPERLINK("http://vk.com/club48669646")</f>
        <v>http://vk.com/club48669646</v>
      </c>
      <c r="K574">
        <v>5795</v>
      </c>
      <c r="L574" t="s">
        <v>28</v>
      </c>
      <c r="N574" t="s">
        <v>16</v>
      </c>
      <c r="O574" t="s">
        <v>46</v>
      </c>
      <c r="P574" t="str">
        <f>HYPERLINK("http://vk.com/club48669646")</f>
        <v>http://vk.com/club48669646</v>
      </c>
      <c r="Q574">
        <v>5795</v>
      </c>
      <c r="R574" t="s">
        <v>17</v>
      </c>
      <c r="S574" t="s">
        <v>18</v>
      </c>
      <c r="W574">
        <v>0</v>
      </c>
      <c r="X574">
        <v>0</v>
      </c>
      <c r="AE574">
        <v>0</v>
      </c>
      <c r="AF574">
        <v>0</v>
      </c>
      <c r="AG574">
        <v>315</v>
      </c>
      <c r="AI574" t="str">
        <f>HYPERLINK("https://sun9-75.userapi.com/oHHMi7uA8694NtgTGjtQHRTTZ1AaHUJI2l2CjQ/ZLf310T0gRc.jpg")</f>
        <v>https://sun9-75.userapi.com/oHHMi7uA8694NtgTGjtQHRTTZ1AaHUJI2l2CjQ/ZLf310T0gRc.jpg</v>
      </c>
      <c r="AJ574" t="s">
        <v>10</v>
      </c>
      <c r="AK574" t="s">
        <v>21</v>
      </c>
      <c r="AN574" t="s">
        <v>3239</v>
      </c>
      <c r="AS574" t="s">
        <v>3244</v>
      </c>
      <c r="AU574" t="s">
        <v>3246</v>
      </c>
      <c r="AW574" t="s">
        <v>3248</v>
      </c>
      <c r="AZ574" t="s">
        <v>3251</v>
      </c>
    </row>
    <row r="575" spans="1:52" x14ac:dyDescent="0.25">
      <c r="A575" t="s">
        <v>1225</v>
      </c>
      <c r="B575" t="s">
        <v>1245</v>
      </c>
      <c r="C575" t="s">
        <v>1246</v>
      </c>
      <c r="D575" t="s">
        <v>1247</v>
      </c>
      <c r="E575" t="s">
        <v>1248</v>
      </c>
      <c r="F575" t="s">
        <v>45</v>
      </c>
      <c r="G575" t="str">
        <f>HYPERLINK("https://www.google.com/maps/reviews/data=!4m5!14m4!1m3!1m2!1s110992401929784170600!2s0x0:0x6d6b3fae46126501?hl=en-NL")</f>
        <v>https://www.google.com/maps/reviews/data=!4m5!14m4!1m3!1m2!1s110992401929784170600!2s0x0:0x6d6b3fae46126501?hl=en-NL</v>
      </c>
      <c r="H575" t="s">
        <v>13</v>
      </c>
      <c r="I575" t="s">
        <v>1249</v>
      </c>
      <c r="J575" t="str">
        <f>HYPERLINK("https://maps.google.com/maps/contrib/110992401929784170600")</f>
        <v>https://maps.google.com/maps/contrib/110992401929784170600</v>
      </c>
      <c r="L575" t="s">
        <v>15</v>
      </c>
      <c r="N575" t="s">
        <v>615</v>
      </c>
      <c r="O575" t="s">
        <v>1247</v>
      </c>
      <c r="P575" t="str">
        <f>HYPERLINK("https://maps.google.com/maps/place/data=!3m1!4b1!4m5!3m4!1s0x0:0x6d6b3fae46126501!8m2!3d19.244750!4d73.142940")</f>
        <v>https://maps.google.com/maps/place/data=!3m1!4b1!4m5!3m4!1s0x0:0x6d6b3fae46126501!8m2!3d19.244750!4d73.142940</v>
      </c>
      <c r="R575" t="s">
        <v>616</v>
      </c>
      <c r="S575" t="s">
        <v>1206</v>
      </c>
      <c r="T575" t="s">
        <v>1250</v>
      </c>
      <c r="U575" t="s">
        <v>1251</v>
      </c>
      <c r="W575">
        <v>2</v>
      </c>
      <c r="X575">
        <v>2</v>
      </c>
      <c r="AH575">
        <v>5</v>
      </c>
      <c r="AJ575" t="s">
        <v>10</v>
      </c>
      <c r="AK575" t="s">
        <v>21</v>
      </c>
      <c r="AN575" t="s">
        <v>3239</v>
      </c>
      <c r="AO575" t="s">
        <v>3240</v>
      </c>
      <c r="AS575" t="s">
        <v>3244</v>
      </c>
      <c r="AT575" t="s">
        <v>3245</v>
      </c>
      <c r="AW575" t="s">
        <v>3248</v>
      </c>
      <c r="AZ575" t="s">
        <v>3251</v>
      </c>
    </row>
    <row r="576" spans="1:52" x14ac:dyDescent="0.25">
      <c r="A576" t="s">
        <v>1352</v>
      </c>
      <c r="B576" t="s">
        <v>1363</v>
      </c>
      <c r="C576" t="s">
        <v>984</v>
      </c>
      <c r="D576" t="s">
        <v>10</v>
      </c>
      <c r="E576" t="s">
        <v>1364</v>
      </c>
      <c r="F576" t="s">
        <v>26</v>
      </c>
      <c r="G576" t="str">
        <f>HYPERLINK("https://twitter.com/1217558319851655169/status/1289960910400839682")</f>
        <v>https://twitter.com/1217558319851655169/status/1289960910400839682</v>
      </c>
      <c r="H576" t="s">
        <v>885</v>
      </c>
      <c r="I576" t="s">
        <v>1365</v>
      </c>
      <c r="J576" t="str">
        <f>HYPERLINK("http://twitter.com/AslagVan")</f>
        <v>http://twitter.com/AslagVan</v>
      </c>
      <c r="K576">
        <v>129</v>
      </c>
      <c r="N576" t="s">
        <v>54</v>
      </c>
      <c r="R576" t="s">
        <v>17</v>
      </c>
      <c r="S576" t="s">
        <v>425</v>
      </c>
      <c r="W576">
        <v>2</v>
      </c>
      <c r="X576">
        <v>2</v>
      </c>
      <c r="AF576">
        <v>0</v>
      </c>
      <c r="AJ576" t="s">
        <v>10</v>
      </c>
      <c r="AK576" t="s">
        <v>21</v>
      </c>
      <c r="AS576" t="s">
        <v>3244</v>
      </c>
    </row>
    <row r="577" spans="1:52" x14ac:dyDescent="0.25">
      <c r="A577" t="s">
        <v>1352</v>
      </c>
      <c r="B577" t="s">
        <v>1399</v>
      </c>
      <c r="C577" t="s">
        <v>984</v>
      </c>
      <c r="D577" t="s">
        <v>10</v>
      </c>
      <c r="E577" t="s">
        <v>1403</v>
      </c>
      <c r="F577" t="s">
        <v>45</v>
      </c>
      <c r="G577" t="str">
        <f>HYPERLINK("https://twitter.com/23767845/status/1289863678985084930")</f>
        <v>https://twitter.com/23767845/status/1289863678985084930</v>
      </c>
      <c r="H577" t="s">
        <v>885</v>
      </c>
      <c r="I577" t="s">
        <v>1404</v>
      </c>
      <c r="J577" t="str">
        <f>HYPERLINK("http://twitter.com/Beauty_Bible")</f>
        <v>http://twitter.com/Beauty_Bible</v>
      </c>
      <c r="K577">
        <v>13053</v>
      </c>
      <c r="N577" t="s">
        <v>54</v>
      </c>
      <c r="R577" t="s">
        <v>17</v>
      </c>
      <c r="S577" t="s">
        <v>425</v>
      </c>
      <c r="T577" t="s">
        <v>1405</v>
      </c>
      <c r="U577" t="s">
        <v>1406</v>
      </c>
      <c r="W577">
        <v>2</v>
      </c>
      <c r="X577">
        <v>2</v>
      </c>
      <c r="AF577">
        <v>0</v>
      </c>
      <c r="AJ577" t="s">
        <v>10</v>
      </c>
      <c r="AK577" t="s">
        <v>21</v>
      </c>
      <c r="AS577" t="s">
        <v>3244</v>
      </c>
      <c r="AT577" t="s">
        <v>3245</v>
      </c>
      <c r="AV577" t="s">
        <v>3247</v>
      </c>
      <c r="AY577" t="s">
        <v>3250</v>
      </c>
      <c r="AZ577" t="s">
        <v>3251</v>
      </c>
    </row>
    <row r="578" spans="1:52" x14ac:dyDescent="0.25">
      <c r="A578" t="s">
        <v>1723</v>
      </c>
      <c r="B578" t="s">
        <v>1735</v>
      </c>
      <c r="C578" t="s">
        <v>984</v>
      </c>
      <c r="D578" t="s">
        <v>1736</v>
      </c>
      <c r="E578" t="s">
        <v>1737</v>
      </c>
      <c r="F578" t="s">
        <v>45</v>
      </c>
      <c r="G578" t="str">
        <f>HYPERLINK("https://www.youtube.com/watch?v=lEX6uIwEdAU")</f>
        <v>https://www.youtube.com/watch?v=lEX6uIwEdAU</v>
      </c>
      <c r="H578" t="s">
        <v>885</v>
      </c>
      <c r="I578" t="s">
        <v>1417</v>
      </c>
      <c r="J578" t="str">
        <f>HYPERLINK("https://www.youtube.com/channel/UCgWzxf09OkFTERutHdZTQdg")</f>
        <v>https://www.youtube.com/channel/UCgWzxf09OkFTERutHdZTQdg</v>
      </c>
      <c r="K578">
        <v>224</v>
      </c>
      <c r="N578" t="s">
        <v>162</v>
      </c>
      <c r="O578" t="s">
        <v>1417</v>
      </c>
      <c r="P578" t="str">
        <f>HYPERLINK("https://www.youtube.com/channel/UCgWzxf09OkFTERutHdZTQdg")</f>
        <v>https://www.youtube.com/channel/UCgWzxf09OkFTERutHdZTQdg</v>
      </c>
      <c r="Q578">
        <v>224</v>
      </c>
      <c r="R578" t="s">
        <v>17</v>
      </c>
      <c r="W578">
        <v>0</v>
      </c>
      <c r="X578">
        <v>0</v>
      </c>
      <c r="AD578">
        <v>0</v>
      </c>
      <c r="AE578">
        <v>0</v>
      </c>
      <c r="AG578">
        <v>28</v>
      </c>
      <c r="AI578" t="str">
        <f>HYPERLINK("https://i.ytimg.com/vi/lEX6uIwEdAU/sddefault.jpg")</f>
        <v>https://i.ytimg.com/vi/lEX6uIwEdAU/sddefault.jpg</v>
      </c>
      <c r="AJ578" t="s">
        <v>10</v>
      </c>
      <c r="AK578" t="s">
        <v>21</v>
      </c>
      <c r="AO578" t="s">
        <v>3240</v>
      </c>
      <c r="AS578" t="s">
        <v>3244</v>
      </c>
      <c r="AT578" t="s">
        <v>3245</v>
      </c>
      <c r="AU578" t="s">
        <v>3246</v>
      </c>
      <c r="AV578" t="s">
        <v>3247</v>
      </c>
      <c r="AY578" t="s">
        <v>3250</v>
      </c>
      <c r="AZ578" t="s">
        <v>3251</v>
      </c>
    </row>
    <row r="579" spans="1:52" x14ac:dyDescent="0.25">
      <c r="A579" t="s">
        <v>2767</v>
      </c>
      <c r="B579" t="s">
        <v>2771</v>
      </c>
      <c r="C579" t="s">
        <v>968</v>
      </c>
      <c r="D579" t="s">
        <v>2772</v>
      </c>
      <c r="E579" t="s">
        <v>2773</v>
      </c>
      <c r="F579" t="s">
        <v>26</v>
      </c>
      <c r="G579" t="str">
        <f>HYPERLINK("https://vk.com/wall-158881136_496654?reply=496661")</f>
        <v>https://vk.com/wall-158881136_496654?reply=496661</v>
      </c>
      <c r="H579" t="s">
        <v>889</v>
      </c>
      <c r="I579" t="s">
        <v>2774</v>
      </c>
      <c r="J579" t="str">
        <f>HYPERLINK("http://vk.com/id153875882")</f>
        <v>http://vk.com/id153875882</v>
      </c>
      <c r="K579">
        <v>1903</v>
      </c>
      <c r="L579" t="s">
        <v>80</v>
      </c>
      <c r="M579">
        <v>25</v>
      </c>
      <c r="N579" t="s">
        <v>16</v>
      </c>
      <c r="O579" t="s">
        <v>2775</v>
      </c>
      <c r="P579" t="str">
        <f>HYPERLINK("http://vk.com/club158881136")</f>
        <v>http://vk.com/club158881136</v>
      </c>
      <c r="Q579">
        <v>7779</v>
      </c>
      <c r="R579" t="s">
        <v>17</v>
      </c>
      <c r="S579" t="s">
        <v>18</v>
      </c>
      <c r="T579" t="s">
        <v>1015</v>
      </c>
      <c r="U579" t="s">
        <v>2728</v>
      </c>
      <c r="AJ579" t="s">
        <v>10</v>
      </c>
      <c r="AK579" t="s">
        <v>21</v>
      </c>
      <c r="AS579" t="s">
        <v>3244</v>
      </c>
      <c r="AY579" t="s">
        <v>3250</v>
      </c>
    </row>
    <row r="580" spans="1:52" x14ac:dyDescent="0.25">
      <c r="A580" t="s">
        <v>7</v>
      </c>
      <c r="B580" t="s">
        <v>166</v>
      </c>
      <c r="C580" t="s">
        <v>167</v>
      </c>
      <c r="D580" t="s">
        <v>10</v>
      </c>
      <c r="E580" t="s">
        <v>168</v>
      </c>
      <c r="F580" t="s">
        <v>45</v>
      </c>
      <c r="G580" t="str">
        <f>HYPERLINK("https://vk.com/wall-123391890_35771")</f>
        <v>https://vk.com/wall-123391890_35771</v>
      </c>
      <c r="H580" t="s">
        <v>13</v>
      </c>
      <c r="I580" t="s">
        <v>169</v>
      </c>
      <c r="J580" t="str">
        <f>HYPERLINK("http://vk.com/club123391890")</f>
        <v>http://vk.com/club123391890</v>
      </c>
      <c r="K580">
        <v>10951</v>
      </c>
      <c r="L580" t="s">
        <v>28</v>
      </c>
      <c r="N580" t="s">
        <v>16</v>
      </c>
      <c r="O580" t="s">
        <v>169</v>
      </c>
      <c r="P580" t="str">
        <f>HYPERLINK("http://vk.com/club123391890")</f>
        <v>http://vk.com/club123391890</v>
      </c>
      <c r="Q580">
        <v>10951</v>
      </c>
      <c r="R580" t="s">
        <v>17</v>
      </c>
      <c r="S580" t="s">
        <v>18</v>
      </c>
      <c r="T580" t="s">
        <v>19</v>
      </c>
      <c r="U580" t="s">
        <v>170</v>
      </c>
      <c r="W580">
        <v>4</v>
      </c>
      <c r="X580">
        <v>4</v>
      </c>
      <c r="AE580">
        <v>0</v>
      </c>
      <c r="AF580">
        <v>0</v>
      </c>
      <c r="AG580">
        <v>1100</v>
      </c>
      <c r="AI580" t="str">
        <f>HYPERLINK("https://sun9-75.userapi.com/V0arJVIsiTCRre8LYseNfcaUFWSpX8V5d1RhJw/v2_R5agoD8U.jpg")</f>
        <v>https://sun9-75.userapi.com/V0arJVIsiTCRre8LYseNfcaUFWSpX8V5d1RhJw/v2_R5agoD8U.jpg</v>
      </c>
      <c r="AJ580" t="s">
        <v>10</v>
      </c>
      <c r="AK580" t="s">
        <v>21</v>
      </c>
      <c r="AM580" t="s">
        <v>3238</v>
      </c>
      <c r="AS580" t="s">
        <v>3244</v>
      </c>
      <c r="AU580" t="s">
        <v>3246</v>
      </c>
      <c r="AW580" t="s">
        <v>3248</v>
      </c>
    </row>
    <row r="581" spans="1:52" x14ac:dyDescent="0.25">
      <c r="A581" t="s">
        <v>7</v>
      </c>
      <c r="B581" t="s">
        <v>394</v>
      </c>
      <c r="C581" t="s">
        <v>396</v>
      </c>
      <c r="D581" t="s">
        <v>24</v>
      </c>
      <c r="E581" t="s">
        <v>389</v>
      </c>
      <c r="F581" t="s">
        <v>26</v>
      </c>
      <c r="G581" t="str">
        <f>HYPERLINK("https://vk.com/wall-197114981_31?reply=1292&amp;thread=1291")</f>
        <v>https://vk.com/wall-197114981_31?reply=1292&amp;thread=1291</v>
      </c>
      <c r="H581" t="s">
        <v>13</v>
      </c>
      <c r="I581" t="s">
        <v>27</v>
      </c>
      <c r="J581" t="str">
        <f>HYPERLINK("http://vk.com/club197114981")</f>
        <v>http://vk.com/club197114981</v>
      </c>
      <c r="K581">
        <v>38</v>
      </c>
      <c r="L581" t="s">
        <v>28</v>
      </c>
      <c r="N581" t="s">
        <v>16</v>
      </c>
      <c r="O581" t="s">
        <v>27</v>
      </c>
      <c r="P581" t="str">
        <f>HYPERLINK("http://vk.com/club197114981")</f>
        <v>http://vk.com/club197114981</v>
      </c>
      <c r="Q581">
        <v>38</v>
      </c>
      <c r="R581" t="s">
        <v>17</v>
      </c>
      <c r="AJ581" t="s">
        <v>10</v>
      </c>
      <c r="AK581" t="s">
        <v>21</v>
      </c>
      <c r="AS581" t="s">
        <v>3244</v>
      </c>
      <c r="AT581" t="s">
        <v>3245</v>
      </c>
      <c r="AW581" t="s">
        <v>3248</v>
      </c>
      <c r="AX581" t="s">
        <v>3249</v>
      </c>
      <c r="AY581" t="s">
        <v>3250</v>
      </c>
      <c r="AZ581" t="s">
        <v>3251</v>
      </c>
    </row>
    <row r="582" spans="1:52" x14ac:dyDescent="0.25">
      <c r="A582" t="s">
        <v>414</v>
      </c>
      <c r="B582" t="s">
        <v>650</v>
      </c>
      <c r="C582" t="s">
        <v>651</v>
      </c>
      <c r="D582" t="s">
        <v>24</v>
      </c>
      <c r="E582" t="s">
        <v>653</v>
      </c>
      <c r="F582" t="s">
        <v>26</v>
      </c>
      <c r="G582" t="str">
        <f>HYPERLINK("https://vk.com/wall-197114981_31?reply=1198&amp;thread=1098")</f>
        <v>https://vk.com/wall-197114981_31?reply=1198&amp;thread=1098</v>
      </c>
      <c r="H582" t="s">
        <v>13</v>
      </c>
      <c r="I582" t="s">
        <v>489</v>
      </c>
      <c r="J582" t="str">
        <f>HYPERLINK("http://vk.com/id565363508")</f>
        <v>http://vk.com/id565363508</v>
      </c>
      <c r="K582">
        <v>140</v>
      </c>
      <c r="L582" t="s">
        <v>80</v>
      </c>
      <c r="N582" t="s">
        <v>16</v>
      </c>
      <c r="O582" t="s">
        <v>27</v>
      </c>
      <c r="P582" t="str">
        <f>HYPERLINK("http://vk.com/club197114981")</f>
        <v>http://vk.com/club197114981</v>
      </c>
      <c r="Q582">
        <v>38</v>
      </c>
      <c r="R582" t="s">
        <v>17</v>
      </c>
      <c r="S582" t="s">
        <v>18</v>
      </c>
      <c r="T582" t="s">
        <v>231</v>
      </c>
      <c r="U582" t="s">
        <v>232</v>
      </c>
      <c r="AJ582" t="s">
        <v>10</v>
      </c>
      <c r="AK582" t="s">
        <v>21</v>
      </c>
      <c r="AS582" t="s">
        <v>3244</v>
      </c>
      <c r="AW582" t="s">
        <v>3248</v>
      </c>
      <c r="AZ582" t="s">
        <v>3251</v>
      </c>
    </row>
    <row r="583" spans="1:52" x14ac:dyDescent="0.25">
      <c r="A583" t="s">
        <v>1017</v>
      </c>
      <c r="B583" t="s">
        <v>1022</v>
      </c>
      <c r="C583" t="s">
        <v>984</v>
      </c>
      <c r="D583" t="s">
        <v>10</v>
      </c>
      <c r="E583" t="s">
        <v>1023</v>
      </c>
      <c r="F583" t="s">
        <v>12</v>
      </c>
      <c r="G583" t="str">
        <f>HYPERLINK("https://vk.com/wall141293719_1671")</f>
        <v>https://vk.com/wall141293719_1671</v>
      </c>
      <c r="H583" t="s">
        <v>885</v>
      </c>
      <c r="I583" t="s">
        <v>1024</v>
      </c>
      <c r="J583" t="str">
        <f>HYPERLINK("http://vk.com/id141293719")</f>
        <v>http://vk.com/id141293719</v>
      </c>
      <c r="K583">
        <v>496</v>
      </c>
      <c r="L583" t="s">
        <v>80</v>
      </c>
      <c r="N583" t="s">
        <v>16</v>
      </c>
      <c r="O583" t="s">
        <v>1024</v>
      </c>
      <c r="P583" t="str">
        <f>HYPERLINK("http://vk.com/id141293719")</f>
        <v>http://vk.com/id141293719</v>
      </c>
      <c r="Q583">
        <v>496</v>
      </c>
      <c r="R583" t="s">
        <v>17</v>
      </c>
      <c r="S583" t="s">
        <v>18</v>
      </c>
      <c r="T583" t="s">
        <v>1015</v>
      </c>
      <c r="U583" t="s">
        <v>1016</v>
      </c>
      <c r="W583">
        <v>2</v>
      </c>
      <c r="X583">
        <v>2</v>
      </c>
      <c r="AE583">
        <v>0</v>
      </c>
      <c r="AF583">
        <v>0</v>
      </c>
      <c r="AG583">
        <v>21</v>
      </c>
      <c r="AI583" t="str">
        <f>HYPERLINK("https://sun2-3.userapi.com/opX5IBLF-1siB9r08EeJTIZVQxHvWWloJijsSg/YVPQrsHFC90.jpg")</f>
        <v>https://sun2-3.userapi.com/opX5IBLF-1siB9r08EeJTIZVQxHvWWloJijsSg/YVPQrsHFC90.jpg</v>
      </c>
      <c r="AJ583" t="s">
        <v>10</v>
      </c>
      <c r="AK583" t="s">
        <v>21</v>
      </c>
      <c r="AL583" t="s">
        <v>3237</v>
      </c>
      <c r="AS583" t="s">
        <v>3244</v>
      </c>
      <c r="AT583" t="s">
        <v>3245</v>
      </c>
    </row>
    <row r="584" spans="1:52" x14ac:dyDescent="0.25">
      <c r="A584" t="s">
        <v>1930</v>
      </c>
      <c r="B584" t="s">
        <v>1958</v>
      </c>
      <c r="C584" t="s">
        <v>984</v>
      </c>
      <c r="D584" t="s">
        <v>1959</v>
      </c>
      <c r="E584" t="s">
        <v>1960</v>
      </c>
      <c r="F584" t="s">
        <v>26</v>
      </c>
      <c r="G584" t="str">
        <f>HYPERLINK("https://www.facebook.com/permalink.php?story_fbid=2626249161024079&amp;id=100009170625998&amp;comment_id=2626285047687157&amp;reply_comment_id=2628308037484858")</f>
        <v>https://www.facebook.com/permalink.php?story_fbid=2626249161024079&amp;id=100009170625998&amp;comment_id=2626285047687157&amp;reply_comment_id=2628308037484858</v>
      </c>
      <c r="H584" t="s">
        <v>885</v>
      </c>
      <c r="I584" t="s">
        <v>1014</v>
      </c>
      <c r="J584" t="str">
        <f>HYPERLINK("https://www.facebook.com/100002567463651")</f>
        <v>https://www.facebook.com/100002567463651</v>
      </c>
      <c r="K584">
        <v>4994</v>
      </c>
      <c r="L584" t="s">
        <v>80</v>
      </c>
      <c r="N584" t="s">
        <v>179</v>
      </c>
      <c r="O584" t="s">
        <v>1961</v>
      </c>
      <c r="P584" t="str">
        <f>HYPERLINK("https://www.facebook.com/100009170625998")</f>
        <v>https://www.facebook.com/100009170625998</v>
      </c>
      <c r="Q584">
        <v>759</v>
      </c>
      <c r="R584" t="s">
        <v>17</v>
      </c>
      <c r="S584" t="s">
        <v>18</v>
      </c>
      <c r="T584" t="s">
        <v>1015</v>
      </c>
      <c r="U584" t="s">
        <v>1016</v>
      </c>
      <c r="AJ584" t="s">
        <v>10</v>
      </c>
      <c r="AK584" t="s">
        <v>21</v>
      </c>
      <c r="AS584" t="s">
        <v>3244</v>
      </c>
      <c r="AU584" t="s">
        <v>3246</v>
      </c>
      <c r="AV584" t="s">
        <v>3247</v>
      </c>
      <c r="AW584" t="s">
        <v>3248</v>
      </c>
      <c r="AY584" t="s">
        <v>3250</v>
      </c>
    </row>
    <row r="585" spans="1:52" x14ac:dyDescent="0.25">
      <c r="A585" t="s">
        <v>1930</v>
      </c>
      <c r="B585" t="s">
        <v>676</v>
      </c>
      <c r="C585" t="s">
        <v>984</v>
      </c>
      <c r="D585" t="s">
        <v>10</v>
      </c>
      <c r="E585" t="s">
        <v>1969</v>
      </c>
      <c r="F585" t="s">
        <v>45</v>
      </c>
      <c r="G585" t="str">
        <f>HYPERLINK("https://www.instagram.com/p/CDGJ18nBm-u")</f>
        <v>https://www.instagram.com/p/CDGJ18nBm-u</v>
      </c>
      <c r="H585" t="s">
        <v>885</v>
      </c>
      <c r="I585" t="s">
        <v>1970</v>
      </c>
      <c r="J585" t="str">
        <f>HYPERLINK("http://instagram.com/drmeerahomoeo_clinic")</f>
        <v>http://instagram.com/drmeerahomoeo_clinic</v>
      </c>
      <c r="K585">
        <v>12</v>
      </c>
      <c r="N585" t="s">
        <v>69</v>
      </c>
      <c r="O585" t="s">
        <v>1970</v>
      </c>
      <c r="P585" t="str">
        <f>HYPERLINK("http://instagram.com/drmeerahomoeo_clinic")</f>
        <v>http://instagram.com/drmeerahomoeo_clinic</v>
      </c>
      <c r="Q585">
        <v>12</v>
      </c>
      <c r="R585" t="s">
        <v>17</v>
      </c>
      <c r="S585" t="s">
        <v>1206</v>
      </c>
      <c r="T585" t="s">
        <v>1971</v>
      </c>
      <c r="U585" t="s">
        <v>1971</v>
      </c>
      <c r="AI585" t="str">
        <f>HYPERLINK("https://www.instagram.com/p/CDGJ18nBm-u/media/?size=l")</f>
        <v>https://www.instagram.com/p/CDGJ18nBm-u/media/?size=l</v>
      </c>
      <c r="AJ585" t="s">
        <v>10</v>
      </c>
      <c r="AK585" t="s">
        <v>21</v>
      </c>
      <c r="AS585" t="s">
        <v>3244</v>
      </c>
      <c r="AT585" t="s">
        <v>3245</v>
      </c>
      <c r="AU585" t="s">
        <v>3246</v>
      </c>
      <c r="AV585" t="s">
        <v>3247</v>
      </c>
      <c r="AY585" t="s">
        <v>3250</v>
      </c>
    </row>
    <row r="586" spans="1:52" x14ac:dyDescent="0.25">
      <c r="A586" t="s">
        <v>2589</v>
      </c>
      <c r="B586" t="s">
        <v>2645</v>
      </c>
      <c r="C586" t="s">
        <v>968</v>
      </c>
      <c r="D586" t="s">
        <v>10</v>
      </c>
      <c r="E586" t="s">
        <v>2646</v>
      </c>
      <c r="F586" t="s">
        <v>45</v>
      </c>
      <c r="G586" t="str">
        <f>HYPERLINK("https://www.instagram.com/p/CCqACnUATXx")</f>
        <v>https://www.instagram.com/p/CCqACnUATXx</v>
      </c>
      <c r="H586" t="s">
        <v>885</v>
      </c>
      <c r="I586" t="s">
        <v>1269</v>
      </c>
      <c r="J586" t="str">
        <f>HYPERLINK("http://instagram.com/naradaclinic")</f>
        <v>http://instagram.com/naradaclinic</v>
      </c>
      <c r="K586">
        <v>633</v>
      </c>
      <c r="N586" t="s">
        <v>69</v>
      </c>
      <c r="O586" t="s">
        <v>1269</v>
      </c>
      <c r="P586" t="str">
        <f>HYPERLINK("http://instagram.com/naradaclinic")</f>
        <v>http://instagram.com/naradaclinic</v>
      </c>
      <c r="Q586">
        <v>633</v>
      </c>
      <c r="R586" t="s">
        <v>17</v>
      </c>
      <c r="S586" t="s">
        <v>281</v>
      </c>
      <c r="T586" t="s">
        <v>282</v>
      </c>
      <c r="U586" t="s">
        <v>282</v>
      </c>
      <c r="AI586" t="str">
        <f>HYPERLINK("https://www.instagram.com/p/CCqACnUATXx/media/?size=l")</f>
        <v>https://www.instagram.com/p/CCqACnUATXx/media/?size=l</v>
      </c>
      <c r="AJ586" t="s">
        <v>10</v>
      </c>
      <c r="AK586" t="s">
        <v>21</v>
      </c>
      <c r="AS586" t="s">
        <v>3244</v>
      </c>
      <c r="AU586" t="s">
        <v>3246</v>
      </c>
      <c r="AV586" t="s">
        <v>3247</v>
      </c>
      <c r="AW586" t="s">
        <v>3248</v>
      </c>
      <c r="AX586" t="s">
        <v>3249</v>
      </c>
      <c r="AY586" t="s">
        <v>3250</v>
      </c>
    </row>
    <row r="587" spans="1:52" x14ac:dyDescent="0.25">
      <c r="A587" t="s">
        <v>772</v>
      </c>
      <c r="B587" t="s">
        <v>995</v>
      </c>
      <c r="C587" t="s">
        <v>984</v>
      </c>
      <c r="D587" t="s">
        <v>10</v>
      </c>
      <c r="E587" t="s">
        <v>1002</v>
      </c>
      <c r="F587" t="s">
        <v>45</v>
      </c>
      <c r="G587" t="str">
        <f>HYPERLINK("https://www.instagram.com/p/CDnqEcLB6yP")</f>
        <v>https://www.instagram.com/p/CDnqEcLB6yP</v>
      </c>
      <c r="H587" t="s">
        <v>885</v>
      </c>
      <c r="I587" t="s">
        <v>998</v>
      </c>
      <c r="J587" t="str">
        <f>HYPERLINK("http://instagram.com/lightfallsclinic")</f>
        <v>http://instagram.com/lightfallsclinic</v>
      </c>
      <c r="K587">
        <v>2282</v>
      </c>
      <c r="L587" t="s">
        <v>28</v>
      </c>
      <c r="N587" t="s">
        <v>69</v>
      </c>
      <c r="O587" t="s">
        <v>998</v>
      </c>
      <c r="P587" t="str">
        <f>HYPERLINK("http://instagram.com/lightfallsclinic")</f>
        <v>http://instagram.com/lightfallsclinic</v>
      </c>
      <c r="Q587">
        <v>2282</v>
      </c>
      <c r="R587" t="s">
        <v>17</v>
      </c>
      <c r="S587" t="s">
        <v>999</v>
      </c>
      <c r="T587" t="s">
        <v>1000</v>
      </c>
      <c r="U587" t="s">
        <v>1003</v>
      </c>
      <c r="W587">
        <v>39</v>
      </c>
      <c r="X587">
        <v>39</v>
      </c>
      <c r="AE587">
        <v>5</v>
      </c>
      <c r="AI587" t="str">
        <f>HYPERLINK("https://www.instagram.com/p/CDnqEcLB6yP/media/?size=l")</f>
        <v>https://www.instagram.com/p/CDnqEcLB6yP/media/?size=l</v>
      </c>
      <c r="AJ587" t="s">
        <v>10</v>
      </c>
      <c r="AK587" t="s">
        <v>21</v>
      </c>
      <c r="AS587" t="s">
        <v>3244</v>
      </c>
      <c r="AV587" t="s">
        <v>3247</v>
      </c>
      <c r="AW587" t="s">
        <v>3248</v>
      </c>
    </row>
    <row r="588" spans="1:52" x14ac:dyDescent="0.25">
      <c r="A588" t="s">
        <v>1122</v>
      </c>
      <c r="B588" t="s">
        <v>1135</v>
      </c>
      <c r="C588" t="s">
        <v>984</v>
      </c>
      <c r="D588" t="s">
        <v>10</v>
      </c>
      <c r="E588" t="s">
        <v>1136</v>
      </c>
      <c r="F588" t="s">
        <v>45</v>
      </c>
      <c r="G588" t="str">
        <f>HYPERLINK("https://vk.com/wall2476928_9110")</f>
        <v>https://vk.com/wall2476928_9110</v>
      </c>
      <c r="H588" t="s">
        <v>885</v>
      </c>
      <c r="I588" t="s">
        <v>1137</v>
      </c>
      <c r="J588" t="str">
        <f>HYPERLINK("http://vk.com/id2476928")</f>
        <v>http://vk.com/id2476928</v>
      </c>
      <c r="K588">
        <v>2443</v>
      </c>
      <c r="L588" t="s">
        <v>80</v>
      </c>
      <c r="M588">
        <v>28</v>
      </c>
      <c r="N588" t="s">
        <v>16</v>
      </c>
      <c r="O588" t="s">
        <v>1137</v>
      </c>
      <c r="P588" t="str">
        <f>HYPERLINK("http://vk.com/id2476928")</f>
        <v>http://vk.com/id2476928</v>
      </c>
      <c r="Q588">
        <v>2443</v>
      </c>
      <c r="R588" t="s">
        <v>17</v>
      </c>
      <c r="S588" t="s">
        <v>18</v>
      </c>
      <c r="T588" t="s">
        <v>231</v>
      </c>
      <c r="U588" t="s">
        <v>232</v>
      </c>
      <c r="W588">
        <v>5</v>
      </c>
      <c r="X588">
        <v>5</v>
      </c>
      <c r="AE588">
        <v>0</v>
      </c>
      <c r="AF588">
        <v>1</v>
      </c>
      <c r="AG588">
        <v>260</v>
      </c>
      <c r="AI588" t="str">
        <f>HYPERLINK("https://sun6-14.userapi.com/WQuK-Yb5q0q6qMWuTKsEB5zp79fqF_SV8b3Q6w/MI3TczarKOc.jpg")</f>
        <v>https://sun6-14.userapi.com/WQuK-Yb5q0q6qMWuTKsEB5zp79fqF_SV8b3Q6w/MI3TczarKOc.jpg</v>
      </c>
      <c r="AJ588" t="s">
        <v>10</v>
      </c>
      <c r="AK588" t="s">
        <v>21</v>
      </c>
      <c r="AS588" t="s">
        <v>3244</v>
      </c>
    </row>
    <row r="589" spans="1:52" x14ac:dyDescent="0.25">
      <c r="A589" t="s">
        <v>1158</v>
      </c>
      <c r="B589" t="s">
        <v>42</v>
      </c>
      <c r="C589" t="s">
        <v>984</v>
      </c>
      <c r="D589" t="s">
        <v>10</v>
      </c>
      <c r="E589" t="s">
        <v>1175</v>
      </c>
      <c r="F589" t="s">
        <v>12</v>
      </c>
      <c r="G589" t="str">
        <f>HYPERLINK("https://www.facebook.com/568390943273818/posts/3044436159002605")</f>
        <v>https://www.facebook.com/568390943273818/posts/3044436159002605</v>
      </c>
      <c r="H589" t="s">
        <v>885</v>
      </c>
      <c r="I589" t="s">
        <v>280</v>
      </c>
      <c r="J589" t="str">
        <f>HYPERLINK("https://www.facebook.com/568390943273818")</f>
        <v>https://www.facebook.com/568390943273818</v>
      </c>
      <c r="K589">
        <v>18918</v>
      </c>
      <c r="L589" t="s">
        <v>28</v>
      </c>
      <c r="N589" t="s">
        <v>179</v>
      </c>
      <c r="O589" t="s">
        <v>280</v>
      </c>
      <c r="P589" t="str">
        <f>HYPERLINK("https://www.facebook.com/568390943273818")</f>
        <v>https://www.facebook.com/568390943273818</v>
      </c>
      <c r="Q589">
        <v>18918</v>
      </c>
      <c r="R589" t="s">
        <v>17</v>
      </c>
      <c r="S589" t="s">
        <v>281</v>
      </c>
      <c r="T589" t="s">
        <v>282</v>
      </c>
      <c r="U589" t="s">
        <v>282</v>
      </c>
      <c r="W589">
        <v>13</v>
      </c>
      <c r="X589">
        <v>13</v>
      </c>
      <c r="Y589">
        <v>0</v>
      </c>
      <c r="Z589">
        <v>0</v>
      </c>
      <c r="AA589">
        <v>0</v>
      </c>
      <c r="AB589">
        <v>0</v>
      </c>
      <c r="AC589">
        <v>0</v>
      </c>
      <c r="AE589">
        <v>0</v>
      </c>
      <c r="AF589">
        <v>2</v>
      </c>
      <c r="AI589" t="str">
        <f>HYPERLINK("https://scontent-cdg2-1.xx.fbcdn.net/v/t15.13418-10/116827070_302580094134160_8599743573532828649_n.jpg?_nc_cat=104&amp;_nc_sid=ad6a45&amp;_nc_ohc=Dc0xg-fbtOgAX82w4mx&amp;_nc_ht=scontent-cdg2-1.xx&amp;oh=6da8244f1c3f7183f90673b3352e79dc&amp;oe=5F522202")</f>
        <v>https://scontent-cdg2-1.xx.fbcdn.net/v/t15.13418-10/116827070_302580094134160_8599743573532828649_n.jpg?_nc_cat=104&amp;_nc_sid=ad6a45&amp;_nc_ohc=Dc0xg-fbtOgAX82w4mx&amp;_nc_ht=scontent-cdg2-1.xx&amp;oh=6da8244f1c3f7183f90673b3352e79dc&amp;oe=5F522202</v>
      </c>
      <c r="AJ589" t="s">
        <v>10</v>
      </c>
      <c r="AK589" t="s">
        <v>21</v>
      </c>
      <c r="AS589" t="s">
        <v>3244</v>
      </c>
      <c r="AT589" t="s">
        <v>3245</v>
      </c>
      <c r="AU589" t="s">
        <v>3246</v>
      </c>
      <c r="AV589" t="s">
        <v>3247</v>
      </c>
    </row>
    <row r="590" spans="1:52" x14ac:dyDescent="0.25">
      <c r="A590" t="s">
        <v>1462</v>
      </c>
      <c r="B590" t="s">
        <v>1498</v>
      </c>
      <c r="C590" t="s">
        <v>984</v>
      </c>
      <c r="D590" t="s">
        <v>1490</v>
      </c>
      <c r="E590" t="s">
        <v>1499</v>
      </c>
      <c r="F590" t="s">
        <v>26</v>
      </c>
      <c r="G590" t="str">
        <f>HYPERLINK("https://vk.com/wall-55131656_184348?reply=184357")</f>
        <v>https://vk.com/wall-55131656_184348?reply=184357</v>
      </c>
      <c r="H590" t="s">
        <v>885</v>
      </c>
      <c r="I590" t="s">
        <v>1500</v>
      </c>
      <c r="J590" t="str">
        <f>HYPERLINK("http://vk.com/id325754633")</f>
        <v>http://vk.com/id325754633</v>
      </c>
      <c r="K590">
        <v>1079</v>
      </c>
      <c r="L590" t="s">
        <v>80</v>
      </c>
      <c r="N590" t="s">
        <v>16</v>
      </c>
      <c r="O590" t="s">
        <v>1493</v>
      </c>
      <c r="P590" t="str">
        <f>HYPERLINK("http://vk.com/club55131656")</f>
        <v>http://vk.com/club55131656</v>
      </c>
      <c r="Q590">
        <v>33584</v>
      </c>
      <c r="R590" t="s">
        <v>17</v>
      </c>
      <c r="S590" t="s">
        <v>18</v>
      </c>
      <c r="T590" t="s">
        <v>272</v>
      </c>
      <c r="U590" t="s">
        <v>1300</v>
      </c>
      <c r="AJ590" t="s">
        <v>10</v>
      </c>
      <c r="AK590" t="s">
        <v>21</v>
      </c>
      <c r="AS590" t="s">
        <v>3244</v>
      </c>
      <c r="AT590" t="s">
        <v>3245</v>
      </c>
      <c r="AU590" t="s">
        <v>3246</v>
      </c>
    </row>
    <row r="591" spans="1:52" x14ac:dyDescent="0.25">
      <c r="A591" t="s">
        <v>1518</v>
      </c>
      <c r="B591" t="s">
        <v>1524</v>
      </c>
      <c r="C591" t="s">
        <v>984</v>
      </c>
      <c r="D591" t="s">
        <v>1525</v>
      </c>
      <c r="E591" t="s">
        <v>1526</v>
      </c>
      <c r="F591" t="s">
        <v>45</v>
      </c>
      <c r="G591" t="str">
        <f>HYPERLINK("https://vrachirf.ru/concilium/77047.html")</f>
        <v>https://vrachirf.ru/concilium/77047.html</v>
      </c>
      <c r="H591" t="s">
        <v>885</v>
      </c>
      <c r="I591" t="s">
        <v>1058</v>
      </c>
      <c r="J591" t="str">
        <f>HYPERLINK("https://vrachirf.ru/users/profile/684679")</f>
        <v>https://vrachirf.ru/users/profile/684679</v>
      </c>
      <c r="L591" t="s">
        <v>15</v>
      </c>
      <c r="N591" t="s">
        <v>1059</v>
      </c>
      <c r="O591" t="s">
        <v>1058</v>
      </c>
      <c r="P591" t="str">
        <f>HYPERLINK("https://vrachirf.ru/users/profile/684679")</f>
        <v>https://vrachirf.ru/users/profile/684679</v>
      </c>
      <c r="R591" t="s">
        <v>966</v>
      </c>
      <c r="S591" t="s">
        <v>18</v>
      </c>
      <c r="T591" t="s">
        <v>1060</v>
      </c>
      <c r="U591" t="s">
        <v>1061</v>
      </c>
      <c r="AJ591" t="s">
        <v>10</v>
      </c>
      <c r="AK591" t="s">
        <v>21</v>
      </c>
      <c r="AO591" t="s">
        <v>3240</v>
      </c>
      <c r="AS591" t="s">
        <v>3244</v>
      </c>
      <c r="AV591" t="s">
        <v>3247</v>
      </c>
      <c r="AY591" t="s">
        <v>3250</v>
      </c>
    </row>
    <row r="592" spans="1:52" x14ac:dyDescent="0.25">
      <c r="A592" t="s">
        <v>1518</v>
      </c>
      <c r="B592" t="s">
        <v>890</v>
      </c>
      <c r="C592" t="s">
        <v>984</v>
      </c>
      <c r="D592" t="s">
        <v>10</v>
      </c>
      <c r="E592" t="s">
        <v>1537</v>
      </c>
      <c r="F592" t="s">
        <v>45</v>
      </c>
      <c r="G592" t="str">
        <f>HYPERLINK("https://vk.com/wall-48669646_10236")</f>
        <v>https://vk.com/wall-48669646_10236</v>
      </c>
      <c r="H592" t="s">
        <v>885</v>
      </c>
      <c r="I592" t="s">
        <v>46</v>
      </c>
      <c r="J592" t="str">
        <f>HYPERLINK("http://vk.com/club48669646")</f>
        <v>http://vk.com/club48669646</v>
      </c>
      <c r="K592">
        <v>5795</v>
      </c>
      <c r="L592" t="s">
        <v>28</v>
      </c>
      <c r="N592" t="s">
        <v>16</v>
      </c>
      <c r="O592" t="s">
        <v>46</v>
      </c>
      <c r="P592" t="str">
        <f>HYPERLINK("http://vk.com/club48669646")</f>
        <v>http://vk.com/club48669646</v>
      </c>
      <c r="Q592">
        <v>5795</v>
      </c>
      <c r="R592" t="s">
        <v>17</v>
      </c>
      <c r="S592" t="s">
        <v>18</v>
      </c>
      <c r="W592">
        <v>1</v>
      </c>
      <c r="X592">
        <v>1</v>
      </c>
      <c r="AE592">
        <v>0</v>
      </c>
      <c r="AF592">
        <v>0</v>
      </c>
      <c r="AG592">
        <v>373</v>
      </c>
      <c r="AI592" t="str">
        <f>HYPERLINK("https://sun1-19.userapi.com/O0FHu7BNsgfCUSP0SkypLDu3cFeL0js3lSqVBw/IYO5dt1upHQ.jpg")</f>
        <v>https://sun1-19.userapi.com/O0FHu7BNsgfCUSP0SkypLDu3cFeL0js3lSqVBw/IYO5dt1upHQ.jpg</v>
      </c>
      <c r="AJ592" t="s">
        <v>10</v>
      </c>
      <c r="AK592" t="s">
        <v>21</v>
      </c>
      <c r="AO592" t="s">
        <v>3240</v>
      </c>
      <c r="AS592" t="s">
        <v>3244</v>
      </c>
      <c r="AT592" t="s">
        <v>3245</v>
      </c>
      <c r="AU592" t="s">
        <v>3246</v>
      </c>
      <c r="AV592" t="s">
        <v>3247</v>
      </c>
      <c r="AY592" t="s">
        <v>3250</v>
      </c>
    </row>
    <row r="593" spans="1:52" x14ac:dyDescent="0.25">
      <c r="A593" t="s">
        <v>2122</v>
      </c>
      <c r="B593" t="s">
        <v>637</v>
      </c>
      <c r="C593" t="s">
        <v>968</v>
      </c>
      <c r="D593" t="s">
        <v>10</v>
      </c>
      <c r="E593" t="s">
        <v>2165</v>
      </c>
      <c r="F593" t="s">
        <v>45</v>
      </c>
      <c r="G593" t="str">
        <f>HYPERLINK("https://www.facebook.com/mrtexpertrnd/posts/779733472770951")</f>
        <v>https://www.facebook.com/mrtexpertrnd/posts/779733472770951</v>
      </c>
      <c r="H593" t="s">
        <v>885</v>
      </c>
      <c r="I593" t="s">
        <v>125</v>
      </c>
      <c r="J593" t="str">
        <f>HYPERLINK("https://www.facebook.com/156600068417631")</f>
        <v>https://www.facebook.com/156600068417631</v>
      </c>
      <c r="K593">
        <v>236</v>
      </c>
      <c r="L593" t="s">
        <v>28</v>
      </c>
      <c r="N593" t="s">
        <v>179</v>
      </c>
      <c r="O593" t="s">
        <v>125</v>
      </c>
      <c r="P593" t="str">
        <f>HYPERLINK("https://www.facebook.com/156600068417631")</f>
        <v>https://www.facebook.com/156600068417631</v>
      </c>
      <c r="Q593">
        <v>236</v>
      </c>
      <c r="R593" t="s">
        <v>17</v>
      </c>
      <c r="S593" t="s">
        <v>18</v>
      </c>
      <c r="T593" t="s">
        <v>126</v>
      </c>
      <c r="U593" t="s">
        <v>127</v>
      </c>
      <c r="W593">
        <v>0</v>
      </c>
      <c r="X593">
        <v>0</v>
      </c>
      <c r="Y593">
        <v>0</v>
      </c>
      <c r="Z593">
        <v>0</v>
      </c>
      <c r="AA593">
        <v>0</v>
      </c>
      <c r="AB593">
        <v>0</v>
      </c>
      <c r="AC593">
        <v>0</v>
      </c>
      <c r="AE593">
        <v>0</v>
      </c>
      <c r="AI593" t="str">
        <f>HYPERLINK("https://scontent-hel2-1.xx.fbcdn.net/v/t1.0-9/109139345_779733422770956_2860703053734672422_o.jpg?_nc_cat=110&amp;_nc_sid=730e14&amp;_nc_ohc=Aux7k8kLby4AX_1OloL&amp;_nc_ht=scontent-hel2-1.xx&amp;oh=831235d5cf4fb15ef9725ed797e559eb&amp;oe=5F40C791")</f>
        <v>https://scontent-hel2-1.xx.fbcdn.net/v/t1.0-9/109139345_779733422770956_2860703053734672422_o.jpg?_nc_cat=110&amp;_nc_sid=730e14&amp;_nc_ohc=Aux7k8kLby4AX_1OloL&amp;_nc_ht=scontent-hel2-1.xx&amp;oh=831235d5cf4fb15ef9725ed797e559eb&amp;oe=5F40C791</v>
      </c>
      <c r="AJ593" t="s">
        <v>10</v>
      </c>
      <c r="AK593" t="s">
        <v>21</v>
      </c>
      <c r="AL593" t="s">
        <v>3237</v>
      </c>
      <c r="AS593" t="s">
        <v>3244</v>
      </c>
      <c r="AU593" t="s">
        <v>3246</v>
      </c>
      <c r="AV593" t="s">
        <v>3247</v>
      </c>
      <c r="AW593" t="s">
        <v>3248</v>
      </c>
      <c r="AX593" t="s">
        <v>3249</v>
      </c>
      <c r="AY593" t="s">
        <v>3250</v>
      </c>
    </row>
    <row r="594" spans="1:52" x14ac:dyDescent="0.25">
      <c r="A594" t="s">
        <v>2290</v>
      </c>
      <c r="B594" t="s">
        <v>2293</v>
      </c>
      <c r="C594" t="s">
        <v>968</v>
      </c>
      <c r="D594" t="s">
        <v>2294</v>
      </c>
      <c r="E594" t="s">
        <v>2295</v>
      </c>
      <c r="F594" t="s">
        <v>45</v>
      </c>
      <c r="G594" t="str">
        <f>HYPERLINK("https://www.google.com/maps/reviews/data=!4m5!14m4!1m3!1m2!1s109883306570913192454!2s0x0:0x14baddefbfbf1d11?hl=en-NL")</f>
        <v>https://www.google.com/maps/reviews/data=!4m5!14m4!1m3!1m2!1s109883306570913192454!2s0x0:0x14baddefbfbf1d11?hl=en-NL</v>
      </c>
      <c r="H594" t="s">
        <v>1057</v>
      </c>
      <c r="I594" t="s">
        <v>2296</v>
      </c>
      <c r="J594" t="str">
        <f>HYPERLINK("https://maps.google.com/maps/contrib/109883306570913192454")</f>
        <v>https://maps.google.com/maps/contrib/109883306570913192454</v>
      </c>
      <c r="L594" t="s">
        <v>15</v>
      </c>
      <c r="N594" t="s">
        <v>615</v>
      </c>
      <c r="O594" t="s">
        <v>2294</v>
      </c>
      <c r="P594" t="str">
        <f>HYPERLINK("https://maps.google.com/maps/place/data=!3m1!4b1!4m5!3m4!1s0x0:0x14baddefbfbf1d11!8m2!3d41.061670!4d28.989280")</f>
        <v>https://maps.google.com/maps/place/data=!3m1!4b1!4m5!3m4!1s0x0:0x14baddefbfbf1d11!8m2!3d41.061670!4d28.989280</v>
      </c>
      <c r="R594" t="s">
        <v>616</v>
      </c>
      <c r="S594" t="s">
        <v>2297</v>
      </c>
      <c r="T594" t="s">
        <v>2298</v>
      </c>
      <c r="U594" t="s">
        <v>2299</v>
      </c>
      <c r="AH594">
        <v>1</v>
      </c>
      <c r="AJ594" t="s">
        <v>10</v>
      </c>
      <c r="AK594" t="s">
        <v>21</v>
      </c>
      <c r="AS594" t="s">
        <v>3244</v>
      </c>
      <c r="AT594" t="s">
        <v>3245</v>
      </c>
      <c r="AX594" t="s">
        <v>3249</v>
      </c>
    </row>
    <row r="595" spans="1:52" x14ac:dyDescent="0.25">
      <c r="A595" t="s">
        <v>2541</v>
      </c>
      <c r="B595" t="s">
        <v>2542</v>
      </c>
      <c r="C595" t="s">
        <v>968</v>
      </c>
      <c r="D595" t="s">
        <v>1232</v>
      </c>
      <c r="E595" t="s">
        <v>2543</v>
      </c>
      <c r="F595" t="s">
        <v>26</v>
      </c>
      <c r="G595" t="str">
        <f>HYPERLINK("https://vk.com/topic-48669646_34303966?post=2523")</f>
        <v>https://vk.com/topic-48669646_34303966?post=2523</v>
      </c>
      <c r="H595" t="s">
        <v>1057</v>
      </c>
      <c r="I595" t="s">
        <v>2544</v>
      </c>
      <c r="J595" t="str">
        <f>HYPERLINK("http://vk.com/id413536550")</f>
        <v>http://vk.com/id413536550</v>
      </c>
      <c r="K595">
        <v>4</v>
      </c>
      <c r="L595" t="s">
        <v>80</v>
      </c>
      <c r="N595" t="s">
        <v>16</v>
      </c>
      <c r="O595" t="s">
        <v>46</v>
      </c>
      <c r="P595" t="str">
        <f>HYPERLINK("http://vk.com/club48669646")</f>
        <v>http://vk.com/club48669646</v>
      </c>
      <c r="Q595">
        <v>5795</v>
      </c>
      <c r="R595" t="s">
        <v>17</v>
      </c>
      <c r="S595" t="s">
        <v>18</v>
      </c>
      <c r="AJ595" t="s">
        <v>10</v>
      </c>
      <c r="AK595" t="s">
        <v>21</v>
      </c>
      <c r="AS595" t="s">
        <v>3244</v>
      </c>
      <c r="AT595" t="s">
        <v>3245</v>
      </c>
      <c r="AW595" t="s">
        <v>3248</v>
      </c>
      <c r="AX595" t="s">
        <v>3249</v>
      </c>
    </row>
    <row r="596" spans="1:52" x14ac:dyDescent="0.25">
      <c r="A596" t="s">
        <v>2684</v>
      </c>
      <c r="B596" t="s">
        <v>83</v>
      </c>
      <c r="C596" t="s">
        <v>968</v>
      </c>
      <c r="D596" t="s">
        <v>10</v>
      </c>
      <c r="E596" t="s">
        <v>2751</v>
      </c>
      <c r="F596" t="s">
        <v>12</v>
      </c>
      <c r="G596" t="str">
        <f>HYPERLINK("https://vk.com/wall52949648_2052")</f>
        <v>https://vk.com/wall52949648_2052</v>
      </c>
      <c r="H596" t="s">
        <v>885</v>
      </c>
      <c r="I596" t="s">
        <v>1076</v>
      </c>
      <c r="J596" t="str">
        <f>HYPERLINK("http://vk.com/id52949648")</f>
        <v>http://vk.com/id52949648</v>
      </c>
      <c r="K596">
        <v>389</v>
      </c>
      <c r="L596" t="s">
        <v>80</v>
      </c>
      <c r="N596" t="s">
        <v>16</v>
      </c>
      <c r="O596" t="s">
        <v>1076</v>
      </c>
      <c r="P596" t="str">
        <f>HYPERLINK("http://vk.com/id52949648")</f>
        <v>http://vk.com/id52949648</v>
      </c>
      <c r="Q596">
        <v>389</v>
      </c>
      <c r="R596" t="s">
        <v>17</v>
      </c>
      <c r="S596" t="s">
        <v>18</v>
      </c>
      <c r="T596" t="s">
        <v>1015</v>
      </c>
      <c r="U596" t="s">
        <v>1016</v>
      </c>
      <c r="W596">
        <v>0</v>
      </c>
      <c r="X596">
        <v>0</v>
      </c>
      <c r="AE596">
        <v>0</v>
      </c>
      <c r="AF596">
        <v>0</v>
      </c>
      <c r="AG596">
        <v>14</v>
      </c>
      <c r="AI596" t="str">
        <f>HYPERLINK("https://sun1-24.userapi.com/rjL4d8zocjCcz_O8yFBdBGhJRHLhrpaGn7M4Vg/PADkxWA-TQ4.jpg")</f>
        <v>https://sun1-24.userapi.com/rjL4d8zocjCcz_O8yFBdBGhJRHLhrpaGn7M4Vg/PADkxWA-TQ4.jpg</v>
      </c>
      <c r="AJ596" t="s">
        <v>10</v>
      </c>
      <c r="AK596" t="s">
        <v>21</v>
      </c>
      <c r="AM596" t="s">
        <v>3238</v>
      </c>
      <c r="AO596" t="s">
        <v>3240</v>
      </c>
      <c r="AS596" t="s">
        <v>3244</v>
      </c>
      <c r="AU596" t="s">
        <v>3246</v>
      </c>
      <c r="AV596" t="s">
        <v>3247</v>
      </c>
      <c r="AW596" t="s">
        <v>3248</v>
      </c>
    </row>
    <row r="597" spans="1:52" x14ac:dyDescent="0.25">
      <c r="A597" t="s">
        <v>2684</v>
      </c>
      <c r="B597" t="s">
        <v>2758</v>
      </c>
      <c r="C597" t="s">
        <v>968</v>
      </c>
      <c r="D597" t="s">
        <v>10</v>
      </c>
      <c r="E597" t="s">
        <v>2759</v>
      </c>
      <c r="F597" t="s">
        <v>45</v>
      </c>
      <c r="G597" t="str">
        <f>HYPERLINK("https://vk.com/wall-184474783_15433")</f>
        <v>https://vk.com/wall-184474783_15433</v>
      </c>
      <c r="H597" t="s">
        <v>1057</v>
      </c>
      <c r="I597" t="s">
        <v>1060</v>
      </c>
      <c r="J597" t="str">
        <f>HYPERLINK("http://vk.com/club184474783")</f>
        <v>http://vk.com/club184474783</v>
      </c>
      <c r="K597">
        <v>22</v>
      </c>
      <c r="L597" t="s">
        <v>28</v>
      </c>
      <c r="N597" t="s">
        <v>16</v>
      </c>
      <c r="O597" t="s">
        <v>1060</v>
      </c>
      <c r="P597" t="str">
        <f>HYPERLINK("http://vk.com/club184474783")</f>
        <v>http://vk.com/club184474783</v>
      </c>
      <c r="Q597">
        <v>22</v>
      </c>
      <c r="R597" t="s">
        <v>17</v>
      </c>
      <c r="W597">
        <v>0</v>
      </c>
      <c r="X597">
        <v>0</v>
      </c>
      <c r="AE597">
        <v>0</v>
      </c>
      <c r="AF597">
        <v>0</v>
      </c>
      <c r="AG597">
        <v>1</v>
      </c>
      <c r="AI597" t="str">
        <f>HYPERLINK("https://sun9-68.userapi.com/c841427/v841427299/49e59/d3TSz4Ej5RQ.jpg")</f>
        <v>https://sun9-68.userapi.com/c841427/v841427299/49e59/d3TSz4Ej5RQ.jpg</v>
      </c>
      <c r="AJ597" t="s">
        <v>10</v>
      </c>
      <c r="AK597" t="s">
        <v>21</v>
      </c>
      <c r="AN597" t="s">
        <v>3239</v>
      </c>
      <c r="AS597" t="s">
        <v>3244</v>
      </c>
      <c r="AX597" t="s">
        <v>3249</v>
      </c>
      <c r="AY597" t="s">
        <v>3250</v>
      </c>
    </row>
    <row r="598" spans="1:52" x14ac:dyDescent="0.25">
      <c r="A598" t="s">
        <v>2978</v>
      </c>
      <c r="B598" t="s">
        <v>890</v>
      </c>
      <c r="C598" t="s">
        <v>968</v>
      </c>
      <c r="D598" t="s">
        <v>10</v>
      </c>
      <c r="E598" t="s">
        <v>2985</v>
      </c>
      <c r="F598" t="s">
        <v>45</v>
      </c>
      <c r="G598" t="str">
        <f>HYPERLINK("https://www.facebook.com/mriexpert/photos/a.902990326434112/3173213982745057/?type=3")</f>
        <v>https://www.facebook.com/mriexpert/photos/a.902990326434112/3173213982745057/?type=3</v>
      </c>
      <c r="H598" t="s">
        <v>885</v>
      </c>
      <c r="I598" t="s">
        <v>46</v>
      </c>
      <c r="J598" t="str">
        <f>HYPERLINK("https://www.facebook.com/902980129768465")</f>
        <v>https://www.facebook.com/902980129768465</v>
      </c>
      <c r="K598">
        <v>1509</v>
      </c>
      <c r="L598" t="s">
        <v>28</v>
      </c>
      <c r="N598" t="s">
        <v>179</v>
      </c>
      <c r="O598" t="s">
        <v>46</v>
      </c>
      <c r="P598" t="str">
        <f>HYPERLINK("https://www.facebook.com/902980129768465")</f>
        <v>https://www.facebook.com/902980129768465</v>
      </c>
      <c r="Q598">
        <v>1509</v>
      </c>
      <c r="R598" t="s">
        <v>17</v>
      </c>
      <c r="W598">
        <v>4</v>
      </c>
      <c r="X598">
        <v>4</v>
      </c>
      <c r="Y598">
        <v>0</v>
      </c>
      <c r="Z598">
        <v>0</v>
      </c>
      <c r="AA598">
        <v>0</v>
      </c>
      <c r="AB598">
        <v>0</v>
      </c>
      <c r="AC598">
        <v>0</v>
      </c>
      <c r="AE598">
        <v>0</v>
      </c>
      <c r="AI598" t="str">
        <f>HYPERLINK("https://scontent-hel2-1.xx.fbcdn.net/v/t1.0-9/s960x960/107802655_3173213992745056_5609819358945335276_o.jpg?_nc_cat=111&amp;_nc_sid=9267fe&amp;_nc_ohc=nBEcmMWrAFcAX_1eEFb&amp;_nc_ht=scontent-hel2-1.xx&amp;_nc_tp=7&amp;oh=6e4393bee2202e8708e108b7bf193819&amp;oe=5F2C878B")</f>
        <v>https://scontent-hel2-1.xx.fbcdn.net/v/t1.0-9/s960x960/107802655_3173213992745056_5609819358945335276_o.jpg?_nc_cat=111&amp;_nc_sid=9267fe&amp;_nc_ohc=nBEcmMWrAFcAX_1eEFb&amp;_nc_ht=scontent-hel2-1.xx&amp;_nc_tp=7&amp;oh=6e4393bee2202e8708e108b7bf193819&amp;oe=5F2C878B</v>
      </c>
      <c r="AJ598" t="s">
        <v>10</v>
      </c>
      <c r="AK598" t="s">
        <v>21</v>
      </c>
      <c r="AL598" t="s">
        <v>3237</v>
      </c>
      <c r="AS598" t="s">
        <v>3244</v>
      </c>
    </row>
    <row r="599" spans="1:52" x14ac:dyDescent="0.25">
      <c r="A599" t="s">
        <v>3021</v>
      </c>
      <c r="B599" t="s">
        <v>3097</v>
      </c>
      <c r="C599" t="s">
        <v>968</v>
      </c>
      <c r="D599" t="s">
        <v>421</v>
      </c>
      <c r="E599" t="s">
        <v>3098</v>
      </c>
      <c r="F599" t="s">
        <v>26</v>
      </c>
      <c r="G599" t="str">
        <f>HYPERLINK("https://www.youtube.com/watch?v=gaka1vqYFNs&amp;lc=UgxZLSAi9cDhMAM8ohx4AaABAg")</f>
        <v>https://www.youtube.com/watch?v=gaka1vqYFNs&amp;lc=UgxZLSAi9cDhMAM8ohx4AaABAg</v>
      </c>
      <c r="H599" t="s">
        <v>885</v>
      </c>
      <c r="I599" t="s">
        <v>3099</v>
      </c>
      <c r="J599" t="str">
        <f>HYPERLINK("https://www.youtube.com/channel/UCoWfYpDhrDD-wcXXJSvos7g")</f>
        <v>https://www.youtube.com/channel/UCoWfYpDhrDD-wcXXJSvos7g</v>
      </c>
      <c r="K599">
        <v>2</v>
      </c>
      <c r="N599" t="s">
        <v>162</v>
      </c>
      <c r="O599" t="s">
        <v>424</v>
      </c>
      <c r="P599" t="str">
        <f>HYPERLINK("https://www.youtube.com/channel/UC8fQzKHIhSoZeSq3bwQx4mw")</f>
        <v>https://www.youtube.com/channel/UC8fQzKHIhSoZeSq3bwQx4mw</v>
      </c>
      <c r="Q599">
        <v>517000</v>
      </c>
      <c r="R599" t="s">
        <v>17</v>
      </c>
      <c r="S599" t="s">
        <v>425</v>
      </c>
      <c r="W599">
        <v>2</v>
      </c>
      <c r="X599">
        <v>2</v>
      </c>
      <c r="AE599">
        <v>0</v>
      </c>
      <c r="AJ599" t="s">
        <v>10</v>
      </c>
      <c r="AK599" t="s">
        <v>21</v>
      </c>
      <c r="AL599" t="s">
        <v>3237</v>
      </c>
      <c r="AS599" t="s">
        <v>3244</v>
      </c>
      <c r="AT599" t="s">
        <v>3245</v>
      </c>
      <c r="AV599" t="s">
        <v>3247</v>
      </c>
      <c r="AW599" t="s">
        <v>3248</v>
      </c>
    </row>
    <row r="600" spans="1:52" x14ac:dyDescent="0.25">
      <c r="A600" t="s">
        <v>3100</v>
      </c>
      <c r="B600" t="s">
        <v>3188</v>
      </c>
      <c r="C600" t="s">
        <v>968</v>
      </c>
      <c r="D600" t="s">
        <v>3189</v>
      </c>
      <c r="E600" t="s">
        <v>3190</v>
      </c>
      <c r="F600" t="s">
        <v>45</v>
      </c>
      <c r="G600" t="str">
        <f>HYPERLINK("https://vrachirf.ru/concilium/76236.html")</f>
        <v>https://vrachirf.ru/concilium/76236.html</v>
      </c>
      <c r="H600" t="s">
        <v>885</v>
      </c>
      <c r="I600" t="s">
        <v>1058</v>
      </c>
      <c r="J600" t="str">
        <f>HYPERLINK("https://vrachirf.ru/users/profile/684679")</f>
        <v>https://vrachirf.ru/users/profile/684679</v>
      </c>
      <c r="L600" t="s">
        <v>15</v>
      </c>
      <c r="N600" t="s">
        <v>1059</v>
      </c>
      <c r="O600" t="s">
        <v>1058</v>
      </c>
      <c r="P600" t="str">
        <f>HYPERLINK("https://vrachirf.ru/users/profile/684679")</f>
        <v>https://vrachirf.ru/users/profile/684679</v>
      </c>
      <c r="R600" t="s">
        <v>966</v>
      </c>
      <c r="S600" t="s">
        <v>18</v>
      </c>
      <c r="T600" t="s">
        <v>1060</v>
      </c>
      <c r="U600" t="s">
        <v>1061</v>
      </c>
      <c r="AJ600" t="s">
        <v>10</v>
      </c>
      <c r="AK600" t="s">
        <v>21</v>
      </c>
      <c r="AL600" t="s">
        <v>3237</v>
      </c>
      <c r="AS600" t="s">
        <v>3244</v>
      </c>
      <c r="AT600" t="s">
        <v>3245</v>
      </c>
      <c r="AW600" t="s">
        <v>3248</v>
      </c>
      <c r="AX600" t="s">
        <v>3249</v>
      </c>
      <c r="AY600" t="s">
        <v>3250</v>
      </c>
    </row>
    <row r="601" spans="1:52" x14ac:dyDescent="0.25">
      <c r="A601" t="s">
        <v>7</v>
      </c>
      <c r="B601" t="s">
        <v>384</v>
      </c>
      <c r="C601" t="s">
        <v>385</v>
      </c>
      <c r="D601" t="s">
        <v>24</v>
      </c>
      <c r="E601" t="s">
        <v>392</v>
      </c>
      <c r="F601" t="s">
        <v>26</v>
      </c>
      <c r="G601" t="str">
        <f>HYPERLINK("https://vk.com/wall-197114981_31?reply=1300&amp;thread=1293")</f>
        <v>https://vk.com/wall-197114981_31?reply=1300&amp;thread=1293</v>
      </c>
      <c r="H601" t="s">
        <v>13</v>
      </c>
      <c r="I601" t="s">
        <v>27</v>
      </c>
      <c r="J601" t="str">
        <f>HYPERLINK("http://vk.com/club197114981")</f>
        <v>http://vk.com/club197114981</v>
      </c>
      <c r="K601">
        <v>38</v>
      </c>
      <c r="L601" t="s">
        <v>28</v>
      </c>
      <c r="N601" t="s">
        <v>16</v>
      </c>
      <c r="O601" t="s">
        <v>27</v>
      </c>
      <c r="P601" t="str">
        <f>HYPERLINK("http://vk.com/club197114981")</f>
        <v>http://vk.com/club197114981</v>
      </c>
      <c r="Q601">
        <v>38</v>
      </c>
      <c r="R601" t="s">
        <v>17</v>
      </c>
      <c r="AJ601" t="s">
        <v>10</v>
      </c>
      <c r="AK601" t="s">
        <v>21</v>
      </c>
      <c r="AS601" t="s">
        <v>3244</v>
      </c>
      <c r="AW601" t="s">
        <v>3248</v>
      </c>
      <c r="AY601" t="s">
        <v>3250</v>
      </c>
    </row>
    <row r="602" spans="1:52" x14ac:dyDescent="0.25">
      <c r="A602" t="s">
        <v>414</v>
      </c>
      <c r="B602" t="s">
        <v>99</v>
      </c>
      <c r="C602" t="s">
        <v>611</v>
      </c>
      <c r="D602" t="s">
        <v>612</v>
      </c>
      <c r="E602" t="s">
        <v>613</v>
      </c>
      <c r="F602" t="s">
        <v>45</v>
      </c>
      <c r="G602" t="str">
        <f>HYPERLINK("https://www.google.com/maps/reviews/data=!4m5!14m4!1m3!1m2!1s114575129325864925504!2s0x0:0x29d0d4ba3bf3bc31?hl=en-NL")</f>
        <v>https://www.google.com/maps/reviews/data=!4m5!14m4!1m3!1m2!1s114575129325864925504!2s0x0:0x29d0d4ba3bf3bc31?hl=en-NL</v>
      </c>
      <c r="H602" t="s">
        <v>13</v>
      </c>
      <c r="I602" t="s">
        <v>614</v>
      </c>
      <c r="J602" t="str">
        <f>HYPERLINK("https://maps.google.com/maps/contrib/114575129325864925504")</f>
        <v>https://maps.google.com/maps/contrib/114575129325864925504</v>
      </c>
      <c r="L602" t="s">
        <v>15</v>
      </c>
      <c r="N602" t="s">
        <v>615</v>
      </c>
      <c r="O602" t="s">
        <v>612</v>
      </c>
      <c r="P602" t="str">
        <f>HYPERLINK("https://maps.google.com/maps/place/data=!3m1!4b1!4m5!3m4!1s0x0:0x29d0d4ba3bf3bc31!8m2!3d45.062110!4d38.972250")</f>
        <v>https://maps.google.com/maps/place/data=!3m1!4b1!4m5!3m4!1s0x0:0x29d0d4ba3bf3bc31!8m2!3d45.062110!4d38.972250</v>
      </c>
      <c r="R602" t="s">
        <v>616</v>
      </c>
      <c r="S602" t="s">
        <v>18</v>
      </c>
      <c r="T602" t="s">
        <v>617</v>
      </c>
      <c r="U602" t="s">
        <v>618</v>
      </c>
      <c r="W602">
        <v>0</v>
      </c>
      <c r="X602">
        <v>0</v>
      </c>
      <c r="AH602">
        <v>5</v>
      </c>
      <c r="AJ602" t="s">
        <v>10</v>
      </c>
      <c r="AK602" t="s">
        <v>21</v>
      </c>
      <c r="AS602" t="s">
        <v>3244</v>
      </c>
      <c r="AV602" t="s">
        <v>3247</v>
      </c>
      <c r="AW602" t="s">
        <v>3248</v>
      </c>
    </row>
    <row r="603" spans="1:52" x14ac:dyDescent="0.25">
      <c r="A603" t="s">
        <v>414</v>
      </c>
      <c r="B603" t="s">
        <v>712</v>
      </c>
      <c r="C603" t="s">
        <v>713</v>
      </c>
      <c r="D603" t="s">
        <v>24</v>
      </c>
      <c r="E603" t="s">
        <v>714</v>
      </c>
      <c r="F603" t="s">
        <v>26</v>
      </c>
      <c r="G603" t="str">
        <f>HYPERLINK("https://vk.com/wall-197114981_31?reply=1181&amp;thread=1180")</f>
        <v>https://vk.com/wall-197114981_31?reply=1181&amp;thread=1180</v>
      </c>
      <c r="H603" t="s">
        <v>13</v>
      </c>
      <c r="I603" t="s">
        <v>27</v>
      </c>
      <c r="J603" t="str">
        <f>HYPERLINK("http://vk.com/club197114981")</f>
        <v>http://vk.com/club197114981</v>
      </c>
      <c r="K603">
        <v>38</v>
      </c>
      <c r="L603" t="s">
        <v>28</v>
      </c>
      <c r="N603" t="s">
        <v>16</v>
      </c>
      <c r="O603" t="s">
        <v>27</v>
      </c>
      <c r="P603" t="str">
        <f>HYPERLINK("http://vk.com/club197114981")</f>
        <v>http://vk.com/club197114981</v>
      </c>
      <c r="Q603">
        <v>38</v>
      </c>
      <c r="R603" t="s">
        <v>17</v>
      </c>
      <c r="AJ603" t="s">
        <v>10</v>
      </c>
      <c r="AK603" t="s">
        <v>21</v>
      </c>
      <c r="AS603" t="s">
        <v>3244</v>
      </c>
    </row>
    <row r="604" spans="1:52" x14ac:dyDescent="0.25">
      <c r="A604" t="s">
        <v>1277</v>
      </c>
      <c r="B604" t="s">
        <v>1344</v>
      </c>
      <c r="C604" t="s">
        <v>984</v>
      </c>
      <c r="D604" t="s">
        <v>1311</v>
      </c>
      <c r="E604" t="s">
        <v>1345</v>
      </c>
      <c r="F604" t="s">
        <v>26</v>
      </c>
      <c r="G604" t="str">
        <f>HYPERLINK("https://vk.com/wall-59575459_1394514?reply=1394550")</f>
        <v>https://vk.com/wall-59575459_1394514?reply=1394550</v>
      </c>
      <c r="H604" t="s">
        <v>889</v>
      </c>
      <c r="I604" t="s">
        <v>1313</v>
      </c>
      <c r="J604" t="str">
        <f>HYPERLINK("http://vk.com/id37925577")</f>
        <v>http://vk.com/id37925577</v>
      </c>
      <c r="K604">
        <v>166</v>
      </c>
      <c r="L604" t="s">
        <v>80</v>
      </c>
      <c r="M604">
        <v>28</v>
      </c>
      <c r="N604" t="s">
        <v>16</v>
      </c>
      <c r="O604" t="s">
        <v>1314</v>
      </c>
      <c r="P604" t="str">
        <f>HYPERLINK("http://vk.com/club59575459")</f>
        <v>http://vk.com/club59575459</v>
      </c>
      <c r="Q604">
        <v>39440</v>
      </c>
      <c r="R604" t="s">
        <v>17</v>
      </c>
      <c r="S604" t="s">
        <v>18</v>
      </c>
      <c r="T604" t="s">
        <v>1315</v>
      </c>
      <c r="U604" t="s">
        <v>1316</v>
      </c>
      <c r="AJ604" t="s">
        <v>10</v>
      </c>
      <c r="AK604" t="s">
        <v>21</v>
      </c>
      <c r="AO604" t="s">
        <v>3240</v>
      </c>
      <c r="AS604" t="s">
        <v>3244</v>
      </c>
      <c r="AT604" t="s">
        <v>3245</v>
      </c>
      <c r="AV604" t="s">
        <v>3247</v>
      </c>
      <c r="AW604" t="s">
        <v>3248</v>
      </c>
    </row>
    <row r="605" spans="1:52" x14ac:dyDescent="0.25">
      <c r="A605" t="s">
        <v>1425</v>
      </c>
      <c r="B605" t="s">
        <v>1435</v>
      </c>
      <c r="C605" t="s">
        <v>984</v>
      </c>
      <c r="D605" t="s">
        <v>10</v>
      </c>
      <c r="E605" t="s">
        <v>1353</v>
      </c>
      <c r="F605" t="s">
        <v>45</v>
      </c>
      <c r="G605" t="str">
        <f>HYPERLINK("https://www.facebook.com/mriexpert/posts/3235630523170069")</f>
        <v>https://www.facebook.com/mriexpert/posts/3235630523170069</v>
      </c>
      <c r="H605" t="s">
        <v>885</v>
      </c>
      <c r="I605" t="s">
        <v>46</v>
      </c>
      <c r="J605" t="str">
        <f>HYPERLINK("https://www.facebook.com/902980129768465")</f>
        <v>https://www.facebook.com/902980129768465</v>
      </c>
      <c r="K605">
        <v>1509</v>
      </c>
      <c r="L605" t="s">
        <v>28</v>
      </c>
      <c r="N605" t="s">
        <v>179</v>
      </c>
      <c r="O605" t="s">
        <v>46</v>
      </c>
      <c r="P605" t="str">
        <f>HYPERLINK("https://www.facebook.com/902980129768465")</f>
        <v>https://www.facebook.com/902980129768465</v>
      </c>
      <c r="Q605">
        <v>1509</v>
      </c>
      <c r="R605" t="s">
        <v>17</v>
      </c>
      <c r="W605">
        <v>17</v>
      </c>
      <c r="X605">
        <v>17</v>
      </c>
      <c r="Y605">
        <v>0</v>
      </c>
      <c r="Z605">
        <v>0</v>
      </c>
      <c r="AA605">
        <v>0</v>
      </c>
      <c r="AB605">
        <v>0</v>
      </c>
      <c r="AC605">
        <v>0</v>
      </c>
      <c r="AE605">
        <v>0</v>
      </c>
      <c r="AF605">
        <v>3</v>
      </c>
      <c r="AI605" t="str">
        <f>HYPERLINK("https://scontent-hel2-1.xx.fbcdn.net/v/t1.0-9/s960x960/116873663_3235624996503955_8100360529451218858_o.jpg?_nc_cat=109&amp;_nc_sid=730e14&amp;_nc_ohc=0Ed0EGx6qKIAX_4O4Mu&amp;_nc_ht=scontent-hel2-1.xx&amp;_nc_tp=7&amp;oh=5b1aafecd8726665d308a407463de369&amp;oe=5F4BCE9E")</f>
        <v>https://scontent-hel2-1.xx.fbcdn.net/v/t1.0-9/s960x960/116873663_3235624996503955_8100360529451218858_o.jpg?_nc_cat=109&amp;_nc_sid=730e14&amp;_nc_ohc=0Ed0EGx6qKIAX_4O4Mu&amp;_nc_ht=scontent-hel2-1.xx&amp;_nc_tp=7&amp;oh=5b1aafecd8726665d308a407463de369&amp;oe=5F4BCE9E</v>
      </c>
      <c r="AJ605" t="s">
        <v>10</v>
      </c>
      <c r="AK605" t="s">
        <v>21</v>
      </c>
      <c r="AL605" t="s">
        <v>3237</v>
      </c>
      <c r="AO605" t="s">
        <v>3240</v>
      </c>
      <c r="AS605" t="s">
        <v>3244</v>
      </c>
      <c r="AU605" t="s">
        <v>3246</v>
      </c>
      <c r="AW605" t="s">
        <v>3248</v>
      </c>
    </row>
    <row r="606" spans="1:52" x14ac:dyDescent="0.25">
      <c r="A606" t="s">
        <v>1597</v>
      </c>
      <c r="B606" t="s">
        <v>1703</v>
      </c>
      <c r="C606" t="s">
        <v>984</v>
      </c>
      <c r="D606" t="s">
        <v>10</v>
      </c>
      <c r="E606" t="s">
        <v>1704</v>
      </c>
      <c r="F606" t="s">
        <v>45</v>
      </c>
      <c r="G606" t="str">
        <f>HYPERLINK("https://www.instagram.com/p/CDNgL4ljwel")</f>
        <v>https://www.instagram.com/p/CDNgL4ljwel</v>
      </c>
      <c r="H606" t="s">
        <v>885</v>
      </c>
      <c r="I606" t="s">
        <v>1705</v>
      </c>
      <c r="J606" t="str">
        <f>HYPERLINK("http://instagram.com/nosweatclinic")</f>
        <v>http://instagram.com/nosweatclinic</v>
      </c>
      <c r="K606">
        <v>268</v>
      </c>
      <c r="N606" t="s">
        <v>69</v>
      </c>
      <c r="O606" t="s">
        <v>1705</v>
      </c>
      <c r="P606" t="str">
        <f>HYPERLINK("http://instagram.com/nosweatclinic")</f>
        <v>http://instagram.com/nosweatclinic</v>
      </c>
      <c r="Q606">
        <v>268</v>
      </c>
      <c r="R606" t="s">
        <v>17</v>
      </c>
      <c r="S606" t="s">
        <v>1349</v>
      </c>
      <c r="T606" t="s">
        <v>1706</v>
      </c>
      <c r="U606" t="s">
        <v>1707</v>
      </c>
      <c r="AI606" t="str">
        <f>HYPERLINK("https://www.instagram.com/p/CDNgL4ljwel/media/?size=l")</f>
        <v>https://www.instagram.com/p/CDNgL4ljwel/media/?size=l</v>
      </c>
      <c r="AJ606" t="s">
        <v>10</v>
      </c>
      <c r="AK606" t="s">
        <v>21</v>
      </c>
      <c r="AO606" t="s">
        <v>3240</v>
      </c>
      <c r="AS606" t="s">
        <v>3244</v>
      </c>
      <c r="AT606" t="s">
        <v>3245</v>
      </c>
      <c r="AV606" t="s">
        <v>3247</v>
      </c>
      <c r="AX606" t="s">
        <v>3249</v>
      </c>
      <c r="AZ606" t="s">
        <v>3251</v>
      </c>
    </row>
    <row r="607" spans="1:52" x14ac:dyDescent="0.25">
      <c r="A607" t="s">
        <v>2767</v>
      </c>
      <c r="B607" t="s">
        <v>2827</v>
      </c>
      <c r="C607" t="s">
        <v>968</v>
      </c>
      <c r="D607" t="s">
        <v>2828</v>
      </c>
      <c r="E607" t="s">
        <v>2829</v>
      </c>
      <c r="F607" t="s">
        <v>26</v>
      </c>
      <c r="G607" t="str">
        <f>HYPERLINK("https://vk.com/wall-125331076_734046?reply=752315")</f>
        <v>https://vk.com/wall-125331076_734046?reply=752315</v>
      </c>
      <c r="H607" t="s">
        <v>885</v>
      </c>
      <c r="I607" t="s">
        <v>2309</v>
      </c>
      <c r="J607" t="str">
        <f>HYPERLINK("http://vk.com/id14737732")</f>
        <v>http://vk.com/id14737732</v>
      </c>
      <c r="K607">
        <v>1091</v>
      </c>
      <c r="L607" t="s">
        <v>80</v>
      </c>
      <c r="N607" t="s">
        <v>16</v>
      </c>
      <c r="O607" t="s">
        <v>1154</v>
      </c>
      <c r="P607" t="str">
        <f>HYPERLINK("http://vk.com/club125331076")</f>
        <v>http://vk.com/club125331076</v>
      </c>
      <c r="Q607">
        <v>38231</v>
      </c>
      <c r="R607" t="s">
        <v>17</v>
      </c>
      <c r="AJ607" t="s">
        <v>10</v>
      </c>
      <c r="AK607" t="s">
        <v>21</v>
      </c>
      <c r="AO607" t="s">
        <v>3240</v>
      </c>
      <c r="AS607" t="s">
        <v>3244</v>
      </c>
      <c r="AT607" t="s">
        <v>3245</v>
      </c>
      <c r="AZ607" t="s">
        <v>3251</v>
      </c>
    </row>
    <row r="608" spans="1:52" x14ac:dyDescent="0.25">
      <c r="A608" t="s">
        <v>772</v>
      </c>
      <c r="B608" t="s">
        <v>787</v>
      </c>
      <c r="C608" t="s">
        <v>788</v>
      </c>
      <c r="D608" t="s">
        <v>24</v>
      </c>
      <c r="E608" t="s">
        <v>789</v>
      </c>
      <c r="F608" t="s">
        <v>26</v>
      </c>
      <c r="G608" t="str">
        <f>HYPERLINK("https://vk.com/wall-197114981_31?reply=1157&amp;thread=1156")</f>
        <v>https://vk.com/wall-197114981_31?reply=1157&amp;thread=1156</v>
      </c>
      <c r="H608" t="s">
        <v>13</v>
      </c>
      <c r="I608" t="s">
        <v>27</v>
      </c>
      <c r="J608" t="str">
        <f>HYPERLINK("http://vk.com/club197114981")</f>
        <v>http://vk.com/club197114981</v>
      </c>
      <c r="K608">
        <v>38</v>
      </c>
      <c r="L608" t="s">
        <v>28</v>
      </c>
      <c r="N608" t="s">
        <v>16</v>
      </c>
      <c r="O608" t="s">
        <v>27</v>
      </c>
      <c r="P608" t="str">
        <f>HYPERLINK("http://vk.com/club197114981")</f>
        <v>http://vk.com/club197114981</v>
      </c>
      <c r="Q608">
        <v>38</v>
      </c>
      <c r="R608" t="s">
        <v>17</v>
      </c>
      <c r="AJ608" t="s">
        <v>10</v>
      </c>
      <c r="AK608" t="s">
        <v>21</v>
      </c>
      <c r="AS608" t="s">
        <v>3244</v>
      </c>
      <c r="AT608" t="s">
        <v>3245</v>
      </c>
      <c r="AU608" t="s">
        <v>3246</v>
      </c>
    </row>
    <row r="609" spans="1:52" x14ac:dyDescent="0.25">
      <c r="A609" t="s">
        <v>2193</v>
      </c>
      <c r="B609" t="s">
        <v>2201</v>
      </c>
      <c r="C609" t="s">
        <v>968</v>
      </c>
      <c r="D609" t="s">
        <v>421</v>
      </c>
      <c r="E609" t="s">
        <v>2202</v>
      </c>
      <c r="F609" t="s">
        <v>26</v>
      </c>
      <c r="G609" t="str">
        <f>HYPERLINK("https://www.youtube.com/watch?v=gaka1vqYFNs&amp;lc=UgygmEjaPiu11YJ8Pnh4AaABAg")</f>
        <v>https://www.youtube.com/watch?v=gaka1vqYFNs&amp;lc=UgygmEjaPiu11YJ8Pnh4AaABAg</v>
      </c>
      <c r="H609" t="s">
        <v>885</v>
      </c>
      <c r="I609" t="s">
        <v>2203</v>
      </c>
      <c r="J609" t="str">
        <f>HYPERLINK("https://www.youtube.com/channel/UCJgVOuekG2HMShhusZq2ZLg")</f>
        <v>https://www.youtube.com/channel/UCJgVOuekG2HMShhusZq2ZLg</v>
      </c>
      <c r="K609">
        <v>0</v>
      </c>
      <c r="L609" t="s">
        <v>15</v>
      </c>
      <c r="N609" t="s">
        <v>162</v>
      </c>
      <c r="O609" t="s">
        <v>424</v>
      </c>
      <c r="P609" t="str">
        <f>HYPERLINK("https://www.youtube.com/channel/UC8fQzKHIhSoZeSq3bwQx4mw")</f>
        <v>https://www.youtube.com/channel/UC8fQzKHIhSoZeSq3bwQx4mw</v>
      </c>
      <c r="Q609">
        <v>517000</v>
      </c>
      <c r="R609" t="s">
        <v>17</v>
      </c>
      <c r="S609" t="s">
        <v>425</v>
      </c>
      <c r="W609">
        <v>1</v>
      </c>
      <c r="X609">
        <v>1</v>
      </c>
      <c r="AE609">
        <v>0</v>
      </c>
      <c r="AJ609" t="s">
        <v>10</v>
      </c>
      <c r="AK609" t="s">
        <v>21</v>
      </c>
      <c r="AS609" t="s">
        <v>3244</v>
      </c>
      <c r="AU609" t="s">
        <v>3246</v>
      </c>
    </row>
    <row r="610" spans="1:52" x14ac:dyDescent="0.25">
      <c r="A610" t="s">
        <v>2290</v>
      </c>
      <c r="B610" t="s">
        <v>2367</v>
      </c>
      <c r="C610" t="s">
        <v>968</v>
      </c>
      <c r="D610" t="s">
        <v>10</v>
      </c>
      <c r="E610" t="s">
        <v>2368</v>
      </c>
      <c r="F610" t="s">
        <v>12</v>
      </c>
      <c r="G610" t="str">
        <f>HYPERLINK("https://twitter.com/4066350023/status/1285054412805804033")</f>
        <v>https://twitter.com/4066350023/status/1285054412805804033</v>
      </c>
      <c r="H610" t="s">
        <v>885</v>
      </c>
      <c r="I610" t="s">
        <v>2369</v>
      </c>
      <c r="J610" t="str">
        <f>HYPERLINK("http://twitter.com/GilesHacconby")</f>
        <v>http://twitter.com/GilesHacconby</v>
      </c>
      <c r="K610">
        <v>6343</v>
      </c>
      <c r="N610" t="s">
        <v>54</v>
      </c>
      <c r="R610" t="s">
        <v>17</v>
      </c>
      <c r="S610" t="s">
        <v>425</v>
      </c>
      <c r="T610" t="s">
        <v>2370</v>
      </c>
      <c r="W610">
        <v>0</v>
      </c>
      <c r="X610">
        <v>0</v>
      </c>
      <c r="AJ610" t="s">
        <v>10</v>
      </c>
      <c r="AK610" t="s">
        <v>21</v>
      </c>
      <c r="AS610" t="s">
        <v>3244</v>
      </c>
      <c r="AU610" t="s">
        <v>3246</v>
      </c>
    </row>
    <row r="611" spans="1:52" x14ac:dyDescent="0.25">
      <c r="A611" t="s">
        <v>3021</v>
      </c>
      <c r="B611" t="s">
        <v>3044</v>
      </c>
      <c r="C611" t="s">
        <v>968</v>
      </c>
      <c r="D611" t="s">
        <v>10</v>
      </c>
      <c r="E611" t="s">
        <v>3045</v>
      </c>
      <c r="F611" t="s">
        <v>45</v>
      </c>
      <c r="G611" t="str">
        <f>HYPERLINK("https://www.facebook.com/permalink.php?story_fbid=3296741247037946&amp;id=100001063100518")</f>
        <v>https://www.facebook.com/permalink.php?story_fbid=3296741247037946&amp;id=100001063100518</v>
      </c>
      <c r="H611" t="s">
        <v>889</v>
      </c>
      <c r="I611" t="s">
        <v>2754</v>
      </c>
      <c r="J611" t="str">
        <f>HYPERLINK("https://www.facebook.com/100001063100518")</f>
        <v>https://www.facebook.com/100001063100518</v>
      </c>
      <c r="K611">
        <v>2154</v>
      </c>
      <c r="L611" t="s">
        <v>80</v>
      </c>
      <c r="N611" t="s">
        <v>179</v>
      </c>
      <c r="O611" t="s">
        <v>2754</v>
      </c>
      <c r="P611" t="str">
        <f>HYPERLINK("https://www.facebook.com/100001063100518")</f>
        <v>https://www.facebook.com/100001063100518</v>
      </c>
      <c r="Q611">
        <v>2154</v>
      </c>
      <c r="R611" t="s">
        <v>17</v>
      </c>
      <c r="S611" t="s">
        <v>18</v>
      </c>
      <c r="T611" t="s">
        <v>354</v>
      </c>
      <c r="U611" t="s">
        <v>3046</v>
      </c>
      <c r="W611">
        <v>63</v>
      </c>
      <c r="X611">
        <v>60</v>
      </c>
      <c r="Y611">
        <v>2</v>
      </c>
      <c r="Z611">
        <v>0</v>
      </c>
      <c r="AA611">
        <v>1</v>
      </c>
      <c r="AB611">
        <v>0</v>
      </c>
      <c r="AC611">
        <v>0</v>
      </c>
      <c r="AE611">
        <v>0</v>
      </c>
      <c r="AI611" t="str">
        <f>HYPERLINK("https://scontent-hel2-1.xx.fbcdn.net/v/t1.0-9/107418342_3296736850371719_4973557886911662812_n.jpg?_nc_cat=109&amp;_nc_sid=0debeb&amp;_nc_ohc=71U1ou5gDuwAX8POu26&amp;_nc_ht=scontent-hel2-1.xx&amp;oh=972b95595967cddaeeb217222a09ecf0&amp;oe=5F2F1846")</f>
        <v>https://scontent-hel2-1.xx.fbcdn.net/v/t1.0-9/107418342_3296736850371719_4973557886911662812_n.jpg?_nc_cat=109&amp;_nc_sid=0debeb&amp;_nc_ohc=71U1ou5gDuwAX8POu26&amp;_nc_ht=scontent-hel2-1.xx&amp;oh=972b95595967cddaeeb217222a09ecf0&amp;oe=5F2F1846</v>
      </c>
      <c r="AJ611" t="s">
        <v>10</v>
      </c>
      <c r="AK611" t="s">
        <v>21</v>
      </c>
      <c r="AS611" t="s">
        <v>3244</v>
      </c>
      <c r="AT611" t="s">
        <v>3245</v>
      </c>
      <c r="AU611" t="s">
        <v>3246</v>
      </c>
    </row>
    <row r="612" spans="1:52" x14ac:dyDescent="0.25">
      <c r="A612" t="s">
        <v>2380</v>
      </c>
      <c r="B612" t="s">
        <v>2419</v>
      </c>
      <c r="C612" t="s">
        <v>968</v>
      </c>
      <c r="D612" t="s">
        <v>10</v>
      </c>
      <c r="E612" t="s">
        <v>1124</v>
      </c>
      <c r="F612" t="s">
        <v>12</v>
      </c>
      <c r="G612" t="str">
        <f>HYPERLINK("https://vk.com/wall268275841_1211")</f>
        <v>https://vk.com/wall268275841_1211</v>
      </c>
      <c r="H612" t="s">
        <v>885</v>
      </c>
      <c r="I612" t="s">
        <v>2420</v>
      </c>
      <c r="J612" t="str">
        <f>HYPERLINK("http://vk.com/id268275841")</f>
        <v>http://vk.com/id268275841</v>
      </c>
      <c r="K612">
        <v>229</v>
      </c>
      <c r="L612" t="s">
        <v>80</v>
      </c>
      <c r="M612">
        <v>48</v>
      </c>
      <c r="N612" t="s">
        <v>16</v>
      </c>
      <c r="O612" t="s">
        <v>2420</v>
      </c>
      <c r="P612" t="str">
        <f>HYPERLINK("http://vk.com/id268275841")</f>
        <v>http://vk.com/id268275841</v>
      </c>
      <c r="Q612">
        <v>229</v>
      </c>
      <c r="R612" t="s">
        <v>17</v>
      </c>
      <c r="S612" t="s">
        <v>18</v>
      </c>
      <c r="T612" t="s">
        <v>272</v>
      </c>
      <c r="U612" t="s">
        <v>1300</v>
      </c>
      <c r="W612">
        <v>0</v>
      </c>
      <c r="X612">
        <v>0</v>
      </c>
      <c r="AE612">
        <v>0</v>
      </c>
      <c r="AF612">
        <v>0</v>
      </c>
      <c r="AG612">
        <v>21</v>
      </c>
      <c r="AI612" t="str">
        <f>HYPERLINK("https://sun9-30.userapi.com/c858436/v858436720/210a56/VTJvowMGSNI.jpg")</f>
        <v>https://sun9-30.userapi.com/c858436/v858436720/210a56/VTJvowMGSNI.jpg</v>
      </c>
      <c r="AJ612" t="s">
        <v>10</v>
      </c>
      <c r="AK612" t="s">
        <v>21</v>
      </c>
      <c r="AL612" t="s">
        <v>3237</v>
      </c>
      <c r="AS612" t="s">
        <v>3244</v>
      </c>
      <c r="AV612" t="s">
        <v>3247</v>
      </c>
      <c r="AW612" t="s">
        <v>3248</v>
      </c>
    </row>
    <row r="613" spans="1:52" x14ac:dyDescent="0.25">
      <c r="A613" t="s">
        <v>2684</v>
      </c>
      <c r="B613" t="s">
        <v>1369</v>
      </c>
      <c r="C613" t="s">
        <v>968</v>
      </c>
      <c r="D613" t="s">
        <v>10</v>
      </c>
      <c r="E613" t="s">
        <v>1947</v>
      </c>
      <c r="F613" t="s">
        <v>45</v>
      </c>
      <c r="G613" t="str">
        <f>HYPERLINK("https://www.facebook.com/mrtexpertrnd/photos/a.565935020817465/773850220025943/?type=3")</f>
        <v>https://www.facebook.com/mrtexpertrnd/photos/a.565935020817465/773850220025943/?type=3</v>
      </c>
      <c r="H613" t="s">
        <v>889</v>
      </c>
      <c r="I613" t="s">
        <v>125</v>
      </c>
      <c r="J613" t="str">
        <f>HYPERLINK("https://www.facebook.com/156600068417631")</f>
        <v>https://www.facebook.com/156600068417631</v>
      </c>
      <c r="K613">
        <v>236</v>
      </c>
      <c r="L613" t="s">
        <v>28</v>
      </c>
      <c r="N613" t="s">
        <v>179</v>
      </c>
      <c r="O613" t="s">
        <v>125</v>
      </c>
      <c r="P613" t="str">
        <f>HYPERLINK("https://www.facebook.com/156600068417631")</f>
        <v>https://www.facebook.com/156600068417631</v>
      </c>
      <c r="Q613">
        <v>236</v>
      </c>
      <c r="R613" t="s">
        <v>17</v>
      </c>
      <c r="S613" t="s">
        <v>18</v>
      </c>
      <c r="T613" t="s">
        <v>126</v>
      </c>
      <c r="U613" t="s">
        <v>127</v>
      </c>
      <c r="W613">
        <v>1</v>
      </c>
      <c r="X613">
        <v>1</v>
      </c>
      <c r="Y613">
        <v>0</v>
      </c>
      <c r="Z613">
        <v>0</v>
      </c>
      <c r="AA613">
        <v>0</v>
      </c>
      <c r="AB613">
        <v>0</v>
      </c>
      <c r="AC613">
        <v>0</v>
      </c>
      <c r="AE613">
        <v>0</v>
      </c>
      <c r="AF613">
        <v>1</v>
      </c>
      <c r="AI613" t="str">
        <f>HYPERLINK("https://scontent-hel2-1.xx.fbcdn.net/v/t1.0-0/p526x296/108053449_773850223359276_5806958101219805383_o.jpg?_nc_cat=111&amp;_nc_sid=9267fe&amp;_nc_ohc=8jNUov-RD5wAX8yTqao&amp;_nc_ht=scontent-hel2-1.xx&amp;_nc_tp=6&amp;oh=df4706fb892dfda37bcbca065de80c9d&amp;oe=5F34388D")</f>
        <v>https://scontent-hel2-1.xx.fbcdn.net/v/t1.0-0/p526x296/108053449_773850223359276_5806958101219805383_o.jpg?_nc_cat=111&amp;_nc_sid=9267fe&amp;_nc_ohc=8jNUov-RD5wAX8yTqao&amp;_nc_ht=scontent-hel2-1.xx&amp;_nc_tp=6&amp;oh=df4706fb892dfda37bcbca065de80c9d&amp;oe=5F34388D</v>
      </c>
      <c r="AJ613" t="s">
        <v>10</v>
      </c>
      <c r="AK613" t="s">
        <v>21</v>
      </c>
      <c r="AS613" t="s">
        <v>3244</v>
      </c>
      <c r="AT613" t="s">
        <v>3245</v>
      </c>
    </row>
    <row r="614" spans="1:52" x14ac:dyDescent="0.25">
      <c r="A614" t="s">
        <v>2767</v>
      </c>
      <c r="B614" t="s">
        <v>2822</v>
      </c>
      <c r="C614" t="s">
        <v>968</v>
      </c>
      <c r="D614" t="s">
        <v>10</v>
      </c>
      <c r="E614" t="s">
        <v>2825</v>
      </c>
      <c r="F614" t="s">
        <v>45</v>
      </c>
      <c r="G614" t="str">
        <f>HYPERLINK("https://www.instagram.com/p/CCkzhN_ipkH")</f>
        <v>https://www.instagram.com/p/CCkzhN_ipkH</v>
      </c>
      <c r="H614" t="s">
        <v>885</v>
      </c>
      <c r="I614" t="s">
        <v>2826</v>
      </c>
      <c r="J614" t="str">
        <f>HYPERLINK("http://instagram.com/mrt_chernozem")</f>
        <v>http://instagram.com/mrt_chernozem</v>
      </c>
      <c r="K614">
        <v>335</v>
      </c>
      <c r="N614" t="s">
        <v>69</v>
      </c>
      <c r="O614" t="s">
        <v>2826</v>
      </c>
      <c r="P614" t="str">
        <f>HYPERLINK("http://instagram.com/mrt_chernozem")</f>
        <v>http://instagram.com/mrt_chernozem</v>
      </c>
      <c r="Q614">
        <v>335</v>
      </c>
      <c r="R614" t="s">
        <v>17</v>
      </c>
      <c r="S614" t="s">
        <v>18</v>
      </c>
      <c r="T614" t="s">
        <v>141</v>
      </c>
      <c r="U614" t="s">
        <v>2232</v>
      </c>
      <c r="AI614" t="str">
        <f>HYPERLINK("https://www.instagram.com/p/CCkzhN_ipkH/media/?size=l")</f>
        <v>https://www.instagram.com/p/CCkzhN_ipkH/media/?size=l</v>
      </c>
      <c r="AJ614" t="s">
        <v>10</v>
      </c>
      <c r="AK614" t="s">
        <v>21</v>
      </c>
      <c r="AS614" t="s">
        <v>3244</v>
      </c>
      <c r="AU614" t="s">
        <v>3246</v>
      </c>
      <c r="AW614" t="s">
        <v>3248</v>
      </c>
      <c r="AZ614" t="s">
        <v>3251</v>
      </c>
    </row>
    <row r="615" spans="1:52" x14ac:dyDescent="0.25">
      <c r="A615" t="s">
        <v>2978</v>
      </c>
      <c r="B615" t="s">
        <v>908</v>
      </c>
      <c r="C615" t="s">
        <v>968</v>
      </c>
      <c r="D615" t="s">
        <v>10</v>
      </c>
      <c r="E615" t="s">
        <v>2986</v>
      </c>
      <c r="F615" t="s">
        <v>45</v>
      </c>
      <c r="G615" t="str">
        <f>HYPERLINK("https://vk.com/wall-193845049_81")</f>
        <v>https://vk.com/wall-193845049_81</v>
      </c>
      <c r="H615" t="s">
        <v>885</v>
      </c>
      <c r="I615" t="s">
        <v>2231</v>
      </c>
      <c r="J615" t="str">
        <f>HYPERLINK("http://vk.com/club193845049")</f>
        <v>http://vk.com/club193845049</v>
      </c>
      <c r="K615">
        <v>623</v>
      </c>
      <c r="L615" t="s">
        <v>28</v>
      </c>
      <c r="N615" t="s">
        <v>16</v>
      </c>
      <c r="O615" t="s">
        <v>2231</v>
      </c>
      <c r="P615" t="str">
        <f>HYPERLINK("http://vk.com/club193845049")</f>
        <v>http://vk.com/club193845049</v>
      </c>
      <c r="Q615">
        <v>623</v>
      </c>
      <c r="R615" t="s">
        <v>17</v>
      </c>
      <c r="S615" t="s">
        <v>18</v>
      </c>
      <c r="T615" t="s">
        <v>141</v>
      </c>
      <c r="U615" t="s">
        <v>2232</v>
      </c>
      <c r="W615">
        <v>5</v>
      </c>
      <c r="X615">
        <v>5</v>
      </c>
      <c r="AE615">
        <v>0</v>
      </c>
      <c r="AF615">
        <v>1</v>
      </c>
      <c r="AG615">
        <v>4513</v>
      </c>
      <c r="AI615" t="str">
        <f>HYPERLINK("https://sun1-25.userapi.com/TDnhxLczXMw_fnun0f5xH28cSxezUaqSDs7T2g/iggvNDnvK6g.jpg")</f>
        <v>https://sun1-25.userapi.com/TDnhxLczXMw_fnun0f5xH28cSxezUaqSDs7T2g/iggvNDnvK6g.jpg</v>
      </c>
      <c r="AJ615" t="s">
        <v>10</v>
      </c>
      <c r="AK615" t="s">
        <v>21</v>
      </c>
      <c r="AS615" t="s">
        <v>3244</v>
      </c>
      <c r="AU615" t="s">
        <v>3246</v>
      </c>
      <c r="AZ615" t="s">
        <v>3251</v>
      </c>
    </row>
    <row r="616" spans="1:52" x14ac:dyDescent="0.25">
      <c r="A616" t="s">
        <v>7</v>
      </c>
      <c r="B616" t="s">
        <v>283</v>
      </c>
      <c r="C616" t="s">
        <v>284</v>
      </c>
      <c r="D616" t="s">
        <v>24</v>
      </c>
      <c r="E616" t="s">
        <v>285</v>
      </c>
      <c r="F616" t="s">
        <v>26</v>
      </c>
      <c r="G616" t="str">
        <f>HYPERLINK("https://vk.com/wall-197114981_31?reply=1344&amp;thread=1317")</f>
        <v>https://vk.com/wall-197114981_31?reply=1344&amp;thread=1317</v>
      </c>
      <c r="H616" t="s">
        <v>13</v>
      </c>
      <c r="I616" t="s">
        <v>27</v>
      </c>
      <c r="J616" t="str">
        <f>HYPERLINK("http://vk.com/club197114981")</f>
        <v>http://vk.com/club197114981</v>
      </c>
      <c r="K616">
        <v>38</v>
      </c>
      <c r="L616" t="s">
        <v>28</v>
      </c>
      <c r="N616" t="s">
        <v>16</v>
      </c>
      <c r="O616" t="s">
        <v>27</v>
      </c>
      <c r="P616" t="str">
        <f>HYPERLINK("http://vk.com/club197114981")</f>
        <v>http://vk.com/club197114981</v>
      </c>
      <c r="Q616">
        <v>38</v>
      </c>
      <c r="R616" t="s">
        <v>17</v>
      </c>
      <c r="AJ616" t="s">
        <v>10</v>
      </c>
      <c r="AK616" t="s">
        <v>21</v>
      </c>
      <c r="AS616" t="s">
        <v>3244</v>
      </c>
      <c r="AW616" t="s">
        <v>3248</v>
      </c>
      <c r="AZ616" t="s">
        <v>3251</v>
      </c>
    </row>
    <row r="617" spans="1:52" x14ac:dyDescent="0.25">
      <c r="A617" t="s">
        <v>414</v>
      </c>
      <c r="B617" t="s">
        <v>752</v>
      </c>
      <c r="C617" t="s">
        <v>753</v>
      </c>
      <c r="D617" t="s">
        <v>24</v>
      </c>
      <c r="E617" t="s">
        <v>754</v>
      </c>
      <c r="F617" t="s">
        <v>26</v>
      </c>
      <c r="G617" t="str">
        <f>HYPERLINK("https://vk.com/wall-197114981_31?reply=1170&amp;thread=1139")</f>
        <v>https://vk.com/wall-197114981_31?reply=1170&amp;thread=1139</v>
      </c>
      <c r="H617" t="s">
        <v>13</v>
      </c>
      <c r="I617" t="s">
        <v>27</v>
      </c>
      <c r="J617" t="str">
        <f>HYPERLINK("http://vk.com/club197114981")</f>
        <v>http://vk.com/club197114981</v>
      </c>
      <c r="K617">
        <v>38</v>
      </c>
      <c r="L617" t="s">
        <v>28</v>
      </c>
      <c r="N617" t="s">
        <v>16</v>
      </c>
      <c r="O617" t="s">
        <v>27</v>
      </c>
      <c r="P617" t="str">
        <f>HYPERLINK("http://vk.com/club197114981")</f>
        <v>http://vk.com/club197114981</v>
      </c>
      <c r="Q617">
        <v>38</v>
      </c>
      <c r="R617" t="s">
        <v>17</v>
      </c>
      <c r="AJ617" t="s">
        <v>10</v>
      </c>
      <c r="AK617" t="s">
        <v>21</v>
      </c>
      <c r="AL617" t="s">
        <v>3237</v>
      </c>
      <c r="AO617" t="s">
        <v>3240</v>
      </c>
      <c r="AS617" t="s">
        <v>3244</v>
      </c>
      <c r="AT617" t="s">
        <v>3245</v>
      </c>
      <c r="AX617" t="s">
        <v>3249</v>
      </c>
      <c r="AZ617" t="s">
        <v>3251</v>
      </c>
    </row>
    <row r="618" spans="1:52" x14ac:dyDescent="0.25">
      <c r="A618" t="s">
        <v>1838</v>
      </c>
      <c r="B618" t="s">
        <v>1915</v>
      </c>
      <c r="C618" t="s">
        <v>984</v>
      </c>
      <c r="D618" t="s">
        <v>1890</v>
      </c>
      <c r="E618" t="s">
        <v>1916</v>
      </c>
      <c r="F618" t="s">
        <v>26</v>
      </c>
      <c r="G618" t="str">
        <f>HYPERLINK("https://vk.com/wall-106670753_947369?reply=947378")</f>
        <v>https://vk.com/wall-106670753_947369?reply=947378</v>
      </c>
      <c r="H618" t="s">
        <v>889</v>
      </c>
      <c r="I618" t="s">
        <v>1917</v>
      </c>
      <c r="J618" t="str">
        <f>HYPERLINK("http://vk.com/id40350090")</f>
        <v>http://vk.com/id40350090</v>
      </c>
      <c r="K618">
        <v>132</v>
      </c>
      <c r="L618" t="s">
        <v>80</v>
      </c>
      <c r="N618" t="s">
        <v>16</v>
      </c>
      <c r="O618" t="s">
        <v>1893</v>
      </c>
      <c r="P618" t="str">
        <f>HYPERLINK("http://vk.com/club106670753")</f>
        <v>http://vk.com/club106670753</v>
      </c>
      <c r="Q618">
        <v>8425</v>
      </c>
      <c r="R618" t="s">
        <v>17</v>
      </c>
      <c r="S618" t="s">
        <v>18</v>
      </c>
      <c r="AJ618" t="s">
        <v>10</v>
      </c>
      <c r="AK618" t="s">
        <v>21</v>
      </c>
      <c r="AO618" t="s">
        <v>3240</v>
      </c>
      <c r="AS618" t="s">
        <v>3244</v>
      </c>
      <c r="AW618" t="s">
        <v>3248</v>
      </c>
      <c r="AZ618" t="s">
        <v>3251</v>
      </c>
    </row>
    <row r="619" spans="1:52" x14ac:dyDescent="0.25">
      <c r="A619" t="s">
        <v>1597</v>
      </c>
      <c r="B619" t="s">
        <v>899</v>
      </c>
      <c r="C619" t="s">
        <v>984</v>
      </c>
      <c r="D619" t="s">
        <v>1623</v>
      </c>
      <c r="E619" t="s">
        <v>1637</v>
      </c>
      <c r="F619" t="s">
        <v>45</v>
      </c>
      <c r="G619" t="str">
        <f>HYPERLINK("https://www.msn.com/en-nz/news/us/what-went-wrong-during-the-northeast-s-first-covid-19-spike-and-is-the-region-ready-for-another/ar-BB17jv2Q")</f>
        <v>https://www.msn.com/en-nz/news/us/what-went-wrong-during-the-northeast-s-first-covid-19-spike-and-is-the-region-ready-for-another/ar-BB17jv2Q</v>
      </c>
      <c r="H619" t="s">
        <v>885</v>
      </c>
      <c r="I619" t="s">
        <v>1638</v>
      </c>
      <c r="J619" t="str">
        <f>HYPERLINK("https://www.msn.com/en-nz/")</f>
        <v>https://www.msn.com/en-nz/</v>
      </c>
      <c r="N619" t="s">
        <v>1632</v>
      </c>
      <c r="R619" t="s">
        <v>239</v>
      </c>
      <c r="S619" t="s">
        <v>1639</v>
      </c>
      <c r="AJ619" t="s">
        <v>10</v>
      </c>
      <c r="AK619" t="s">
        <v>21</v>
      </c>
      <c r="AO619" t="s">
        <v>3240</v>
      </c>
      <c r="AS619" t="s">
        <v>3244</v>
      </c>
      <c r="AU619" t="s">
        <v>3246</v>
      </c>
      <c r="AV619" t="s">
        <v>3247</v>
      </c>
      <c r="AW619" t="s">
        <v>3248</v>
      </c>
      <c r="AZ619" t="s">
        <v>3251</v>
      </c>
    </row>
    <row r="620" spans="1:52" x14ac:dyDescent="0.25">
      <c r="A620" t="s">
        <v>7</v>
      </c>
      <c r="B620" t="s">
        <v>47</v>
      </c>
      <c r="C620" t="s">
        <v>48</v>
      </c>
      <c r="D620" t="s">
        <v>10</v>
      </c>
      <c r="E620" t="s">
        <v>49</v>
      </c>
      <c r="F620" t="s">
        <v>45</v>
      </c>
      <c r="G620" t="str">
        <f>HYPERLINK("https://vk.com/wall-82034326_3988")</f>
        <v>https://vk.com/wall-82034326_3988</v>
      </c>
      <c r="H620" t="s">
        <v>13</v>
      </c>
      <c r="I620" t="s">
        <v>50</v>
      </c>
      <c r="J620" t="str">
        <f>HYPERLINK("http://vk.com/club82034326")</f>
        <v>http://vk.com/club82034326</v>
      </c>
      <c r="K620">
        <v>9307</v>
      </c>
      <c r="L620" t="s">
        <v>28</v>
      </c>
      <c r="N620" t="s">
        <v>16</v>
      </c>
      <c r="O620" t="s">
        <v>50</v>
      </c>
      <c r="P620" t="str">
        <f>HYPERLINK("http://vk.com/club82034326")</f>
        <v>http://vk.com/club82034326</v>
      </c>
      <c r="Q620">
        <v>9307</v>
      </c>
      <c r="R620" t="s">
        <v>17</v>
      </c>
      <c r="AI620" t="str">
        <f>HYPERLINK("https://sun9-40.userapi.com/c206724/v206724121/17da65/N3h0ALQAFaI.jpg")</f>
        <v>https://sun9-40.userapi.com/c206724/v206724121/17da65/N3h0ALQAFaI.jpg</v>
      </c>
      <c r="AJ620" t="s">
        <v>10</v>
      </c>
      <c r="AK620" t="s">
        <v>21</v>
      </c>
      <c r="AO620" t="s">
        <v>3240</v>
      </c>
      <c r="AS620" t="s">
        <v>3244</v>
      </c>
      <c r="AV620" t="s">
        <v>3247</v>
      </c>
      <c r="AX620" t="s">
        <v>3249</v>
      </c>
      <c r="AZ620" t="s">
        <v>3251</v>
      </c>
    </row>
    <row r="621" spans="1:52" x14ac:dyDescent="0.25">
      <c r="A621" t="s">
        <v>1277</v>
      </c>
      <c r="B621" t="s">
        <v>208</v>
      </c>
      <c r="C621" t="s">
        <v>984</v>
      </c>
      <c r="D621" t="s">
        <v>1330</v>
      </c>
      <c r="E621" t="s">
        <v>1331</v>
      </c>
      <c r="F621" t="s">
        <v>26</v>
      </c>
      <c r="G621" t="str">
        <f>HYPERLINK("https://vk.com/wall-48669646_10245?reply=10262&amp;thread=10253")</f>
        <v>https://vk.com/wall-48669646_10245?reply=10262&amp;thread=10253</v>
      </c>
      <c r="H621" t="s">
        <v>885</v>
      </c>
      <c r="I621" t="s">
        <v>1332</v>
      </c>
      <c r="J621" t="str">
        <f>HYPERLINK("http://vk.com/id32895930")</f>
        <v>http://vk.com/id32895930</v>
      </c>
      <c r="K621">
        <v>213</v>
      </c>
      <c r="L621" t="s">
        <v>80</v>
      </c>
      <c r="M621">
        <v>35</v>
      </c>
      <c r="N621" t="s">
        <v>16</v>
      </c>
      <c r="O621" t="s">
        <v>46</v>
      </c>
      <c r="P621" t="str">
        <f>HYPERLINK("http://vk.com/club48669646")</f>
        <v>http://vk.com/club48669646</v>
      </c>
      <c r="Q621">
        <v>5795</v>
      </c>
      <c r="R621" t="s">
        <v>17</v>
      </c>
      <c r="S621" t="s">
        <v>18</v>
      </c>
      <c r="AJ621" t="s">
        <v>10</v>
      </c>
      <c r="AK621" t="s">
        <v>21</v>
      </c>
      <c r="AO621" t="s">
        <v>3240</v>
      </c>
      <c r="AS621" t="s">
        <v>3244</v>
      </c>
      <c r="AU621" t="s">
        <v>3246</v>
      </c>
      <c r="AV621" t="s">
        <v>3247</v>
      </c>
      <c r="AX621" t="s">
        <v>3249</v>
      </c>
      <c r="AZ621" t="s">
        <v>3251</v>
      </c>
    </row>
    <row r="622" spans="1:52" x14ac:dyDescent="0.25">
      <c r="A622" t="s">
        <v>1462</v>
      </c>
      <c r="B622" t="s">
        <v>1171</v>
      </c>
      <c r="C622" t="s">
        <v>984</v>
      </c>
      <c r="D622" t="s">
        <v>10</v>
      </c>
      <c r="E622" t="s">
        <v>1475</v>
      </c>
      <c r="F622" t="s">
        <v>45</v>
      </c>
      <c r="G622" t="str">
        <f>HYPERLINK("https://www.instagram.com/p/CDTo15ThTJP")</f>
        <v>https://www.instagram.com/p/CDTo15ThTJP</v>
      </c>
      <c r="H622" t="s">
        <v>889</v>
      </c>
      <c r="I622" t="s">
        <v>1476</v>
      </c>
      <c r="J622" t="str">
        <f>HYPERLINK("http://instagram.com/clinic_expert_kursk")</f>
        <v>http://instagram.com/clinic_expert_kursk</v>
      </c>
      <c r="K622">
        <v>1960</v>
      </c>
      <c r="N622" t="s">
        <v>69</v>
      </c>
      <c r="O622" t="s">
        <v>1476</v>
      </c>
      <c r="P622" t="str">
        <f>HYPERLINK("http://instagram.com/clinic_expert_kursk")</f>
        <v>http://instagram.com/clinic_expert_kursk</v>
      </c>
      <c r="Q622">
        <v>1960</v>
      </c>
      <c r="R622" t="s">
        <v>17</v>
      </c>
      <c r="S622" t="s">
        <v>18</v>
      </c>
      <c r="T622" t="s">
        <v>231</v>
      </c>
      <c r="U622" t="s">
        <v>1266</v>
      </c>
      <c r="AI622" t="str">
        <f>HYPERLINK("https://www.instagram.com/p/CDTo15ThTJP/media/?size=l")</f>
        <v>https://www.instagram.com/p/CDTo15ThTJP/media/?size=l</v>
      </c>
      <c r="AJ622" t="s">
        <v>10</v>
      </c>
      <c r="AK622" t="s">
        <v>21</v>
      </c>
      <c r="AN622" t="s">
        <v>3239</v>
      </c>
      <c r="AS622" t="s">
        <v>3244</v>
      </c>
      <c r="AT622" t="s">
        <v>3245</v>
      </c>
      <c r="AU622" t="s">
        <v>3246</v>
      </c>
      <c r="AV622" t="s">
        <v>3247</v>
      </c>
      <c r="AX622" t="s">
        <v>3249</v>
      </c>
      <c r="AZ622" t="s">
        <v>3251</v>
      </c>
    </row>
    <row r="623" spans="1:52" x14ac:dyDescent="0.25">
      <c r="A623" t="s">
        <v>1518</v>
      </c>
      <c r="B623" t="s">
        <v>1541</v>
      </c>
      <c r="C623" t="s">
        <v>984</v>
      </c>
      <c r="D623" t="s">
        <v>10</v>
      </c>
      <c r="E623" t="s">
        <v>1487</v>
      </c>
      <c r="F623" t="s">
        <v>45</v>
      </c>
      <c r="G623" t="str">
        <f>HYPERLINK("https://www.facebook.com/mriexpert/posts/3229937177072737")</f>
        <v>https://www.facebook.com/mriexpert/posts/3229937177072737</v>
      </c>
      <c r="H623" t="s">
        <v>889</v>
      </c>
      <c r="I623" t="s">
        <v>46</v>
      </c>
      <c r="J623" t="str">
        <f>HYPERLINK("https://www.facebook.com/902980129768465")</f>
        <v>https://www.facebook.com/902980129768465</v>
      </c>
      <c r="K623">
        <v>1509</v>
      </c>
      <c r="L623" t="s">
        <v>28</v>
      </c>
      <c r="N623" t="s">
        <v>179</v>
      </c>
      <c r="O623" t="s">
        <v>46</v>
      </c>
      <c r="P623" t="str">
        <f>HYPERLINK("https://www.facebook.com/902980129768465")</f>
        <v>https://www.facebook.com/902980129768465</v>
      </c>
      <c r="Q623">
        <v>1509</v>
      </c>
      <c r="R623" t="s">
        <v>17</v>
      </c>
      <c r="W623">
        <v>6</v>
      </c>
      <c r="X623">
        <v>6</v>
      </c>
      <c r="Y623">
        <v>0</v>
      </c>
      <c r="Z623">
        <v>0</v>
      </c>
      <c r="AA623">
        <v>0</v>
      </c>
      <c r="AB623">
        <v>0</v>
      </c>
      <c r="AC623">
        <v>0</v>
      </c>
      <c r="AE623">
        <v>0</v>
      </c>
      <c r="AF623">
        <v>8</v>
      </c>
      <c r="AI623" t="str">
        <f>HYPERLINK("https://scontent-hel2-1.xx.fbcdn.net/v/t1.0-9/s960x960/116580080_3229936993739422_7168008555214612237_o.jpg?_nc_cat=104&amp;_nc_sid=730e14&amp;_nc_ohc=JCk2rCAIoZ8AX8EdU--&amp;_nc_ht=scontent-hel2-1.xx&amp;_nc_tp=7&amp;oh=14f193d9402d7fce489edf2729eb71d3&amp;oe=5F4949C2")</f>
        <v>https://scontent-hel2-1.xx.fbcdn.net/v/t1.0-9/s960x960/116580080_3229936993739422_7168008555214612237_o.jpg?_nc_cat=104&amp;_nc_sid=730e14&amp;_nc_ohc=JCk2rCAIoZ8AX8EdU--&amp;_nc_ht=scontent-hel2-1.xx&amp;_nc_tp=7&amp;oh=14f193d9402d7fce489edf2729eb71d3&amp;oe=5F4949C2</v>
      </c>
      <c r="AJ623" t="s">
        <v>10</v>
      </c>
      <c r="AK623" t="s">
        <v>21</v>
      </c>
      <c r="AS623" t="s">
        <v>3244</v>
      </c>
      <c r="AT623" t="s">
        <v>3245</v>
      </c>
      <c r="AZ623" t="s">
        <v>3251</v>
      </c>
    </row>
    <row r="624" spans="1:52" x14ac:dyDescent="0.25">
      <c r="A624" t="s">
        <v>1518</v>
      </c>
      <c r="B624" t="s">
        <v>379</v>
      </c>
      <c r="C624" t="s">
        <v>984</v>
      </c>
      <c r="D624" t="s">
        <v>10</v>
      </c>
      <c r="E624" t="s">
        <v>1593</v>
      </c>
      <c r="F624" t="s">
        <v>45</v>
      </c>
      <c r="G624" t="str">
        <f>HYPERLINK("https://twitter.com/270900518/status/1288595163179372551")</f>
        <v>https://twitter.com/270900518/status/1288595163179372551</v>
      </c>
      <c r="H624" t="s">
        <v>885</v>
      </c>
      <c r="I624" t="s">
        <v>1594</v>
      </c>
      <c r="J624" t="str">
        <f>HYPERLINK("http://twitter.com/mayocliniclabs")</f>
        <v>http://twitter.com/mayocliniclabs</v>
      </c>
      <c r="K624">
        <v>14874</v>
      </c>
      <c r="L624" t="s">
        <v>15</v>
      </c>
      <c r="N624" t="s">
        <v>54</v>
      </c>
      <c r="R624" t="s">
        <v>17</v>
      </c>
      <c r="S624" t="s">
        <v>425</v>
      </c>
      <c r="T624" t="s">
        <v>1595</v>
      </c>
      <c r="U624" t="s">
        <v>1596</v>
      </c>
      <c r="W624">
        <v>0</v>
      </c>
      <c r="X624">
        <v>0</v>
      </c>
      <c r="AF624">
        <v>0</v>
      </c>
      <c r="AI624" t="str">
        <f>HYPERLINK("https://pbs.twimg.com/media/EeICeMAXoAEdxhI.jpg")</f>
        <v>https://pbs.twimg.com/media/EeICeMAXoAEdxhI.jpg</v>
      </c>
      <c r="AJ624" t="s">
        <v>10</v>
      </c>
      <c r="AK624" t="s">
        <v>21</v>
      </c>
      <c r="AM624" t="s">
        <v>3238</v>
      </c>
      <c r="AS624" t="s">
        <v>3244</v>
      </c>
      <c r="AT624" t="s">
        <v>3245</v>
      </c>
      <c r="AU624" t="s">
        <v>3246</v>
      </c>
      <c r="AW624" t="s">
        <v>3248</v>
      </c>
      <c r="AZ624" t="s">
        <v>3251</v>
      </c>
    </row>
    <row r="625" spans="1:52" x14ac:dyDescent="0.25">
      <c r="A625" t="s">
        <v>1597</v>
      </c>
      <c r="B625" t="s">
        <v>1678</v>
      </c>
      <c r="C625" t="s">
        <v>984</v>
      </c>
      <c r="D625" t="s">
        <v>10</v>
      </c>
      <c r="E625" t="s">
        <v>1679</v>
      </c>
      <c r="F625" t="s">
        <v>45</v>
      </c>
      <c r="G625" t="str">
        <f>HYPERLINK("https://vk.com/wall-158633337_953")</f>
        <v>https://vk.com/wall-158633337_953</v>
      </c>
      <c r="H625" t="s">
        <v>889</v>
      </c>
      <c r="I625" t="s">
        <v>125</v>
      </c>
      <c r="J625" t="str">
        <f>HYPERLINK("http://vk.com/club158633337")</f>
        <v>http://vk.com/club158633337</v>
      </c>
      <c r="K625">
        <v>4852</v>
      </c>
      <c r="L625" t="s">
        <v>28</v>
      </c>
      <c r="N625" t="s">
        <v>16</v>
      </c>
      <c r="O625" t="s">
        <v>125</v>
      </c>
      <c r="P625" t="str">
        <f>HYPERLINK("http://vk.com/club158633337")</f>
        <v>http://vk.com/club158633337</v>
      </c>
      <c r="Q625">
        <v>4852</v>
      </c>
      <c r="R625" t="s">
        <v>17</v>
      </c>
      <c r="S625" t="s">
        <v>18</v>
      </c>
      <c r="T625" t="s">
        <v>126</v>
      </c>
      <c r="U625" t="s">
        <v>127</v>
      </c>
      <c r="W625">
        <v>0</v>
      </c>
      <c r="X625">
        <v>0</v>
      </c>
      <c r="AE625">
        <v>0</v>
      </c>
      <c r="AF625">
        <v>0</v>
      </c>
      <c r="AG625">
        <v>133</v>
      </c>
      <c r="AI625" t="str">
        <f>HYPERLINK("https://sun1-14.userapi.com/2xWBWuaZZIJ9CBbUR6OCLQB4bZq_a7CeQnxGEg/XkYD_GD3MYE.jpg")</f>
        <v>https://sun1-14.userapi.com/2xWBWuaZZIJ9CBbUR6OCLQB4bZq_a7CeQnxGEg/XkYD_GD3MYE.jpg</v>
      </c>
      <c r="AJ625" t="s">
        <v>10</v>
      </c>
      <c r="AK625" t="s">
        <v>21</v>
      </c>
      <c r="AM625" t="s">
        <v>3238</v>
      </c>
      <c r="AS625" t="s">
        <v>3244</v>
      </c>
      <c r="AW625" t="s">
        <v>3248</v>
      </c>
      <c r="AX625" t="s">
        <v>3249</v>
      </c>
      <c r="AZ625" t="s">
        <v>3251</v>
      </c>
    </row>
    <row r="626" spans="1:52" x14ac:dyDescent="0.25">
      <c r="A626" t="s">
        <v>1597</v>
      </c>
      <c r="B626" t="s">
        <v>1484</v>
      </c>
      <c r="C626" t="s">
        <v>984</v>
      </c>
      <c r="D626" t="s">
        <v>1623</v>
      </c>
      <c r="E626" t="s">
        <v>1688</v>
      </c>
      <c r="F626" t="s">
        <v>45</v>
      </c>
      <c r="G626" t="str">
        <f>HYPERLINK("https://www.hattiesburgamerican.com/story/news/nation/2020/07/29/covid-new-york-new-jersey-northeast-region-second-coronavirus-spike/5526854002")</f>
        <v>https://www.hattiesburgamerican.com/story/news/nation/2020/07/29/covid-new-york-new-jersey-northeast-region-second-coronavirus-spike/5526854002</v>
      </c>
      <c r="H626" t="s">
        <v>885</v>
      </c>
      <c r="I626" t="s">
        <v>1689</v>
      </c>
      <c r="J626" t="str">
        <f>HYPERLINK("https://www.hattiesburgamerican.com")</f>
        <v>https://www.hattiesburgamerican.com</v>
      </c>
      <c r="N626" t="s">
        <v>1690</v>
      </c>
      <c r="R626" t="s">
        <v>239</v>
      </c>
      <c r="S626" t="s">
        <v>425</v>
      </c>
      <c r="AJ626" t="s">
        <v>10</v>
      </c>
      <c r="AK626" t="s">
        <v>21</v>
      </c>
      <c r="AS626" t="s">
        <v>3244</v>
      </c>
      <c r="AT626" t="s">
        <v>3245</v>
      </c>
      <c r="AU626" t="s">
        <v>3246</v>
      </c>
      <c r="AZ626" t="s">
        <v>3251</v>
      </c>
    </row>
    <row r="627" spans="1:52" x14ac:dyDescent="0.25">
      <c r="A627" t="s">
        <v>1723</v>
      </c>
      <c r="B627" t="s">
        <v>1738</v>
      </c>
      <c r="C627" t="s">
        <v>984</v>
      </c>
      <c r="D627" t="s">
        <v>1739</v>
      </c>
      <c r="E627" t="s">
        <v>1740</v>
      </c>
      <c r="F627" t="s">
        <v>45</v>
      </c>
      <c r="G627" t="str">
        <f>HYPERLINK("https://www.mpnnow.com/news/20200728/northeast-states-work-to-learn-from-missteps")</f>
        <v>https://www.mpnnow.com/news/20200728/northeast-states-work-to-learn-from-missteps</v>
      </c>
      <c r="H627" t="s">
        <v>885</v>
      </c>
      <c r="I627" t="s">
        <v>1741</v>
      </c>
      <c r="J627" t="str">
        <f>HYPERLINK("https://www.mpnnow.com/news/20200728/northeast-states-work-to-learn-from-missteps")</f>
        <v>https://www.mpnnow.com/news/20200728/northeast-states-work-to-learn-from-missteps</v>
      </c>
      <c r="N627" t="s">
        <v>1742</v>
      </c>
      <c r="R627" t="s">
        <v>239</v>
      </c>
      <c r="S627" t="s">
        <v>425</v>
      </c>
      <c r="AJ627" t="s">
        <v>10</v>
      </c>
      <c r="AK627" t="s">
        <v>21</v>
      </c>
      <c r="AS627" t="s">
        <v>3244</v>
      </c>
      <c r="AX627" t="s">
        <v>3249</v>
      </c>
      <c r="AZ627" t="s">
        <v>3251</v>
      </c>
    </row>
    <row r="628" spans="1:52" x14ac:dyDescent="0.25">
      <c r="A628" t="s">
        <v>1723</v>
      </c>
      <c r="B628" t="s">
        <v>1759</v>
      </c>
      <c r="C628" t="s">
        <v>984</v>
      </c>
      <c r="D628" t="s">
        <v>10</v>
      </c>
      <c r="E628" t="s">
        <v>1760</v>
      </c>
      <c r="F628" t="s">
        <v>45</v>
      </c>
      <c r="G628" t="str">
        <f>HYPERLINK("https://vk.com/wall-97208796_929")</f>
        <v>https://vk.com/wall-97208796_929</v>
      </c>
      <c r="H628" t="s">
        <v>889</v>
      </c>
      <c r="I628" t="s">
        <v>36</v>
      </c>
      <c r="J628" t="str">
        <f>HYPERLINK("http://vk.com/club97208796")</f>
        <v>http://vk.com/club97208796</v>
      </c>
      <c r="K628">
        <v>3425</v>
      </c>
      <c r="L628" t="s">
        <v>28</v>
      </c>
      <c r="N628" t="s">
        <v>16</v>
      </c>
      <c r="O628" t="s">
        <v>36</v>
      </c>
      <c r="P628" t="str">
        <f>HYPERLINK("http://vk.com/club97208796")</f>
        <v>http://vk.com/club97208796</v>
      </c>
      <c r="Q628">
        <v>3425</v>
      </c>
      <c r="R628" t="s">
        <v>17</v>
      </c>
      <c r="S628" t="s">
        <v>18</v>
      </c>
      <c r="T628" t="s">
        <v>37</v>
      </c>
      <c r="U628" t="s">
        <v>38</v>
      </c>
      <c r="W628">
        <v>2</v>
      </c>
      <c r="X628">
        <v>2</v>
      </c>
      <c r="AE628">
        <v>0</v>
      </c>
      <c r="AF628">
        <v>0</v>
      </c>
      <c r="AG628">
        <v>432</v>
      </c>
      <c r="AI628" t="str">
        <f>HYPERLINK("https://sun9-32.userapi.com/mTT3ShMBynCVRzn2d0Kb9I4ZRPCLHaS_htrjfA/MkqtKF9JJMc.jpg")</f>
        <v>https://sun9-32.userapi.com/mTT3ShMBynCVRzn2d0Kb9I4ZRPCLHaS_htrjfA/MkqtKF9JJMc.jpg</v>
      </c>
      <c r="AJ628" t="s">
        <v>10</v>
      </c>
      <c r="AK628" t="s">
        <v>21</v>
      </c>
      <c r="AS628" t="s">
        <v>3244</v>
      </c>
      <c r="AT628" t="s">
        <v>3245</v>
      </c>
      <c r="AU628" t="s">
        <v>3246</v>
      </c>
      <c r="AV628" t="s">
        <v>3247</v>
      </c>
      <c r="AW628" t="s">
        <v>3248</v>
      </c>
      <c r="AX628" t="s">
        <v>3249</v>
      </c>
      <c r="AZ628" t="s">
        <v>3251</v>
      </c>
    </row>
    <row r="629" spans="1:52" x14ac:dyDescent="0.25">
      <c r="A629" t="s">
        <v>1838</v>
      </c>
      <c r="B629" t="s">
        <v>1858</v>
      </c>
      <c r="C629" t="s">
        <v>984</v>
      </c>
      <c r="D629" t="s">
        <v>10</v>
      </c>
      <c r="E629" t="s">
        <v>1859</v>
      </c>
      <c r="F629" t="s">
        <v>12</v>
      </c>
      <c r="G629" t="str">
        <f>HYPERLINK("https://vk.com/wall181461130_8248")</f>
        <v>https://vk.com/wall181461130_8248</v>
      </c>
      <c r="H629" t="s">
        <v>885</v>
      </c>
      <c r="I629" t="s">
        <v>1860</v>
      </c>
      <c r="J629" t="str">
        <f>HYPERLINK("http://vk.com/id181461130")</f>
        <v>http://vk.com/id181461130</v>
      </c>
      <c r="K629">
        <v>378</v>
      </c>
      <c r="L629" t="s">
        <v>80</v>
      </c>
      <c r="N629" t="s">
        <v>16</v>
      </c>
      <c r="O629" t="s">
        <v>1860</v>
      </c>
      <c r="P629" t="str">
        <f>HYPERLINK("http://vk.com/id181461130")</f>
        <v>http://vk.com/id181461130</v>
      </c>
      <c r="Q629">
        <v>378</v>
      </c>
      <c r="R629" t="s">
        <v>17</v>
      </c>
      <c r="S629" t="s">
        <v>18</v>
      </c>
      <c r="T629" t="s">
        <v>37</v>
      </c>
      <c r="U629" t="s">
        <v>971</v>
      </c>
      <c r="W629">
        <v>0</v>
      </c>
      <c r="X629">
        <v>0</v>
      </c>
      <c r="AE629">
        <v>0</v>
      </c>
      <c r="AF629">
        <v>0</v>
      </c>
      <c r="AG629">
        <v>22</v>
      </c>
      <c r="AI629" t="str">
        <f>HYPERLINK("https://sun9-19.userapi.com/on9ePpaFZs_Q-sB9cP8-hklrpPP_a1CziEt5fA/oFRsr8KRYyg.jpg")</f>
        <v>https://sun9-19.userapi.com/on9ePpaFZs_Q-sB9cP8-hklrpPP_a1CziEt5fA/oFRsr8KRYyg.jpg</v>
      </c>
      <c r="AJ629" t="s">
        <v>10</v>
      </c>
      <c r="AK629" t="s">
        <v>21</v>
      </c>
      <c r="AS629" t="s">
        <v>3244</v>
      </c>
      <c r="AU629" t="s">
        <v>3246</v>
      </c>
      <c r="AZ629" t="s">
        <v>3251</v>
      </c>
    </row>
    <row r="630" spans="1:52" x14ac:dyDescent="0.25">
      <c r="A630" t="s">
        <v>1982</v>
      </c>
      <c r="B630" t="s">
        <v>1985</v>
      </c>
      <c r="C630" t="s">
        <v>968</v>
      </c>
      <c r="D630" t="s">
        <v>1986</v>
      </c>
      <c r="E630" t="s">
        <v>1987</v>
      </c>
      <c r="F630" t="s">
        <v>26</v>
      </c>
      <c r="G630" t="str">
        <f>HYPERLINK("https://pikabu.ru/story/svidanie_7607991?cid=175539664")</f>
        <v>https://pikabu.ru/story/svidanie_7607991?cid=175539664</v>
      </c>
      <c r="H630" t="s">
        <v>885</v>
      </c>
      <c r="I630" t="s">
        <v>1988</v>
      </c>
      <c r="J630" t="str">
        <f>HYPERLINK("http://pikabu.ru/profile/FarFoar")</f>
        <v>http://pikabu.ru/profile/FarFoar</v>
      </c>
      <c r="N630" t="s">
        <v>1989</v>
      </c>
      <c r="O630" t="s">
        <v>1990</v>
      </c>
      <c r="P630" t="str">
        <f>HYPERLINK("http://pikabu.ru/profile/bmdrum")</f>
        <v>http://pikabu.ru/profile/bmdrum</v>
      </c>
      <c r="R630" t="s">
        <v>966</v>
      </c>
      <c r="AJ630" t="s">
        <v>10</v>
      </c>
      <c r="AK630" t="s">
        <v>21</v>
      </c>
      <c r="AS630" t="s">
        <v>3244</v>
      </c>
    </row>
    <row r="631" spans="1:52" x14ac:dyDescent="0.25">
      <c r="A631" t="s">
        <v>2193</v>
      </c>
      <c r="B631" t="s">
        <v>590</v>
      </c>
      <c r="C631" t="s">
        <v>968</v>
      </c>
      <c r="D631" t="s">
        <v>10</v>
      </c>
      <c r="E631" t="s">
        <v>2227</v>
      </c>
      <c r="F631" t="s">
        <v>45</v>
      </c>
      <c r="G631" t="str">
        <f>HYPERLINK("https://www.instagram.com/p/CC8N4ARoRUJ")</f>
        <v>https://www.instagram.com/p/CC8N4ARoRUJ</v>
      </c>
      <c r="H631" t="s">
        <v>889</v>
      </c>
      <c r="I631" t="s">
        <v>2228</v>
      </c>
      <c r="J631" t="str">
        <f>HYPERLINK("http://instagram.com/ann_matikainen")</f>
        <v>http://instagram.com/ann_matikainen</v>
      </c>
      <c r="K631">
        <v>2023</v>
      </c>
      <c r="N631" t="s">
        <v>69</v>
      </c>
      <c r="O631" t="s">
        <v>2228</v>
      </c>
      <c r="P631" t="str">
        <f>HYPERLINK("http://instagram.com/ann_matikainen")</f>
        <v>http://instagram.com/ann_matikainen</v>
      </c>
      <c r="Q631">
        <v>2023</v>
      </c>
      <c r="R631" t="s">
        <v>17</v>
      </c>
      <c r="S631" t="s">
        <v>18</v>
      </c>
      <c r="T631" t="s">
        <v>525</v>
      </c>
      <c r="U631" t="s">
        <v>526</v>
      </c>
      <c r="AI631" t="str">
        <f>HYPERLINK("https://www.instagram.com/p/CC8N4ARoRUJ/media/?size=l")</f>
        <v>https://www.instagram.com/p/CC8N4ARoRUJ/media/?size=l</v>
      </c>
      <c r="AJ631" t="s">
        <v>10</v>
      </c>
      <c r="AK631" t="s">
        <v>21</v>
      </c>
      <c r="AS631" t="s">
        <v>3244</v>
      </c>
    </row>
    <row r="632" spans="1:52" x14ac:dyDescent="0.25">
      <c r="A632" t="s">
        <v>2193</v>
      </c>
      <c r="B632" t="s">
        <v>240</v>
      </c>
      <c r="C632" t="s">
        <v>968</v>
      </c>
      <c r="D632" t="s">
        <v>2241</v>
      </c>
      <c r="E632" t="s">
        <v>2242</v>
      </c>
      <c r="F632" t="s">
        <v>45</v>
      </c>
      <c r="G632" t="str">
        <f>HYPERLINK("https://www.youtube.com/watch?v=7re1Z9cgMCM")</f>
        <v>https://www.youtube.com/watch?v=7re1Z9cgMCM</v>
      </c>
      <c r="H632" t="s">
        <v>885</v>
      </c>
      <c r="I632" t="s">
        <v>1417</v>
      </c>
      <c r="J632" t="str">
        <f>HYPERLINK("https://www.youtube.com/channel/UCgWzxf09OkFTERutHdZTQdg")</f>
        <v>https://www.youtube.com/channel/UCgWzxf09OkFTERutHdZTQdg</v>
      </c>
      <c r="K632">
        <v>224</v>
      </c>
      <c r="N632" t="s">
        <v>162</v>
      </c>
      <c r="O632" t="s">
        <v>1417</v>
      </c>
      <c r="P632" t="str">
        <f>HYPERLINK("https://www.youtube.com/channel/UCgWzxf09OkFTERutHdZTQdg")</f>
        <v>https://www.youtube.com/channel/UCgWzxf09OkFTERutHdZTQdg</v>
      </c>
      <c r="Q632">
        <v>224</v>
      </c>
      <c r="R632" t="s">
        <v>17</v>
      </c>
      <c r="W632">
        <v>0</v>
      </c>
      <c r="X632">
        <v>0</v>
      </c>
      <c r="AD632">
        <v>0</v>
      </c>
      <c r="AE632">
        <v>0</v>
      </c>
      <c r="AG632">
        <v>5</v>
      </c>
      <c r="AI632" t="str">
        <f>HYPERLINK("https://i.ytimg.com/vi/7re1Z9cgMCM/maxresdefault.jpg")</f>
        <v>https://i.ytimg.com/vi/7re1Z9cgMCM/maxresdefault.jpg</v>
      </c>
      <c r="AJ632" t="s">
        <v>10</v>
      </c>
      <c r="AK632" t="s">
        <v>21</v>
      </c>
      <c r="AS632" t="s">
        <v>3244</v>
      </c>
    </row>
    <row r="633" spans="1:52" x14ac:dyDescent="0.25">
      <c r="A633" t="s">
        <v>2260</v>
      </c>
      <c r="B633" t="s">
        <v>2135</v>
      </c>
      <c r="C633" t="s">
        <v>968</v>
      </c>
      <c r="D633" t="s">
        <v>10</v>
      </c>
      <c r="E633" t="s">
        <v>1857</v>
      </c>
      <c r="F633" t="s">
        <v>45</v>
      </c>
      <c r="G633" t="str">
        <f>HYPERLINK("https://vk.com/wall-158633337_939")</f>
        <v>https://vk.com/wall-158633337_939</v>
      </c>
      <c r="H633" t="s">
        <v>885</v>
      </c>
      <c r="I633" t="s">
        <v>125</v>
      </c>
      <c r="J633" t="str">
        <f>HYPERLINK("http://vk.com/club158633337")</f>
        <v>http://vk.com/club158633337</v>
      </c>
      <c r="K633">
        <v>4852</v>
      </c>
      <c r="L633" t="s">
        <v>28</v>
      </c>
      <c r="N633" t="s">
        <v>16</v>
      </c>
      <c r="O633" t="s">
        <v>125</v>
      </c>
      <c r="P633" t="str">
        <f>HYPERLINK("http://vk.com/club158633337")</f>
        <v>http://vk.com/club158633337</v>
      </c>
      <c r="Q633">
        <v>4852</v>
      </c>
      <c r="R633" t="s">
        <v>17</v>
      </c>
      <c r="S633" t="s">
        <v>18</v>
      </c>
      <c r="T633" t="s">
        <v>126</v>
      </c>
      <c r="U633" t="s">
        <v>127</v>
      </c>
      <c r="W633">
        <v>0</v>
      </c>
      <c r="X633">
        <v>0</v>
      </c>
      <c r="AE633">
        <v>0</v>
      </c>
      <c r="AF633">
        <v>0</v>
      </c>
      <c r="AG633">
        <v>97</v>
      </c>
      <c r="AI633" t="str">
        <f>HYPERLINK("https://sun1-83.userapi.com/6nwED_J1zDr8DLroaD13Wehn3M18QoJbhJ8Zlw/0b9q7nNaYJc.jpg")</f>
        <v>https://sun1-83.userapi.com/6nwED_J1zDr8DLroaD13Wehn3M18QoJbhJ8Zlw/0b9q7nNaYJc.jpg</v>
      </c>
      <c r="AJ633" t="s">
        <v>10</v>
      </c>
      <c r="AK633" t="s">
        <v>21</v>
      </c>
      <c r="AL633" t="s">
        <v>3237</v>
      </c>
      <c r="AO633" t="s">
        <v>3240</v>
      </c>
      <c r="AS633" t="s">
        <v>3244</v>
      </c>
      <c r="AU633" t="s">
        <v>3246</v>
      </c>
      <c r="AW633" t="s">
        <v>3248</v>
      </c>
    </row>
    <row r="634" spans="1:52" x14ac:dyDescent="0.25">
      <c r="A634" t="s">
        <v>2290</v>
      </c>
      <c r="B634" t="s">
        <v>42</v>
      </c>
      <c r="C634" t="s">
        <v>968</v>
      </c>
      <c r="D634" t="s">
        <v>10</v>
      </c>
      <c r="E634" t="s">
        <v>2333</v>
      </c>
      <c r="F634" t="s">
        <v>12</v>
      </c>
      <c r="G634" t="str">
        <f>HYPERLINK("https://www.facebook.com/568390943273818/posts/2995023167277238")</f>
        <v>https://www.facebook.com/568390943273818/posts/2995023167277238</v>
      </c>
      <c r="H634" t="s">
        <v>885</v>
      </c>
      <c r="I634" t="s">
        <v>280</v>
      </c>
      <c r="J634" t="str">
        <f>HYPERLINK("https://www.facebook.com/568390943273818")</f>
        <v>https://www.facebook.com/568390943273818</v>
      </c>
      <c r="K634">
        <v>18918</v>
      </c>
      <c r="L634" t="s">
        <v>28</v>
      </c>
      <c r="N634" t="s">
        <v>179</v>
      </c>
      <c r="O634" t="s">
        <v>280</v>
      </c>
      <c r="P634" t="str">
        <f>HYPERLINK("https://www.facebook.com/568390943273818")</f>
        <v>https://www.facebook.com/568390943273818</v>
      </c>
      <c r="Q634">
        <v>18918</v>
      </c>
      <c r="R634" t="s">
        <v>17</v>
      </c>
      <c r="S634" t="s">
        <v>281</v>
      </c>
      <c r="T634" t="s">
        <v>282</v>
      </c>
      <c r="U634" t="s">
        <v>282</v>
      </c>
      <c r="AI634" t="str">
        <f>HYPERLINK("https://scontent-dfw5-2.xx.fbcdn.net/v/t1.0-9/s720x720/109314779_2995011970611691_3680988903944179941_o.jpg?_nc_cat=102&amp;_nc_sid=8024bb&amp;_nc_ohc=gZhG1tQlgmYAX9Qyyms&amp;_nc_ht=scontent-dfw5-2.xx&amp;_nc_tp=7&amp;oh=a64ca675e2786b19dbb4235b0782144a&amp;oe=5F39E0C9")</f>
        <v>https://scontent-dfw5-2.xx.fbcdn.net/v/t1.0-9/s720x720/109314779_2995011970611691_3680988903944179941_o.jpg?_nc_cat=102&amp;_nc_sid=8024bb&amp;_nc_ohc=gZhG1tQlgmYAX9Qyyms&amp;_nc_ht=scontent-dfw5-2.xx&amp;_nc_tp=7&amp;oh=a64ca675e2786b19dbb4235b0782144a&amp;oe=5F39E0C9</v>
      </c>
      <c r="AJ634" t="s">
        <v>10</v>
      </c>
      <c r="AK634" t="s">
        <v>21</v>
      </c>
      <c r="AL634" t="s">
        <v>3237</v>
      </c>
      <c r="AO634" t="s">
        <v>3240</v>
      </c>
      <c r="AS634" t="s">
        <v>3244</v>
      </c>
      <c r="AU634" t="s">
        <v>3246</v>
      </c>
      <c r="AX634" t="s">
        <v>3249</v>
      </c>
    </row>
    <row r="635" spans="1:52" x14ac:dyDescent="0.25">
      <c r="A635" t="s">
        <v>2290</v>
      </c>
      <c r="B635" t="s">
        <v>2344</v>
      </c>
      <c r="C635" t="s">
        <v>968</v>
      </c>
      <c r="D635" t="s">
        <v>10</v>
      </c>
      <c r="E635" t="s">
        <v>2345</v>
      </c>
      <c r="F635" t="s">
        <v>12</v>
      </c>
      <c r="G635" t="str">
        <f>HYPERLINK("https://www.facebook.com/372029212917134/posts/3079787588807936")</f>
        <v>https://www.facebook.com/372029212917134/posts/3079787588807936</v>
      </c>
      <c r="H635" t="s">
        <v>885</v>
      </c>
      <c r="I635" t="s">
        <v>2314</v>
      </c>
      <c r="J635" t="str">
        <f>HYPERLINK("https://www.facebook.com/372029212917134")</f>
        <v>https://www.facebook.com/372029212917134</v>
      </c>
      <c r="K635">
        <v>29597</v>
      </c>
      <c r="L635" t="s">
        <v>28</v>
      </c>
      <c r="N635" t="s">
        <v>179</v>
      </c>
      <c r="O635" t="s">
        <v>2314</v>
      </c>
      <c r="P635" t="str">
        <f>HYPERLINK("https://www.facebook.com/372029212917134")</f>
        <v>https://www.facebook.com/372029212917134</v>
      </c>
      <c r="Q635">
        <v>29597</v>
      </c>
      <c r="R635" t="s">
        <v>17</v>
      </c>
      <c r="S635" t="s">
        <v>1206</v>
      </c>
      <c r="T635" t="s">
        <v>2315</v>
      </c>
      <c r="U635" t="s">
        <v>2316</v>
      </c>
      <c r="W635">
        <v>13</v>
      </c>
      <c r="X635">
        <v>13</v>
      </c>
      <c r="Y635">
        <v>0</v>
      </c>
      <c r="Z635">
        <v>0</v>
      </c>
      <c r="AA635">
        <v>0</v>
      </c>
      <c r="AB635">
        <v>0</v>
      </c>
      <c r="AC635">
        <v>0</v>
      </c>
      <c r="AE635">
        <v>1</v>
      </c>
      <c r="AF635">
        <v>7</v>
      </c>
      <c r="AI635" t="str">
        <f>HYPERLINK("https://scontent-lhr8-1.xx.fbcdn.net/v/t1.0-9/s720x720/115887056_3079775452142483_5713160170551100811_o.jpg?_nc_cat=111&amp;_nc_sid=8024bb&amp;_nc_ohc=g-8a6IugN4EAX-tMzBI&amp;_nc_ht=scontent-lhr8-1.xx&amp;_nc_tp=7&amp;oh=25a6402a07039a1f46dd10d22835c6af&amp;oe=5F3CF51B")</f>
        <v>https://scontent-lhr8-1.xx.fbcdn.net/v/t1.0-9/s720x720/115887056_3079775452142483_5713160170551100811_o.jpg?_nc_cat=111&amp;_nc_sid=8024bb&amp;_nc_ohc=g-8a6IugN4EAX-tMzBI&amp;_nc_ht=scontent-lhr8-1.xx&amp;_nc_tp=7&amp;oh=25a6402a07039a1f46dd10d22835c6af&amp;oe=5F3CF51B</v>
      </c>
      <c r="AJ635" t="s">
        <v>10</v>
      </c>
      <c r="AK635" t="s">
        <v>21</v>
      </c>
      <c r="AM635" t="s">
        <v>3238</v>
      </c>
      <c r="AN635" t="s">
        <v>3239</v>
      </c>
      <c r="AS635" t="s">
        <v>3244</v>
      </c>
      <c r="AT635" t="s">
        <v>3245</v>
      </c>
      <c r="AU635" t="s">
        <v>3246</v>
      </c>
      <c r="AX635" t="s">
        <v>3249</v>
      </c>
    </row>
    <row r="636" spans="1:52" x14ac:dyDescent="0.25">
      <c r="A636" t="s">
        <v>3100</v>
      </c>
      <c r="B636" t="s">
        <v>3194</v>
      </c>
      <c r="C636" t="s">
        <v>968</v>
      </c>
      <c r="D636" t="s">
        <v>10</v>
      </c>
      <c r="E636" t="s">
        <v>3195</v>
      </c>
      <c r="F636" t="s">
        <v>45</v>
      </c>
      <c r="G636" t="str">
        <f>HYPERLINK("https://twitter.com/1263409947951464448/status/1280670780335034368")</f>
        <v>https://twitter.com/1263409947951464448/status/1280670780335034368</v>
      </c>
      <c r="H636" t="s">
        <v>885</v>
      </c>
      <c r="I636" t="s">
        <v>3196</v>
      </c>
      <c r="J636" t="str">
        <f>HYPERLINK("http://twitter.com/William_Leib2nd")</f>
        <v>http://twitter.com/William_Leib2nd</v>
      </c>
      <c r="K636">
        <v>198</v>
      </c>
      <c r="L636" t="s">
        <v>15</v>
      </c>
      <c r="N636" t="s">
        <v>54</v>
      </c>
      <c r="R636" t="s">
        <v>17</v>
      </c>
      <c r="S636" t="s">
        <v>425</v>
      </c>
      <c r="T636" t="s">
        <v>695</v>
      </c>
      <c r="U636" t="s">
        <v>3197</v>
      </c>
      <c r="W636">
        <v>0</v>
      </c>
      <c r="X636">
        <v>0</v>
      </c>
      <c r="AE636">
        <v>1</v>
      </c>
      <c r="AF636">
        <v>0</v>
      </c>
      <c r="AJ636" t="s">
        <v>10</v>
      </c>
      <c r="AK636" t="s">
        <v>21</v>
      </c>
      <c r="AL636" t="s">
        <v>3237</v>
      </c>
      <c r="AS636" t="s">
        <v>3244</v>
      </c>
      <c r="AT636" t="s">
        <v>3245</v>
      </c>
      <c r="AV636" t="s">
        <v>3247</v>
      </c>
      <c r="AX636" t="s">
        <v>3249</v>
      </c>
    </row>
    <row r="637" spans="1:52" x14ac:dyDescent="0.25">
      <c r="A637" t="s">
        <v>7</v>
      </c>
      <c r="B637" t="s">
        <v>83</v>
      </c>
      <c r="C637" t="s">
        <v>84</v>
      </c>
      <c r="D637" t="s">
        <v>24</v>
      </c>
      <c r="E637" t="s">
        <v>85</v>
      </c>
      <c r="F637" t="s">
        <v>26</v>
      </c>
      <c r="G637" t="str">
        <f>HYPERLINK("https://vk.com/wall-197114981_31?reply=1372&amp;thread=1368")</f>
        <v>https://vk.com/wall-197114981_31?reply=1372&amp;thread=1368</v>
      </c>
      <c r="H637" t="s">
        <v>13</v>
      </c>
      <c r="I637" t="s">
        <v>27</v>
      </c>
      <c r="J637" t="str">
        <f>HYPERLINK("http://vk.com/club197114981")</f>
        <v>http://vk.com/club197114981</v>
      </c>
      <c r="K637">
        <v>38</v>
      </c>
      <c r="L637" t="s">
        <v>28</v>
      </c>
      <c r="N637" t="s">
        <v>16</v>
      </c>
      <c r="O637" t="s">
        <v>27</v>
      </c>
      <c r="P637" t="str">
        <f>HYPERLINK("http://vk.com/club197114981")</f>
        <v>http://vk.com/club197114981</v>
      </c>
      <c r="Q637">
        <v>38</v>
      </c>
      <c r="R637" t="s">
        <v>17</v>
      </c>
      <c r="AJ637" t="s">
        <v>10</v>
      </c>
      <c r="AK637" t="s">
        <v>21</v>
      </c>
      <c r="AL637" t="s">
        <v>3237</v>
      </c>
      <c r="AS637" t="s">
        <v>3244</v>
      </c>
    </row>
    <row r="638" spans="1:52" x14ac:dyDescent="0.25">
      <c r="A638" t="s">
        <v>7</v>
      </c>
      <c r="B638" t="s">
        <v>302</v>
      </c>
      <c r="C638" t="s">
        <v>303</v>
      </c>
      <c r="D638" t="s">
        <v>24</v>
      </c>
      <c r="E638" t="s">
        <v>307</v>
      </c>
      <c r="F638" t="s">
        <v>26</v>
      </c>
      <c r="G638" t="str">
        <f>HYPERLINK("https://vk.com/wall-197114981_31?reply=1339&amp;thread=1335")</f>
        <v>https://vk.com/wall-197114981_31?reply=1339&amp;thread=1335</v>
      </c>
      <c r="H638" t="s">
        <v>13</v>
      </c>
      <c r="I638" t="s">
        <v>27</v>
      </c>
      <c r="J638" t="str">
        <f>HYPERLINK("http://vk.com/club197114981")</f>
        <v>http://vk.com/club197114981</v>
      </c>
      <c r="K638">
        <v>38</v>
      </c>
      <c r="L638" t="s">
        <v>28</v>
      </c>
      <c r="N638" t="s">
        <v>16</v>
      </c>
      <c r="O638" t="s">
        <v>27</v>
      </c>
      <c r="P638" t="str">
        <f>HYPERLINK("http://vk.com/club197114981")</f>
        <v>http://vk.com/club197114981</v>
      </c>
      <c r="Q638">
        <v>38</v>
      </c>
      <c r="R638" t="s">
        <v>17</v>
      </c>
      <c r="AJ638" t="s">
        <v>10</v>
      </c>
      <c r="AK638" t="s">
        <v>21</v>
      </c>
      <c r="AS638" t="s">
        <v>3244</v>
      </c>
    </row>
    <row r="639" spans="1:52" x14ac:dyDescent="0.25">
      <c r="A639" t="s">
        <v>7</v>
      </c>
      <c r="B639" t="s">
        <v>374</v>
      </c>
      <c r="C639" t="s">
        <v>375</v>
      </c>
      <c r="D639" t="s">
        <v>24</v>
      </c>
      <c r="E639" t="s">
        <v>376</v>
      </c>
      <c r="F639" t="s">
        <v>26</v>
      </c>
      <c r="G639" t="str">
        <f>HYPERLINK("https://vk.com/wall-197114981_31?reply=1309&amp;thread=1266")</f>
        <v>https://vk.com/wall-197114981_31?reply=1309&amp;thread=1266</v>
      </c>
      <c r="H639" t="s">
        <v>13</v>
      </c>
      <c r="I639" t="s">
        <v>27</v>
      </c>
      <c r="J639" t="str">
        <f>HYPERLINK("http://vk.com/club197114981")</f>
        <v>http://vk.com/club197114981</v>
      </c>
      <c r="K639">
        <v>38</v>
      </c>
      <c r="L639" t="s">
        <v>28</v>
      </c>
      <c r="N639" t="s">
        <v>16</v>
      </c>
      <c r="O639" t="s">
        <v>27</v>
      </c>
      <c r="P639" t="str">
        <f>HYPERLINK("http://vk.com/club197114981")</f>
        <v>http://vk.com/club197114981</v>
      </c>
      <c r="Q639">
        <v>38</v>
      </c>
      <c r="R639" t="s">
        <v>17</v>
      </c>
      <c r="AJ639" t="s">
        <v>10</v>
      </c>
      <c r="AK639" t="s">
        <v>21</v>
      </c>
      <c r="AS639" t="s">
        <v>3244</v>
      </c>
      <c r="AT639" t="s">
        <v>3245</v>
      </c>
    </row>
    <row r="640" spans="1:52" x14ac:dyDescent="0.25">
      <c r="A640" t="s">
        <v>2589</v>
      </c>
      <c r="B640" t="s">
        <v>384</v>
      </c>
      <c r="C640" t="s">
        <v>968</v>
      </c>
      <c r="D640" t="s">
        <v>2651</v>
      </c>
      <c r="E640" t="s">
        <v>2652</v>
      </c>
      <c r="F640" t="s">
        <v>45</v>
      </c>
      <c r="G640" t="str">
        <f>HYPERLINK("https://ok.ru/group/52733251748006/topic/151799557217190")</f>
        <v>https://ok.ru/group/52733251748006/topic/151799557217190</v>
      </c>
      <c r="H640" t="s">
        <v>885</v>
      </c>
      <c r="I640" t="s">
        <v>2683</v>
      </c>
      <c r="J640" t="str">
        <f>HYPERLINK("https://ok.ru/group/52733251748006")</f>
        <v>https://ok.ru/group/52733251748006</v>
      </c>
      <c r="K640">
        <v>2444</v>
      </c>
      <c r="L640" t="s">
        <v>28</v>
      </c>
      <c r="N640" t="s">
        <v>135</v>
      </c>
      <c r="O640" t="s">
        <v>2683</v>
      </c>
      <c r="P640" t="str">
        <f>HYPERLINK("https://ok.ru/group/52733251748006")</f>
        <v>https://ok.ru/group/52733251748006</v>
      </c>
      <c r="Q640">
        <v>2444</v>
      </c>
      <c r="R640" t="s">
        <v>17</v>
      </c>
      <c r="W640">
        <v>1</v>
      </c>
      <c r="X640">
        <v>1</v>
      </c>
      <c r="Y640">
        <v>0</v>
      </c>
      <c r="Z640">
        <v>0</v>
      </c>
      <c r="AA640">
        <v>0</v>
      </c>
      <c r="AB640">
        <v>0</v>
      </c>
      <c r="AE640">
        <v>0</v>
      </c>
      <c r="AF640">
        <v>0</v>
      </c>
      <c r="AI640" t="str">
        <f>HYPERLINK("https://i.mycdn.me/image?id=897036341210&amp;t=20&amp;plc=API&amp;aid=1131601408&amp;tkn=*sX0LF7vYxpssIg-UfQDEZ2b3WgY")</f>
        <v>https://i.mycdn.me/image?id=897036341210&amp;t=20&amp;plc=API&amp;aid=1131601408&amp;tkn=*sX0LF7vYxpssIg-UfQDEZ2b3WgY</v>
      </c>
      <c r="AJ640" t="s">
        <v>10</v>
      </c>
      <c r="AK640" t="s">
        <v>21</v>
      </c>
      <c r="AO640" t="s">
        <v>3240</v>
      </c>
      <c r="AS640" t="s">
        <v>3244</v>
      </c>
      <c r="AT640" t="s">
        <v>3245</v>
      </c>
      <c r="AU640" t="s">
        <v>3246</v>
      </c>
      <c r="AV640" t="s">
        <v>3247</v>
      </c>
    </row>
    <row r="641" spans="1:52" x14ac:dyDescent="0.25">
      <c r="A641" t="s">
        <v>2684</v>
      </c>
      <c r="B641" t="s">
        <v>2687</v>
      </c>
      <c r="C641" t="s">
        <v>968</v>
      </c>
      <c r="D641" t="s">
        <v>10</v>
      </c>
      <c r="E641" t="s">
        <v>2688</v>
      </c>
      <c r="F641" t="s">
        <v>12</v>
      </c>
      <c r="G641" t="str">
        <f>HYPERLINK("https://www.facebook.com/david.minasyan.3781/posts/3088068371276353")</f>
        <v>https://www.facebook.com/david.minasyan.3781/posts/3088068371276353</v>
      </c>
      <c r="H641" t="s">
        <v>885</v>
      </c>
      <c r="I641" t="s">
        <v>2689</v>
      </c>
      <c r="J641" t="str">
        <f>HYPERLINK("https://www.facebook.com/100002196606651")</f>
        <v>https://www.facebook.com/100002196606651</v>
      </c>
      <c r="K641">
        <v>67</v>
      </c>
      <c r="L641" t="s">
        <v>15</v>
      </c>
      <c r="M641">
        <v>26</v>
      </c>
      <c r="N641" t="s">
        <v>179</v>
      </c>
      <c r="O641" t="s">
        <v>2689</v>
      </c>
      <c r="P641" t="str">
        <f>HYPERLINK("https://www.facebook.com/100002196606651")</f>
        <v>https://www.facebook.com/100002196606651</v>
      </c>
      <c r="Q641">
        <v>67</v>
      </c>
      <c r="R641" t="s">
        <v>17</v>
      </c>
      <c r="S641" t="s">
        <v>2690</v>
      </c>
      <c r="T641" t="s">
        <v>2691</v>
      </c>
      <c r="U641" t="s">
        <v>2692</v>
      </c>
      <c r="W641">
        <v>3</v>
      </c>
      <c r="X641">
        <v>3</v>
      </c>
      <c r="Y641">
        <v>0</v>
      </c>
      <c r="Z641">
        <v>0</v>
      </c>
      <c r="AA641">
        <v>0</v>
      </c>
      <c r="AB641">
        <v>0</v>
      </c>
      <c r="AC641">
        <v>0</v>
      </c>
      <c r="AE641">
        <v>0</v>
      </c>
      <c r="AF641">
        <v>2</v>
      </c>
      <c r="AI641" t="str">
        <f>HYPERLINK("https://scontent-hel2-1.xx.fbcdn.net/v/t15.13418-10/107718255_3109660389083815_8825691245568026571_n.jpg?_nc_cat=108&amp;_nc_sid=ad6a45&amp;_nc_ohc=fyWVkB1ebcUAX_RUp9z&amp;_nc_ht=scontent-hel2-1.xx&amp;oh=4372d7669789be21b1f118c70d2a106e&amp;oe=5F34D9DA")</f>
        <v>https://scontent-hel2-1.xx.fbcdn.net/v/t15.13418-10/107718255_3109660389083815_8825691245568026571_n.jpg?_nc_cat=108&amp;_nc_sid=ad6a45&amp;_nc_ohc=fyWVkB1ebcUAX_RUp9z&amp;_nc_ht=scontent-hel2-1.xx&amp;oh=4372d7669789be21b1f118c70d2a106e&amp;oe=5F34D9DA</v>
      </c>
      <c r="AJ641" t="s">
        <v>10</v>
      </c>
      <c r="AK641" t="s">
        <v>21</v>
      </c>
      <c r="AO641" t="s">
        <v>3240</v>
      </c>
      <c r="AS641" t="s">
        <v>3244</v>
      </c>
      <c r="AV641" t="s">
        <v>3247</v>
      </c>
    </row>
    <row r="642" spans="1:52" x14ac:dyDescent="0.25">
      <c r="A642" t="s">
        <v>2684</v>
      </c>
      <c r="B642" t="s">
        <v>1473</v>
      </c>
      <c r="C642" t="s">
        <v>968</v>
      </c>
      <c r="D642" t="s">
        <v>10</v>
      </c>
      <c r="E642" t="s">
        <v>2688</v>
      </c>
      <c r="F642" t="s">
        <v>45</v>
      </c>
      <c r="G642" t="str">
        <f>HYPERLINK("https://www.facebook.com/armnih/videos/645506432839880")</f>
        <v>https://www.facebook.com/armnih/videos/645506432839880</v>
      </c>
      <c r="H642" t="s">
        <v>885</v>
      </c>
      <c r="I642" t="s">
        <v>2743</v>
      </c>
      <c r="J642" t="str">
        <f>HYPERLINK("https://www.facebook.com/840131862677849")</f>
        <v>https://www.facebook.com/840131862677849</v>
      </c>
      <c r="K642">
        <v>14615</v>
      </c>
      <c r="L642" t="s">
        <v>28</v>
      </c>
      <c r="N642" t="s">
        <v>179</v>
      </c>
      <c r="O642" t="s">
        <v>2743</v>
      </c>
      <c r="P642" t="str">
        <f>HYPERLINK("https://www.facebook.com/840131862677849")</f>
        <v>https://www.facebook.com/840131862677849</v>
      </c>
      <c r="Q642">
        <v>14615</v>
      </c>
      <c r="R642" t="s">
        <v>17</v>
      </c>
      <c r="S642" t="s">
        <v>2690</v>
      </c>
      <c r="T642" t="s">
        <v>2700</v>
      </c>
      <c r="U642" t="s">
        <v>2700</v>
      </c>
      <c r="W642">
        <v>67</v>
      </c>
      <c r="X642">
        <v>56</v>
      </c>
      <c r="Y642">
        <v>9</v>
      </c>
      <c r="Z642">
        <v>1</v>
      </c>
      <c r="AA642">
        <v>1</v>
      </c>
      <c r="AB642">
        <v>0</v>
      </c>
      <c r="AC642">
        <v>0</v>
      </c>
      <c r="AE642">
        <v>18</v>
      </c>
      <c r="AF642">
        <v>28</v>
      </c>
      <c r="AI642" t="s">
        <v>2744</v>
      </c>
      <c r="AJ642" t="s">
        <v>10</v>
      </c>
      <c r="AK642" t="s">
        <v>21</v>
      </c>
      <c r="AM642" t="s">
        <v>3238</v>
      </c>
      <c r="AN642" t="s">
        <v>3239</v>
      </c>
      <c r="AS642" t="s">
        <v>3244</v>
      </c>
      <c r="AV642" t="s">
        <v>3247</v>
      </c>
      <c r="AW642" t="s">
        <v>3248</v>
      </c>
    </row>
    <row r="643" spans="1:52" x14ac:dyDescent="0.25">
      <c r="A643" t="s">
        <v>2684</v>
      </c>
      <c r="B643" t="s">
        <v>1327</v>
      </c>
      <c r="C643" t="s">
        <v>968</v>
      </c>
      <c r="D643" t="s">
        <v>10</v>
      </c>
      <c r="E643" t="s">
        <v>2752</v>
      </c>
      <c r="F643" t="s">
        <v>12</v>
      </c>
      <c r="G643" t="str">
        <f>HYPERLINK("https://www.facebook.com/asst.jul/posts/4071611036245320")</f>
        <v>https://www.facebook.com/asst.jul/posts/4071611036245320</v>
      </c>
      <c r="H643" t="s">
        <v>889</v>
      </c>
      <c r="I643" t="s">
        <v>2753</v>
      </c>
      <c r="J643" t="str">
        <f>HYPERLINK("https://www.facebook.com/100001893920672")</f>
        <v>https://www.facebook.com/100001893920672</v>
      </c>
      <c r="K643">
        <v>5333</v>
      </c>
      <c r="L643" t="s">
        <v>15</v>
      </c>
      <c r="N643" t="s">
        <v>179</v>
      </c>
      <c r="O643" t="s">
        <v>2753</v>
      </c>
      <c r="P643" t="str">
        <f>HYPERLINK("https://www.facebook.com/100001893920672")</f>
        <v>https://www.facebook.com/100001893920672</v>
      </c>
      <c r="Q643">
        <v>5333</v>
      </c>
      <c r="R643" t="s">
        <v>17</v>
      </c>
      <c r="S643" t="s">
        <v>18</v>
      </c>
      <c r="T643" t="s">
        <v>1015</v>
      </c>
      <c r="U643" t="s">
        <v>1016</v>
      </c>
      <c r="W643">
        <v>5</v>
      </c>
      <c r="X643">
        <v>5</v>
      </c>
      <c r="Y643">
        <v>0</v>
      </c>
      <c r="Z643">
        <v>0</v>
      </c>
      <c r="AA643">
        <v>0</v>
      </c>
      <c r="AB643">
        <v>0</v>
      </c>
      <c r="AC643">
        <v>0</v>
      </c>
      <c r="AE643">
        <v>0</v>
      </c>
      <c r="AI643" t="str">
        <f>HYPERLINK("https://scontent-hel2-1.xx.fbcdn.net/v/t1.0-9/107896233_3309584482420289_8432793678039861666_n.jpg?_nc_cat=107&amp;_nc_sid=0debeb&amp;_nc_ohc=tngmq11FzjEAX9qJcUi&amp;_nc_ht=scontent-hel2-1.xx&amp;oh=0ca055773a457e5fb976d94b090c7189&amp;oe=5F31CD0E")</f>
        <v>https://scontent-hel2-1.xx.fbcdn.net/v/t1.0-9/107896233_3309584482420289_8432793678039861666_n.jpg?_nc_cat=107&amp;_nc_sid=0debeb&amp;_nc_ohc=tngmq11FzjEAX9qJcUi&amp;_nc_ht=scontent-hel2-1.xx&amp;oh=0ca055773a457e5fb976d94b090c7189&amp;oe=5F31CD0E</v>
      </c>
      <c r="AJ643" t="s">
        <v>10</v>
      </c>
      <c r="AK643" t="s">
        <v>21</v>
      </c>
      <c r="AS643" t="s">
        <v>3244</v>
      </c>
      <c r="AT643" t="s">
        <v>3245</v>
      </c>
      <c r="AU643" t="s">
        <v>3246</v>
      </c>
      <c r="AV643" t="s">
        <v>3247</v>
      </c>
      <c r="AW643" t="s">
        <v>3248</v>
      </c>
      <c r="AX643" t="s">
        <v>3249</v>
      </c>
    </row>
    <row r="644" spans="1:52" x14ac:dyDescent="0.25">
      <c r="A644" t="s">
        <v>2767</v>
      </c>
      <c r="B644" t="s">
        <v>1093</v>
      </c>
      <c r="C644" t="s">
        <v>968</v>
      </c>
      <c r="D644" t="s">
        <v>10</v>
      </c>
      <c r="E644" t="s">
        <v>2804</v>
      </c>
      <c r="F644" t="s">
        <v>45</v>
      </c>
      <c r="G644" t="str">
        <f>HYPERLINK("https://www.facebook.com/expert.klinika.stavropol/photos/a.108004590782008/165236801725453/?type=3")</f>
        <v>https://www.facebook.com/expert.klinika.stavropol/photos/a.108004590782008/165236801725453/?type=3</v>
      </c>
      <c r="H644" t="s">
        <v>885</v>
      </c>
      <c r="I644" t="s">
        <v>640</v>
      </c>
      <c r="J644" t="str">
        <f>HYPERLINK("https://www.facebook.com/107325724183228")</f>
        <v>https://www.facebook.com/107325724183228</v>
      </c>
      <c r="K644">
        <v>1</v>
      </c>
      <c r="L644" t="s">
        <v>28</v>
      </c>
      <c r="N644" t="s">
        <v>179</v>
      </c>
      <c r="O644" t="s">
        <v>640</v>
      </c>
      <c r="P644" t="str">
        <f>HYPERLINK("https://www.facebook.com/107325724183228")</f>
        <v>https://www.facebook.com/107325724183228</v>
      </c>
      <c r="Q644">
        <v>1</v>
      </c>
      <c r="R644" t="s">
        <v>17</v>
      </c>
      <c r="S644" t="s">
        <v>18</v>
      </c>
      <c r="T644" t="s">
        <v>641</v>
      </c>
      <c r="U644" t="s">
        <v>642</v>
      </c>
      <c r="W644">
        <v>0</v>
      </c>
      <c r="X644">
        <v>0</v>
      </c>
      <c r="Y644">
        <v>0</v>
      </c>
      <c r="Z644">
        <v>0</v>
      </c>
      <c r="AA644">
        <v>0</v>
      </c>
      <c r="AB644">
        <v>0</v>
      </c>
      <c r="AC644">
        <v>0</v>
      </c>
      <c r="AE644">
        <v>0</v>
      </c>
      <c r="AI644" t="str">
        <f>HYPERLINK("https://scontent-hel2-1.xx.fbcdn.net/v/t1.0-0/p526x296/109099577_165236805058786_6316035332722223136_o.jpg?_nc_cat=101&amp;_nc_sid=9267fe&amp;_nc_ohc=u3XU4y1BVRQAX9SqVZt&amp;_nc_ht=scontent-hel2-1.xx&amp;_nc_tp=6&amp;oh=1c5fe5943a49c4ae6c60e45b383d48d1&amp;oe=5F30C7C3")</f>
        <v>https://scontent-hel2-1.xx.fbcdn.net/v/t1.0-0/p526x296/109099577_165236805058786_6316035332722223136_o.jpg?_nc_cat=101&amp;_nc_sid=9267fe&amp;_nc_ohc=u3XU4y1BVRQAX9SqVZt&amp;_nc_ht=scontent-hel2-1.xx&amp;_nc_tp=6&amp;oh=1c5fe5943a49c4ae6c60e45b383d48d1&amp;oe=5F30C7C3</v>
      </c>
      <c r="AJ644" t="s">
        <v>10</v>
      </c>
      <c r="AK644" t="s">
        <v>21</v>
      </c>
      <c r="AM644" t="s">
        <v>3238</v>
      </c>
      <c r="AY644" t="s">
        <v>3250</v>
      </c>
    </row>
    <row r="645" spans="1:52" x14ac:dyDescent="0.25">
      <c r="A645" t="s">
        <v>2767</v>
      </c>
      <c r="B645" t="s">
        <v>1911</v>
      </c>
      <c r="C645" t="s">
        <v>968</v>
      </c>
      <c r="D645" t="s">
        <v>2832</v>
      </c>
      <c r="E645" t="s">
        <v>2833</v>
      </c>
      <c r="F645" t="s">
        <v>26</v>
      </c>
      <c r="G645" t="str">
        <f>HYPERLINK("https://vk.com/wall-125331076_745416?reply=752310")</f>
        <v>https://vk.com/wall-125331076_745416?reply=752310</v>
      </c>
      <c r="H645" t="s">
        <v>889</v>
      </c>
      <c r="I645" t="s">
        <v>2309</v>
      </c>
      <c r="J645" t="str">
        <f>HYPERLINK("http://vk.com/id14737732")</f>
        <v>http://vk.com/id14737732</v>
      </c>
      <c r="K645">
        <v>1091</v>
      </c>
      <c r="L645" t="s">
        <v>80</v>
      </c>
      <c r="N645" t="s">
        <v>16</v>
      </c>
      <c r="O645" t="s">
        <v>1154</v>
      </c>
      <c r="P645" t="str">
        <f>HYPERLINK("http://vk.com/club125331076")</f>
        <v>http://vk.com/club125331076</v>
      </c>
      <c r="Q645">
        <v>38231</v>
      </c>
      <c r="R645" t="s">
        <v>17</v>
      </c>
      <c r="AJ645" t="s">
        <v>10</v>
      </c>
      <c r="AK645" t="s">
        <v>21</v>
      </c>
      <c r="AN645" t="s">
        <v>3239</v>
      </c>
      <c r="AO645" t="s">
        <v>3240</v>
      </c>
      <c r="AW645" t="s">
        <v>3248</v>
      </c>
      <c r="AX645" t="s">
        <v>3249</v>
      </c>
      <c r="AY645" t="s">
        <v>3250</v>
      </c>
    </row>
    <row r="646" spans="1:52" x14ac:dyDescent="0.25">
      <c r="A646" t="s">
        <v>2767</v>
      </c>
      <c r="B646" t="s">
        <v>2037</v>
      </c>
      <c r="C646" t="s">
        <v>968</v>
      </c>
      <c r="D646" t="s">
        <v>10</v>
      </c>
      <c r="E646" t="s">
        <v>2858</v>
      </c>
      <c r="F646" t="s">
        <v>12</v>
      </c>
      <c r="G646" t="str">
        <f>HYPERLINK("https://vk.com/wall240749683_854")</f>
        <v>https://vk.com/wall240749683_854</v>
      </c>
      <c r="H646" t="s">
        <v>885</v>
      </c>
      <c r="I646" t="s">
        <v>2859</v>
      </c>
      <c r="J646" t="str">
        <f>HYPERLINK("http://vk.com/id240749683")</f>
        <v>http://vk.com/id240749683</v>
      </c>
      <c r="K646">
        <v>527</v>
      </c>
      <c r="L646" t="s">
        <v>80</v>
      </c>
      <c r="N646" t="s">
        <v>16</v>
      </c>
      <c r="O646" t="s">
        <v>2859</v>
      </c>
      <c r="P646" t="str">
        <f>HYPERLINK("http://vk.com/id240749683")</f>
        <v>http://vk.com/id240749683</v>
      </c>
      <c r="Q646">
        <v>527</v>
      </c>
      <c r="R646" t="s">
        <v>17</v>
      </c>
      <c r="S646" t="s">
        <v>18</v>
      </c>
      <c r="T646" t="s">
        <v>141</v>
      </c>
      <c r="U646" t="s">
        <v>2232</v>
      </c>
      <c r="W646">
        <v>2</v>
      </c>
      <c r="X646">
        <v>2</v>
      </c>
      <c r="AE646">
        <v>0</v>
      </c>
      <c r="AF646">
        <v>0</v>
      </c>
      <c r="AG646">
        <v>18</v>
      </c>
      <c r="AI646" t="str">
        <f>HYPERLINK("https://sun6-14.userapi.com/qbsd7vDvuPGO9c3ViDeDokpu9tDDkKNsqh2Jqw/Zld99H_RgH8.jpg")</f>
        <v>https://sun6-14.userapi.com/qbsd7vDvuPGO9c3ViDeDokpu9tDDkKNsqh2Jqw/Zld99H_RgH8.jpg</v>
      </c>
      <c r="AJ646" t="s">
        <v>10</v>
      </c>
      <c r="AK646" t="s">
        <v>21</v>
      </c>
      <c r="AL646" t="s">
        <v>3237</v>
      </c>
      <c r="AT646" t="s">
        <v>3245</v>
      </c>
      <c r="AW646" t="s">
        <v>3248</v>
      </c>
      <c r="AX646" t="s">
        <v>3249</v>
      </c>
      <c r="AY646" t="s">
        <v>3250</v>
      </c>
      <c r="AZ646" t="s">
        <v>3251</v>
      </c>
    </row>
    <row r="647" spans="1:52" x14ac:dyDescent="0.25">
      <c r="A647" t="s">
        <v>2915</v>
      </c>
      <c r="B647" t="s">
        <v>2936</v>
      </c>
      <c r="C647" t="s">
        <v>968</v>
      </c>
      <c r="D647" t="s">
        <v>10</v>
      </c>
      <c r="E647" t="s">
        <v>2937</v>
      </c>
      <c r="F647" t="s">
        <v>26</v>
      </c>
      <c r="G647" t="str">
        <f>HYPERLINK("https://twitter.com/1164941701942611969/status/1281980189522591745")</f>
        <v>https://twitter.com/1164941701942611969/status/1281980189522591745</v>
      </c>
      <c r="H647" t="s">
        <v>885</v>
      </c>
      <c r="I647" t="s">
        <v>2938</v>
      </c>
      <c r="J647" t="str">
        <f>HYPERLINK("http://twitter.com/Michell94626898")</f>
        <v>http://twitter.com/Michell94626898</v>
      </c>
      <c r="K647">
        <v>66</v>
      </c>
      <c r="N647" t="s">
        <v>54</v>
      </c>
      <c r="R647" t="s">
        <v>17</v>
      </c>
      <c r="W647">
        <v>0</v>
      </c>
      <c r="X647">
        <v>0</v>
      </c>
      <c r="AF647">
        <v>0</v>
      </c>
      <c r="AJ647" t="s">
        <v>10</v>
      </c>
      <c r="AK647" t="s">
        <v>21</v>
      </c>
      <c r="AL647" t="s">
        <v>3237</v>
      </c>
      <c r="AY647" t="s">
        <v>3250</v>
      </c>
      <c r="AZ647" t="s">
        <v>3251</v>
      </c>
    </row>
    <row r="648" spans="1:52" x14ac:dyDescent="0.25">
      <c r="A648" t="s">
        <v>2978</v>
      </c>
      <c r="B648" t="s">
        <v>1189</v>
      </c>
      <c r="C648" t="s">
        <v>968</v>
      </c>
      <c r="D648" t="s">
        <v>10</v>
      </c>
      <c r="E648" t="s">
        <v>3004</v>
      </c>
      <c r="F648" t="s">
        <v>45</v>
      </c>
      <c r="G648" t="str">
        <f>HYPERLINK("https://vk.com/wall-158633337_916")</f>
        <v>https://vk.com/wall-158633337_916</v>
      </c>
      <c r="H648" t="s">
        <v>885</v>
      </c>
      <c r="I648" t="s">
        <v>125</v>
      </c>
      <c r="J648" t="str">
        <f>HYPERLINK("http://vk.com/club158633337")</f>
        <v>http://vk.com/club158633337</v>
      </c>
      <c r="K648">
        <v>4852</v>
      </c>
      <c r="L648" t="s">
        <v>28</v>
      </c>
      <c r="N648" t="s">
        <v>16</v>
      </c>
      <c r="O648" t="s">
        <v>125</v>
      </c>
      <c r="P648" t="str">
        <f>HYPERLINK("http://vk.com/club158633337")</f>
        <v>http://vk.com/club158633337</v>
      </c>
      <c r="Q648">
        <v>4852</v>
      </c>
      <c r="R648" t="s">
        <v>17</v>
      </c>
      <c r="S648" t="s">
        <v>18</v>
      </c>
      <c r="T648" t="s">
        <v>126</v>
      </c>
      <c r="U648" t="s">
        <v>127</v>
      </c>
      <c r="W648">
        <v>0</v>
      </c>
      <c r="X648">
        <v>0</v>
      </c>
      <c r="AE648">
        <v>0</v>
      </c>
      <c r="AF648">
        <v>0</v>
      </c>
      <c r="AG648">
        <v>92</v>
      </c>
      <c r="AI648" t="str">
        <f>HYPERLINK("https://sun1-29.userapi.com/I4XyZLbQquRgn3Joc0eOho2a6RwiER-hyxmGzg/-QXzw5BEwa0.jpg")</f>
        <v>https://sun1-29.userapi.com/I4XyZLbQquRgn3Joc0eOho2a6RwiER-hyxmGzg/-QXzw5BEwa0.jpg</v>
      </c>
      <c r="AJ648" t="s">
        <v>10</v>
      </c>
      <c r="AK648" t="s">
        <v>21</v>
      </c>
      <c r="AL648" t="s">
        <v>3237</v>
      </c>
      <c r="AY648" t="s">
        <v>3250</v>
      </c>
    </row>
    <row r="649" spans="1:52" x14ac:dyDescent="0.25">
      <c r="A649" t="s">
        <v>3021</v>
      </c>
      <c r="B649" t="s">
        <v>42</v>
      </c>
      <c r="C649" t="s">
        <v>968</v>
      </c>
      <c r="D649" t="s">
        <v>10</v>
      </c>
      <c r="E649" t="s">
        <v>3051</v>
      </c>
      <c r="F649" t="s">
        <v>12</v>
      </c>
      <c r="G649" t="str">
        <f>HYPERLINK("https://www.facebook.com/568390943273818/posts/2971239989655556")</f>
        <v>https://www.facebook.com/568390943273818/posts/2971239989655556</v>
      </c>
      <c r="H649" t="s">
        <v>885</v>
      </c>
      <c r="I649" t="s">
        <v>280</v>
      </c>
      <c r="J649" t="str">
        <f>HYPERLINK("https://www.facebook.com/568390943273818")</f>
        <v>https://www.facebook.com/568390943273818</v>
      </c>
      <c r="K649">
        <v>18918</v>
      </c>
      <c r="L649" t="s">
        <v>28</v>
      </c>
      <c r="N649" t="s">
        <v>179</v>
      </c>
      <c r="O649" t="s">
        <v>280</v>
      </c>
      <c r="P649" t="str">
        <f>HYPERLINK("https://www.facebook.com/568390943273818")</f>
        <v>https://www.facebook.com/568390943273818</v>
      </c>
      <c r="Q649">
        <v>18918</v>
      </c>
      <c r="R649" t="s">
        <v>17</v>
      </c>
      <c r="S649" t="s">
        <v>281</v>
      </c>
      <c r="T649" t="s">
        <v>282</v>
      </c>
      <c r="U649" t="s">
        <v>282</v>
      </c>
      <c r="AI649" t="str">
        <f>HYPERLINK("https://scontent-waw1-1.xx.fbcdn.net/v/t1.0-9/p720x720/107051080_2971195466326675_9082352998084482490_o.jpg?_nc_cat=105&amp;_nc_sid=8024bb&amp;_nc_ohc=ekLDCWzZiRoAX_2lnt4&amp;_nc_ht=scontent-waw1-1.xx&amp;_nc_tp=6&amp;oh=0d50f8fb18ce90a659c918ec98805b51&amp;oe=5F2AEE5F")</f>
        <v>https://scontent-waw1-1.xx.fbcdn.net/v/t1.0-9/p720x720/107051080_2971195466326675_9082352998084482490_o.jpg?_nc_cat=105&amp;_nc_sid=8024bb&amp;_nc_ohc=ekLDCWzZiRoAX_2lnt4&amp;_nc_ht=scontent-waw1-1.xx&amp;_nc_tp=6&amp;oh=0d50f8fb18ce90a659c918ec98805b51&amp;oe=5F2AEE5F</v>
      </c>
      <c r="AJ649" t="s">
        <v>10</v>
      </c>
      <c r="AK649" t="s">
        <v>21</v>
      </c>
      <c r="AM649" t="s">
        <v>3238</v>
      </c>
      <c r="AU649" t="s">
        <v>3246</v>
      </c>
      <c r="AV649" t="s">
        <v>3247</v>
      </c>
      <c r="AW649" t="s">
        <v>3248</v>
      </c>
      <c r="AY649" t="s">
        <v>3250</v>
      </c>
    </row>
    <row r="650" spans="1:52" x14ac:dyDescent="0.25">
      <c r="A650" t="s">
        <v>3021</v>
      </c>
      <c r="B650" t="s">
        <v>637</v>
      </c>
      <c r="C650" t="s">
        <v>968</v>
      </c>
      <c r="D650" t="s">
        <v>10</v>
      </c>
      <c r="E650" t="s">
        <v>3075</v>
      </c>
      <c r="F650" t="s">
        <v>45</v>
      </c>
      <c r="G650" t="str">
        <f>HYPERLINK("https://vk.com/wall-48669646_10144")</f>
        <v>https://vk.com/wall-48669646_10144</v>
      </c>
      <c r="H650" t="s">
        <v>885</v>
      </c>
      <c r="I650" t="s">
        <v>46</v>
      </c>
      <c r="J650" t="str">
        <f>HYPERLINK("http://vk.com/club48669646")</f>
        <v>http://vk.com/club48669646</v>
      </c>
      <c r="K650">
        <v>5795</v>
      </c>
      <c r="L650" t="s">
        <v>28</v>
      </c>
      <c r="N650" t="s">
        <v>16</v>
      </c>
      <c r="O650" t="s">
        <v>46</v>
      </c>
      <c r="P650" t="str">
        <f>HYPERLINK("http://vk.com/club48669646")</f>
        <v>http://vk.com/club48669646</v>
      </c>
      <c r="Q650">
        <v>5795</v>
      </c>
      <c r="R650" t="s">
        <v>17</v>
      </c>
      <c r="S650" t="s">
        <v>18</v>
      </c>
      <c r="W650">
        <v>1</v>
      </c>
      <c r="X650">
        <v>1</v>
      </c>
      <c r="AE650">
        <v>0</v>
      </c>
      <c r="AF650">
        <v>0</v>
      </c>
      <c r="AG650">
        <v>326</v>
      </c>
      <c r="AI650" t="str">
        <f>HYPERLINK("https://sun1-88.userapi.com/EiS0Z06xvIhlroY7-M3c4LdO7KRhXpeS7Hj9mg/abynq-rRgGM.jpg")</f>
        <v>https://sun1-88.userapi.com/EiS0Z06xvIhlroY7-M3c4LdO7KRhXpeS7Hj9mg/abynq-rRgGM.jpg</v>
      </c>
      <c r="AJ650" t="s">
        <v>10</v>
      </c>
      <c r="AK650" t="s">
        <v>21</v>
      </c>
      <c r="AY650" t="s">
        <v>3250</v>
      </c>
    </row>
    <row r="651" spans="1:52" x14ac:dyDescent="0.25">
      <c r="A651" t="s">
        <v>3100</v>
      </c>
      <c r="B651" t="s">
        <v>791</v>
      </c>
      <c r="C651" t="s">
        <v>968</v>
      </c>
      <c r="D651" t="s">
        <v>421</v>
      </c>
      <c r="E651" t="s">
        <v>3106</v>
      </c>
      <c r="F651" t="s">
        <v>26</v>
      </c>
      <c r="G651" t="str">
        <f>HYPERLINK("https://www.youtube.com/watch?v=gaka1vqYFNs&amp;lc=UgzWzBhHK9u8LiXkrs54AaABAg")</f>
        <v>https://www.youtube.com/watch?v=gaka1vqYFNs&amp;lc=UgzWzBhHK9u8LiXkrs54AaABAg</v>
      </c>
      <c r="H651" t="s">
        <v>885</v>
      </c>
      <c r="I651" t="s">
        <v>3107</v>
      </c>
      <c r="J651" t="str">
        <f>HYPERLINK("https://www.youtube.com/channel/UC5tE9sK9uNaWSDPJZEWR2-g")</f>
        <v>https://www.youtube.com/channel/UC5tE9sK9uNaWSDPJZEWR2-g</v>
      </c>
      <c r="K651">
        <v>0</v>
      </c>
      <c r="N651" t="s">
        <v>162</v>
      </c>
      <c r="O651" t="s">
        <v>424</v>
      </c>
      <c r="P651" t="str">
        <f>HYPERLINK("https://www.youtube.com/channel/UC8fQzKHIhSoZeSq3bwQx4mw")</f>
        <v>https://www.youtube.com/channel/UC8fQzKHIhSoZeSq3bwQx4mw</v>
      </c>
      <c r="Q651">
        <v>517000</v>
      </c>
      <c r="R651" t="s">
        <v>17</v>
      </c>
      <c r="S651" t="s">
        <v>425</v>
      </c>
      <c r="W651">
        <v>27</v>
      </c>
      <c r="X651">
        <v>27</v>
      </c>
      <c r="AE651">
        <v>4</v>
      </c>
      <c r="AJ651" t="s">
        <v>10</v>
      </c>
      <c r="AK651" t="s">
        <v>21</v>
      </c>
      <c r="AY651" t="s">
        <v>3250</v>
      </c>
    </row>
    <row r="652" spans="1:52" x14ac:dyDescent="0.25">
      <c r="A652" t="s">
        <v>3100</v>
      </c>
      <c r="B652" t="s">
        <v>3137</v>
      </c>
      <c r="C652" t="s">
        <v>968</v>
      </c>
      <c r="D652" t="s">
        <v>10</v>
      </c>
      <c r="E652" t="s">
        <v>3138</v>
      </c>
      <c r="F652" t="s">
        <v>45</v>
      </c>
      <c r="G652" t="str">
        <f>HYPERLINK("https://twitter.com/49404200/status/1280832029475692545")</f>
        <v>https://twitter.com/49404200/status/1280832029475692545</v>
      </c>
      <c r="H652" t="s">
        <v>885</v>
      </c>
      <c r="I652" t="s">
        <v>3139</v>
      </c>
      <c r="J652" t="str">
        <f>HYPERLINK("http://twitter.com/medicinehelp")</f>
        <v>http://twitter.com/medicinehelp</v>
      </c>
      <c r="K652">
        <v>1399</v>
      </c>
      <c r="L652" t="s">
        <v>15</v>
      </c>
      <c r="N652" t="s">
        <v>54</v>
      </c>
      <c r="R652" t="s">
        <v>17</v>
      </c>
      <c r="S652" t="s">
        <v>425</v>
      </c>
      <c r="T652" t="s">
        <v>3140</v>
      </c>
      <c r="U652" t="s">
        <v>3141</v>
      </c>
      <c r="W652">
        <v>0</v>
      </c>
      <c r="X652">
        <v>0</v>
      </c>
      <c r="AF652">
        <v>0</v>
      </c>
      <c r="AJ652" t="s">
        <v>10</v>
      </c>
      <c r="AK652" t="s">
        <v>21</v>
      </c>
      <c r="AY652" t="s">
        <v>3250</v>
      </c>
      <c r="AZ652" t="s">
        <v>3251</v>
      </c>
    </row>
    <row r="653" spans="1:52" x14ac:dyDescent="0.25">
      <c r="A653" t="s">
        <v>3100</v>
      </c>
      <c r="B653" t="s">
        <v>1514</v>
      </c>
      <c r="C653" t="s">
        <v>968</v>
      </c>
      <c r="D653" t="s">
        <v>10</v>
      </c>
      <c r="E653" t="s">
        <v>3204</v>
      </c>
      <c r="F653" t="s">
        <v>26</v>
      </c>
      <c r="G653" t="str">
        <f>HYPERLINK("https://twitter.com/762328076298489856/status/1280628949450661898")</f>
        <v>https://twitter.com/762328076298489856/status/1280628949450661898</v>
      </c>
      <c r="H653" t="s">
        <v>885</v>
      </c>
      <c r="I653" t="s">
        <v>3205</v>
      </c>
      <c r="J653" t="str">
        <f>HYPERLINK("http://twitter.com/Happy_Agnostic")</f>
        <v>http://twitter.com/Happy_Agnostic</v>
      </c>
      <c r="K653">
        <v>2394</v>
      </c>
      <c r="N653" t="s">
        <v>54</v>
      </c>
      <c r="R653" t="s">
        <v>17</v>
      </c>
      <c r="S653" t="s">
        <v>425</v>
      </c>
      <c r="T653" t="s">
        <v>2976</v>
      </c>
      <c r="U653" t="s">
        <v>3206</v>
      </c>
      <c r="W653">
        <v>0</v>
      </c>
      <c r="X653">
        <v>0</v>
      </c>
      <c r="AE653">
        <v>1</v>
      </c>
      <c r="AF653">
        <v>0</v>
      </c>
      <c r="AJ653" t="s">
        <v>10</v>
      </c>
      <c r="AK653" t="s">
        <v>21</v>
      </c>
      <c r="AT653" t="s">
        <v>3245</v>
      </c>
      <c r="AU653" t="s">
        <v>3246</v>
      </c>
      <c r="AV653" t="s">
        <v>3247</v>
      </c>
      <c r="AW653" t="s">
        <v>3248</v>
      </c>
      <c r="AY653" t="s">
        <v>3250</v>
      </c>
      <c r="AZ653" t="s">
        <v>3251</v>
      </c>
    </row>
    <row r="654" spans="1:52" x14ac:dyDescent="0.25">
      <c r="A654" t="s">
        <v>7</v>
      </c>
      <c r="B654" t="s">
        <v>86</v>
      </c>
      <c r="C654" t="s">
        <v>87</v>
      </c>
      <c r="D654" t="s">
        <v>24</v>
      </c>
      <c r="E654" t="s">
        <v>88</v>
      </c>
      <c r="F654" t="s">
        <v>26</v>
      </c>
      <c r="G654" t="str">
        <f>HYPERLINK("https://vk.com/wall-197114981_31?reply=1371&amp;thread=1370")</f>
        <v>https://vk.com/wall-197114981_31?reply=1371&amp;thread=1370</v>
      </c>
      <c r="H654" t="s">
        <v>13</v>
      </c>
      <c r="I654" t="s">
        <v>27</v>
      </c>
      <c r="J654" t="str">
        <f>HYPERLINK("http://vk.com/club197114981")</f>
        <v>http://vk.com/club197114981</v>
      </c>
      <c r="K654">
        <v>38</v>
      </c>
      <c r="L654" t="s">
        <v>28</v>
      </c>
      <c r="N654" t="s">
        <v>16</v>
      </c>
      <c r="O654" t="s">
        <v>27</v>
      </c>
      <c r="P654" t="str">
        <f>HYPERLINK("http://vk.com/club197114981")</f>
        <v>http://vk.com/club197114981</v>
      </c>
      <c r="Q654">
        <v>38</v>
      </c>
      <c r="R654" t="s">
        <v>17</v>
      </c>
      <c r="AJ654" t="s">
        <v>10</v>
      </c>
      <c r="AK654" t="s">
        <v>21</v>
      </c>
      <c r="AV654" t="s">
        <v>3247</v>
      </c>
      <c r="AW654" t="s">
        <v>3248</v>
      </c>
      <c r="AY654" t="s">
        <v>3250</v>
      </c>
      <c r="AZ654" t="s">
        <v>3251</v>
      </c>
    </row>
    <row r="655" spans="1:52" x14ac:dyDescent="0.25">
      <c r="A655" t="s">
        <v>7</v>
      </c>
      <c r="B655" t="s">
        <v>90</v>
      </c>
      <c r="C655" t="s">
        <v>94</v>
      </c>
      <c r="D655" t="s">
        <v>24</v>
      </c>
      <c r="E655" t="s">
        <v>95</v>
      </c>
      <c r="F655" t="s">
        <v>26</v>
      </c>
      <c r="G655" t="str">
        <f>HYPERLINK("https://vk.com/wall-197114981_31?reply=1369&amp;thread=1368")</f>
        <v>https://vk.com/wall-197114981_31?reply=1369&amp;thread=1368</v>
      </c>
      <c r="H655" t="s">
        <v>13</v>
      </c>
      <c r="I655" t="s">
        <v>27</v>
      </c>
      <c r="J655" t="str">
        <f>HYPERLINK("http://vk.com/club197114981")</f>
        <v>http://vk.com/club197114981</v>
      </c>
      <c r="K655">
        <v>38</v>
      </c>
      <c r="L655" t="s">
        <v>28</v>
      </c>
      <c r="N655" t="s">
        <v>16</v>
      </c>
      <c r="O655" t="s">
        <v>27</v>
      </c>
      <c r="P655" t="str">
        <f>HYPERLINK("http://vk.com/club197114981")</f>
        <v>http://vk.com/club197114981</v>
      </c>
      <c r="Q655">
        <v>38</v>
      </c>
      <c r="R655" t="s">
        <v>17</v>
      </c>
      <c r="AJ655" t="s">
        <v>10</v>
      </c>
      <c r="AK655" t="s">
        <v>21</v>
      </c>
      <c r="AN655" t="s">
        <v>3239</v>
      </c>
      <c r="AT655" t="s">
        <v>3245</v>
      </c>
      <c r="AW655" t="s">
        <v>3248</v>
      </c>
      <c r="AX655" t="s">
        <v>3249</v>
      </c>
      <c r="AY655" t="s">
        <v>3250</v>
      </c>
      <c r="AZ655" t="s">
        <v>3251</v>
      </c>
    </row>
    <row r="656" spans="1:52" x14ac:dyDescent="0.25">
      <c r="A656" t="s">
        <v>7</v>
      </c>
      <c r="B656" t="s">
        <v>302</v>
      </c>
      <c r="C656" t="s">
        <v>303</v>
      </c>
      <c r="D656" t="s">
        <v>24</v>
      </c>
      <c r="E656" t="s">
        <v>304</v>
      </c>
      <c r="F656" t="s">
        <v>26</v>
      </c>
      <c r="G656" t="str">
        <f>HYPERLINK("https://vk.com/wall-197114981_31?reply=1341&amp;thread=1335")</f>
        <v>https://vk.com/wall-197114981_31?reply=1341&amp;thread=1335</v>
      </c>
      <c r="H656" t="s">
        <v>13</v>
      </c>
      <c r="I656" t="s">
        <v>27</v>
      </c>
      <c r="J656" t="str">
        <f>HYPERLINK("http://vk.com/club197114981")</f>
        <v>http://vk.com/club197114981</v>
      </c>
      <c r="K656">
        <v>38</v>
      </c>
      <c r="L656" t="s">
        <v>28</v>
      </c>
      <c r="N656" t="s">
        <v>16</v>
      </c>
      <c r="O656" t="s">
        <v>27</v>
      </c>
      <c r="P656" t="str">
        <f>HYPERLINK("http://vk.com/club197114981")</f>
        <v>http://vk.com/club197114981</v>
      </c>
      <c r="Q656">
        <v>38</v>
      </c>
      <c r="R656" t="s">
        <v>17</v>
      </c>
      <c r="AJ656" t="s">
        <v>10</v>
      </c>
      <c r="AK656" t="s">
        <v>21</v>
      </c>
      <c r="AN656" t="s">
        <v>3239</v>
      </c>
      <c r="AT656" t="s">
        <v>3245</v>
      </c>
      <c r="AU656" t="s">
        <v>3246</v>
      </c>
      <c r="AV656" t="s">
        <v>3247</v>
      </c>
      <c r="AY656" t="s">
        <v>3250</v>
      </c>
      <c r="AZ656" t="s">
        <v>3251</v>
      </c>
    </row>
    <row r="657" spans="1:52" x14ac:dyDescent="0.25">
      <c r="A657" t="s">
        <v>1122</v>
      </c>
      <c r="B657" t="s">
        <v>1129</v>
      </c>
      <c r="C657" t="s">
        <v>984</v>
      </c>
      <c r="D657" t="s">
        <v>10</v>
      </c>
      <c r="E657" t="s">
        <v>1130</v>
      </c>
      <c r="F657" t="s">
        <v>45</v>
      </c>
      <c r="G657" t="str">
        <f>HYPERLINK("https://vk.com/wall-197114981_146")</f>
        <v>https://vk.com/wall-197114981_146</v>
      </c>
      <c r="H657" t="s">
        <v>885</v>
      </c>
      <c r="I657" t="s">
        <v>27</v>
      </c>
      <c r="J657" t="str">
        <f>HYPERLINK("http://vk.com/club197114981")</f>
        <v>http://vk.com/club197114981</v>
      </c>
      <c r="K657">
        <v>38</v>
      </c>
      <c r="L657" t="s">
        <v>28</v>
      </c>
      <c r="N657" t="s">
        <v>16</v>
      </c>
      <c r="O657" t="s">
        <v>27</v>
      </c>
      <c r="P657" t="str">
        <f>HYPERLINK("http://vk.com/club197114981")</f>
        <v>http://vk.com/club197114981</v>
      </c>
      <c r="Q657">
        <v>38</v>
      </c>
      <c r="R657" t="s">
        <v>17</v>
      </c>
      <c r="W657">
        <v>3</v>
      </c>
      <c r="X657">
        <v>3</v>
      </c>
      <c r="AE657">
        <v>0</v>
      </c>
      <c r="AF657">
        <v>0</v>
      </c>
      <c r="AG657">
        <v>137</v>
      </c>
      <c r="AI657" t="str">
        <f>HYPERLINK("https://sun1-92.userapi.com/zS_na_YlB_dRje1rU_FqMfHVcFm-6aPdK5A8Hw/TbXxHuS0YnQ.jpg")</f>
        <v>https://sun1-92.userapi.com/zS_na_YlB_dRje1rU_FqMfHVcFm-6aPdK5A8Hw/TbXxHuS0YnQ.jpg</v>
      </c>
      <c r="AJ657" t="s">
        <v>10</v>
      </c>
      <c r="AK657" t="s">
        <v>21</v>
      </c>
      <c r="AN657" t="s">
        <v>3239</v>
      </c>
      <c r="AU657" t="s">
        <v>3246</v>
      </c>
      <c r="AV657" t="s">
        <v>3247</v>
      </c>
      <c r="AY657" t="s">
        <v>3250</v>
      </c>
      <c r="AZ657" t="s">
        <v>3251</v>
      </c>
    </row>
    <row r="658" spans="1:52" x14ac:dyDescent="0.25">
      <c r="A658" t="s">
        <v>2193</v>
      </c>
      <c r="B658" t="s">
        <v>2243</v>
      </c>
      <c r="C658" t="s">
        <v>968</v>
      </c>
      <c r="D658" t="s">
        <v>10</v>
      </c>
      <c r="E658" t="s">
        <v>2244</v>
      </c>
      <c r="F658" t="s">
        <v>45</v>
      </c>
      <c r="G658" t="str">
        <f>HYPERLINK("https://www.instagram.com/p/CC7mJcPKWY_")</f>
        <v>https://www.instagram.com/p/CC7mJcPKWY_</v>
      </c>
      <c r="H658" t="s">
        <v>885</v>
      </c>
      <c r="I658" t="s">
        <v>2245</v>
      </c>
      <c r="J658" t="str">
        <f>HYPERLINK("http://instagram.com/clinicexpert_vkz")</f>
        <v>http://instagram.com/clinicexpert_vkz</v>
      </c>
      <c r="K658">
        <v>656</v>
      </c>
      <c r="N658" t="s">
        <v>69</v>
      </c>
      <c r="O658" t="s">
        <v>2245</v>
      </c>
      <c r="P658" t="str">
        <f>HYPERLINK("http://instagram.com/clinicexpert_vkz")</f>
        <v>http://instagram.com/clinicexpert_vkz</v>
      </c>
      <c r="Q658">
        <v>656</v>
      </c>
      <c r="R658" t="s">
        <v>17</v>
      </c>
      <c r="S658" t="s">
        <v>18</v>
      </c>
      <c r="AI658" t="str">
        <f>HYPERLINK("https://www.instagram.com/p/CC7mJcPKWY_/media/?size=l")</f>
        <v>https://www.instagram.com/p/CC7mJcPKWY_/media/?size=l</v>
      </c>
      <c r="AJ658" t="s">
        <v>10</v>
      </c>
      <c r="AK658" t="s">
        <v>21</v>
      </c>
      <c r="AY658" t="s">
        <v>3250</v>
      </c>
      <c r="AZ658" t="s">
        <v>3251</v>
      </c>
    </row>
    <row r="659" spans="1:52" x14ac:dyDescent="0.25">
      <c r="A659" t="s">
        <v>2290</v>
      </c>
      <c r="B659" t="s">
        <v>1671</v>
      </c>
      <c r="C659" t="s">
        <v>968</v>
      </c>
      <c r="D659" t="s">
        <v>10</v>
      </c>
      <c r="E659" t="s">
        <v>2337</v>
      </c>
      <c r="F659" t="s">
        <v>45</v>
      </c>
      <c r="G659" t="str">
        <f>HYPERLINK("https://vk.com/wall-196919686_98")</f>
        <v>https://vk.com/wall-196919686_98</v>
      </c>
      <c r="H659" t="s">
        <v>885</v>
      </c>
      <c r="I659" t="s">
        <v>2338</v>
      </c>
      <c r="J659" t="str">
        <f>HYPERLINK("http://vk.com/club196919686")</f>
        <v>http://vk.com/club196919686</v>
      </c>
      <c r="K659">
        <v>20</v>
      </c>
      <c r="L659" t="s">
        <v>28</v>
      </c>
      <c r="N659" t="s">
        <v>16</v>
      </c>
      <c r="O659" t="s">
        <v>2338</v>
      </c>
      <c r="P659" t="str">
        <f>HYPERLINK("http://vk.com/club196919686")</f>
        <v>http://vk.com/club196919686</v>
      </c>
      <c r="Q659">
        <v>20</v>
      </c>
      <c r="R659" t="s">
        <v>17</v>
      </c>
      <c r="W659">
        <v>0</v>
      </c>
      <c r="X659">
        <v>0</v>
      </c>
      <c r="AE659">
        <v>0</v>
      </c>
      <c r="AF659">
        <v>0</v>
      </c>
      <c r="AG659">
        <v>1</v>
      </c>
      <c r="AI659" t="str">
        <f>HYPERLINK("https://sun9-63.userapi.com/c853620/v853620507/24efa4/yKRdmJlRnuk.jpg")</f>
        <v>https://sun9-63.userapi.com/c853620/v853620507/24efa4/yKRdmJlRnuk.jpg</v>
      </c>
      <c r="AJ659" t="s">
        <v>10</v>
      </c>
      <c r="AK659" t="s">
        <v>21</v>
      </c>
      <c r="AN659" t="s">
        <v>3239</v>
      </c>
      <c r="AV659" t="s">
        <v>3247</v>
      </c>
      <c r="AW659" t="s">
        <v>3248</v>
      </c>
      <c r="AY659" t="s">
        <v>3250</v>
      </c>
      <c r="AZ659" t="s">
        <v>3251</v>
      </c>
    </row>
    <row r="660" spans="1:52" x14ac:dyDescent="0.25">
      <c r="A660" t="s">
        <v>2541</v>
      </c>
      <c r="B660" t="s">
        <v>2545</v>
      </c>
      <c r="C660" t="s">
        <v>968</v>
      </c>
      <c r="D660" t="s">
        <v>2546</v>
      </c>
      <c r="E660" t="s">
        <v>2547</v>
      </c>
      <c r="F660" t="s">
        <v>26</v>
      </c>
      <c r="G660" t="str">
        <f>HYPERLINK("https://vk.com/wall-79831326_987408?reply=987645")</f>
        <v>https://vk.com/wall-79831326_987408?reply=987645</v>
      </c>
      <c r="H660" t="s">
        <v>889</v>
      </c>
      <c r="I660" t="s">
        <v>2548</v>
      </c>
      <c r="J660" t="str">
        <f>HYPERLINK("http://vk.com/id72128009")</f>
        <v>http://vk.com/id72128009</v>
      </c>
      <c r="K660">
        <v>520</v>
      </c>
      <c r="L660" t="s">
        <v>80</v>
      </c>
      <c r="N660" t="s">
        <v>16</v>
      </c>
      <c r="O660" t="s">
        <v>2549</v>
      </c>
      <c r="P660" t="str">
        <f>HYPERLINK("http://vk.com/club79831326")</f>
        <v>http://vk.com/club79831326</v>
      </c>
      <c r="Q660">
        <v>11356</v>
      </c>
      <c r="R660" t="s">
        <v>17</v>
      </c>
      <c r="S660" t="s">
        <v>18</v>
      </c>
      <c r="T660" t="s">
        <v>272</v>
      </c>
      <c r="U660" t="s">
        <v>2550</v>
      </c>
      <c r="AJ660" t="s">
        <v>10</v>
      </c>
      <c r="AK660" t="s">
        <v>21</v>
      </c>
      <c r="AX660" t="s">
        <v>3249</v>
      </c>
      <c r="AY660" t="s">
        <v>3250</v>
      </c>
      <c r="AZ660" t="s">
        <v>3251</v>
      </c>
    </row>
    <row r="661" spans="1:52" x14ac:dyDescent="0.25">
      <c r="A661" t="s">
        <v>2589</v>
      </c>
      <c r="B661" t="s">
        <v>1940</v>
      </c>
      <c r="C661" t="s">
        <v>968</v>
      </c>
      <c r="D661" t="s">
        <v>2598</v>
      </c>
      <c r="E661" t="s">
        <v>2599</v>
      </c>
      <c r="F661" t="s">
        <v>26</v>
      </c>
      <c r="G661" t="str">
        <f>HYPERLINK("https://www.breitbart.com/politics/2020/07/15/peter-navarro-dr-anthony-fauci-was-wrong-during-coronavirus-fight/#comment-4992982383")</f>
        <v>https://www.breitbart.com/politics/2020/07/15/peter-navarro-dr-anthony-fauci-was-wrong-during-coronavirus-fight/#comment-4992982383</v>
      </c>
      <c r="H661" t="s">
        <v>885</v>
      </c>
      <c r="I661" t="s">
        <v>2600</v>
      </c>
      <c r="J661" t="str">
        <f>HYPERLINK("https://disqus.com/by/disqus_VvK4KnE99P/")</f>
        <v>https://disqus.com/by/disqus_VvK4KnE99P/</v>
      </c>
      <c r="K661">
        <v>0</v>
      </c>
      <c r="N661" t="s">
        <v>1731</v>
      </c>
      <c r="O661" t="s">
        <v>1732</v>
      </c>
      <c r="P661" t="str">
        <f>HYPERLINK("https://disqus.com/home/forum/breitbartproduction/")</f>
        <v>https://disqus.com/home/forum/breitbartproduction/</v>
      </c>
      <c r="R661" t="s">
        <v>966</v>
      </c>
      <c r="AJ661" t="s">
        <v>10</v>
      </c>
      <c r="AK661" t="s">
        <v>21</v>
      </c>
      <c r="AT661" t="s">
        <v>3245</v>
      </c>
      <c r="AW661" t="s">
        <v>3248</v>
      </c>
      <c r="AX661" t="s">
        <v>3249</v>
      </c>
      <c r="AY661" t="s">
        <v>3250</v>
      </c>
      <c r="AZ661" t="s">
        <v>3251</v>
      </c>
    </row>
    <row r="662" spans="1:52" x14ac:dyDescent="0.25">
      <c r="A662" t="s">
        <v>2589</v>
      </c>
      <c r="B662" t="s">
        <v>890</v>
      </c>
      <c r="C662" t="s">
        <v>968</v>
      </c>
      <c r="D662" t="s">
        <v>10</v>
      </c>
      <c r="E662" t="s">
        <v>2607</v>
      </c>
      <c r="F662" t="s">
        <v>45</v>
      </c>
      <c r="G662" t="str">
        <f>HYPERLINK("https://www.facebook.com/mriexpert/photos/a.902990326434112/3187667941299661/?type=3")</f>
        <v>https://www.facebook.com/mriexpert/photos/a.902990326434112/3187667941299661/?type=3</v>
      </c>
      <c r="H662" t="s">
        <v>885</v>
      </c>
      <c r="I662" t="s">
        <v>46</v>
      </c>
      <c r="J662" t="str">
        <f>HYPERLINK("https://www.facebook.com/902980129768465")</f>
        <v>https://www.facebook.com/902980129768465</v>
      </c>
      <c r="K662">
        <v>1509</v>
      </c>
      <c r="L662" t="s">
        <v>28</v>
      </c>
      <c r="N662" t="s">
        <v>179</v>
      </c>
      <c r="O662" t="s">
        <v>46</v>
      </c>
      <c r="P662" t="str">
        <f>HYPERLINK("https://www.facebook.com/902980129768465")</f>
        <v>https://www.facebook.com/902980129768465</v>
      </c>
      <c r="Q662">
        <v>1509</v>
      </c>
      <c r="R662" t="s">
        <v>17</v>
      </c>
      <c r="W662">
        <v>1</v>
      </c>
      <c r="X662">
        <v>1</v>
      </c>
      <c r="Y662">
        <v>0</v>
      </c>
      <c r="Z662">
        <v>0</v>
      </c>
      <c r="AA662">
        <v>0</v>
      </c>
      <c r="AB662">
        <v>0</v>
      </c>
      <c r="AC662">
        <v>0</v>
      </c>
      <c r="AE662">
        <v>0</v>
      </c>
      <c r="AI662" t="str">
        <f>HYPERLINK("https://scontent-hel2-1.xx.fbcdn.net/v/t1.0-9/s960x960/109581862_3187667954632993_962865095730950736_o.jpg?_nc_cat=109&amp;_nc_sid=9267fe&amp;_nc_ohc=zOF036AudLQAX_olfpw&amp;_nc_ht=scontent-hel2-1.xx&amp;_nc_tp=7&amp;oh=c5a866a7d2115fc8fdf5d42b96903436&amp;oe=5F3442AF")</f>
        <v>https://scontent-hel2-1.xx.fbcdn.net/v/t1.0-9/s960x960/109581862_3187667954632993_962865095730950736_o.jpg?_nc_cat=109&amp;_nc_sid=9267fe&amp;_nc_ohc=zOF036AudLQAX_olfpw&amp;_nc_ht=scontent-hel2-1.xx&amp;_nc_tp=7&amp;oh=c5a866a7d2115fc8fdf5d42b96903436&amp;oe=5F3442AF</v>
      </c>
      <c r="AJ662" t="s">
        <v>10</v>
      </c>
      <c r="AK662" t="s">
        <v>21</v>
      </c>
      <c r="AU662" t="s">
        <v>3246</v>
      </c>
      <c r="AV662" t="s">
        <v>3247</v>
      </c>
      <c r="AW662" t="s">
        <v>3248</v>
      </c>
      <c r="AZ662" t="s">
        <v>3251</v>
      </c>
    </row>
    <row r="663" spans="1:52" x14ac:dyDescent="0.25">
      <c r="A663" t="s">
        <v>2978</v>
      </c>
      <c r="B663" t="s">
        <v>3012</v>
      </c>
      <c r="C663" t="s">
        <v>968</v>
      </c>
      <c r="D663" t="s">
        <v>421</v>
      </c>
      <c r="E663" t="s">
        <v>3013</v>
      </c>
      <c r="F663" t="s">
        <v>26</v>
      </c>
      <c r="G663" t="str">
        <f>HYPERLINK("https://www.youtube.com/watch?v=gaka1vqYFNs&amp;lc=UgwjQrfehtMp_6Pxjyp4AaABAg.9AuNPVuLk-m9Av7bBEkxxe")</f>
        <v>https://www.youtube.com/watch?v=gaka1vqYFNs&amp;lc=UgwjQrfehtMp_6Pxjyp4AaABAg.9AuNPVuLk-m9Av7bBEkxxe</v>
      </c>
      <c r="H663" t="s">
        <v>885</v>
      </c>
      <c r="I663" t="s">
        <v>3014</v>
      </c>
      <c r="J663" t="str">
        <f>HYPERLINK("https://www.youtube.com/channel/UCWAIdAgy8ucH_GQ_Jsmn3Aw")</f>
        <v>https://www.youtube.com/channel/UCWAIdAgy8ucH_GQ_Jsmn3Aw</v>
      </c>
      <c r="K663">
        <v>3990</v>
      </c>
      <c r="N663" t="s">
        <v>162</v>
      </c>
      <c r="O663" t="s">
        <v>424</v>
      </c>
      <c r="P663" t="str">
        <f>HYPERLINK("https://www.youtube.com/channel/UC8fQzKHIhSoZeSq3bwQx4mw")</f>
        <v>https://www.youtube.com/channel/UC8fQzKHIhSoZeSq3bwQx4mw</v>
      </c>
      <c r="Q663">
        <v>517000</v>
      </c>
      <c r="R663" t="s">
        <v>17</v>
      </c>
      <c r="S663" t="s">
        <v>425</v>
      </c>
      <c r="AJ663" t="s">
        <v>10</v>
      </c>
      <c r="AK663" t="s">
        <v>21</v>
      </c>
      <c r="AN663" t="s">
        <v>3239</v>
      </c>
    </row>
    <row r="664" spans="1:52" x14ac:dyDescent="0.25">
      <c r="A664" t="s">
        <v>3021</v>
      </c>
      <c r="B664" t="s">
        <v>3088</v>
      </c>
      <c r="C664" t="s">
        <v>968</v>
      </c>
      <c r="D664" t="s">
        <v>3089</v>
      </c>
      <c r="E664" t="s">
        <v>3090</v>
      </c>
      <c r="F664" t="s">
        <v>45</v>
      </c>
      <c r="G664" t="str">
        <f>HYPERLINK("https://www.youtube.com/watch?v=0pzUdhJ8V6k")</f>
        <v>https://www.youtube.com/watch?v=0pzUdhJ8V6k</v>
      </c>
      <c r="H664" t="s">
        <v>885</v>
      </c>
      <c r="I664" t="s">
        <v>3091</v>
      </c>
      <c r="J664" t="str">
        <f>HYPERLINK("https://www.youtube.com/channel/UC_aQtYuXxNviGEB3IodE6vg")</f>
        <v>https://www.youtube.com/channel/UC_aQtYuXxNviGEB3IodE6vg</v>
      </c>
      <c r="K664">
        <v>120</v>
      </c>
      <c r="N664" t="s">
        <v>162</v>
      </c>
      <c r="O664" t="s">
        <v>3091</v>
      </c>
      <c r="P664" t="str">
        <f>HYPERLINK("https://www.youtube.com/channel/UC_aQtYuXxNviGEB3IodE6vg")</f>
        <v>https://www.youtube.com/channel/UC_aQtYuXxNviGEB3IodE6vg</v>
      </c>
      <c r="Q664">
        <v>120</v>
      </c>
      <c r="R664" t="s">
        <v>17</v>
      </c>
      <c r="S664" t="s">
        <v>18</v>
      </c>
      <c r="W664">
        <v>1</v>
      </c>
      <c r="X664">
        <v>1</v>
      </c>
      <c r="AD664">
        <v>0</v>
      </c>
      <c r="AE664">
        <v>0</v>
      </c>
      <c r="AG664">
        <v>27</v>
      </c>
      <c r="AI664" t="str">
        <f>HYPERLINK("https://i.ytimg.com/vi/0pzUdhJ8V6k/hqdefault.jpg?sqp=-oaymwEZCNACELwBSFXyq4qpAwsIARUAAIhCGAFwAQ==&amp;rs=AOn4CLCMm1W9O9nqbZ1n-5MjaqiyKE6RUw")</f>
        <v>https://i.ytimg.com/vi/0pzUdhJ8V6k/hqdefault.jpg?sqp=-oaymwEZCNACELwBSFXyq4qpAwsIARUAAIhCGAFwAQ==&amp;rs=AOn4CLCMm1W9O9nqbZ1n-5MjaqiyKE6RUw</v>
      </c>
      <c r="AJ664" t="s">
        <v>10</v>
      </c>
      <c r="AK664" t="s">
        <v>21</v>
      </c>
      <c r="AM664" t="s">
        <v>3238</v>
      </c>
      <c r="AN664" t="s">
        <v>3239</v>
      </c>
    </row>
    <row r="665" spans="1:52" x14ac:dyDescent="0.25">
      <c r="A665" t="s">
        <v>3100</v>
      </c>
      <c r="B665" t="s">
        <v>1581</v>
      </c>
      <c r="C665" t="s">
        <v>968</v>
      </c>
      <c r="D665" t="s">
        <v>3180</v>
      </c>
      <c r="E665" t="s">
        <v>3181</v>
      </c>
      <c r="F665" t="s">
        <v>45</v>
      </c>
      <c r="G665" t="str">
        <f>HYPERLINK("http://khabarovsk.flamp.ru/firm/med_art_medicinskijj_centr-70000001006539349/otzyv-6256359")</f>
        <v>http://khabarovsk.flamp.ru/firm/med_art_medicinskijj_centr-70000001006539349/otzyv-6256359</v>
      </c>
      <c r="H665" t="s">
        <v>885</v>
      </c>
      <c r="I665" t="s">
        <v>3182</v>
      </c>
      <c r="J665" t="str">
        <f>HYPERLINK("http://flamp.ru/user116011")</f>
        <v>http://flamp.ru/user116011</v>
      </c>
      <c r="K665">
        <v>74</v>
      </c>
      <c r="L665" t="s">
        <v>80</v>
      </c>
      <c r="N665" t="s">
        <v>1752</v>
      </c>
      <c r="O665" t="s">
        <v>3180</v>
      </c>
      <c r="P665" t="str">
        <f>HYPERLINK("https://khabarovsk.flamp.ru/firm/med_art_medicinskijj_centr-70000001006539349")</f>
        <v>https://khabarovsk.flamp.ru/firm/med_art_medicinskijj_centr-70000001006539349</v>
      </c>
      <c r="R665" t="s">
        <v>616</v>
      </c>
      <c r="S665" t="s">
        <v>18</v>
      </c>
      <c r="T665" t="s">
        <v>3183</v>
      </c>
      <c r="U665" t="s">
        <v>3184</v>
      </c>
      <c r="AH665">
        <v>4</v>
      </c>
      <c r="AJ665" t="s">
        <v>10</v>
      </c>
      <c r="AK665" t="s">
        <v>21</v>
      </c>
      <c r="AZ665" t="s">
        <v>3251</v>
      </c>
    </row>
    <row r="666" spans="1:52" x14ac:dyDescent="0.25">
      <c r="A666" t="s">
        <v>7</v>
      </c>
      <c r="B666" t="s">
        <v>112</v>
      </c>
      <c r="C666" t="s">
        <v>113</v>
      </c>
      <c r="D666" t="s">
        <v>10</v>
      </c>
      <c r="E666" t="s">
        <v>114</v>
      </c>
      <c r="F666" t="s">
        <v>26</v>
      </c>
      <c r="G666" t="str">
        <f>HYPERLINK("https://twitter.com/16481548/status/1292758556517609472")</f>
        <v>https://twitter.com/16481548/status/1292758556517609472</v>
      </c>
      <c r="H666" t="s">
        <v>13</v>
      </c>
      <c r="I666" t="s">
        <v>115</v>
      </c>
      <c r="J666" t="str">
        <f>HYPERLINK("http://twitter.com/KCTaz")</f>
        <v>http://twitter.com/KCTaz</v>
      </c>
      <c r="K666">
        <v>2088</v>
      </c>
      <c r="N666" t="s">
        <v>54</v>
      </c>
      <c r="R666" t="s">
        <v>17</v>
      </c>
      <c r="W666">
        <v>0</v>
      </c>
      <c r="X666">
        <v>0</v>
      </c>
      <c r="AE666">
        <v>0</v>
      </c>
      <c r="AF666">
        <v>0</v>
      </c>
      <c r="AJ666" t="s">
        <v>10</v>
      </c>
      <c r="AK666" t="s">
        <v>21</v>
      </c>
      <c r="AN666" t="s">
        <v>3239</v>
      </c>
      <c r="AO666" t="s">
        <v>3240</v>
      </c>
      <c r="AT666" t="s">
        <v>3245</v>
      </c>
      <c r="AW666" t="s">
        <v>3248</v>
      </c>
      <c r="AZ666" t="s">
        <v>3251</v>
      </c>
    </row>
    <row r="667" spans="1:52" x14ac:dyDescent="0.25">
      <c r="A667" t="s">
        <v>7</v>
      </c>
      <c r="B667" t="s">
        <v>321</v>
      </c>
      <c r="C667" t="s">
        <v>322</v>
      </c>
      <c r="D667" t="s">
        <v>24</v>
      </c>
      <c r="E667" t="s">
        <v>323</v>
      </c>
      <c r="F667" t="s">
        <v>26</v>
      </c>
      <c r="G667" t="str">
        <f>HYPERLINK("https://vk.com/wall-197114981_31?reply=1332&amp;thread=1331")</f>
        <v>https://vk.com/wall-197114981_31?reply=1332&amp;thread=1331</v>
      </c>
      <c r="H667" t="s">
        <v>13</v>
      </c>
      <c r="I667" t="s">
        <v>27</v>
      </c>
      <c r="J667" t="str">
        <f>HYPERLINK("http://vk.com/club197114981")</f>
        <v>http://vk.com/club197114981</v>
      </c>
      <c r="K667">
        <v>38</v>
      </c>
      <c r="L667" t="s">
        <v>28</v>
      </c>
      <c r="N667" t="s">
        <v>16</v>
      </c>
      <c r="O667" t="s">
        <v>27</v>
      </c>
      <c r="P667" t="str">
        <f>HYPERLINK("http://vk.com/club197114981")</f>
        <v>http://vk.com/club197114981</v>
      </c>
      <c r="Q667">
        <v>38</v>
      </c>
      <c r="R667" t="s">
        <v>17</v>
      </c>
      <c r="AJ667" t="s">
        <v>10</v>
      </c>
      <c r="AK667" t="s">
        <v>21</v>
      </c>
      <c r="AL667" t="s">
        <v>3237</v>
      </c>
      <c r="AZ667" t="s">
        <v>3251</v>
      </c>
    </row>
    <row r="668" spans="1:52" x14ac:dyDescent="0.25">
      <c r="A668" t="s">
        <v>7</v>
      </c>
      <c r="B668" t="s">
        <v>340</v>
      </c>
      <c r="C668" t="s">
        <v>341</v>
      </c>
      <c r="D668" t="s">
        <v>24</v>
      </c>
      <c r="E668" t="s">
        <v>342</v>
      </c>
      <c r="F668" t="s">
        <v>26</v>
      </c>
      <c r="G668" t="str">
        <f>HYPERLINK("https://vk.com/wall-197114981_31?reply=1322&amp;thread=1273")</f>
        <v>https://vk.com/wall-197114981_31?reply=1322&amp;thread=1273</v>
      </c>
      <c r="H668" t="s">
        <v>13</v>
      </c>
      <c r="I668" t="s">
        <v>27</v>
      </c>
      <c r="J668" t="str">
        <f>HYPERLINK("http://vk.com/club197114981")</f>
        <v>http://vk.com/club197114981</v>
      </c>
      <c r="K668">
        <v>38</v>
      </c>
      <c r="L668" t="s">
        <v>28</v>
      </c>
      <c r="N668" t="s">
        <v>16</v>
      </c>
      <c r="O668" t="s">
        <v>27</v>
      </c>
      <c r="P668" t="str">
        <f>HYPERLINK("http://vk.com/club197114981")</f>
        <v>http://vk.com/club197114981</v>
      </c>
      <c r="Q668">
        <v>38</v>
      </c>
      <c r="R668" t="s">
        <v>17</v>
      </c>
      <c r="AJ668" t="s">
        <v>10</v>
      </c>
      <c r="AK668" t="s">
        <v>21</v>
      </c>
      <c r="AZ668" t="s">
        <v>3251</v>
      </c>
    </row>
    <row r="669" spans="1:52" x14ac:dyDescent="0.25">
      <c r="A669" t="s">
        <v>414</v>
      </c>
      <c r="B669" t="s">
        <v>419</v>
      </c>
      <c r="C669" t="s">
        <v>420</v>
      </c>
      <c r="D669" t="s">
        <v>421</v>
      </c>
      <c r="E669" t="s">
        <v>422</v>
      </c>
      <c r="F669" t="s">
        <v>26</v>
      </c>
      <c r="G669" t="str">
        <f>HYPERLINK("https://www.youtube.com/watch?v=gaka1vqYFNs&amp;lc=Ugx0gGpvcroEKqL8nvZ4AaABAg")</f>
        <v>https://www.youtube.com/watch?v=gaka1vqYFNs&amp;lc=Ugx0gGpvcroEKqL8nvZ4AaABAg</v>
      </c>
      <c r="H669" t="s">
        <v>13</v>
      </c>
      <c r="I669" t="s">
        <v>423</v>
      </c>
      <c r="J669" t="str">
        <f>HYPERLINK("https://www.youtube.com/channel/UCjt9A-Whx_w5T55TG2__T6g")</f>
        <v>https://www.youtube.com/channel/UCjt9A-Whx_w5T55TG2__T6g</v>
      </c>
      <c r="K669">
        <v>7</v>
      </c>
      <c r="N669" t="s">
        <v>162</v>
      </c>
      <c r="O669" t="s">
        <v>424</v>
      </c>
      <c r="P669" t="str">
        <f>HYPERLINK("https://www.youtube.com/channel/UC8fQzKHIhSoZeSq3bwQx4mw")</f>
        <v>https://www.youtube.com/channel/UC8fQzKHIhSoZeSq3bwQx4mw</v>
      </c>
      <c r="Q669">
        <v>517000</v>
      </c>
      <c r="R669" t="s">
        <v>17</v>
      </c>
      <c r="S669" t="s">
        <v>425</v>
      </c>
      <c r="W669">
        <v>0</v>
      </c>
      <c r="X669">
        <v>0</v>
      </c>
      <c r="AE669">
        <v>0</v>
      </c>
      <c r="AJ669" t="s">
        <v>10</v>
      </c>
      <c r="AK669" t="s">
        <v>21</v>
      </c>
      <c r="AZ669" t="s">
        <v>3251</v>
      </c>
    </row>
    <row r="670" spans="1:52" x14ac:dyDescent="0.25">
      <c r="A670" t="s">
        <v>1597</v>
      </c>
      <c r="B670" t="s">
        <v>1627</v>
      </c>
      <c r="C670" t="s">
        <v>984</v>
      </c>
      <c r="D670" t="s">
        <v>10</v>
      </c>
      <c r="E670" t="s">
        <v>1628</v>
      </c>
      <c r="F670" t="s">
        <v>45</v>
      </c>
      <c r="G670" t="str">
        <f>HYPERLINK("https://www.instagram.com/p/CDOwNRXJcIk")</f>
        <v>https://www.instagram.com/p/CDOwNRXJcIk</v>
      </c>
      <c r="H670" t="s">
        <v>885</v>
      </c>
      <c r="I670" t="s">
        <v>1071</v>
      </c>
      <c r="J670" t="str">
        <f>HYPERLINK("http://instagram.com/mrtexpertmurmansk")</f>
        <v>http://instagram.com/mrtexpertmurmansk</v>
      </c>
      <c r="K670">
        <v>483</v>
      </c>
      <c r="N670" t="s">
        <v>69</v>
      </c>
      <c r="O670" t="s">
        <v>1071</v>
      </c>
      <c r="P670" t="str">
        <f>HYPERLINK("http://instagram.com/mrtexpertmurmansk")</f>
        <v>http://instagram.com/mrtexpertmurmansk</v>
      </c>
      <c r="Q670">
        <v>483</v>
      </c>
      <c r="R670" t="s">
        <v>17</v>
      </c>
      <c r="AI670" t="str">
        <f>HYPERLINK("https://www.instagram.com/p/CDOwNRXJcIk/media/?size=l")</f>
        <v>https://www.instagram.com/p/CDOwNRXJcIk/media/?size=l</v>
      </c>
      <c r="AJ670" t="s">
        <v>10</v>
      </c>
      <c r="AK670" t="s">
        <v>21</v>
      </c>
      <c r="AY670" t="s">
        <v>3250</v>
      </c>
      <c r="AZ670" t="s">
        <v>3251</v>
      </c>
    </row>
    <row r="671" spans="1:52" x14ac:dyDescent="0.25">
      <c r="A671" t="s">
        <v>2122</v>
      </c>
      <c r="B671" t="s">
        <v>2178</v>
      </c>
      <c r="C671" t="s">
        <v>968</v>
      </c>
      <c r="D671" t="s">
        <v>2179</v>
      </c>
      <c r="E671" t="s">
        <v>2180</v>
      </c>
      <c r="F671" t="s">
        <v>45</v>
      </c>
      <c r="G671" t="str">
        <f>HYPERLINK("http://www.digitaljournal.com/pr/4751329")</f>
        <v>http://www.digitaljournal.com/pr/4751329</v>
      </c>
      <c r="H671" t="s">
        <v>885</v>
      </c>
      <c r="I671" t="s">
        <v>2181</v>
      </c>
      <c r="J671" t="str">
        <f>HYPERLINK("http://www.digitaljournal.com")</f>
        <v>http://www.digitaljournal.com</v>
      </c>
      <c r="N671" t="s">
        <v>2182</v>
      </c>
      <c r="R671" t="s">
        <v>239</v>
      </c>
      <c r="S671" t="s">
        <v>1165</v>
      </c>
      <c r="AJ671" t="s">
        <v>10</v>
      </c>
      <c r="AK671" t="s">
        <v>21</v>
      </c>
      <c r="AY671" t="s">
        <v>3250</v>
      </c>
      <c r="AZ671" t="s">
        <v>3251</v>
      </c>
    </row>
    <row r="672" spans="1:52" x14ac:dyDescent="0.25">
      <c r="A672" t="s">
        <v>2589</v>
      </c>
      <c r="B672" t="s">
        <v>637</v>
      </c>
      <c r="C672" t="s">
        <v>968</v>
      </c>
      <c r="D672" t="s">
        <v>10</v>
      </c>
      <c r="E672" t="s">
        <v>2643</v>
      </c>
      <c r="F672" t="s">
        <v>45</v>
      </c>
      <c r="G672" t="str">
        <f>HYPERLINK("https://vk.com/wall-48669646_10169")</f>
        <v>https://vk.com/wall-48669646_10169</v>
      </c>
      <c r="H672" t="s">
        <v>885</v>
      </c>
      <c r="I672" t="s">
        <v>46</v>
      </c>
      <c r="J672" t="str">
        <f>HYPERLINK("http://vk.com/club48669646")</f>
        <v>http://vk.com/club48669646</v>
      </c>
      <c r="K672">
        <v>5795</v>
      </c>
      <c r="L672" t="s">
        <v>28</v>
      </c>
      <c r="N672" t="s">
        <v>16</v>
      </c>
      <c r="O672" t="s">
        <v>46</v>
      </c>
      <c r="P672" t="str">
        <f>HYPERLINK("http://vk.com/club48669646")</f>
        <v>http://vk.com/club48669646</v>
      </c>
      <c r="Q672">
        <v>5795</v>
      </c>
      <c r="R672" t="s">
        <v>17</v>
      </c>
      <c r="S672" t="s">
        <v>18</v>
      </c>
      <c r="W672">
        <v>1</v>
      </c>
      <c r="X672">
        <v>1</v>
      </c>
      <c r="AE672">
        <v>0</v>
      </c>
      <c r="AF672">
        <v>0</v>
      </c>
      <c r="AG672">
        <v>337</v>
      </c>
      <c r="AI672" t="str">
        <f>HYPERLINK("https://sun1-90.userapi.com/Go844gMBeHh1BvtHptCBogc0uMxN-Fq2GdhLbQ/w5Ig9l5M3Gc.jpg")</f>
        <v>https://sun1-90.userapi.com/Go844gMBeHh1BvtHptCBogc0uMxN-Fq2GdhLbQ/w5Ig9l5M3Gc.jpg</v>
      </c>
      <c r="AJ672" t="s">
        <v>10</v>
      </c>
      <c r="AK672" t="s">
        <v>21</v>
      </c>
      <c r="AN672" t="s">
        <v>3239</v>
      </c>
      <c r="AY672" t="s">
        <v>3250</v>
      </c>
      <c r="AZ672" t="s">
        <v>3251</v>
      </c>
    </row>
    <row r="673" spans="1:52" x14ac:dyDescent="0.25">
      <c r="A673" t="s">
        <v>414</v>
      </c>
      <c r="B673" t="s">
        <v>462</v>
      </c>
      <c r="C673" t="s">
        <v>463</v>
      </c>
      <c r="D673" t="s">
        <v>24</v>
      </c>
      <c r="E673" t="s">
        <v>465</v>
      </c>
      <c r="F673" t="s">
        <v>26</v>
      </c>
      <c r="G673" t="str">
        <f>HYPERLINK("https://vk.com/wall-197114981_31?reply=1261&amp;thread=1257")</f>
        <v>https://vk.com/wall-197114981_31?reply=1261&amp;thread=1257</v>
      </c>
      <c r="H673" t="s">
        <v>13</v>
      </c>
      <c r="I673" t="s">
        <v>461</v>
      </c>
      <c r="J673" t="str">
        <f>HYPERLINK("http://vk.com/id17469829")</f>
        <v>http://vk.com/id17469829</v>
      </c>
      <c r="K673">
        <v>374</v>
      </c>
      <c r="L673" t="s">
        <v>80</v>
      </c>
      <c r="M673">
        <v>28</v>
      </c>
      <c r="N673" t="s">
        <v>16</v>
      </c>
      <c r="O673" t="s">
        <v>27</v>
      </c>
      <c r="P673" t="str">
        <f>HYPERLINK("http://vk.com/club197114981")</f>
        <v>http://vk.com/club197114981</v>
      </c>
      <c r="Q673">
        <v>38</v>
      </c>
      <c r="R673" t="s">
        <v>17</v>
      </c>
      <c r="S673" t="s">
        <v>18</v>
      </c>
      <c r="AJ673" t="s">
        <v>10</v>
      </c>
      <c r="AK673" t="s">
        <v>21</v>
      </c>
      <c r="AN673" t="s">
        <v>3239</v>
      </c>
      <c r="AO673" t="s">
        <v>3240</v>
      </c>
    </row>
    <row r="674" spans="1:52" x14ac:dyDescent="0.25">
      <c r="A674" t="s">
        <v>414</v>
      </c>
      <c r="B674" t="s">
        <v>546</v>
      </c>
      <c r="C674" t="s">
        <v>547</v>
      </c>
      <c r="D674" t="s">
        <v>24</v>
      </c>
      <c r="E674" t="s">
        <v>494</v>
      </c>
      <c r="F674" t="s">
        <v>26</v>
      </c>
      <c r="G674" t="str">
        <f>HYPERLINK("https://vk.com/wall-197114981_31?reply=1235&amp;thread=1232")</f>
        <v>https://vk.com/wall-197114981_31?reply=1235&amp;thread=1232</v>
      </c>
      <c r="H674" t="s">
        <v>13</v>
      </c>
      <c r="I674" t="s">
        <v>27</v>
      </c>
      <c r="J674" t="str">
        <f>HYPERLINK("http://vk.com/club197114981")</f>
        <v>http://vk.com/club197114981</v>
      </c>
      <c r="K674">
        <v>38</v>
      </c>
      <c r="L674" t="s">
        <v>28</v>
      </c>
      <c r="N674" t="s">
        <v>16</v>
      </c>
      <c r="O674" t="s">
        <v>27</v>
      </c>
      <c r="P674" t="str">
        <f>HYPERLINK("http://vk.com/club197114981")</f>
        <v>http://vk.com/club197114981</v>
      </c>
      <c r="Q674">
        <v>38</v>
      </c>
      <c r="R674" t="s">
        <v>17</v>
      </c>
      <c r="AJ674" t="s">
        <v>10</v>
      </c>
      <c r="AK674" t="s">
        <v>21</v>
      </c>
    </row>
    <row r="675" spans="1:52" x14ac:dyDescent="0.25">
      <c r="A675" t="s">
        <v>772</v>
      </c>
      <c r="B675" t="s">
        <v>795</v>
      </c>
      <c r="C675" t="s">
        <v>796</v>
      </c>
      <c r="D675" t="s">
        <v>24</v>
      </c>
      <c r="E675" t="s">
        <v>794</v>
      </c>
      <c r="F675" t="s">
        <v>26</v>
      </c>
      <c r="G675" t="str">
        <f>HYPERLINK("https://vk.com/wall-197114981_31?reply=1152")</f>
        <v>https://vk.com/wall-197114981_31?reply=1152</v>
      </c>
      <c r="H675" t="s">
        <v>13</v>
      </c>
      <c r="I675" t="s">
        <v>679</v>
      </c>
      <c r="J675" t="str">
        <f>HYPERLINK("http://vk.com/id12541741")</f>
        <v>http://vk.com/id12541741</v>
      </c>
      <c r="K675">
        <v>5833</v>
      </c>
      <c r="L675" t="s">
        <v>80</v>
      </c>
      <c r="M675">
        <v>37</v>
      </c>
      <c r="N675" t="s">
        <v>16</v>
      </c>
      <c r="O675" t="s">
        <v>27</v>
      </c>
      <c r="P675" t="str">
        <f>HYPERLINK("http://vk.com/club197114981")</f>
        <v>http://vk.com/club197114981</v>
      </c>
      <c r="Q675">
        <v>38</v>
      </c>
      <c r="R675" t="s">
        <v>17</v>
      </c>
      <c r="S675" t="s">
        <v>18</v>
      </c>
      <c r="T675" t="s">
        <v>231</v>
      </c>
      <c r="U675" t="s">
        <v>232</v>
      </c>
      <c r="AJ675" t="s">
        <v>10</v>
      </c>
      <c r="AK675" t="s">
        <v>21</v>
      </c>
      <c r="AM675" t="s">
        <v>3238</v>
      </c>
      <c r="AO675" t="s">
        <v>3240</v>
      </c>
    </row>
    <row r="676" spans="1:52" x14ac:dyDescent="0.25">
      <c r="A676" t="s">
        <v>772</v>
      </c>
      <c r="B676" t="s">
        <v>918</v>
      </c>
      <c r="C676" t="s">
        <v>919</v>
      </c>
      <c r="D676" t="s">
        <v>24</v>
      </c>
      <c r="E676" t="s">
        <v>921</v>
      </c>
      <c r="F676" t="s">
        <v>26</v>
      </c>
      <c r="G676" t="str">
        <f>HYPERLINK("https://vk.com/wall-197114981_31?reply=1110")</f>
        <v>https://vk.com/wall-197114981_31?reply=1110</v>
      </c>
      <c r="H676" t="s">
        <v>885</v>
      </c>
      <c r="I676" t="s">
        <v>917</v>
      </c>
      <c r="J676" t="str">
        <f>HYPERLINK("http://vk.com/id603151212")</f>
        <v>http://vk.com/id603151212</v>
      </c>
      <c r="L676" t="s">
        <v>80</v>
      </c>
      <c r="N676" t="s">
        <v>16</v>
      </c>
      <c r="O676" t="s">
        <v>27</v>
      </c>
      <c r="P676" t="str">
        <f>HYPERLINK("http://vk.com/club197114981")</f>
        <v>http://vk.com/club197114981</v>
      </c>
      <c r="Q676">
        <v>38</v>
      </c>
      <c r="R676" t="s">
        <v>17</v>
      </c>
      <c r="S676" t="s">
        <v>18</v>
      </c>
      <c r="T676" t="s">
        <v>231</v>
      </c>
      <c r="U676" t="s">
        <v>232</v>
      </c>
      <c r="AJ676" t="s">
        <v>10</v>
      </c>
      <c r="AK676" t="s">
        <v>21</v>
      </c>
      <c r="AL676" t="s">
        <v>3237</v>
      </c>
    </row>
    <row r="677" spans="1:52" x14ac:dyDescent="0.25">
      <c r="A677" t="s">
        <v>1352</v>
      </c>
      <c r="B677" t="s">
        <v>1394</v>
      </c>
      <c r="C677" t="s">
        <v>984</v>
      </c>
      <c r="D677" t="s">
        <v>1395</v>
      </c>
      <c r="E677" t="s">
        <v>1396</v>
      </c>
      <c r="F677" t="s">
        <v>26</v>
      </c>
      <c r="G677" t="str">
        <f>HYPERLINK("https://vk.com/wall-149170868_185615?reply=185640")</f>
        <v>https://vk.com/wall-149170868_185615?reply=185640</v>
      </c>
      <c r="H677" t="s">
        <v>1057</v>
      </c>
      <c r="I677" t="s">
        <v>1397</v>
      </c>
      <c r="J677" t="str">
        <f>HYPERLINK("http://vk.com/id1363588")</f>
        <v>http://vk.com/id1363588</v>
      </c>
      <c r="K677">
        <v>1077</v>
      </c>
      <c r="L677" t="s">
        <v>80</v>
      </c>
      <c r="M677">
        <v>34</v>
      </c>
      <c r="N677" t="s">
        <v>16</v>
      </c>
      <c r="O677" t="s">
        <v>1398</v>
      </c>
      <c r="P677" t="str">
        <f>HYPERLINK("http://vk.com/club149170868")</f>
        <v>http://vk.com/club149170868</v>
      </c>
      <c r="Q677">
        <v>6061</v>
      </c>
      <c r="R677" t="s">
        <v>17</v>
      </c>
      <c r="S677" t="s">
        <v>18</v>
      </c>
      <c r="T677" t="s">
        <v>525</v>
      </c>
      <c r="U677" t="s">
        <v>526</v>
      </c>
      <c r="AJ677" t="s">
        <v>10</v>
      </c>
      <c r="AK677" t="s">
        <v>21</v>
      </c>
      <c r="AY677" t="s">
        <v>3250</v>
      </c>
      <c r="AZ677" t="s">
        <v>3251</v>
      </c>
    </row>
    <row r="678" spans="1:52" x14ac:dyDescent="0.25">
      <c r="A678" t="s">
        <v>1723</v>
      </c>
      <c r="B678" t="s">
        <v>1791</v>
      </c>
      <c r="C678" t="s">
        <v>984</v>
      </c>
      <c r="D678" t="s">
        <v>1697</v>
      </c>
      <c r="E678" t="s">
        <v>1778</v>
      </c>
      <c r="F678" t="s">
        <v>45</v>
      </c>
      <c r="G678" t="str">
        <f>HYPERLINK("https://eu.dailyrecord.com/story/news/coronavirus/2020/07/28/covid-northeast-better-prepared-second-spike/5449927002")</f>
        <v>https://eu.dailyrecord.com/story/news/coronavirus/2020/07/28/covid-northeast-better-prepared-second-spike/5449927002</v>
      </c>
      <c r="H678" t="s">
        <v>885</v>
      </c>
      <c r="I678" t="s">
        <v>1796</v>
      </c>
      <c r="J678" t="str">
        <f>HYPERLINK("http://www.dailyrecord.com")</f>
        <v>http://www.dailyrecord.com</v>
      </c>
      <c r="N678" t="s">
        <v>1797</v>
      </c>
      <c r="R678" t="s">
        <v>239</v>
      </c>
      <c r="S678" t="s">
        <v>425</v>
      </c>
      <c r="AJ678" t="s">
        <v>10</v>
      </c>
      <c r="AK678" t="s">
        <v>21</v>
      </c>
      <c r="AM678" t="s">
        <v>3238</v>
      </c>
      <c r="AY678" t="s">
        <v>3250</v>
      </c>
      <c r="AZ678" t="s">
        <v>3251</v>
      </c>
    </row>
    <row r="679" spans="1:52" x14ac:dyDescent="0.25">
      <c r="A679" t="s">
        <v>2057</v>
      </c>
      <c r="B679" t="s">
        <v>2108</v>
      </c>
      <c r="C679" t="s">
        <v>968</v>
      </c>
      <c r="D679" t="s">
        <v>1959</v>
      </c>
      <c r="E679" t="s">
        <v>2109</v>
      </c>
      <c r="F679" t="s">
        <v>26</v>
      </c>
      <c r="G679" t="str">
        <f>HYPERLINK("https://www.facebook.com/permalink.php?story_fbid=2626249161024079&amp;id=100009170625998&amp;comment_id=2626277277687934&amp;reply_comment_id=2626280647687597")</f>
        <v>https://www.facebook.com/permalink.php?story_fbid=2626249161024079&amp;id=100009170625998&amp;comment_id=2626277277687934&amp;reply_comment_id=2626280647687597</v>
      </c>
      <c r="H679" t="s">
        <v>885</v>
      </c>
      <c r="I679" t="s">
        <v>1961</v>
      </c>
      <c r="J679" t="str">
        <f>HYPERLINK("https://www.facebook.com/100009170625998")</f>
        <v>https://www.facebook.com/100009170625998</v>
      </c>
      <c r="K679">
        <v>759</v>
      </c>
      <c r="L679" t="s">
        <v>80</v>
      </c>
      <c r="N679" t="s">
        <v>179</v>
      </c>
      <c r="O679" t="s">
        <v>1961</v>
      </c>
      <c r="P679" t="str">
        <f>HYPERLINK("https://www.facebook.com/100009170625998")</f>
        <v>https://www.facebook.com/100009170625998</v>
      </c>
      <c r="Q679">
        <v>759</v>
      </c>
      <c r="R679" t="s">
        <v>17</v>
      </c>
      <c r="S679" t="s">
        <v>18</v>
      </c>
      <c r="T679" t="s">
        <v>354</v>
      </c>
      <c r="U679" t="s">
        <v>354</v>
      </c>
      <c r="AJ679" t="s">
        <v>10</v>
      </c>
      <c r="AK679" t="s">
        <v>21</v>
      </c>
    </row>
    <row r="680" spans="1:52" x14ac:dyDescent="0.25">
      <c r="A680" t="s">
        <v>2290</v>
      </c>
      <c r="B680" t="s">
        <v>2321</v>
      </c>
      <c r="C680" t="s">
        <v>968</v>
      </c>
      <c r="D680" t="s">
        <v>2322</v>
      </c>
      <c r="E680" t="s">
        <v>2323</v>
      </c>
      <c r="F680" t="s">
        <v>45</v>
      </c>
      <c r="G680" t="str">
        <f>HYPERLINK("http://www.pharmaceuticaldaily.com/tenax-therapeutics-expands-board-of-directors-with-the-appointment-of-two-new-directors-steven-boyd-and-keith-maher-md")</f>
        <v>http://www.pharmaceuticaldaily.com/tenax-therapeutics-expands-board-of-directors-with-the-appointment-of-two-new-directors-steven-boyd-and-keith-maher-md</v>
      </c>
      <c r="H680" t="s">
        <v>885</v>
      </c>
      <c r="I680" t="s">
        <v>2324</v>
      </c>
      <c r="J680" t="str">
        <f>HYPERLINK("http://www.pharmaceuticaldaily.com/tenax-therapeutics-expands-board-of-directors-with-the-appointment-of-two-new-directors-steven-boyd-and-keith-maher-md/")</f>
        <v>http://www.pharmaceuticaldaily.com/tenax-therapeutics-expands-board-of-directors-with-the-appointment-of-two-new-directors-steven-boyd-and-keith-maher-md/</v>
      </c>
      <c r="N680" t="s">
        <v>2325</v>
      </c>
      <c r="R680" t="s">
        <v>239</v>
      </c>
      <c r="S680" t="s">
        <v>425</v>
      </c>
      <c r="AJ680" t="s">
        <v>10</v>
      </c>
      <c r="AK680" t="s">
        <v>21</v>
      </c>
    </row>
    <row r="681" spans="1:52" x14ac:dyDescent="0.25">
      <c r="A681" t="s">
        <v>2428</v>
      </c>
      <c r="B681" t="s">
        <v>2441</v>
      </c>
      <c r="C681" t="s">
        <v>968</v>
      </c>
      <c r="D681" t="s">
        <v>2444</v>
      </c>
      <c r="E681" t="s">
        <v>2445</v>
      </c>
      <c r="F681" t="s">
        <v>26</v>
      </c>
      <c r="G681" t="str">
        <f>HYPERLINK("https://vk.com/wall-66172496_480442?reply=480452")</f>
        <v>https://vk.com/wall-66172496_480442?reply=480452</v>
      </c>
      <c r="H681" t="s">
        <v>889</v>
      </c>
      <c r="I681" t="s">
        <v>2446</v>
      </c>
      <c r="J681" t="str">
        <f>HYPERLINK("http://vk.com/id151215106")</f>
        <v>http://vk.com/id151215106</v>
      </c>
      <c r="K681">
        <v>303</v>
      </c>
      <c r="L681" t="s">
        <v>80</v>
      </c>
      <c r="N681" t="s">
        <v>16</v>
      </c>
      <c r="O681" t="s">
        <v>2447</v>
      </c>
      <c r="P681" t="str">
        <f>HYPERLINK("http://vk.com/club66172496")</f>
        <v>http://vk.com/club66172496</v>
      </c>
      <c r="Q681">
        <v>14519</v>
      </c>
      <c r="R681" t="s">
        <v>17</v>
      </c>
      <c r="S681" t="s">
        <v>18</v>
      </c>
      <c r="T681" t="s">
        <v>272</v>
      </c>
      <c r="U681" t="s">
        <v>2448</v>
      </c>
      <c r="AJ681" t="s">
        <v>10</v>
      </c>
      <c r="AK681" t="s">
        <v>21</v>
      </c>
    </row>
    <row r="682" spans="1:52" x14ac:dyDescent="0.25">
      <c r="A682" t="s">
        <v>2589</v>
      </c>
      <c r="B682" t="s">
        <v>2680</v>
      </c>
      <c r="C682" t="s">
        <v>968</v>
      </c>
      <c r="D682" t="s">
        <v>10</v>
      </c>
      <c r="E682" t="s">
        <v>2681</v>
      </c>
      <c r="F682" t="s">
        <v>26</v>
      </c>
      <c r="G682" t="str">
        <f>HYPERLINK("https://twitter.com/938151100389175298/status/1283156694592348166")</f>
        <v>https://twitter.com/938151100389175298/status/1283156694592348166</v>
      </c>
      <c r="H682" t="s">
        <v>885</v>
      </c>
      <c r="I682" t="s">
        <v>2682</v>
      </c>
      <c r="J682" t="str">
        <f>HYPERLINK("http://twitter.com/commonsensecpt")</f>
        <v>http://twitter.com/commonsensecpt</v>
      </c>
      <c r="K682">
        <v>2</v>
      </c>
      <c r="N682" t="s">
        <v>54</v>
      </c>
      <c r="R682" t="s">
        <v>17</v>
      </c>
      <c r="W682">
        <v>0</v>
      </c>
      <c r="X682">
        <v>0</v>
      </c>
      <c r="AE682">
        <v>1</v>
      </c>
      <c r="AF682">
        <v>0</v>
      </c>
      <c r="AJ682" t="s">
        <v>10</v>
      </c>
      <c r="AK682" t="s">
        <v>21</v>
      </c>
      <c r="AL682" t="s">
        <v>3237</v>
      </c>
    </row>
    <row r="683" spans="1:52" x14ac:dyDescent="0.25">
      <c r="A683" t="s">
        <v>2865</v>
      </c>
      <c r="B683" t="s">
        <v>277</v>
      </c>
      <c r="C683" t="s">
        <v>968</v>
      </c>
      <c r="D683" t="s">
        <v>10</v>
      </c>
      <c r="E683" t="s">
        <v>2885</v>
      </c>
      <c r="F683" t="s">
        <v>12</v>
      </c>
      <c r="G683" t="str">
        <f>HYPERLINK("https://www.facebook.com/568390943273818/posts/2978666622246226")</f>
        <v>https://www.facebook.com/568390943273818/posts/2978666622246226</v>
      </c>
      <c r="H683" t="s">
        <v>885</v>
      </c>
      <c r="I683" t="s">
        <v>280</v>
      </c>
      <c r="J683" t="str">
        <f>HYPERLINK("https://www.facebook.com/568390943273818")</f>
        <v>https://www.facebook.com/568390943273818</v>
      </c>
      <c r="K683">
        <v>18918</v>
      </c>
      <c r="L683" t="s">
        <v>28</v>
      </c>
      <c r="N683" t="s">
        <v>179</v>
      </c>
      <c r="O683" t="s">
        <v>280</v>
      </c>
      <c r="P683" t="str">
        <f>HYPERLINK("https://www.facebook.com/568390943273818")</f>
        <v>https://www.facebook.com/568390943273818</v>
      </c>
      <c r="Q683">
        <v>18918</v>
      </c>
      <c r="R683" t="s">
        <v>17</v>
      </c>
      <c r="S683" t="s">
        <v>281</v>
      </c>
      <c r="T683" t="s">
        <v>282</v>
      </c>
      <c r="U683" t="s">
        <v>282</v>
      </c>
      <c r="W683">
        <v>11</v>
      </c>
      <c r="X683">
        <v>11</v>
      </c>
      <c r="Y683">
        <v>0</v>
      </c>
      <c r="Z683">
        <v>0</v>
      </c>
      <c r="AA683">
        <v>0</v>
      </c>
      <c r="AB683">
        <v>0</v>
      </c>
      <c r="AC683">
        <v>0</v>
      </c>
      <c r="AE683">
        <v>1</v>
      </c>
      <c r="AI683" t="str">
        <f>HYPERLINK("https://scontent-ams4-1.xx.fbcdn.net/v/t15.5256-10/107857119_3280495232010282_8012856022613606431_n.jpg?_nc_cat=103&amp;_nc_sid=ad6a45&amp;_nc_ohc=jUdRqu5rKAQAX-86ouK&amp;_nc_ht=scontent-ams4-1.xx&amp;oh=6d85b8665ad39f20004f0c1064d34fb6&amp;oe=5F310A03")</f>
        <v>https://scontent-ams4-1.xx.fbcdn.net/v/t15.5256-10/107857119_3280495232010282_8012856022613606431_n.jpg?_nc_cat=103&amp;_nc_sid=ad6a45&amp;_nc_ohc=jUdRqu5rKAQAX-86ouK&amp;_nc_ht=scontent-ams4-1.xx&amp;oh=6d85b8665ad39f20004f0c1064d34fb6&amp;oe=5F310A03</v>
      </c>
      <c r="AJ683" t="s">
        <v>10</v>
      </c>
      <c r="AK683" t="s">
        <v>21</v>
      </c>
    </row>
    <row r="684" spans="1:52" x14ac:dyDescent="0.25">
      <c r="A684" t="s">
        <v>2915</v>
      </c>
      <c r="B684" t="s">
        <v>2943</v>
      </c>
      <c r="C684" t="s">
        <v>968</v>
      </c>
      <c r="D684" t="s">
        <v>10</v>
      </c>
      <c r="E684" t="s">
        <v>2944</v>
      </c>
      <c r="F684" t="s">
        <v>45</v>
      </c>
      <c r="G684" t="str">
        <f>HYPERLINK("https://twitter.com/1281913868290338822/status/1281916165380423680")</f>
        <v>https://twitter.com/1281913868290338822/status/1281916165380423680</v>
      </c>
      <c r="H684" t="s">
        <v>885</v>
      </c>
      <c r="I684" t="s">
        <v>2945</v>
      </c>
      <c r="J684" t="str">
        <f>HYPERLINK("http://twitter.com/viFWch1GuSQaTeS")</f>
        <v>http://twitter.com/viFWch1GuSQaTeS</v>
      </c>
      <c r="K684">
        <v>0</v>
      </c>
      <c r="N684" t="s">
        <v>54</v>
      </c>
      <c r="R684" t="s">
        <v>17</v>
      </c>
      <c r="AJ684" t="s">
        <v>10</v>
      </c>
      <c r="AK684" t="s">
        <v>21</v>
      </c>
      <c r="AO684" t="s">
        <v>3240</v>
      </c>
      <c r="AY684" t="s">
        <v>3250</v>
      </c>
      <c r="AZ684" t="s">
        <v>3251</v>
      </c>
    </row>
    <row r="685" spans="1:52" x14ac:dyDescent="0.25">
      <c r="A685" t="s">
        <v>1723</v>
      </c>
      <c r="B685" t="s">
        <v>1100</v>
      </c>
      <c r="C685" t="s">
        <v>984</v>
      </c>
      <c r="D685" t="s">
        <v>1697</v>
      </c>
      <c r="E685" t="s">
        <v>1778</v>
      </c>
      <c r="F685" t="s">
        <v>45</v>
      </c>
      <c r="G685" t="str">
        <f>HYPERLINK("https://www.pressconnects.com/story/news/coronavirus/2020/07/28/covid-northeast-better-prepared-second-spike/5449927002")</f>
        <v>https://www.pressconnects.com/story/news/coronavirus/2020/07/28/covid-northeast-better-prepared-second-spike/5449927002</v>
      </c>
      <c r="H685" t="s">
        <v>885</v>
      </c>
      <c r="I685" t="s">
        <v>1779</v>
      </c>
      <c r="J685" t="str">
        <f>HYPERLINK("https://www.pressconnects.com")</f>
        <v>https://www.pressconnects.com</v>
      </c>
      <c r="N685" t="s">
        <v>1780</v>
      </c>
      <c r="R685" t="s">
        <v>239</v>
      </c>
      <c r="S685" t="s">
        <v>425</v>
      </c>
      <c r="AJ685" t="s">
        <v>10</v>
      </c>
      <c r="AK685" t="s">
        <v>21</v>
      </c>
      <c r="AO685" t="s">
        <v>3240</v>
      </c>
      <c r="AY685" t="s">
        <v>3250</v>
      </c>
      <c r="AZ685" t="s">
        <v>3251</v>
      </c>
    </row>
    <row r="686" spans="1:52" x14ac:dyDescent="0.25">
      <c r="A686" t="s">
        <v>1838</v>
      </c>
      <c r="B686" t="s">
        <v>645</v>
      </c>
      <c r="C686" t="s">
        <v>984</v>
      </c>
      <c r="D686" t="s">
        <v>10</v>
      </c>
      <c r="E686" t="s">
        <v>1910</v>
      </c>
      <c r="F686" t="s">
        <v>45</v>
      </c>
      <c r="G686" t="str">
        <f>HYPERLINK("https://vk.com/wall-97208796_928")</f>
        <v>https://vk.com/wall-97208796_928</v>
      </c>
      <c r="H686" t="s">
        <v>885</v>
      </c>
      <c r="I686" t="s">
        <v>36</v>
      </c>
      <c r="J686" t="str">
        <f>HYPERLINK("http://vk.com/club97208796")</f>
        <v>http://vk.com/club97208796</v>
      </c>
      <c r="K686">
        <v>3425</v>
      </c>
      <c r="L686" t="s">
        <v>28</v>
      </c>
      <c r="N686" t="s">
        <v>16</v>
      </c>
      <c r="O686" t="s">
        <v>36</v>
      </c>
      <c r="P686" t="str">
        <f>HYPERLINK("http://vk.com/club97208796")</f>
        <v>http://vk.com/club97208796</v>
      </c>
      <c r="Q686">
        <v>3425</v>
      </c>
      <c r="R686" t="s">
        <v>17</v>
      </c>
      <c r="S686" t="s">
        <v>18</v>
      </c>
      <c r="T686" t="s">
        <v>37</v>
      </c>
      <c r="U686" t="s">
        <v>38</v>
      </c>
      <c r="W686">
        <v>24</v>
      </c>
      <c r="X686">
        <v>24</v>
      </c>
      <c r="AE686">
        <v>0</v>
      </c>
      <c r="AF686">
        <v>11</v>
      </c>
      <c r="AG686">
        <v>1543</v>
      </c>
      <c r="AI686" t="str">
        <f>HYPERLINK("https://sun9-19.userapi.com/on9ePpaFZs_Q-sB9cP8-hklrpPP_a1CziEt5fA/oFRsr8KRYyg.jpg")</f>
        <v>https://sun9-19.userapi.com/on9ePpaFZs_Q-sB9cP8-hklrpPP_a1CziEt5fA/oFRsr8KRYyg.jpg</v>
      </c>
      <c r="AJ686" t="s">
        <v>10</v>
      </c>
      <c r="AK686" t="s">
        <v>21</v>
      </c>
      <c r="AO686" t="s">
        <v>3240</v>
      </c>
      <c r="AU686" t="s">
        <v>3246</v>
      </c>
    </row>
    <row r="687" spans="1:52" x14ac:dyDescent="0.25">
      <c r="A687" t="s">
        <v>2290</v>
      </c>
      <c r="B687" t="s">
        <v>2375</v>
      </c>
      <c r="C687" t="s">
        <v>968</v>
      </c>
      <c r="D687" t="s">
        <v>10</v>
      </c>
      <c r="E687" t="s">
        <v>2376</v>
      </c>
      <c r="F687" t="s">
        <v>26</v>
      </c>
      <c r="G687" t="str">
        <f>HYPERLINK("https://twitter.com/48139227/status/1284983878583750656")</f>
        <v>https://twitter.com/48139227/status/1284983878583750656</v>
      </c>
      <c r="H687" t="s">
        <v>885</v>
      </c>
      <c r="I687" t="s">
        <v>2377</v>
      </c>
      <c r="J687" t="str">
        <f>HYPERLINK("http://twitter.com/ChattaDude")</f>
        <v>http://twitter.com/ChattaDude</v>
      </c>
      <c r="K687">
        <v>336</v>
      </c>
      <c r="N687" t="s">
        <v>54</v>
      </c>
      <c r="R687" t="s">
        <v>17</v>
      </c>
      <c r="W687">
        <v>2</v>
      </c>
      <c r="X687">
        <v>2</v>
      </c>
      <c r="AF687">
        <v>0</v>
      </c>
      <c r="AJ687" t="s">
        <v>10</v>
      </c>
      <c r="AK687" t="s">
        <v>21</v>
      </c>
      <c r="AO687" t="s">
        <v>3240</v>
      </c>
      <c r="AU687" t="s">
        <v>3246</v>
      </c>
      <c r="AV687" t="s">
        <v>3247</v>
      </c>
      <c r="AY687" t="s">
        <v>3250</v>
      </c>
      <c r="AZ687" t="s">
        <v>3251</v>
      </c>
    </row>
    <row r="688" spans="1:52" x14ac:dyDescent="0.25">
      <c r="A688" t="s">
        <v>2541</v>
      </c>
      <c r="B688" t="s">
        <v>2561</v>
      </c>
      <c r="C688" t="s">
        <v>968</v>
      </c>
      <c r="D688" t="s">
        <v>10</v>
      </c>
      <c r="E688" t="s">
        <v>2521</v>
      </c>
      <c r="F688" t="s">
        <v>45</v>
      </c>
      <c r="G688" t="str">
        <f>HYPERLINK("https://www.facebook.com/mriexpert/photos/a.902990326434112/3190120951054360/?type=3")</f>
        <v>https://www.facebook.com/mriexpert/photos/a.902990326434112/3190120951054360/?type=3</v>
      </c>
      <c r="H688" t="s">
        <v>885</v>
      </c>
      <c r="I688" t="s">
        <v>46</v>
      </c>
      <c r="J688" t="str">
        <f>HYPERLINK("https://www.facebook.com/902980129768465")</f>
        <v>https://www.facebook.com/902980129768465</v>
      </c>
      <c r="K688">
        <v>1509</v>
      </c>
      <c r="L688" t="s">
        <v>28</v>
      </c>
      <c r="N688" t="s">
        <v>179</v>
      </c>
      <c r="O688" t="s">
        <v>46</v>
      </c>
      <c r="P688" t="str">
        <f>HYPERLINK("https://www.facebook.com/902980129768465")</f>
        <v>https://www.facebook.com/902980129768465</v>
      </c>
      <c r="Q688">
        <v>1509</v>
      </c>
      <c r="R688" t="s">
        <v>17</v>
      </c>
      <c r="W688">
        <v>3</v>
      </c>
      <c r="X688">
        <v>3</v>
      </c>
      <c r="Y688">
        <v>0</v>
      </c>
      <c r="Z688">
        <v>0</v>
      </c>
      <c r="AA688">
        <v>0</v>
      </c>
      <c r="AB688">
        <v>0</v>
      </c>
      <c r="AC688">
        <v>0</v>
      </c>
      <c r="AE688">
        <v>0</v>
      </c>
      <c r="AF688">
        <v>3</v>
      </c>
      <c r="AI688" t="str">
        <f>HYPERLINK("https://scontent-hel2-1.xx.fbcdn.net/v/t1.0-9/s960x960/109387448_3190120957721026_4177860380192712218_o.jpg?_nc_cat=108&amp;_nc_sid=9267fe&amp;_nc_ohc=SOZQlH8vTfEAX_GJkEs&amp;_nc_ht=scontent-hel2-1.xx&amp;_nc_tp=7&amp;oh=6f3e19f329275a2f550ec376a20415b6&amp;oe=5F343D3A")</f>
        <v>https://scontent-hel2-1.xx.fbcdn.net/v/t1.0-9/s960x960/109387448_3190120957721026_4177860380192712218_o.jpg?_nc_cat=108&amp;_nc_sid=9267fe&amp;_nc_ohc=SOZQlH8vTfEAX_GJkEs&amp;_nc_ht=scontent-hel2-1.xx&amp;_nc_tp=7&amp;oh=6f3e19f329275a2f550ec376a20415b6&amp;oe=5F343D3A</v>
      </c>
      <c r="AJ688" t="s">
        <v>10</v>
      </c>
      <c r="AK688" t="s">
        <v>21</v>
      </c>
      <c r="AO688" t="s">
        <v>3240</v>
      </c>
      <c r="AW688" t="s">
        <v>3248</v>
      </c>
      <c r="AX688" t="s">
        <v>3249</v>
      </c>
      <c r="AY688" t="s">
        <v>3250</v>
      </c>
    </row>
    <row r="689" spans="1:52" x14ac:dyDescent="0.25">
      <c r="A689" t="s">
        <v>2767</v>
      </c>
      <c r="B689" t="s">
        <v>2807</v>
      </c>
      <c r="C689" t="s">
        <v>968</v>
      </c>
      <c r="D689" t="s">
        <v>10</v>
      </c>
      <c r="E689" t="s">
        <v>2808</v>
      </c>
      <c r="F689" t="s">
        <v>45</v>
      </c>
      <c r="G689" t="str">
        <f>HYPERLINK("https://www.facebook.com/mkvkostrome/posts/2779203922325736")</f>
        <v>https://www.facebook.com/mkvkostrome/posts/2779203922325736</v>
      </c>
      <c r="H689" t="s">
        <v>1057</v>
      </c>
      <c r="I689" t="s">
        <v>2809</v>
      </c>
      <c r="J689" t="str">
        <f>HYPERLINK("https://www.facebook.com/2108393646073437")</f>
        <v>https://www.facebook.com/2108393646073437</v>
      </c>
      <c r="K689">
        <v>237</v>
      </c>
      <c r="L689" t="s">
        <v>28</v>
      </c>
      <c r="N689" t="s">
        <v>179</v>
      </c>
      <c r="O689" t="s">
        <v>2809</v>
      </c>
      <c r="P689" t="str">
        <f>HYPERLINK("https://www.facebook.com/2108393646073437")</f>
        <v>https://www.facebook.com/2108393646073437</v>
      </c>
      <c r="Q689">
        <v>237</v>
      </c>
      <c r="R689" t="s">
        <v>17</v>
      </c>
      <c r="W689">
        <v>0</v>
      </c>
      <c r="X689">
        <v>0</v>
      </c>
      <c r="Y689">
        <v>0</v>
      </c>
      <c r="Z689">
        <v>0</v>
      </c>
      <c r="AA689">
        <v>0</v>
      </c>
      <c r="AB689">
        <v>0</v>
      </c>
      <c r="AC689">
        <v>0</v>
      </c>
      <c r="AE689">
        <v>0</v>
      </c>
      <c r="AI689" t="str">
        <f>HYPERLINK("https://static.mk.ru/upload/entities/2020/07/13/11/articles/facebookPicture/98/13/e4/e3/fb86218d7380212394fb17513f4fe0ee.jpg")</f>
        <v>https://static.mk.ru/upload/entities/2020/07/13/11/articles/facebookPicture/98/13/e4/e3/fb86218d7380212394fb17513f4fe0ee.jpg</v>
      </c>
      <c r="AJ689" t="s">
        <v>10</v>
      </c>
      <c r="AK689" t="s">
        <v>21</v>
      </c>
      <c r="AY689" t="s">
        <v>3250</v>
      </c>
    </row>
    <row r="690" spans="1:52" x14ac:dyDescent="0.25">
      <c r="A690" t="s">
        <v>1017</v>
      </c>
      <c r="B690" t="s">
        <v>1069</v>
      </c>
      <c r="C690" t="s">
        <v>984</v>
      </c>
      <c r="D690" t="s">
        <v>10</v>
      </c>
      <c r="E690" t="s">
        <v>1070</v>
      </c>
      <c r="F690" t="s">
        <v>45</v>
      </c>
      <c r="G690" t="str">
        <f>HYPERLINK("https://www.instagram.com/p/CDl6huTp_3M")</f>
        <v>https://www.instagram.com/p/CDl6huTp_3M</v>
      </c>
      <c r="H690" t="s">
        <v>885</v>
      </c>
      <c r="I690" t="s">
        <v>1071</v>
      </c>
      <c r="J690" t="str">
        <f>HYPERLINK("http://instagram.com/mrtexpertmurmansk")</f>
        <v>http://instagram.com/mrtexpertmurmansk</v>
      </c>
      <c r="K690">
        <v>483</v>
      </c>
      <c r="N690" t="s">
        <v>69</v>
      </c>
      <c r="O690" t="s">
        <v>1071</v>
      </c>
      <c r="P690" t="str">
        <f>HYPERLINK("http://instagram.com/mrtexpertmurmansk")</f>
        <v>http://instagram.com/mrtexpertmurmansk</v>
      </c>
      <c r="Q690">
        <v>483</v>
      </c>
      <c r="R690" t="s">
        <v>17</v>
      </c>
      <c r="W690">
        <v>20</v>
      </c>
      <c r="X690">
        <v>20</v>
      </c>
      <c r="AE690">
        <v>1</v>
      </c>
      <c r="AI690" t="str">
        <f>HYPERLINK("https://www.instagram.com/p/CDl6huTp_3M/media/?size=l")</f>
        <v>https://www.instagram.com/p/CDl6huTp_3M/media/?size=l</v>
      </c>
      <c r="AJ690" t="s">
        <v>10</v>
      </c>
      <c r="AK690" t="s">
        <v>21</v>
      </c>
      <c r="AY690" t="s">
        <v>3250</v>
      </c>
    </row>
    <row r="691" spans="1:52" x14ac:dyDescent="0.25">
      <c r="A691" t="s">
        <v>2472</v>
      </c>
      <c r="B691" t="s">
        <v>163</v>
      </c>
      <c r="C691" t="s">
        <v>968</v>
      </c>
      <c r="D691" t="s">
        <v>10</v>
      </c>
      <c r="E691" t="s">
        <v>2508</v>
      </c>
      <c r="F691" t="s">
        <v>12</v>
      </c>
      <c r="G691" t="str">
        <f>HYPERLINK("https://www.facebook.com/568390943273818/posts/2994916243954597")</f>
        <v>https://www.facebook.com/568390943273818/posts/2994916243954597</v>
      </c>
      <c r="H691" t="s">
        <v>885</v>
      </c>
      <c r="I691" t="s">
        <v>280</v>
      </c>
      <c r="J691" t="str">
        <f>HYPERLINK("https://www.facebook.com/568390943273818")</f>
        <v>https://www.facebook.com/568390943273818</v>
      </c>
      <c r="K691">
        <v>18918</v>
      </c>
      <c r="L691" t="s">
        <v>28</v>
      </c>
      <c r="N691" t="s">
        <v>179</v>
      </c>
      <c r="O691" t="s">
        <v>280</v>
      </c>
      <c r="P691" t="str">
        <f>HYPERLINK("https://www.facebook.com/568390943273818")</f>
        <v>https://www.facebook.com/568390943273818</v>
      </c>
      <c r="Q691">
        <v>18918</v>
      </c>
      <c r="R691" t="s">
        <v>17</v>
      </c>
      <c r="S691" t="s">
        <v>281</v>
      </c>
      <c r="T691" t="s">
        <v>282</v>
      </c>
      <c r="U691" t="s">
        <v>282</v>
      </c>
      <c r="W691">
        <v>7</v>
      </c>
      <c r="X691">
        <v>7</v>
      </c>
      <c r="Y691">
        <v>0</v>
      </c>
      <c r="Z691">
        <v>0</v>
      </c>
      <c r="AA691">
        <v>0</v>
      </c>
      <c r="AB691">
        <v>0</v>
      </c>
      <c r="AC691">
        <v>0</v>
      </c>
      <c r="AE691">
        <v>0</v>
      </c>
      <c r="AI691" t="str">
        <f>HYPERLINK("https://scontent-amt2-1.xx.fbcdn.net/v/t1.0-9/s720x720/110657864_2994909330621955_5423808019323152710_o.jpg?_nc_cat=106&amp;_nc_sid=8024bb&amp;_nc_ohc=DmXndaRgragAX-_Bron&amp;_nc_ht=scontent-amt2-1.xx&amp;_nc_tp=7&amp;oh=980be454adef56d5982f71e7113dcb1e&amp;oe=5F393A64")</f>
        <v>https://scontent-amt2-1.xx.fbcdn.net/v/t1.0-9/s720x720/110657864_2994909330621955_5423808019323152710_o.jpg?_nc_cat=106&amp;_nc_sid=8024bb&amp;_nc_ohc=DmXndaRgragAX-_Bron&amp;_nc_ht=scontent-amt2-1.xx&amp;_nc_tp=7&amp;oh=980be454adef56d5982f71e7113dcb1e&amp;oe=5F393A64</v>
      </c>
      <c r="AJ691" t="s">
        <v>10</v>
      </c>
      <c r="AK691" t="s">
        <v>21</v>
      </c>
      <c r="AL691" t="s">
        <v>3237</v>
      </c>
      <c r="AY691" t="s">
        <v>3250</v>
      </c>
    </row>
    <row r="692" spans="1:52" x14ac:dyDescent="0.25">
      <c r="A692" t="s">
        <v>2290</v>
      </c>
      <c r="B692" t="s">
        <v>2348</v>
      </c>
      <c r="C692" t="s">
        <v>968</v>
      </c>
      <c r="D692" t="s">
        <v>10</v>
      </c>
      <c r="E692" t="s">
        <v>2349</v>
      </c>
      <c r="F692" t="s">
        <v>26</v>
      </c>
      <c r="G692" t="str">
        <f>HYPERLINK("https://twitter.com/152174967/status/1285137087851892736")</f>
        <v>https://twitter.com/152174967/status/1285137087851892736</v>
      </c>
      <c r="H692" t="s">
        <v>885</v>
      </c>
      <c r="I692" t="s">
        <v>2350</v>
      </c>
      <c r="J692" t="str">
        <f>HYPERLINK("http://twitter.com/Almy_T_Lucifer")</f>
        <v>http://twitter.com/Almy_T_Lucifer</v>
      </c>
      <c r="K692">
        <v>20</v>
      </c>
      <c r="N692" t="s">
        <v>54</v>
      </c>
      <c r="R692" t="s">
        <v>17</v>
      </c>
      <c r="W692">
        <v>1</v>
      </c>
      <c r="X692">
        <v>1</v>
      </c>
      <c r="AF692">
        <v>0</v>
      </c>
      <c r="AI692" t="str">
        <f>HYPERLINK("https://pbs.twimg.com/media/EdW5XtqWoAIaQr1.jpg")</f>
        <v>https://pbs.twimg.com/media/EdW5XtqWoAIaQr1.jpg</v>
      </c>
      <c r="AJ692" t="s">
        <v>10</v>
      </c>
      <c r="AK692" t="s">
        <v>21</v>
      </c>
      <c r="AL692" t="s">
        <v>3237</v>
      </c>
      <c r="AY692" t="s">
        <v>3250</v>
      </c>
    </row>
    <row r="693" spans="1:52" x14ac:dyDescent="0.25">
      <c r="A693" t="s">
        <v>2290</v>
      </c>
      <c r="B693" t="s">
        <v>2378</v>
      </c>
      <c r="C693" t="s">
        <v>968</v>
      </c>
      <c r="D693" t="s">
        <v>10</v>
      </c>
      <c r="E693" t="s">
        <v>2379</v>
      </c>
      <c r="F693" t="s">
        <v>26</v>
      </c>
      <c r="G693" t="str">
        <f>HYPERLINK("https://twitter.com/48139227/status/1284983333940854784")</f>
        <v>https://twitter.com/48139227/status/1284983333940854784</v>
      </c>
      <c r="H693" t="s">
        <v>885</v>
      </c>
      <c r="I693" t="s">
        <v>2377</v>
      </c>
      <c r="J693" t="str">
        <f>HYPERLINK("http://twitter.com/ChattaDude")</f>
        <v>http://twitter.com/ChattaDude</v>
      </c>
      <c r="K693">
        <v>336</v>
      </c>
      <c r="N693" t="s">
        <v>54</v>
      </c>
      <c r="R693" t="s">
        <v>17</v>
      </c>
      <c r="W693">
        <v>0</v>
      </c>
      <c r="X693">
        <v>0</v>
      </c>
      <c r="AF693">
        <v>0</v>
      </c>
      <c r="AJ693" t="s">
        <v>10</v>
      </c>
      <c r="AK693" t="s">
        <v>21</v>
      </c>
      <c r="AL693" t="s">
        <v>3237</v>
      </c>
      <c r="AY693" t="s">
        <v>3250</v>
      </c>
    </row>
    <row r="694" spans="1:52" x14ac:dyDescent="0.25">
      <c r="A694" t="s">
        <v>2589</v>
      </c>
      <c r="B694" t="s">
        <v>42</v>
      </c>
      <c r="C694" t="s">
        <v>968</v>
      </c>
      <c r="D694" t="s">
        <v>10</v>
      </c>
      <c r="E694" t="s">
        <v>2627</v>
      </c>
      <c r="F694" t="s">
        <v>12</v>
      </c>
      <c r="G694" t="str">
        <f>HYPERLINK("https://www.facebook.com/568390943273818/posts/2986624528117102")</f>
        <v>https://www.facebook.com/568390943273818/posts/2986624528117102</v>
      </c>
      <c r="H694" t="s">
        <v>885</v>
      </c>
      <c r="I694" t="s">
        <v>280</v>
      </c>
      <c r="J694" t="str">
        <f>HYPERLINK("https://www.facebook.com/568390943273818")</f>
        <v>https://www.facebook.com/568390943273818</v>
      </c>
      <c r="K694">
        <v>18918</v>
      </c>
      <c r="L694" t="s">
        <v>28</v>
      </c>
      <c r="N694" t="s">
        <v>179</v>
      </c>
      <c r="O694" t="s">
        <v>280</v>
      </c>
      <c r="P694" t="str">
        <f>HYPERLINK("https://www.facebook.com/568390943273818")</f>
        <v>https://www.facebook.com/568390943273818</v>
      </c>
      <c r="Q694">
        <v>18918</v>
      </c>
      <c r="R694" t="s">
        <v>17</v>
      </c>
      <c r="S694" t="s">
        <v>281</v>
      </c>
      <c r="T694" t="s">
        <v>282</v>
      </c>
      <c r="U694" t="s">
        <v>282</v>
      </c>
      <c r="AI694" t="str">
        <f>HYPERLINK("https://scontent-amt2-1.xx.fbcdn.net/v/t1.0-9/p720x720/107962437_2986594741453414_437010815832095732_o.jpg?_nc_cat=106&amp;_nc_sid=8024bb&amp;_nc_ohc=t5SHgiZ0WCEAX_XJE0j&amp;_nc_ht=scontent-amt2-1.xx&amp;_nc_tp=6&amp;oh=99ea5d5b59a37685fc81f41c88752d31&amp;oe=5F36615D")</f>
        <v>https://scontent-amt2-1.xx.fbcdn.net/v/t1.0-9/p720x720/107962437_2986594741453414_437010815832095732_o.jpg?_nc_cat=106&amp;_nc_sid=8024bb&amp;_nc_ohc=t5SHgiZ0WCEAX_XJE0j&amp;_nc_ht=scontent-amt2-1.xx&amp;_nc_tp=6&amp;oh=99ea5d5b59a37685fc81f41c88752d31&amp;oe=5F36615D</v>
      </c>
      <c r="AJ694" t="s">
        <v>10</v>
      </c>
      <c r="AK694" t="s">
        <v>21</v>
      </c>
      <c r="AY694" t="s">
        <v>3250</v>
      </c>
      <c r="AZ694" t="s">
        <v>3251</v>
      </c>
    </row>
    <row r="695" spans="1:52" x14ac:dyDescent="0.25">
      <c r="A695" t="s">
        <v>772</v>
      </c>
      <c r="B695" t="s">
        <v>892</v>
      </c>
      <c r="C695" t="s">
        <v>893</v>
      </c>
      <c r="D695" t="s">
        <v>24</v>
      </c>
      <c r="E695" t="s">
        <v>480</v>
      </c>
      <c r="F695" t="s">
        <v>26</v>
      </c>
      <c r="G695" t="str">
        <f>HYPERLINK("https://vk.com/wall-197114981_31?reply=1123")</f>
        <v>https://vk.com/wall-197114981_31?reply=1123</v>
      </c>
      <c r="H695" t="s">
        <v>885</v>
      </c>
      <c r="I695" t="s">
        <v>247</v>
      </c>
      <c r="J695" t="str">
        <f>HYPERLINK("http://vk.com/id38095165")</f>
        <v>http://vk.com/id38095165</v>
      </c>
      <c r="K695">
        <v>1193</v>
      </c>
      <c r="L695" t="s">
        <v>80</v>
      </c>
      <c r="N695" t="s">
        <v>16</v>
      </c>
      <c r="O695" t="s">
        <v>27</v>
      </c>
      <c r="P695" t="str">
        <f>HYPERLINK("http://vk.com/club197114981")</f>
        <v>http://vk.com/club197114981</v>
      </c>
      <c r="Q695">
        <v>38</v>
      </c>
      <c r="R695" t="s">
        <v>17</v>
      </c>
      <c r="S695" t="s">
        <v>18</v>
      </c>
      <c r="T695" t="s">
        <v>248</v>
      </c>
      <c r="U695" t="s">
        <v>249</v>
      </c>
      <c r="AJ695" t="s">
        <v>10</v>
      </c>
      <c r="AK695" t="s">
        <v>21</v>
      </c>
      <c r="AU695" t="s">
        <v>3246</v>
      </c>
      <c r="AX695" t="s">
        <v>3249</v>
      </c>
      <c r="AY695" t="s">
        <v>3250</v>
      </c>
      <c r="AZ695" t="s">
        <v>3251</v>
      </c>
    </row>
    <row r="696" spans="1:52" x14ac:dyDescent="0.25">
      <c r="A696" t="s">
        <v>1723</v>
      </c>
      <c r="B696" t="s">
        <v>1798</v>
      </c>
      <c r="C696" t="s">
        <v>984</v>
      </c>
      <c r="D696" t="s">
        <v>1697</v>
      </c>
      <c r="E696" t="s">
        <v>1778</v>
      </c>
      <c r="F696" t="s">
        <v>45</v>
      </c>
      <c r="G696" t="str">
        <f>HYPERLINK("https://eu.publicopiniononline.com/story/news/coronavirus/2020/07/28/covid-northeast-better-prepared-second-spike/5449927002")</f>
        <v>https://eu.publicopiniononline.com/story/news/coronavirus/2020/07/28/covid-northeast-better-prepared-second-spike/5449927002</v>
      </c>
      <c r="H696" t="s">
        <v>885</v>
      </c>
      <c r="I696" t="s">
        <v>1799</v>
      </c>
      <c r="J696" t="str">
        <f>HYPERLINK("https://eu.publicopiniononline.com")</f>
        <v>https://eu.publicopiniononline.com</v>
      </c>
      <c r="N696" t="s">
        <v>1800</v>
      </c>
      <c r="R696" t="s">
        <v>239</v>
      </c>
      <c r="S696" t="s">
        <v>425</v>
      </c>
      <c r="AJ696" t="s">
        <v>10</v>
      </c>
      <c r="AK696" t="s">
        <v>21</v>
      </c>
      <c r="AZ696" t="s">
        <v>3251</v>
      </c>
    </row>
    <row r="697" spans="1:52" x14ac:dyDescent="0.25">
      <c r="A697" t="s">
        <v>2472</v>
      </c>
      <c r="B697" t="s">
        <v>2497</v>
      </c>
      <c r="C697" t="s">
        <v>968</v>
      </c>
      <c r="D697" t="s">
        <v>2498</v>
      </c>
      <c r="E697" t="s">
        <v>2499</v>
      </c>
      <c r="F697" t="s">
        <v>45</v>
      </c>
      <c r="G697" t="str">
        <f>HYPERLINK("https://zen.yandex.ru/media/id/5e414dabcbb49f45fcf938c0/5f11bdbe740b343855e057f9")</f>
        <v>https://zen.yandex.ru/media/id/5e414dabcbb49f45fcf938c0/5f11bdbe740b343855e057f9</v>
      </c>
      <c r="H697" t="s">
        <v>885</v>
      </c>
      <c r="I697" t="s">
        <v>1152</v>
      </c>
      <c r="J697" t="str">
        <f>HYPERLINK("https://zen.yandex.ru/id/5e414dabcbb49f45fcf938c0")</f>
        <v>https://zen.yandex.ru/id/5e414dabcbb49f45fcf938c0</v>
      </c>
      <c r="K697">
        <v>12</v>
      </c>
      <c r="N697" t="s">
        <v>1153</v>
      </c>
      <c r="R697" t="s">
        <v>966</v>
      </c>
      <c r="S697" t="s">
        <v>18</v>
      </c>
      <c r="AE697">
        <v>0</v>
      </c>
      <c r="AG697">
        <v>5</v>
      </c>
      <c r="AI697" t="str">
        <f>HYPERLINK("https://avatars.mds.yandex.net/get-zen_doc/3510533/pub_5f11bdbe740b343855e057f9_5f11bf08b1c8e87a006907af/scale_1200")</f>
        <v>https://avatars.mds.yandex.net/get-zen_doc/3510533/pub_5f11bdbe740b343855e057f9_5f11bf08b1c8e87a006907af/scale_1200</v>
      </c>
      <c r="AJ697" t="s">
        <v>10</v>
      </c>
      <c r="AK697" t="s">
        <v>21</v>
      </c>
      <c r="AO697" t="s">
        <v>3240</v>
      </c>
      <c r="AZ697" t="s">
        <v>3251</v>
      </c>
    </row>
    <row r="698" spans="1:52" x14ac:dyDescent="0.25">
      <c r="A698" t="s">
        <v>414</v>
      </c>
      <c r="B698" t="s">
        <v>477</v>
      </c>
      <c r="C698" t="s">
        <v>478</v>
      </c>
      <c r="D698" t="s">
        <v>24</v>
      </c>
      <c r="E698" t="s">
        <v>259</v>
      </c>
      <c r="F698" t="s">
        <v>26</v>
      </c>
      <c r="G698" t="str">
        <f>HYPERLINK("https://vk.com/wall-197114981_31?reply=1252&amp;thread=1228")</f>
        <v>https://vk.com/wall-197114981_31?reply=1252&amp;thread=1228</v>
      </c>
      <c r="H698" t="s">
        <v>13</v>
      </c>
      <c r="I698" t="s">
        <v>27</v>
      </c>
      <c r="J698" t="str">
        <f>HYPERLINK("http://vk.com/club197114981")</f>
        <v>http://vk.com/club197114981</v>
      </c>
      <c r="K698">
        <v>38</v>
      </c>
      <c r="L698" t="s">
        <v>28</v>
      </c>
      <c r="N698" t="s">
        <v>16</v>
      </c>
      <c r="O698" t="s">
        <v>27</v>
      </c>
      <c r="P698" t="str">
        <f>HYPERLINK("http://vk.com/club197114981")</f>
        <v>http://vk.com/club197114981</v>
      </c>
      <c r="Q698">
        <v>38</v>
      </c>
      <c r="R698" t="s">
        <v>17</v>
      </c>
      <c r="AJ698" t="s">
        <v>10</v>
      </c>
      <c r="AK698" t="s">
        <v>21</v>
      </c>
      <c r="AO698" t="s">
        <v>3240</v>
      </c>
      <c r="AZ698" t="s">
        <v>3251</v>
      </c>
    </row>
    <row r="699" spans="1:52" x14ac:dyDescent="0.25">
      <c r="A699" t="s">
        <v>2589</v>
      </c>
      <c r="B699" t="s">
        <v>1656</v>
      </c>
      <c r="C699" t="s">
        <v>968</v>
      </c>
      <c r="D699" t="s">
        <v>2619</v>
      </c>
      <c r="E699" t="s">
        <v>2620</v>
      </c>
      <c r="F699" t="s">
        <v>26</v>
      </c>
      <c r="G699" t="str">
        <f>HYPERLINK("https://vk.com/wall-72422439_287335?reply=287392")</f>
        <v>https://vk.com/wall-72422439_287335?reply=287392</v>
      </c>
      <c r="H699" t="s">
        <v>889</v>
      </c>
      <c r="I699" t="s">
        <v>2621</v>
      </c>
      <c r="J699" t="str">
        <f>HYPERLINK("http://vk.com/id590011215")</f>
        <v>http://vk.com/id590011215</v>
      </c>
      <c r="K699">
        <v>0</v>
      </c>
      <c r="L699" t="s">
        <v>80</v>
      </c>
      <c r="M699">
        <v>29</v>
      </c>
      <c r="N699" t="s">
        <v>16</v>
      </c>
      <c r="O699" t="s">
        <v>2622</v>
      </c>
      <c r="P699" t="str">
        <f>HYPERLINK("http://vk.com/club72422439")</f>
        <v>http://vk.com/club72422439</v>
      </c>
      <c r="Q699">
        <v>11266</v>
      </c>
      <c r="R699" t="s">
        <v>17</v>
      </c>
      <c r="S699" t="s">
        <v>18</v>
      </c>
      <c r="T699" t="s">
        <v>2401</v>
      </c>
      <c r="U699" t="s">
        <v>2623</v>
      </c>
      <c r="AJ699" t="s">
        <v>10</v>
      </c>
      <c r="AK699" t="s">
        <v>21</v>
      </c>
      <c r="AO699" t="s">
        <v>3240</v>
      </c>
      <c r="AZ699" t="s">
        <v>3251</v>
      </c>
    </row>
    <row r="700" spans="1:52" x14ac:dyDescent="0.25">
      <c r="A700" t="s">
        <v>2978</v>
      </c>
      <c r="B700" t="s">
        <v>637</v>
      </c>
      <c r="C700" t="s">
        <v>968</v>
      </c>
      <c r="D700" t="s">
        <v>10</v>
      </c>
      <c r="E700" t="s">
        <v>3004</v>
      </c>
      <c r="F700" t="s">
        <v>45</v>
      </c>
      <c r="G700" t="str">
        <f>HYPERLINK("https://www.facebook.com/mrtexpertrnd/posts/770864986991133")</f>
        <v>https://www.facebook.com/mrtexpertrnd/posts/770864986991133</v>
      </c>
      <c r="H700" t="s">
        <v>885</v>
      </c>
      <c r="I700" t="s">
        <v>125</v>
      </c>
      <c r="J700" t="str">
        <f>HYPERLINK("https://www.facebook.com/156600068417631")</f>
        <v>https://www.facebook.com/156600068417631</v>
      </c>
      <c r="K700">
        <v>236</v>
      </c>
      <c r="L700" t="s">
        <v>28</v>
      </c>
      <c r="N700" t="s">
        <v>179</v>
      </c>
      <c r="O700" t="s">
        <v>125</v>
      </c>
      <c r="P700" t="str">
        <f>HYPERLINK("https://www.facebook.com/156600068417631")</f>
        <v>https://www.facebook.com/156600068417631</v>
      </c>
      <c r="Q700">
        <v>236</v>
      </c>
      <c r="R700" t="s">
        <v>17</v>
      </c>
      <c r="S700" t="s">
        <v>18</v>
      </c>
      <c r="T700" t="s">
        <v>126</v>
      </c>
      <c r="U700" t="s">
        <v>127</v>
      </c>
      <c r="W700">
        <v>0</v>
      </c>
      <c r="X700">
        <v>0</v>
      </c>
      <c r="Y700">
        <v>0</v>
      </c>
      <c r="Z700">
        <v>0</v>
      </c>
      <c r="AA700">
        <v>0</v>
      </c>
      <c r="AB700">
        <v>0</v>
      </c>
      <c r="AC700">
        <v>0</v>
      </c>
      <c r="AE700">
        <v>0</v>
      </c>
      <c r="AI700" t="s">
        <v>3007</v>
      </c>
      <c r="AJ700" t="s">
        <v>10</v>
      </c>
      <c r="AN700" t="s">
        <v>3239</v>
      </c>
      <c r="AT700" t="s">
        <v>3245</v>
      </c>
      <c r="AU700" t="s">
        <v>3246</v>
      </c>
      <c r="AV700" t="s">
        <v>3247</v>
      </c>
      <c r="AX700" t="s">
        <v>3249</v>
      </c>
      <c r="AY700" t="s">
        <v>3250</v>
      </c>
      <c r="AZ700" t="s">
        <v>3251</v>
      </c>
    </row>
    <row r="701" spans="1:52" x14ac:dyDescent="0.25">
      <c r="A701" t="s">
        <v>3100</v>
      </c>
      <c r="B701" t="s">
        <v>2871</v>
      </c>
      <c r="C701" t="s">
        <v>968</v>
      </c>
      <c r="D701" t="s">
        <v>10</v>
      </c>
      <c r="E701" t="s">
        <v>3125</v>
      </c>
      <c r="F701" t="s">
        <v>45</v>
      </c>
      <c r="G701" t="str">
        <f>HYPERLINK("https://www.instagram.com/p/CCYnTEjHBSg")</f>
        <v>https://www.instagram.com/p/CCYnTEjHBSg</v>
      </c>
      <c r="H701" t="s">
        <v>885</v>
      </c>
      <c r="I701" t="s">
        <v>3126</v>
      </c>
      <c r="J701" t="str">
        <f>HYPERLINK("http://instagram.com/optimumbodymassage")</f>
        <v>http://instagram.com/optimumbodymassage</v>
      </c>
      <c r="K701">
        <v>193</v>
      </c>
      <c r="L701" t="s">
        <v>28</v>
      </c>
      <c r="N701" t="s">
        <v>69</v>
      </c>
      <c r="O701" t="s">
        <v>3126</v>
      </c>
      <c r="P701" t="str">
        <f>HYPERLINK("http://instagram.com/optimumbodymassage")</f>
        <v>http://instagram.com/optimumbodymassage</v>
      </c>
      <c r="Q701">
        <v>193</v>
      </c>
      <c r="R701" t="s">
        <v>17</v>
      </c>
      <c r="S701" t="s">
        <v>671</v>
      </c>
      <c r="T701" t="s">
        <v>2126</v>
      </c>
      <c r="U701" t="s">
        <v>3127</v>
      </c>
      <c r="AI701" t="str">
        <f>HYPERLINK("https://www.instagram.com/p/CCYnTEjHBSg/media/?size=l")</f>
        <v>https://www.instagram.com/p/CCYnTEjHBSg/media/?size=l</v>
      </c>
      <c r="AJ701" t="s">
        <v>10</v>
      </c>
      <c r="AK701" t="s">
        <v>21</v>
      </c>
      <c r="AM701" t="s">
        <v>3238</v>
      </c>
      <c r="AN701" t="s">
        <v>3239</v>
      </c>
      <c r="AV701" t="s">
        <v>3247</v>
      </c>
      <c r="AX701" t="s">
        <v>3249</v>
      </c>
      <c r="AY701" t="s">
        <v>3250</v>
      </c>
      <c r="AZ701" t="s">
        <v>3251</v>
      </c>
    </row>
    <row r="702" spans="1:52" x14ac:dyDescent="0.25">
      <c r="A702" t="s">
        <v>414</v>
      </c>
      <c r="B702" t="s">
        <v>737</v>
      </c>
      <c r="C702" t="s">
        <v>738</v>
      </c>
      <c r="D702" t="s">
        <v>24</v>
      </c>
      <c r="E702" t="s">
        <v>734</v>
      </c>
      <c r="F702" t="s">
        <v>26</v>
      </c>
      <c r="G702" t="str">
        <f>HYPERLINK("https://vk.com/wall-197114981_31?reply=1176&amp;thread=1139")</f>
        <v>https://vk.com/wall-197114981_31?reply=1176&amp;thread=1139</v>
      </c>
      <c r="H702" t="s">
        <v>13</v>
      </c>
      <c r="I702" t="s">
        <v>27</v>
      </c>
      <c r="J702" t="str">
        <f>HYPERLINK("http://vk.com/club197114981")</f>
        <v>http://vk.com/club197114981</v>
      </c>
      <c r="K702">
        <v>38</v>
      </c>
      <c r="L702" t="s">
        <v>28</v>
      </c>
      <c r="N702" t="s">
        <v>16</v>
      </c>
      <c r="O702" t="s">
        <v>27</v>
      </c>
      <c r="P702" t="str">
        <f>HYPERLINK("http://vk.com/club197114981")</f>
        <v>http://vk.com/club197114981</v>
      </c>
      <c r="Q702">
        <v>38</v>
      </c>
      <c r="R702" t="s">
        <v>17</v>
      </c>
      <c r="AJ702" t="s">
        <v>10</v>
      </c>
      <c r="AK702" t="s">
        <v>21</v>
      </c>
      <c r="AN702" t="s">
        <v>3239</v>
      </c>
      <c r="AW702" t="s">
        <v>3248</v>
      </c>
      <c r="AY702" t="s">
        <v>3250</v>
      </c>
    </row>
    <row r="703" spans="1:52" x14ac:dyDescent="0.25">
      <c r="A703" t="s">
        <v>1017</v>
      </c>
      <c r="B703" t="s">
        <v>1064</v>
      </c>
      <c r="C703" t="s">
        <v>984</v>
      </c>
      <c r="D703" t="s">
        <v>10</v>
      </c>
      <c r="E703" t="s">
        <v>1023</v>
      </c>
      <c r="F703" t="s">
        <v>12</v>
      </c>
      <c r="G703" t="str">
        <f>HYPERLINK("https://vk.com/wall-59384426_510")</f>
        <v>https://vk.com/wall-59384426_510</v>
      </c>
      <c r="H703" t="s">
        <v>885</v>
      </c>
      <c r="I703" t="s">
        <v>1066</v>
      </c>
      <c r="J703" t="str">
        <f>HYPERLINK("http://vk.com/club59384426")</f>
        <v>http://vk.com/club59384426</v>
      </c>
      <c r="K703">
        <v>1139</v>
      </c>
      <c r="L703" t="s">
        <v>28</v>
      </c>
      <c r="N703" t="s">
        <v>16</v>
      </c>
      <c r="O703" t="s">
        <v>1066</v>
      </c>
      <c r="P703" t="str">
        <f>HYPERLINK("http://vk.com/club59384426")</f>
        <v>http://vk.com/club59384426</v>
      </c>
      <c r="Q703">
        <v>1139</v>
      </c>
      <c r="R703" t="s">
        <v>17</v>
      </c>
      <c r="S703" t="s">
        <v>18</v>
      </c>
      <c r="T703" t="s">
        <v>272</v>
      </c>
      <c r="U703" t="s">
        <v>273</v>
      </c>
      <c r="W703">
        <v>0</v>
      </c>
      <c r="X703">
        <v>0</v>
      </c>
      <c r="AE703">
        <v>0</v>
      </c>
      <c r="AF703">
        <v>0</v>
      </c>
      <c r="AG703">
        <v>85</v>
      </c>
      <c r="AI703" t="str">
        <f>HYPERLINK("https://sun9-40.userapi.com/opX5IBLF-1siB9r08EeJTIZVQxHvWWloJijsSg/YVPQrsHFC90.jpg")</f>
        <v>https://sun9-40.userapi.com/opX5IBLF-1siB9r08EeJTIZVQxHvWWloJijsSg/YVPQrsHFC90.jpg</v>
      </c>
      <c r="AJ703" t="s">
        <v>10</v>
      </c>
      <c r="AK703" t="s">
        <v>21</v>
      </c>
      <c r="AN703" t="s">
        <v>3239</v>
      </c>
      <c r="AW703" t="s">
        <v>3248</v>
      </c>
      <c r="AY703" t="s">
        <v>3250</v>
      </c>
    </row>
    <row r="704" spans="1:52" x14ac:dyDescent="0.25">
      <c r="A704" t="s">
        <v>414</v>
      </c>
      <c r="B704" t="s">
        <v>434</v>
      </c>
      <c r="C704" t="s">
        <v>435</v>
      </c>
      <c r="D704" t="s">
        <v>24</v>
      </c>
      <c r="E704" t="s">
        <v>436</v>
      </c>
      <c r="F704" t="s">
        <v>26</v>
      </c>
      <c r="G704" t="str">
        <f>HYPERLINK("https://vk.com/wall-197114981_31?reply=1274&amp;thread=1273")</f>
        <v>https://vk.com/wall-197114981_31?reply=1274&amp;thread=1273</v>
      </c>
      <c r="H704" t="s">
        <v>13</v>
      </c>
      <c r="I704" t="s">
        <v>27</v>
      </c>
      <c r="J704" t="str">
        <f>HYPERLINK("http://vk.com/club197114981")</f>
        <v>http://vk.com/club197114981</v>
      </c>
      <c r="K704">
        <v>38</v>
      </c>
      <c r="L704" t="s">
        <v>28</v>
      </c>
      <c r="N704" t="s">
        <v>16</v>
      </c>
      <c r="O704" t="s">
        <v>27</v>
      </c>
      <c r="P704" t="str">
        <f>HYPERLINK("http://vk.com/club197114981")</f>
        <v>http://vk.com/club197114981</v>
      </c>
      <c r="Q704">
        <v>38</v>
      </c>
      <c r="R704" t="s">
        <v>17</v>
      </c>
      <c r="AJ704" t="s">
        <v>10</v>
      </c>
      <c r="AK704" t="s">
        <v>21</v>
      </c>
      <c r="AN704" t="s">
        <v>3239</v>
      </c>
      <c r="AW704" t="s">
        <v>3248</v>
      </c>
      <c r="AX704" t="s">
        <v>3249</v>
      </c>
      <c r="AY704" t="s">
        <v>3250</v>
      </c>
    </row>
    <row r="705" spans="1:52" x14ac:dyDescent="0.25">
      <c r="A705" t="s">
        <v>414</v>
      </c>
      <c r="B705" t="s">
        <v>574</v>
      </c>
      <c r="C705" t="s">
        <v>575</v>
      </c>
      <c r="D705" t="s">
        <v>10</v>
      </c>
      <c r="E705" t="s">
        <v>576</v>
      </c>
      <c r="F705" t="s">
        <v>45</v>
      </c>
      <c r="G705" t="str">
        <f>HYPERLINK("https://www.instagram.com/p/CDqrsNWpgeV")</f>
        <v>https://www.instagram.com/p/CDqrsNWpgeV</v>
      </c>
      <c r="H705" t="s">
        <v>13</v>
      </c>
      <c r="I705" t="s">
        <v>577</v>
      </c>
      <c r="J705" t="str">
        <f>HYPERLINK("http://instagram.com/ivan_kapoor")</f>
        <v>http://instagram.com/ivan_kapoor</v>
      </c>
      <c r="K705">
        <v>924</v>
      </c>
      <c r="L705" t="s">
        <v>15</v>
      </c>
      <c r="N705" t="s">
        <v>69</v>
      </c>
      <c r="O705" t="s">
        <v>577</v>
      </c>
      <c r="P705" t="str">
        <f>HYPERLINK("http://instagram.com/ivan_kapoor")</f>
        <v>http://instagram.com/ivan_kapoor</v>
      </c>
      <c r="Q705">
        <v>924</v>
      </c>
      <c r="R705" t="s">
        <v>17</v>
      </c>
      <c r="S705" t="s">
        <v>18</v>
      </c>
      <c r="T705" t="s">
        <v>578</v>
      </c>
      <c r="U705" t="s">
        <v>579</v>
      </c>
      <c r="W705">
        <v>114</v>
      </c>
      <c r="X705">
        <v>114</v>
      </c>
      <c r="AE705">
        <v>2</v>
      </c>
      <c r="AI705" t="str">
        <f>HYPERLINK("https://www.instagram.com/p/CDqrsNWpgeV/media/?size=l")</f>
        <v>https://www.instagram.com/p/CDqrsNWpgeV/media/?size=l</v>
      </c>
      <c r="AJ705" t="s">
        <v>10</v>
      </c>
      <c r="AK705" t="s">
        <v>21</v>
      </c>
      <c r="AL705" t="s">
        <v>3237</v>
      </c>
      <c r="AW705" t="s">
        <v>3248</v>
      </c>
      <c r="AX705" t="s">
        <v>3249</v>
      </c>
      <c r="AY705" t="s">
        <v>3250</v>
      </c>
    </row>
    <row r="706" spans="1:52" x14ac:dyDescent="0.25">
      <c r="A706" t="s">
        <v>772</v>
      </c>
      <c r="B706" t="s">
        <v>779</v>
      </c>
      <c r="C706" t="s">
        <v>780</v>
      </c>
      <c r="D706" t="s">
        <v>24</v>
      </c>
      <c r="E706" t="s">
        <v>781</v>
      </c>
      <c r="F706" t="s">
        <v>26</v>
      </c>
      <c r="G706" t="str">
        <f>HYPERLINK("https://vk.com/wall-197114981_31?reply=1161&amp;thread=1160")</f>
        <v>https://vk.com/wall-197114981_31?reply=1161&amp;thread=1160</v>
      </c>
      <c r="H706" t="s">
        <v>13</v>
      </c>
      <c r="I706" t="s">
        <v>27</v>
      </c>
      <c r="J706" t="str">
        <f>HYPERLINK("http://vk.com/club197114981")</f>
        <v>http://vk.com/club197114981</v>
      </c>
      <c r="K706">
        <v>38</v>
      </c>
      <c r="L706" t="s">
        <v>28</v>
      </c>
      <c r="N706" t="s">
        <v>16</v>
      </c>
      <c r="O706" t="s">
        <v>27</v>
      </c>
      <c r="P706" t="str">
        <f>HYPERLINK("http://vk.com/club197114981")</f>
        <v>http://vk.com/club197114981</v>
      </c>
      <c r="Q706">
        <v>38</v>
      </c>
      <c r="R706" t="s">
        <v>17</v>
      </c>
      <c r="AJ706" t="s">
        <v>10</v>
      </c>
      <c r="AK706" t="s">
        <v>21</v>
      </c>
      <c r="AL706" t="s">
        <v>3237</v>
      </c>
      <c r="AY706" t="s">
        <v>3250</v>
      </c>
    </row>
    <row r="707" spans="1:52" x14ac:dyDescent="0.25">
      <c r="A707" t="s">
        <v>772</v>
      </c>
      <c r="B707" t="s">
        <v>991</v>
      </c>
      <c r="C707" t="s">
        <v>984</v>
      </c>
      <c r="D707" t="s">
        <v>992</v>
      </c>
      <c r="E707" t="s">
        <v>993</v>
      </c>
      <c r="F707" t="s">
        <v>26</v>
      </c>
      <c r="G707" t="str">
        <f>HYPERLINK("https://www.google.com/maps/reviews/data=!4m5!14m4!1m3!1m2!1s104806981293875346282!2s0x0:0xcefba63f54cda536?hl=en-NL")</f>
        <v>https://www.google.com/maps/reviews/data=!4m5!14m4!1m3!1m2!1s104806981293875346282!2s0x0:0xcefba63f54cda536?hl=en-NL</v>
      </c>
      <c r="H707" t="s">
        <v>885</v>
      </c>
      <c r="I707" t="s">
        <v>992</v>
      </c>
      <c r="J707" t="str">
        <f>HYPERLINK("https://maps.google.com/maps/place/data=!3m1!4b1!4m5!3m4!1s0x0:0xcefba63f54cda536!8m2!3d55.982240!4d37.214280")</f>
        <v>https://maps.google.com/maps/place/data=!3m1!4b1!4m5!3m4!1s0x0:0xcefba63f54cda536!8m2!3d55.982240!4d37.214280</v>
      </c>
      <c r="N707" t="s">
        <v>615</v>
      </c>
      <c r="O707" t="s">
        <v>992</v>
      </c>
      <c r="P707" t="str">
        <f>HYPERLINK("https://maps.google.com/maps/place/data=!3m1!4b1!4m5!3m4!1s0x0:0xcefba63f54cda536!8m2!3d55.982240!4d37.214280")</f>
        <v>https://maps.google.com/maps/place/data=!3m1!4b1!4m5!3m4!1s0x0:0xcefba63f54cda536!8m2!3d55.982240!4d37.214280</v>
      </c>
      <c r="R707" t="s">
        <v>616</v>
      </c>
      <c r="S707" t="s">
        <v>18</v>
      </c>
      <c r="T707" t="s">
        <v>766</v>
      </c>
      <c r="U707" t="s">
        <v>994</v>
      </c>
      <c r="AJ707" t="s">
        <v>10</v>
      </c>
      <c r="AK707" t="s">
        <v>21</v>
      </c>
      <c r="AX707" t="s">
        <v>3249</v>
      </c>
      <c r="AY707" t="s">
        <v>3250</v>
      </c>
    </row>
    <row r="708" spans="1:52" x14ac:dyDescent="0.25">
      <c r="A708" t="s">
        <v>1158</v>
      </c>
      <c r="B708" t="s">
        <v>1201</v>
      </c>
      <c r="C708" t="s">
        <v>1202</v>
      </c>
      <c r="D708" t="s">
        <v>1203</v>
      </c>
      <c r="E708" t="s">
        <v>1204</v>
      </c>
      <c r="F708" t="s">
        <v>45</v>
      </c>
      <c r="G708" t="str">
        <f>HYPERLINK("https://www.google.com/maps/reviews/data=!4m5!14m4!1m3!1m2!1s105239651791565190445!2s0x0:0x4f16bea49627273c?hl=en-NL")</f>
        <v>https://www.google.com/maps/reviews/data=!4m5!14m4!1m3!1m2!1s105239651791565190445!2s0x0:0x4f16bea49627273c?hl=en-NL</v>
      </c>
      <c r="H708" t="s">
        <v>13</v>
      </c>
      <c r="I708" t="s">
        <v>1205</v>
      </c>
      <c r="J708" t="str">
        <f>HYPERLINK("https://maps.google.com/maps/contrib/105239651791565190445")</f>
        <v>https://maps.google.com/maps/contrib/105239651791565190445</v>
      </c>
      <c r="N708" t="s">
        <v>615</v>
      </c>
      <c r="O708" t="s">
        <v>1203</v>
      </c>
      <c r="P708" t="str">
        <f>HYPERLINK("https://maps.google.com/maps/place/data=!3m1!4b1!4m5!3m4!1s0x0:0x4f16bea49627273c!8m2!3d28.645680!4d77.134860")</f>
        <v>https://maps.google.com/maps/place/data=!3m1!4b1!4m5!3m4!1s0x0:0x4f16bea49627273c!8m2!3d28.645680!4d77.134860</v>
      </c>
      <c r="R708" t="s">
        <v>616</v>
      </c>
      <c r="S708" t="s">
        <v>1206</v>
      </c>
      <c r="T708" t="s">
        <v>1207</v>
      </c>
      <c r="U708" t="s">
        <v>1208</v>
      </c>
      <c r="W708">
        <v>1</v>
      </c>
      <c r="X708">
        <v>1</v>
      </c>
      <c r="AH708">
        <v>5</v>
      </c>
      <c r="AJ708" t="s">
        <v>10</v>
      </c>
      <c r="AK708" t="s">
        <v>21</v>
      </c>
      <c r="AW708" t="s">
        <v>3248</v>
      </c>
      <c r="AX708" t="s">
        <v>3249</v>
      </c>
      <c r="AY708" t="s">
        <v>3250</v>
      </c>
    </row>
    <row r="709" spans="1:52" x14ac:dyDescent="0.25">
      <c r="A709" t="s">
        <v>1462</v>
      </c>
      <c r="B709" t="s">
        <v>1514</v>
      </c>
      <c r="C709" t="s">
        <v>984</v>
      </c>
      <c r="D709" t="s">
        <v>10</v>
      </c>
      <c r="E709" t="s">
        <v>1515</v>
      </c>
      <c r="F709" t="s">
        <v>26</v>
      </c>
      <c r="G709" t="str">
        <f>HYPERLINK("https://twitter.com/1273022009702678528/status/1288964022029570048")</f>
        <v>https://twitter.com/1273022009702678528/status/1288964022029570048</v>
      </c>
      <c r="H709" t="s">
        <v>885</v>
      </c>
      <c r="I709" t="s">
        <v>1516</v>
      </c>
      <c r="J709" t="str">
        <f>HYPERLINK("http://twitter.com/italian_made")</f>
        <v>http://twitter.com/italian_made</v>
      </c>
      <c r="K709">
        <v>15</v>
      </c>
      <c r="N709" t="s">
        <v>54</v>
      </c>
      <c r="R709" t="s">
        <v>17</v>
      </c>
      <c r="S709" t="s">
        <v>425</v>
      </c>
      <c r="T709" t="s">
        <v>1221</v>
      </c>
      <c r="U709" t="s">
        <v>1517</v>
      </c>
      <c r="W709">
        <v>0</v>
      </c>
      <c r="X709">
        <v>0</v>
      </c>
      <c r="AE709">
        <v>1</v>
      </c>
      <c r="AF709">
        <v>0</v>
      </c>
      <c r="AJ709" t="s">
        <v>10</v>
      </c>
      <c r="AK709" t="s">
        <v>21</v>
      </c>
      <c r="AX709" t="s">
        <v>3249</v>
      </c>
      <c r="AY709" t="s">
        <v>3250</v>
      </c>
    </row>
    <row r="710" spans="1:52" x14ac:dyDescent="0.25">
      <c r="A710" t="s">
        <v>1723</v>
      </c>
      <c r="B710" t="s">
        <v>1783</v>
      </c>
      <c r="C710" t="s">
        <v>984</v>
      </c>
      <c r="D710" t="s">
        <v>1697</v>
      </c>
      <c r="E710" t="s">
        <v>1778</v>
      </c>
      <c r="F710" t="s">
        <v>45</v>
      </c>
      <c r="G710" t="str">
        <f>HYPERLINK("https://eu.courierpostonline.com/story/news/coronavirus/2020/07/28/covid-northeast-better-prepared-second-spike/5449927002")</f>
        <v>https://eu.courierpostonline.com/story/news/coronavirus/2020/07/28/covid-northeast-better-prepared-second-spike/5449927002</v>
      </c>
      <c r="H710" t="s">
        <v>885</v>
      </c>
      <c r="I710" t="s">
        <v>1788</v>
      </c>
      <c r="J710" t="str">
        <f>HYPERLINK("https://www.courierpostonline.com")</f>
        <v>https://www.courierpostonline.com</v>
      </c>
      <c r="N710" t="s">
        <v>1789</v>
      </c>
      <c r="R710" t="s">
        <v>239</v>
      </c>
      <c r="S710" t="s">
        <v>425</v>
      </c>
      <c r="AJ710" t="s">
        <v>10</v>
      </c>
      <c r="AK710" t="s">
        <v>21</v>
      </c>
      <c r="AW710" t="s">
        <v>3248</v>
      </c>
      <c r="AY710" t="s">
        <v>3250</v>
      </c>
    </row>
    <row r="711" spans="1:52" x14ac:dyDescent="0.25">
      <c r="A711" t="s">
        <v>2541</v>
      </c>
      <c r="B711" t="s">
        <v>2553</v>
      </c>
      <c r="C711" t="s">
        <v>968</v>
      </c>
      <c r="D711" t="s">
        <v>10</v>
      </c>
      <c r="E711" t="s">
        <v>1947</v>
      </c>
      <c r="F711" t="s">
        <v>12</v>
      </c>
      <c r="G711" t="str">
        <f>HYPERLINK("https://www.facebook.com/permalink.php?story_fbid=926288247889560&amp;id=100015251794464")</f>
        <v>https://www.facebook.com/permalink.php?story_fbid=926288247889560&amp;id=100015251794464</v>
      </c>
      <c r="H711" t="s">
        <v>889</v>
      </c>
      <c r="I711" t="s">
        <v>2555</v>
      </c>
      <c r="J711" t="str">
        <f>HYPERLINK("https://www.facebook.com/100015251794464")</f>
        <v>https://www.facebook.com/100015251794464</v>
      </c>
      <c r="K711">
        <v>156</v>
      </c>
      <c r="L711" t="s">
        <v>15</v>
      </c>
      <c r="N711" t="s">
        <v>179</v>
      </c>
      <c r="O711" t="s">
        <v>2555</v>
      </c>
      <c r="P711" t="str">
        <f>HYPERLINK("https://www.facebook.com/100015251794464")</f>
        <v>https://www.facebook.com/100015251794464</v>
      </c>
      <c r="Q711">
        <v>156</v>
      </c>
      <c r="R711" t="s">
        <v>17</v>
      </c>
      <c r="W711">
        <v>0</v>
      </c>
      <c r="X711">
        <v>0</v>
      </c>
      <c r="Y711">
        <v>0</v>
      </c>
      <c r="Z711">
        <v>0</v>
      </c>
      <c r="AA711">
        <v>0</v>
      </c>
      <c r="AB711">
        <v>0</v>
      </c>
      <c r="AC711">
        <v>0</v>
      </c>
      <c r="AE711">
        <v>0</v>
      </c>
      <c r="AI711" t="str">
        <f>HYPERLINK("https://scontent-hel2-1.xx.fbcdn.net/v/t1.0-0/p526x296/108053449_773850223359276_5806958101219805383_o.jpg?_nc_cat=111&amp;_nc_sid=9267fe&amp;_nc_ohc=T7WU49dRCjoAX_0l8fl&amp;_nc_ht=scontent-hel2-1.xx&amp;_nc_tp=6&amp;oh=1b0e25a19f9693fbbbfbe105ff9fff1c&amp;oe=5F382D0D")</f>
        <v>https://scontent-hel2-1.xx.fbcdn.net/v/t1.0-0/p526x296/108053449_773850223359276_5806958101219805383_o.jpg?_nc_cat=111&amp;_nc_sid=9267fe&amp;_nc_ohc=T7WU49dRCjoAX_0l8fl&amp;_nc_ht=scontent-hel2-1.xx&amp;_nc_tp=6&amp;oh=1b0e25a19f9693fbbbfbe105ff9fff1c&amp;oe=5F382D0D</v>
      </c>
      <c r="AJ711" t="s">
        <v>10</v>
      </c>
      <c r="AK711" t="s">
        <v>21</v>
      </c>
      <c r="AX711" t="s">
        <v>3249</v>
      </c>
      <c r="AY711" t="s">
        <v>3250</v>
      </c>
    </row>
    <row r="712" spans="1:52" x14ac:dyDescent="0.25">
      <c r="A712" t="s">
        <v>2684</v>
      </c>
      <c r="B712" t="s">
        <v>2710</v>
      </c>
      <c r="C712" t="s">
        <v>968</v>
      </c>
      <c r="D712" t="s">
        <v>10</v>
      </c>
      <c r="E712" t="s">
        <v>2688</v>
      </c>
      <c r="F712" t="s">
        <v>12</v>
      </c>
      <c r="G712" t="str">
        <f>HYPERLINK("https://www.facebook.com/armen.isahakyan.92/posts/1786454874830208")</f>
        <v>https://www.facebook.com/armen.isahakyan.92/posts/1786454874830208</v>
      </c>
      <c r="H712" t="s">
        <v>885</v>
      </c>
      <c r="I712" t="s">
        <v>2711</v>
      </c>
      <c r="J712" t="str">
        <f>HYPERLINK("https://www.facebook.com/100003971377579")</f>
        <v>https://www.facebook.com/100003971377579</v>
      </c>
      <c r="K712">
        <v>0</v>
      </c>
      <c r="L712" t="s">
        <v>15</v>
      </c>
      <c r="N712" t="s">
        <v>179</v>
      </c>
      <c r="O712" t="s">
        <v>2711</v>
      </c>
      <c r="P712" t="str">
        <f>HYPERLINK("https://www.facebook.com/100003971377579")</f>
        <v>https://www.facebook.com/100003971377579</v>
      </c>
      <c r="Q712">
        <v>0</v>
      </c>
      <c r="R712" t="s">
        <v>17</v>
      </c>
      <c r="S712" t="s">
        <v>2690</v>
      </c>
      <c r="T712" t="s">
        <v>2691</v>
      </c>
      <c r="U712" t="s">
        <v>2692</v>
      </c>
      <c r="W712">
        <v>8</v>
      </c>
      <c r="X712">
        <v>8</v>
      </c>
      <c r="Y712">
        <v>0</v>
      </c>
      <c r="Z712">
        <v>0</v>
      </c>
      <c r="AA712">
        <v>0</v>
      </c>
      <c r="AB712">
        <v>0</v>
      </c>
      <c r="AC712">
        <v>0</v>
      </c>
      <c r="AE712">
        <v>0</v>
      </c>
      <c r="AF712">
        <v>1</v>
      </c>
      <c r="AI712" t="str">
        <f>HYPERLINK("https://scontent-hel2-1.xx.fbcdn.net/v/t15.13418-10/107718255_3109660389083815_8825691245568026571_n.jpg?_nc_cat=108&amp;_nc_sid=ad6a45&amp;_nc_ohc=fyWVkB1ebcUAX_8AEzJ&amp;_nc_ht=scontent-hel2-1.xx&amp;oh=a4a16321754ef5146570259b4cce52e0&amp;oe=5F34D9DA")</f>
        <v>https://scontent-hel2-1.xx.fbcdn.net/v/t15.13418-10/107718255_3109660389083815_8825691245568026571_n.jpg?_nc_cat=108&amp;_nc_sid=ad6a45&amp;_nc_ohc=fyWVkB1ebcUAX_8AEzJ&amp;_nc_ht=scontent-hel2-1.xx&amp;oh=a4a16321754ef5146570259b4cce52e0&amp;oe=5F34D9DA</v>
      </c>
      <c r="AJ712" t="s">
        <v>10</v>
      </c>
      <c r="AK712" t="s">
        <v>21</v>
      </c>
      <c r="AV712" t="s">
        <v>3247</v>
      </c>
      <c r="AW712" t="s">
        <v>3248</v>
      </c>
      <c r="AY712" t="s">
        <v>3250</v>
      </c>
    </row>
    <row r="713" spans="1:52" x14ac:dyDescent="0.25">
      <c r="A713" t="s">
        <v>2767</v>
      </c>
      <c r="B713" t="s">
        <v>2326</v>
      </c>
      <c r="C713" t="s">
        <v>968</v>
      </c>
      <c r="D713" t="s">
        <v>2791</v>
      </c>
      <c r="E713" t="s">
        <v>2792</v>
      </c>
      <c r="F713" t="s">
        <v>26</v>
      </c>
      <c r="G713" t="str">
        <f>HYPERLINK("https://vk.com/wall-77036221_216249?reply=216263")</f>
        <v>https://vk.com/wall-77036221_216249?reply=216263</v>
      </c>
      <c r="H713" t="s">
        <v>885</v>
      </c>
      <c r="I713" t="s">
        <v>2793</v>
      </c>
      <c r="J713" t="str">
        <f>HYPERLINK("http://vk.com/id497312875")</f>
        <v>http://vk.com/id497312875</v>
      </c>
      <c r="K713">
        <v>10</v>
      </c>
      <c r="L713" t="s">
        <v>15</v>
      </c>
      <c r="M713">
        <v>59</v>
      </c>
      <c r="N713" t="s">
        <v>16</v>
      </c>
      <c r="O713" t="s">
        <v>2639</v>
      </c>
      <c r="P713" t="str">
        <f>HYPERLINK("http://vk.com/club77036221")</f>
        <v>http://vk.com/club77036221</v>
      </c>
      <c r="Q713">
        <v>54073</v>
      </c>
      <c r="R713" t="s">
        <v>17</v>
      </c>
      <c r="S713" t="s">
        <v>18</v>
      </c>
      <c r="T713" t="s">
        <v>766</v>
      </c>
      <c r="U713" t="s">
        <v>2640</v>
      </c>
      <c r="AJ713" t="s">
        <v>10</v>
      </c>
      <c r="AK713" t="s">
        <v>21</v>
      </c>
      <c r="AW713" t="s">
        <v>3248</v>
      </c>
      <c r="AY713" t="s">
        <v>3250</v>
      </c>
      <c r="AZ713" t="s">
        <v>3251</v>
      </c>
    </row>
    <row r="714" spans="1:52" x14ac:dyDescent="0.25">
      <c r="A714" t="s">
        <v>3100</v>
      </c>
      <c r="B714" t="s">
        <v>2781</v>
      </c>
      <c r="C714" t="s">
        <v>968</v>
      </c>
      <c r="D714" t="s">
        <v>3113</v>
      </c>
      <c r="E714" t="s">
        <v>3114</v>
      </c>
      <c r="F714" t="s">
        <v>45</v>
      </c>
      <c r="G714" t="str">
        <f>HYPERLINK("https://www.youtube.com/watch?v=BzOfXMxc8JM")</f>
        <v>https://www.youtube.com/watch?v=BzOfXMxc8JM</v>
      </c>
      <c r="H714" t="s">
        <v>889</v>
      </c>
      <c r="I714" t="s">
        <v>3115</v>
      </c>
      <c r="J714" t="str">
        <f>HYPERLINK("https://www.youtube.com/channel/UCaiO1RUmAJr3Tgq0NE3RRig")</f>
        <v>https://www.youtube.com/channel/UCaiO1RUmAJr3Tgq0NE3RRig</v>
      </c>
      <c r="K714">
        <v>14600</v>
      </c>
      <c r="N714" t="s">
        <v>162</v>
      </c>
      <c r="O714" t="s">
        <v>3115</v>
      </c>
      <c r="P714" t="str">
        <f>HYPERLINK("https://www.youtube.com/channel/UCaiO1RUmAJr3Tgq0NE3RRig")</f>
        <v>https://www.youtube.com/channel/UCaiO1RUmAJr3Tgq0NE3RRig</v>
      </c>
      <c r="Q714">
        <v>14600</v>
      </c>
      <c r="R714" t="s">
        <v>17</v>
      </c>
      <c r="W714">
        <v>8</v>
      </c>
      <c r="X714">
        <v>8</v>
      </c>
      <c r="AD714">
        <v>3</v>
      </c>
      <c r="AE714">
        <v>2</v>
      </c>
      <c r="AG714">
        <v>1224</v>
      </c>
      <c r="AI714" t="str">
        <f>HYPERLINK("https://i.ytimg.com/vi/BzOfXMxc8JM/maxresdefault.jpg")</f>
        <v>https://i.ytimg.com/vi/BzOfXMxc8JM/maxresdefault.jpg</v>
      </c>
      <c r="AJ714" t="s">
        <v>10</v>
      </c>
      <c r="AK714" t="s">
        <v>21</v>
      </c>
      <c r="AY714" t="s">
        <v>3250</v>
      </c>
      <c r="AZ714" t="s">
        <v>3251</v>
      </c>
    </row>
    <row r="715" spans="1:52" x14ac:dyDescent="0.25">
      <c r="A715" t="s">
        <v>3100</v>
      </c>
      <c r="B715" t="s">
        <v>42</v>
      </c>
      <c r="C715" t="s">
        <v>968</v>
      </c>
      <c r="D715" t="s">
        <v>10</v>
      </c>
      <c r="E715" t="s">
        <v>3135</v>
      </c>
      <c r="F715" t="s">
        <v>12</v>
      </c>
      <c r="G715" t="str">
        <f>HYPERLINK("https://www.facebook.com/568390943273818/posts/2968876486558573")</f>
        <v>https://www.facebook.com/568390943273818/posts/2968876486558573</v>
      </c>
      <c r="H715" t="s">
        <v>885</v>
      </c>
      <c r="I715" t="s">
        <v>280</v>
      </c>
      <c r="J715" t="str">
        <f>HYPERLINK("https://www.facebook.com/568390943273818")</f>
        <v>https://www.facebook.com/568390943273818</v>
      </c>
      <c r="K715">
        <v>18918</v>
      </c>
      <c r="L715" t="s">
        <v>28</v>
      </c>
      <c r="N715" t="s">
        <v>179</v>
      </c>
      <c r="O715" t="s">
        <v>280</v>
      </c>
      <c r="P715" t="str">
        <f>HYPERLINK("https://www.facebook.com/568390943273818")</f>
        <v>https://www.facebook.com/568390943273818</v>
      </c>
      <c r="Q715">
        <v>18918</v>
      </c>
      <c r="R715" t="s">
        <v>17</v>
      </c>
      <c r="S715" t="s">
        <v>281</v>
      </c>
      <c r="T715" t="s">
        <v>282</v>
      </c>
      <c r="U715" t="s">
        <v>282</v>
      </c>
      <c r="AI715" t="s">
        <v>3136</v>
      </c>
      <c r="AJ715" t="s">
        <v>10</v>
      </c>
      <c r="AK715" t="s">
        <v>21</v>
      </c>
      <c r="AW715" t="s">
        <v>3248</v>
      </c>
      <c r="AX715" t="s">
        <v>3249</v>
      </c>
      <c r="AY715" t="s">
        <v>3250</v>
      </c>
      <c r="AZ715" t="s">
        <v>3251</v>
      </c>
    </row>
    <row r="716" spans="1:52" x14ac:dyDescent="0.25">
      <c r="A716" t="s">
        <v>7</v>
      </c>
      <c r="B716" t="s">
        <v>212</v>
      </c>
      <c r="C716" t="s">
        <v>213</v>
      </c>
      <c r="D716" t="s">
        <v>10</v>
      </c>
      <c r="E716" t="s">
        <v>214</v>
      </c>
      <c r="F716" t="s">
        <v>45</v>
      </c>
      <c r="G716" t="str">
        <f>HYPERLINK("https://vk.com/wall-196360482_1653")</f>
        <v>https://vk.com/wall-196360482_1653</v>
      </c>
      <c r="H716" t="s">
        <v>13</v>
      </c>
      <c r="I716" t="s">
        <v>215</v>
      </c>
      <c r="J716" t="str">
        <f>HYPERLINK("http://vk.com/club196360482")</f>
        <v>http://vk.com/club196360482</v>
      </c>
      <c r="K716">
        <v>34</v>
      </c>
      <c r="L716" t="s">
        <v>28</v>
      </c>
      <c r="N716" t="s">
        <v>16</v>
      </c>
      <c r="O716" t="s">
        <v>215</v>
      </c>
      <c r="P716" t="str">
        <f>HYPERLINK("http://vk.com/club196360482")</f>
        <v>http://vk.com/club196360482</v>
      </c>
      <c r="Q716">
        <v>34</v>
      </c>
      <c r="R716" t="s">
        <v>17</v>
      </c>
      <c r="AI716" t="str">
        <f>HYPERLINK("https://sun9-1.userapi.com/c854524/v854524435/24e44f/uz3MOSNjtKI.jpg")</f>
        <v>https://sun9-1.userapi.com/c854524/v854524435/24e44f/uz3MOSNjtKI.jpg</v>
      </c>
      <c r="AJ716" t="s">
        <v>10</v>
      </c>
      <c r="AK716" t="s">
        <v>21</v>
      </c>
      <c r="AX716" t="s">
        <v>3249</v>
      </c>
      <c r="AY716" t="s">
        <v>3250</v>
      </c>
      <c r="AZ716" t="s">
        <v>3251</v>
      </c>
    </row>
    <row r="717" spans="1:52" x14ac:dyDescent="0.25">
      <c r="A717" t="s">
        <v>7</v>
      </c>
      <c r="B717" t="s">
        <v>367</v>
      </c>
      <c r="C717" t="s">
        <v>368</v>
      </c>
      <c r="D717" t="s">
        <v>24</v>
      </c>
      <c r="E717" t="s">
        <v>370</v>
      </c>
      <c r="F717" t="s">
        <v>26</v>
      </c>
      <c r="G717" t="str">
        <f>HYPERLINK("https://vk.com/wall-56835263_2982291?reply=2984051")</f>
        <v>https://vk.com/wall-56835263_2982291?reply=2984051</v>
      </c>
      <c r="H717" t="s">
        <v>13</v>
      </c>
      <c r="I717" t="s">
        <v>366</v>
      </c>
      <c r="J717" t="str">
        <f>HYPERLINK("http://vk.com/id365459183")</f>
        <v>http://vk.com/id365459183</v>
      </c>
      <c r="K717">
        <v>334</v>
      </c>
      <c r="L717" t="s">
        <v>80</v>
      </c>
      <c r="N717" t="s">
        <v>16</v>
      </c>
      <c r="O717" t="s">
        <v>371</v>
      </c>
      <c r="P717" t="str">
        <f>HYPERLINK("http://vk.com/club56835263")</f>
        <v>http://vk.com/club56835263</v>
      </c>
      <c r="Q717">
        <v>133535</v>
      </c>
      <c r="R717" t="s">
        <v>17</v>
      </c>
      <c r="S717" t="s">
        <v>18</v>
      </c>
      <c r="AJ717" t="s">
        <v>10</v>
      </c>
      <c r="AK717" t="s">
        <v>21</v>
      </c>
      <c r="AW717" t="s">
        <v>3248</v>
      </c>
      <c r="AX717" t="s">
        <v>3249</v>
      </c>
      <c r="AY717" t="s">
        <v>3250</v>
      </c>
      <c r="AZ717" t="s">
        <v>3251</v>
      </c>
    </row>
    <row r="718" spans="1:52" x14ac:dyDescent="0.25">
      <c r="A718" t="s">
        <v>7</v>
      </c>
      <c r="B718" t="s">
        <v>384</v>
      </c>
      <c r="C718" t="s">
        <v>385</v>
      </c>
      <c r="D718" t="s">
        <v>24</v>
      </c>
      <c r="E718" t="s">
        <v>386</v>
      </c>
      <c r="F718" t="s">
        <v>26</v>
      </c>
      <c r="G718" t="str">
        <f>HYPERLINK("https://vk.com/wall-197114981_31?reply=1306&amp;thread=1293")</f>
        <v>https://vk.com/wall-197114981_31?reply=1306&amp;thread=1293</v>
      </c>
      <c r="H718" t="s">
        <v>13</v>
      </c>
      <c r="I718" t="s">
        <v>27</v>
      </c>
      <c r="J718" t="str">
        <f>HYPERLINK("http://vk.com/club197114981")</f>
        <v>http://vk.com/club197114981</v>
      </c>
      <c r="K718">
        <v>38</v>
      </c>
      <c r="L718" t="s">
        <v>28</v>
      </c>
      <c r="N718" t="s">
        <v>16</v>
      </c>
      <c r="O718" t="s">
        <v>27</v>
      </c>
      <c r="P718" t="str">
        <f>HYPERLINK("http://vk.com/club197114981")</f>
        <v>http://vk.com/club197114981</v>
      </c>
      <c r="Q718">
        <v>38</v>
      </c>
      <c r="R718" t="s">
        <v>17</v>
      </c>
      <c r="AJ718" t="s">
        <v>10</v>
      </c>
      <c r="AK718" t="s">
        <v>21</v>
      </c>
      <c r="AV718" t="s">
        <v>3247</v>
      </c>
      <c r="AY718" t="s">
        <v>3250</v>
      </c>
      <c r="AZ718" t="s">
        <v>3251</v>
      </c>
    </row>
    <row r="719" spans="1:52" x14ac:dyDescent="0.25">
      <c r="A719" t="s">
        <v>772</v>
      </c>
      <c r="B719" t="s">
        <v>926</v>
      </c>
      <c r="C719" t="s">
        <v>927</v>
      </c>
      <c r="D719" t="s">
        <v>24</v>
      </c>
      <c r="E719" t="s">
        <v>754</v>
      </c>
      <c r="F719" t="s">
        <v>26</v>
      </c>
      <c r="G719" t="str">
        <f>HYPERLINK("https://vk.com/wall-197114981_31?reply=1109&amp;thread=1082")</f>
        <v>https://vk.com/wall-197114981_31?reply=1109&amp;thread=1082</v>
      </c>
      <c r="H719" t="s">
        <v>885</v>
      </c>
      <c r="I719" t="s">
        <v>27</v>
      </c>
      <c r="J719" t="str">
        <f>HYPERLINK("http://vk.com/club197114981")</f>
        <v>http://vk.com/club197114981</v>
      </c>
      <c r="K719">
        <v>38</v>
      </c>
      <c r="L719" t="s">
        <v>28</v>
      </c>
      <c r="N719" t="s">
        <v>16</v>
      </c>
      <c r="O719" t="s">
        <v>27</v>
      </c>
      <c r="P719" t="str">
        <f>HYPERLINK("http://vk.com/club197114981")</f>
        <v>http://vk.com/club197114981</v>
      </c>
      <c r="Q719">
        <v>38</v>
      </c>
      <c r="R719" t="s">
        <v>17</v>
      </c>
      <c r="AJ719" t="s">
        <v>10</v>
      </c>
      <c r="AK719" t="s">
        <v>21</v>
      </c>
      <c r="AW719" t="s">
        <v>3248</v>
      </c>
      <c r="AX719" t="s">
        <v>3249</v>
      </c>
      <c r="AY719" t="s">
        <v>3250</v>
      </c>
      <c r="AZ719" t="s">
        <v>3251</v>
      </c>
    </row>
    <row r="720" spans="1:52" x14ac:dyDescent="0.25">
      <c r="A720" t="s">
        <v>1017</v>
      </c>
      <c r="B720" t="s">
        <v>143</v>
      </c>
      <c r="C720" t="s">
        <v>984</v>
      </c>
      <c r="D720" t="s">
        <v>10</v>
      </c>
      <c r="E720" t="s">
        <v>1110</v>
      </c>
      <c r="F720" t="s">
        <v>45</v>
      </c>
      <c r="G720" t="str">
        <f>HYPERLINK("https://vk.com/wall-115244945_501532")</f>
        <v>https://vk.com/wall-115244945_501532</v>
      </c>
      <c r="H720" t="s">
        <v>885</v>
      </c>
      <c r="I720" t="s">
        <v>1085</v>
      </c>
      <c r="J720" t="str">
        <f>HYPERLINK("http://vk.com/id162385864")</f>
        <v>http://vk.com/id162385864</v>
      </c>
      <c r="K720">
        <v>359</v>
      </c>
      <c r="L720" t="s">
        <v>80</v>
      </c>
      <c r="N720" t="s">
        <v>16</v>
      </c>
      <c r="O720" t="s">
        <v>1111</v>
      </c>
      <c r="P720" t="str">
        <f>HYPERLINK("http://vk.com/club115244945")</f>
        <v>http://vk.com/club115244945</v>
      </c>
      <c r="Q720">
        <v>14523</v>
      </c>
      <c r="R720" t="s">
        <v>17</v>
      </c>
      <c r="S720" t="s">
        <v>18</v>
      </c>
      <c r="W720">
        <v>1</v>
      </c>
      <c r="X720">
        <v>1</v>
      </c>
      <c r="AE720">
        <v>0</v>
      </c>
      <c r="AF720">
        <v>0</v>
      </c>
      <c r="AI720" t="str">
        <f>HYPERLINK("https://sun9-20.userapi.com/c858136/v858136814/226c95/hLi3dBtYn08.jpg")</f>
        <v>https://sun9-20.userapi.com/c858136/v858136814/226c95/hLi3dBtYn08.jpg</v>
      </c>
      <c r="AJ720" t="s">
        <v>10</v>
      </c>
      <c r="AK720" t="s">
        <v>21</v>
      </c>
      <c r="AW720" t="s">
        <v>3248</v>
      </c>
      <c r="AY720" t="s">
        <v>3250</v>
      </c>
      <c r="AZ720" t="s">
        <v>3251</v>
      </c>
    </row>
    <row r="721" spans="1:52" x14ac:dyDescent="0.25">
      <c r="A721" t="s">
        <v>1158</v>
      </c>
      <c r="B721" t="s">
        <v>1176</v>
      </c>
      <c r="C721" t="s">
        <v>984</v>
      </c>
      <c r="D721" t="s">
        <v>1177</v>
      </c>
      <c r="E721" t="s">
        <v>1178</v>
      </c>
      <c r="F721" t="s">
        <v>26</v>
      </c>
      <c r="G721" t="str">
        <f>HYPERLINK("https://vk.com/wall-146414683_1133964?reply=1133981&amp;thread=1133973")</f>
        <v>https://vk.com/wall-146414683_1133964?reply=1133981&amp;thread=1133973</v>
      </c>
      <c r="H721" t="s">
        <v>885</v>
      </c>
      <c r="I721" t="s">
        <v>1179</v>
      </c>
      <c r="J721" t="str">
        <f>HYPERLINK("http://vk.com/id43531499")</f>
        <v>http://vk.com/id43531499</v>
      </c>
      <c r="K721">
        <v>535</v>
      </c>
      <c r="L721" t="s">
        <v>80</v>
      </c>
      <c r="N721" t="s">
        <v>16</v>
      </c>
      <c r="O721" t="s">
        <v>1180</v>
      </c>
      <c r="P721" t="str">
        <f>HYPERLINK("http://vk.com/club146414683")</f>
        <v>http://vk.com/club146414683</v>
      </c>
      <c r="Q721">
        <v>42361</v>
      </c>
      <c r="R721" t="s">
        <v>17</v>
      </c>
      <c r="S721" t="s">
        <v>18</v>
      </c>
      <c r="T721" t="s">
        <v>1181</v>
      </c>
      <c r="U721" t="s">
        <v>1182</v>
      </c>
      <c r="AJ721" t="s">
        <v>10</v>
      </c>
      <c r="AK721" t="s">
        <v>21</v>
      </c>
      <c r="AM721" t="s">
        <v>3238</v>
      </c>
      <c r="AW721" t="s">
        <v>3248</v>
      </c>
      <c r="AY721" t="s">
        <v>3250</v>
      </c>
      <c r="AZ721" t="s">
        <v>3251</v>
      </c>
    </row>
    <row r="722" spans="1:52" x14ac:dyDescent="0.25">
      <c r="A722" t="s">
        <v>1158</v>
      </c>
      <c r="B722" t="s">
        <v>1189</v>
      </c>
      <c r="C722" t="s">
        <v>984</v>
      </c>
      <c r="D722" t="s">
        <v>10</v>
      </c>
      <c r="E722" t="s">
        <v>1190</v>
      </c>
      <c r="F722" t="s">
        <v>45</v>
      </c>
      <c r="G722" t="str">
        <f>HYPERLINK("https://vk.com/wall-158633337_960")</f>
        <v>https://vk.com/wall-158633337_960</v>
      </c>
      <c r="H722" t="s">
        <v>889</v>
      </c>
      <c r="I722" t="s">
        <v>125</v>
      </c>
      <c r="J722" t="str">
        <f>HYPERLINK("http://vk.com/club158633337")</f>
        <v>http://vk.com/club158633337</v>
      </c>
      <c r="K722">
        <v>4852</v>
      </c>
      <c r="L722" t="s">
        <v>28</v>
      </c>
      <c r="N722" t="s">
        <v>16</v>
      </c>
      <c r="O722" t="s">
        <v>125</v>
      </c>
      <c r="P722" t="str">
        <f>HYPERLINK("http://vk.com/club158633337")</f>
        <v>http://vk.com/club158633337</v>
      </c>
      <c r="Q722">
        <v>4852</v>
      </c>
      <c r="R722" t="s">
        <v>17</v>
      </c>
      <c r="S722" t="s">
        <v>18</v>
      </c>
      <c r="T722" t="s">
        <v>126</v>
      </c>
      <c r="U722" t="s">
        <v>127</v>
      </c>
      <c r="W722">
        <v>0</v>
      </c>
      <c r="X722">
        <v>0</v>
      </c>
      <c r="AE722">
        <v>0</v>
      </c>
      <c r="AF722">
        <v>0</v>
      </c>
      <c r="AG722">
        <v>109</v>
      </c>
      <c r="AI722" t="str">
        <f>HYPERLINK("https://sun1-24.userapi.com/QFhDVm5Ls4Bj9F5wcz92o5Ew43oHBUcxVA2xmg/ei9fcR6_CZA.jpg")</f>
        <v>https://sun1-24.userapi.com/QFhDVm5Ls4Bj9F5wcz92o5Ew43oHBUcxVA2xmg/ei9fcR6_CZA.jpg</v>
      </c>
      <c r="AJ722" t="s">
        <v>10</v>
      </c>
      <c r="AK722" t="s">
        <v>21</v>
      </c>
      <c r="AM722" t="s">
        <v>3238</v>
      </c>
      <c r="AW722" t="s">
        <v>3248</v>
      </c>
      <c r="AY722" t="s">
        <v>3250</v>
      </c>
      <c r="AZ722" t="s">
        <v>3251</v>
      </c>
    </row>
    <row r="723" spans="1:52" x14ac:dyDescent="0.25">
      <c r="A723" t="s">
        <v>1352</v>
      </c>
      <c r="B723" t="s">
        <v>1380</v>
      </c>
      <c r="C723" t="s">
        <v>984</v>
      </c>
      <c r="D723" t="s">
        <v>421</v>
      </c>
      <c r="E723" t="s">
        <v>1381</v>
      </c>
      <c r="F723" t="s">
        <v>26</v>
      </c>
      <c r="G723" t="str">
        <f>HYPERLINK("https://www.youtube.com/watch?v=gaka1vqYFNs&amp;lc=UgxAlK1kzHeacHsUUHl4AaABAg")</f>
        <v>https://www.youtube.com/watch?v=gaka1vqYFNs&amp;lc=UgxAlK1kzHeacHsUUHl4AaABAg</v>
      </c>
      <c r="H723" t="s">
        <v>885</v>
      </c>
      <c r="I723" t="s">
        <v>1382</v>
      </c>
      <c r="J723" t="str">
        <f>HYPERLINK("https://www.youtube.com/channel/UCq4yqoYl-IoMYUuTcdr09cg")</f>
        <v>https://www.youtube.com/channel/UCq4yqoYl-IoMYUuTcdr09cg</v>
      </c>
      <c r="K723">
        <v>10</v>
      </c>
      <c r="L723" t="s">
        <v>15</v>
      </c>
      <c r="N723" t="s">
        <v>162</v>
      </c>
      <c r="O723" t="s">
        <v>424</v>
      </c>
      <c r="P723" t="str">
        <f>HYPERLINK("https://www.youtube.com/channel/UC8fQzKHIhSoZeSq3bwQx4mw")</f>
        <v>https://www.youtube.com/channel/UC8fQzKHIhSoZeSq3bwQx4mw</v>
      </c>
      <c r="Q723">
        <v>517000</v>
      </c>
      <c r="R723" t="s">
        <v>17</v>
      </c>
      <c r="S723" t="s">
        <v>425</v>
      </c>
      <c r="AJ723" t="s">
        <v>10</v>
      </c>
      <c r="AK723" t="s">
        <v>21</v>
      </c>
      <c r="AV723" t="s">
        <v>3247</v>
      </c>
      <c r="AY723" t="s">
        <v>3250</v>
      </c>
      <c r="AZ723" t="s">
        <v>3251</v>
      </c>
    </row>
    <row r="724" spans="1:52" x14ac:dyDescent="0.25">
      <c r="A724" t="s">
        <v>1462</v>
      </c>
      <c r="B724" t="s">
        <v>1484</v>
      </c>
      <c r="C724" t="s">
        <v>984</v>
      </c>
      <c r="D724" t="s">
        <v>10</v>
      </c>
      <c r="E724" t="s">
        <v>1485</v>
      </c>
      <c r="F724" t="s">
        <v>45</v>
      </c>
      <c r="G724" t="str">
        <f>HYPERLINK("https://www.facebook.com/mrtexpertrnd/posts/785269495550682")</f>
        <v>https://www.facebook.com/mrtexpertrnd/posts/785269495550682</v>
      </c>
      <c r="H724" t="s">
        <v>885</v>
      </c>
      <c r="I724" t="s">
        <v>125</v>
      </c>
      <c r="J724" t="str">
        <f>HYPERLINK("https://www.facebook.com/156600068417631")</f>
        <v>https://www.facebook.com/156600068417631</v>
      </c>
      <c r="K724">
        <v>236</v>
      </c>
      <c r="L724" t="s">
        <v>28</v>
      </c>
      <c r="N724" t="s">
        <v>179</v>
      </c>
      <c r="O724" t="s">
        <v>125</v>
      </c>
      <c r="P724" t="str">
        <f>HYPERLINK("https://www.facebook.com/156600068417631")</f>
        <v>https://www.facebook.com/156600068417631</v>
      </c>
      <c r="Q724">
        <v>236</v>
      </c>
      <c r="R724" t="s">
        <v>17</v>
      </c>
      <c r="S724" t="s">
        <v>18</v>
      </c>
      <c r="T724" t="s">
        <v>126</v>
      </c>
      <c r="U724" t="s">
        <v>127</v>
      </c>
      <c r="W724">
        <v>0</v>
      </c>
      <c r="X724">
        <v>0</v>
      </c>
      <c r="Y724">
        <v>0</v>
      </c>
      <c r="Z724">
        <v>0</v>
      </c>
      <c r="AA724">
        <v>0</v>
      </c>
      <c r="AB724">
        <v>0</v>
      </c>
      <c r="AC724">
        <v>0</v>
      </c>
      <c r="AE724">
        <v>0</v>
      </c>
      <c r="AI724" t="str">
        <f>HYPERLINK("https://scontent-hel2-1.xx.fbcdn.net/v/t1.0-9/117015606_785269408884024_4056597786277522869_o.jpg?_nc_cat=105&amp;_nc_sid=730e14&amp;_nc_ohc=e7bjP4i82WwAX8iDt2Y&amp;_nc_ht=scontent-hel2-1.xx&amp;oh=44c81d3dc6b4fa13dc6e798ee415161e&amp;oe=5F49642B")</f>
        <v>https://scontent-hel2-1.xx.fbcdn.net/v/t1.0-9/117015606_785269408884024_4056597786277522869_o.jpg?_nc_cat=105&amp;_nc_sid=730e14&amp;_nc_ohc=e7bjP4i82WwAX8iDt2Y&amp;_nc_ht=scontent-hel2-1.xx&amp;oh=44c81d3dc6b4fa13dc6e798ee415161e&amp;oe=5F49642B</v>
      </c>
      <c r="AJ724" t="s">
        <v>10</v>
      </c>
      <c r="AK724" t="s">
        <v>21</v>
      </c>
      <c r="AV724" t="s">
        <v>3247</v>
      </c>
      <c r="AX724" t="s">
        <v>3249</v>
      </c>
      <c r="AY724" t="s">
        <v>3250</v>
      </c>
      <c r="AZ724" t="s">
        <v>3251</v>
      </c>
    </row>
    <row r="725" spans="1:52" x14ac:dyDescent="0.25">
      <c r="A725" t="s">
        <v>1597</v>
      </c>
      <c r="B725" t="s">
        <v>1700</v>
      </c>
      <c r="C725" t="s">
        <v>984</v>
      </c>
      <c r="D725" t="s">
        <v>10</v>
      </c>
      <c r="E725" t="s">
        <v>1701</v>
      </c>
      <c r="F725" t="s">
        <v>12</v>
      </c>
      <c r="G725" t="str">
        <f>HYPERLINK("https://twitter.com/3099990044/status/1288331472433160192")</f>
        <v>https://twitter.com/3099990044/status/1288331472433160192</v>
      </c>
      <c r="H725" t="s">
        <v>885</v>
      </c>
      <c r="I725" t="s">
        <v>1702</v>
      </c>
      <c r="J725" t="str">
        <f>HYPERLINK("http://twitter.com/monkindisguise")</f>
        <v>http://twitter.com/monkindisguise</v>
      </c>
      <c r="K725">
        <v>106</v>
      </c>
      <c r="L725" t="s">
        <v>15</v>
      </c>
      <c r="N725" t="s">
        <v>54</v>
      </c>
      <c r="R725" t="s">
        <v>17</v>
      </c>
      <c r="W725">
        <v>0</v>
      </c>
      <c r="X725">
        <v>0</v>
      </c>
      <c r="AJ725" t="s">
        <v>10</v>
      </c>
      <c r="AK725" t="s">
        <v>21</v>
      </c>
      <c r="AM725" t="s">
        <v>3238</v>
      </c>
      <c r="AW725" t="s">
        <v>3248</v>
      </c>
      <c r="AY725" t="s">
        <v>3250</v>
      </c>
      <c r="AZ725" t="s">
        <v>3251</v>
      </c>
    </row>
    <row r="726" spans="1:52" x14ac:dyDescent="0.25">
      <c r="A726" t="s">
        <v>1723</v>
      </c>
      <c r="B726" t="s">
        <v>1762</v>
      </c>
      <c r="C726" t="s">
        <v>984</v>
      </c>
      <c r="D726" t="s">
        <v>1763</v>
      </c>
      <c r="E726" t="s">
        <v>1764</v>
      </c>
      <c r="F726" t="s">
        <v>45</v>
      </c>
      <c r="G726" t="str">
        <f>HYPERLINK("https://www.otzyvru.com/mrt-ekspert/review-785072")</f>
        <v>https://www.otzyvru.com/mrt-ekspert/review-785072</v>
      </c>
      <c r="H726" t="s">
        <v>1057</v>
      </c>
      <c r="I726" t="s">
        <v>1765</v>
      </c>
      <c r="J726" t="str">
        <f>HYPERLINK("https://www.otzyvru.com/mrt-ekspert/review-785072")</f>
        <v>https://www.otzyvru.com/mrt-ekspert/review-785072</v>
      </c>
      <c r="L726" t="s">
        <v>15</v>
      </c>
      <c r="N726" t="s">
        <v>1766</v>
      </c>
      <c r="O726" t="s">
        <v>992</v>
      </c>
      <c r="P726" t="str">
        <f>HYPERLINK("https://www.otzyvru.com/mrt-ekspert")</f>
        <v>https://www.otzyvru.com/mrt-ekspert</v>
      </c>
      <c r="R726" t="s">
        <v>616</v>
      </c>
      <c r="S726" t="s">
        <v>18</v>
      </c>
      <c r="AH726">
        <v>2</v>
      </c>
      <c r="AJ726" t="s">
        <v>10</v>
      </c>
      <c r="AK726" t="s">
        <v>21</v>
      </c>
      <c r="AW726" t="s">
        <v>3248</v>
      </c>
      <c r="AY726" t="s">
        <v>3250</v>
      </c>
      <c r="AZ726" t="s">
        <v>3251</v>
      </c>
    </row>
    <row r="727" spans="1:52" x14ac:dyDescent="0.25">
      <c r="A727" t="s">
        <v>1838</v>
      </c>
      <c r="B727" t="s">
        <v>1093</v>
      </c>
      <c r="C727" t="s">
        <v>984</v>
      </c>
      <c r="D727" t="s">
        <v>10</v>
      </c>
      <c r="E727" t="s">
        <v>1908</v>
      </c>
      <c r="F727" t="s">
        <v>45</v>
      </c>
      <c r="G727" t="str">
        <f>HYPERLINK("https://www.facebook.com/expert.klinika.stavropol/photos/a.108004590782008/169253384657128/?type=3")</f>
        <v>https://www.facebook.com/expert.klinika.stavropol/photos/a.108004590782008/169253384657128/?type=3</v>
      </c>
      <c r="H727" t="s">
        <v>889</v>
      </c>
      <c r="I727" t="s">
        <v>640</v>
      </c>
      <c r="J727" t="str">
        <f>HYPERLINK("https://www.facebook.com/107325724183228")</f>
        <v>https://www.facebook.com/107325724183228</v>
      </c>
      <c r="K727">
        <v>1</v>
      </c>
      <c r="L727" t="s">
        <v>28</v>
      </c>
      <c r="N727" t="s">
        <v>179</v>
      </c>
      <c r="O727" t="s">
        <v>640</v>
      </c>
      <c r="P727" t="str">
        <f>HYPERLINK("https://www.facebook.com/107325724183228")</f>
        <v>https://www.facebook.com/107325724183228</v>
      </c>
      <c r="Q727">
        <v>1</v>
      </c>
      <c r="R727" t="s">
        <v>17</v>
      </c>
      <c r="S727" t="s">
        <v>18</v>
      </c>
      <c r="T727" t="s">
        <v>641</v>
      </c>
      <c r="U727" t="s">
        <v>642</v>
      </c>
      <c r="W727">
        <v>0</v>
      </c>
      <c r="X727">
        <v>0</v>
      </c>
      <c r="Y727">
        <v>0</v>
      </c>
      <c r="Z727">
        <v>0</v>
      </c>
      <c r="AA727">
        <v>0</v>
      </c>
      <c r="AB727">
        <v>0</v>
      </c>
      <c r="AC727">
        <v>0</v>
      </c>
      <c r="AE727">
        <v>0</v>
      </c>
      <c r="AI727" t="str">
        <f>HYPERLINK("https://scontent-hel2-1.xx.fbcdn.net/v/t1.0-0/p180x540/116339897_169253387990461_6801983441269237361_n.jpg?_nc_cat=105&amp;_nc_sid=9267fe&amp;_nc_ohc=VobOwm37VdgAX8pOBix&amp;_nc_ht=scontent-hel2-1.xx&amp;_nc_tp=6&amp;oh=2cf90509661b868e830146fc95489402&amp;oe=5F463850")</f>
        <v>https://scontent-hel2-1.xx.fbcdn.net/v/t1.0-0/p180x540/116339897_169253387990461_6801983441269237361_n.jpg?_nc_cat=105&amp;_nc_sid=9267fe&amp;_nc_ohc=VobOwm37VdgAX8pOBix&amp;_nc_ht=scontent-hel2-1.xx&amp;_nc_tp=6&amp;oh=2cf90509661b868e830146fc95489402&amp;oe=5F463850</v>
      </c>
      <c r="AJ727" t="s">
        <v>10</v>
      </c>
      <c r="AK727" t="s">
        <v>21</v>
      </c>
      <c r="AX727" t="s">
        <v>3249</v>
      </c>
      <c r="AY727" t="s">
        <v>3250</v>
      </c>
      <c r="AZ727" t="s">
        <v>3251</v>
      </c>
    </row>
    <row r="728" spans="1:52" x14ac:dyDescent="0.25">
      <c r="A728" t="s">
        <v>2290</v>
      </c>
      <c r="B728" t="s">
        <v>864</v>
      </c>
      <c r="C728" t="s">
        <v>968</v>
      </c>
      <c r="D728" t="s">
        <v>10</v>
      </c>
      <c r="E728" t="s">
        <v>1948</v>
      </c>
      <c r="F728" t="s">
        <v>45</v>
      </c>
      <c r="G728" t="str">
        <f>HYPERLINK("https://vk.com/wall-158633337_937")</f>
        <v>https://vk.com/wall-158633337_937</v>
      </c>
      <c r="H728" t="s">
        <v>889</v>
      </c>
      <c r="I728" t="s">
        <v>125</v>
      </c>
      <c r="J728" t="str">
        <f>HYPERLINK("http://vk.com/club158633337")</f>
        <v>http://vk.com/club158633337</v>
      </c>
      <c r="K728">
        <v>4852</v>
      </c>
      <c r="L728" t="s">
        <v>28</v>
      </c>
      <c r="N728" t="s">
        <v>16</v>
      </c>
      <c r="O728" t="s">
        <v>125</v>
      </c>
      <c r="P728" t="str">
        <f>HYPERLINK("http://vk.com/club158633337")</f>
        <v>http://vk.com/club158633337</v>
      </c>
      <c r="Q728">
        <v>4852</v>
      </c>
      <c r="R728" t="s">
        <v>17</v>
      </c>
      <c r="S728" t="s">
        <v>18</v>
      </c>
      <c r="T728" t="s">
        <v>126</v>
      </c>
      <c r="U728" t="s">
        <v>127</v>
      </c>
      <c r="W728">
        <v>0</v>
      </c>
      <c r="X728">
        <v>0</v>
      </c>
      <c r="AE728">
        <v>0</v>
      </c>
      <c r="AF728">
        <v>0</v>
      </c>
      <c r="AG728">
        <v>109</v>
      </c>
      <c r="AI728" t="str">
        <f>HYPERLINK("https://sun1-26.userapi.com/yMGuTIeCdpv9fT7_A9Inyqx6HE6n9jy7yqwE_w/MExu17Xz1OQ.jpg")</f>
        <v>https://sun1-26.userapi.com/yMGuTIeCdpv9fT7_A9Inyqx6HE6n9jy7yqwE_w/MExu17Xz1OQ.jpg</v>
      </c>
      <c r="AJ728" t="s">
        <v>10</v>
      </c>
      <c r="AK728" t="s">
        <v>21</v>
      </c>
      <c r="AV728" t="s">
        <v>3247</v>
      </c>
      <c r="AY728" t="s">
        <v>3250</v>
      </c>
      <c r="AZ728" t="s">
        <v>3251</v>
      </c>
    </row>
    <row r="729" spans="1:52" x14ac:dyDescent="0.25">
      <c r="A729" t="s">
        <v>2472</v>
      </c>
      <c r="B729" t="s">
        <v>2486</v>
      </c>
      <c r="C729" t="s">
        <v>968</v>
      </c>
      <c r="D729" t="s">
        <v>10</v>
      </c>
      <c r="E729" t="s">
        <v>2488</v>
      </c>
      <c r="F729" t="s">
        <v>45</v>
      </c>
      <c r="G729" t="str">
        <f>HYPERLINK("https://vk.com/wall-48669646_10180")</f>
        <v>https://vk.com/wall-48669646_10180</v>
      </c>
      <c r="H729" t="s">
        <v>885</v>
      </c>
      <c r="I729" t="s">
        <v>46</v>
      </c>
      <c r="J729" t="str">
        <f>HYPERLINK("http://vk.com/club48669646")</f>
        <v>http://vk.com/club48669646</v>
      </c>
      <c r="K729">
        <v>5795</v>
      </c>
      <c r="L729" t="s">
        <v>28</v>
      </c>
      <c r="N729" t="s">
        <v>16</v>
      </c>
      <c r="O729" t="s">
        <v>46</v>
      </c>
      <c r="P729" t="str">
        <f>HYPERLINK("http://vk.com/club48669646")</f>
        <v>http://vk.com/club48669646</v>
      </c>
      <c r="Q729">
        <v>5795</v>
      </c>
      <c r="R729" t="s">
        <v>17</v>
      </c>
      <c r="S729" t="s">
        <v>18</v>
      </c>
      <c r="W729">
        <v>2</v>
      </c>
      <c r="X729">
        <v>2</v>
      </c>
      <c r="AE729">
        <v>0</v>
      </c>
      <c r="AF729">
        <v>0</v>
      </c>
      <c r="AG729">
        <v>396</v>
      </c>
      <c r="AI729" t="str">
        <f>HYPERLINK("https://sun1-94.userapi.com/0pqZlG5dnEmrhmmiW7OTzg3gJwp5N-1x7fKUBQ/SUz9SFcNkCI.jpg")</f>
        <v>https://sun1-94.userapi.com/0pqZlG5dnEmrhmmiW7OTzg3gJwp5N-1x7fKUBQ/SUz9SFcNkCI.jpg</v>
      </c>
      <c r="AJ729" t="s">
        <v>10</v>
      </c>
      <c r="AK729" t="s">
        <v>21</v>
      </c>
      <c r="AX729" t="s">
        <v>3249</v>
      </c>
      <c r="AY729" t="s">
        <v>3250</v>
      </c>
      <c r="AZ729" t="s">
        <v>3251</v>
      </c>
    </row>
    <row r="730" spans="1:52" x14ac:dyDescent="0.25">
      <c r="A730" t="s">
        <v>2541</v>
      </c>
      <c r="B730" t="s">
        <v>864</v>
      </c>
      <c r="C730" t="s">
        <v>968</v>
      </c>
      <c r="D730" t="s">
        <v>10</v>
      </c>
      <c r="E730" t="s">
        <v>2212</v>
      </c>
      <c r="F730" t="s">
        <v>45</v>
      </c>
      <c r="G730" t="str">
        <f>HYPERLINK("https://vk.com/wall-158633337_929")</f>
        <v>https://vk.com/wall-158633337_929</v>
      </c>
      <c r="H730" t="s">
        <v>889</v>
      </c>
      <c r="I730" t="s">
        <v>125</v>
      </c>
      <c r="J730" t="str">
        <f>HYPERLINK("http://vk.com/club158633337")</f>
        <v>http://vk.com/club158633337</v>
      </c>
      <c r="K730">
        <v>4852</v>
      </c>
      <c r="L730" t="s">
        <v>28</v>
      </c>
      <c r="N730" t="s">
        <v>16</v>
      </c>
      <c r="O730" t="s">
        <v>125</v>
      </c>
      <c r="P730" t="str">
        <f>HYPERLINK("http://vk.com/club158633337")</f>
        <v>http://vk.com/club158633337</v>
      </c>
      <c r="Q730">
        <v>4852</v>
      </c>
      <c r="R730" t="s">
        <v>17</v>
      </c>
      <c r="S730" t="s">
        <v>18</v>
      </c>
      <c r="T730" t="s">
        <v>126</v>
      </c>
      <c r="U730" t="s">
        <v>127</v>
      </c>
      <c r="W730">
        <v>0</v>
      </c>
      <c r="X730">
        <v>0</v>
      </c>
      <c r="AE730">
        <v>0</v>
      </c>
      <c r="AF730">
        <v>0</v>
      </c>
      <c r="AG730">
        <v>106</v>
      </c>
      <c r="AI730" t="str">
        <f>HYPERLINK("https://sun1-84.userapi.com/cct1nWwu1-ndHG6Y4GIv9o-3hjKvLj4vnlrGEw/9rjSvME2dto.jpg")</f>
        <v>https://sun1-84.userapi.com/cct1nWwu1-ndHG6Y4GIv9o-3hjKvLj4vnlrGEw/9rjSvME2dto.jpg</v>
      </c>
      <c r="AJ730" t="s">
        <v>10</v>
      </c>
      <c r="AK730" t="s">
        <v>21</v>
      </c>
      <c r="AY730" t="s">
        <v>3250</v>
      </c>
      <c r="AZ730" t="s">
        <v>3251</v>
      </c>
    </row>
    <row r="731" spans="1:52" x14ac:dyDescent="0.25">
      <c r="A731" t="s">
        <v>2589</v>
      </c>
      <c r="B731" t="s">
        <v>2676</v>
      </c>
      <c r="C731" t="s">
        <v>968</v>
      </c>
      <c r="D731" t="s">
        <v>2677</v>
      </c>
      <c r="E731" t="s">
        <v>2678</v>
      </c>
      <c r="F731" t="s">
        <v>26</v>
      </c>
      <c r="G731" t="str">
        <f>HYPERLINK("https://vk.com/wall-146414683_1099243?reply=1100666")</f>
        <v>https://vk.com/wall-146414683_1099243?reply=1100666</v>
      </c>
      <c r="H731" t="s">
        <v>1057</v>
      </c>
      <c r="I731" t="s">
        <v>2679</v>
      </c>
      <c r="J731" t="str">
        <f>HYPERLINK("http://vk.com/id439488128")</f>
        <v>http://vk.com/id439488128</v>
      </c>
      <c r="K731">
        <v>110</v>
      </c>
      <c r="L731" t="s">
        <v>80</v>
      </c>
      <c r="M731">
        <v>40</v>
      </c>
      <c r="N731" t="s">
        <v>16</v>
      </c>
      <c r="O731" t="s">
        <v>1180</v>
      </c>
      <c r="P731" t="str">
        <f>HYPERLINK("http://vk.com/club146414683")</f>
        <v>http://vk.com/club146414683</v>
      </c>
      <c r="Q731">
        <v>42361</v>
      </c>
      <c r="R731" t="s">
        <v>17</v>
      </c>
      <c r="AJ731" t="s">
        <v>10</v>
      </c>
      <c r="AK731" t="s">
        <v>21</v>
      </c>
      <c r="AT731" t="s">
        <v>3245</v>
      </c>
      <c r="AU731" t="s">
        <v>3246</v>
      </c>
      <c r="AV731" t="s">
        <v>3247</v>
      </c>
      <c r="AW731" t="s">
        <v>3248</v>
      </c>
    </row>
    <row r="732" spans="1:52" x14ac:dyDescent="0.25">
      <c r="A732" t="s">
        <v>2767</v>
      </c>
      <c r="B732" t="s">
        <v>2781</v>
      </c>
      <c r="C732" t="s">
        <v>968</v>
      </c>
      <c r="D732" t="s">
        <v>2782</v>
      </c>
      <c r="E732" t="s">
        <v>2783</v>
      </c>
      <c r="F732" t="s">
        <v>26</v>
      </c>
      <c r="G732" t="str">
        <f>HYPERLINK("https://vk.com/wall-146414683_1097779?reply=1097876")</f>
        <v>https://vk.com/wall-146414683_1097779?reply=1097876</v>
      </c>
      <c r="H732" t="s">
        <v>885</v>
      </c>
      <c r="I732" t="s">
        <v>2679</v>
      </c>
      <c r="J732" t="str">
        <f>HYPERLINK("http://vk.com/id439488128")</f>
        <v>http://vk.com/id439488128</v>
      </c>
      <c r="K732">
        <v>110</v>
      </c>
      <c r="L732" t="s">
        <v>80</v>
      </c>
      <c r="M732">
        <v>40</v>
      </c>
      <c r="N732" t="s">
        <v>16</v>
      </c>
      <c r="O732" t="s">
        <v>1180</v>
      </c>
      <c r="P732" t="str">
        <f>HYPERLINK("http://vk.com/club146414683")</f>
        <v>http://vk.com/club146414683</v>
      </c>
      <c r="Q732">
        <v>42361</v>
      </c>
      <c r="R732" t="s">
        <v>17</v>
      </c>
      <c r="AJ732" t="s">
        <v>10</v>
      </c>
      <c r="AK732" t="s">
        <v>21</v>
      </c>
      <c r="AV732" t="s">
        <v>3247</v>
      </c>
      <c r="AW732" t="s">
        <v>3248</v>
      </c>
    </row>
    <row r="733" spans="1:52" x14ac:dyDescent="0.25">
      <c r="A733" t="s">
        <v>2767</v>
      </c>
      <c r="B733" t="s">
        <v>928</v>
      </c>
      <c r="C733" t="s">
        <v>968</v>
      </c>
      <c r="D733" t="s">
        <v>10</v>
      </c>
      <c r="E733" t="s">
        <v>2796</v>
      </c>
      <c r="F733" t="s">
        <v>45</v>
      </c>
      <c r="G733" t="str">
        <f>HYPERLINK("https://www.instagram.com/p/CClY78aB7GA")</f>
        <v>https://www.instagram.com/p/CClY78aB7GA</v>
      </c>
      <c r="H733" t="s">
        <v>889</v>
      </c>
      <c r="I733" t="s">
        <v>2797</v>
      </c>
      <c r="J733" t="str">
        <f>HYPERLINK("http://instagram.com/innaselia")</f>
        <v>http://instagram.com/innaselia</v>
      </c>
      <c r="K733">
        <v>1428</v>
      </c>
      <c r="L733" t="s">
        <v>80</v>
      </c>
      <c r="N733" t="s">
        <v>69</v>
      </c>
      <c r="O733" t="s">
        <v>2797</v>
      </c>
      <c r="P733" t="str">
        <f>HYPERLINK("http://instagram.com/innaselia")</f>
        <v>http://instagram.com/innaselia</v>
      </c>
      <c r="Q733">
        <v>1428</v>
      </c>
      <c r="R733" t="s">
        <v>17</v>
      </c>
      <c r="S733" t="s">
        <v>18</v>
      </c>
      <c r="T733" t="s">
        <v>2798</v>
      </c>
      <c r="U733" t="s">
        <v>2799</v>
      </c>
      <c r="AI733" t="str">
        <f>HYPERLINK("https://www.instagram.com/p/CClY78aB7GA/media/?size=l")</f>
        <v>https://www.instagram.com/p/CClY78aB7GA/media/?size=l</v>
      </c>
      <c r="AJ733" t="s">
        <v>10</v>
      </c>
      <c r="AK733" t="s">
        <v>21</v>
      </c>
      <c r="AV733" t="s">
        <v>3247</v>
      </c>
    </row>
    <row r="734" spans="1:52" x14ac:dyDescent="0.25">
      <c r="A734" t="s">
        <v>2865</v>
      </c>
      <c r="B734" t="s">
        <v>2135</v>
      </c>
      <c r="C734" t="s">
        <v>968</v>
      </c>
      <c r="D734" t="s">
        <v>10</v>
      </c>
      <c r="E734" t="s">
        <v>1856</v>
      </c>
      <c r="F734" t="s">
        <v>45</v>
      </c>
      <c r="G734" t="str">
        <f>HYPERLINK("https://www.facebook.com/mrtexpertrnd/photos/a.565935020817465/772483743495924/?type=3")</f>
        <v>https://www.facebook.com/mrtexpertrnd/photos/a.565935020817465/772483743495924/?type=3</v>
      </c>
      <c r="H734" t="s">
        <v>885</v>
      </c>
      <c r="I734" t="s">
        <v>125</v>
      </c>
      <c r="J734" t="str">
        <f>HYPERLINK("https://www.facebook.com/156600068417631")</f>
        <v>https://www.facebook.com/156600068417631</v>
      </c>
      <c r="K734">
        <v>236</v>
      </c>
      <c r="L734" t="s">
        <v>28</v>
      </c>
      <c r="N734" t="s">
        <v>179</v>
      </c>
      <c r="O734" t="s">
        <v>125</v>
      </c>
      <c r="P734" t="str">
        <f>HYPERLINK("https://www.facebook.com/156600068417631")</f>
        <v>https://www.facebook.com/156600068417631</v>
      </c>
      <c r="Q734">
        <v>236</v>
      </c>
      <c r="R734" t="s">
        <v>17</v>
      </c>
      <c r="S734" t="s">
        <v>18</v>
      </c>
      <c r="T734" t="s">
        <v>126</v>
      </c>
      <c r="U734" t="s">
        <v>127</v>
      </c>
      <c r="W734">
        <v>0</v>
      </c>
      <c r="X734">
        <v>0</v>
      </c>
      <c r="Y734">
        <v>0</v>
      </c>
      <c r="Z734">
        <v>0</v>
      </c>
      <c r="AA734">
        <v>0</v>
      </c>
      <c r="AB734">
        <v>0</v>
      </c>
      <c r="AC734">
        <v>0</v>
      </c>
      <c r="AE734">
        <v>0</v>
      </c>
      <c r="AI734" t="s">
        <v>2870</v>
      </c>
      <c r="AJ734" t="s">
        <v>10</v>
      </c>
      <c r="AK734" t="s">
        <v>21</v>
      </c>
      <c r="AT734" t="s">
        <v>3245</v>
      </c>
    </row>
    <row r="735" spans="1:52" x14ac:dyDescent="0.25">
      <c r="A735" t="s">
        <v>414</v>
      </c>
      <c r="B735" t="s">
        <v>492</v>
      </c>
      <c r="C735" t="s">
        <v>493</v>
      </c>
      <c r="D735" t="s">
        <v>24</v>
      </c>
      <c r="E735" t="s">
        <v>494</v>
      </c>
      <c r="F735" t="s">
        <v>26</v>
      </c>
      <c r="G735" t="str">
        <f>HYPERLINK("https://vk.com/wall-197114981_31?reply=1246&amp;thread=1232")</f>
        <v>https://vk.com/wall-197114981_31?reply=1246&amp;thread=1232</v>
      </c>
      <c r="H735" t="s">
        <v>13</v>
      </c>
      <c r="I735" t="s">
        <v>27</v>
      </c>
      <c r="J735" t="str">
        <f>HYPERLINK("http://vk.com/club197114981")</f>
        <v>http://vk.com/club197114981</v>
      </c>
      <c r="K735">
        <v>38</v>
      </c>
      <c r="L735" t="s">
        <v>28</v>
      </c>
      <c r="N735" t="s">
        <v>16</v>
      </c>
      <c r="O735" t="s">
        <v>27</v>
      </c>
      <c r="P735" t="str">
        <f>HYPERLINK("http://vk.com/club197114981")</f>
        <v>http://vk.com/club197114981</v>
      </c>
      <c r="Q735">
        <v>38</v>
      </c>
      <c r="R735" t="s">
        <v>17</v>
      </c>
      <c r="AJ735" t="s">
        <v>10</v>
      </c>
      <c r="AK735" t="s">
        <v>21</v>
      </c>
      <c r="AU735" t="s">
        <v>3246</v>
      </c>
      <c r="AV735" t="s">
        <v>3247</v>
      </c>
      <c r="AW735" t="s">
        <v>3248</v>
      </c>
    </row>
    <row r="736" spans="1:52" x14ac:dyDescent="0.25">
      <c r="A736" t="s">
        <v>414</v>
      </c>
      <c r="B736" t="s">
        <v>605</v>
      </c>
      <c r="C736" t="s">
        <v>606</v>
      </c>
      <c r="D736" t="s">
        <v>24</v>
      </c>
      <c r="E736" t="s">
        <v>607</v>
      </c>
      <c r="F736" t="s">
        <v>26</v>
      </c>
      <c r="G736" t="str">
        <f>HYPERLINK("https://vk.com/wall-197114981_31?reply=1212&amp;thread=1211")</f>
        <v>https://vk.com/wall-197114981_31?reply=1212&amp;thread=1211</v>
      </c>
      <c r="H736" t="s">
        <v>13</v>
      </c>
      <c r="I736" t="s">
        <v>27</v>
      </c>
      <c r="J736" t="str">
        <f>HYPERLINK("http://vk.com/club197114981")</f>
        <v>http://vk.com/club197114981</v>
      </c>
      <c r="K736">
        <v>38</v>
      </c>
      <c r="L736" t="s">
        <v>28</v>
      </c>
      <c r="N736" t="s">
        <v>16</v>
      </c>
      <c r="O736" t="s">
        <v>27</v>
      </c>
      <c r="P736" t="str">
        <f>HYPERLINK("http://vk.com/club197114981")</f>
        <v>http://vk.com/club197114981</v>
      </c>
      <c r="Q736">
        <v>38</v>
      </c>
      <c r="R736" t="s">
        <v>17</v>
      </c>
      <c r="AJ736" t="s">
        <v>10</v>
      </c>
      <c r="AK736" t="s">
        <v>21</v>
      </c>
      <c r="AU736" t="s">
        <v>3246</v>
      </c>
      <c r="AV736" t="s">
        <v>3247</v>
      </c>
      <c r="AW736" t="s">
        <v>3248</v>
      </c>
    </row>
    <row r="737" spans="1:52" x14ac:dyDescent="0.25">
      <c r="A737" t="s">
        <v>414</v>
      </c>
      <c r="B737" t="s">
        <v>680</v>
      </c>
      <c r="C737" t="s">
        <v>681</v>
      </c>
      <c r="D737" t="s">
        <v>10</v>
      </c>
      <c r="E737" t="s">
        <v>682</v>
      </c>
      <c r="F737" t="s">
        <v>45</v>
      </c>
      <c r="G737" t="str">
        <f>HYPERLINK("https://www.facebook.com/clinicobraztsov/posts/1154785271570181")</f>
        <v>https://www.facebook.com/clinicobraztsov/posts/1154785271570181</v>
      </c>
      <c r="H737" t="s">
        <v>13</v>
      </c>
      <c r="I737" t="s">
        <v>683</v>
      </c>
      <c r="J737" t="str">
        <f>HYPERLINK("https://www.facebook.com/318123658569684")</f>
        <v>https://www.facebook.com/318123658569684</v>
      </c>
      <c r="K737">
        <v>3096</v>
      </c>
      <c r="L737" t="s">
        <v>28</v>
      </c>
      <c r="N737" t="s">
        <v>179</v>
      </c>
      <c r="O737" t="s">
        <v>683</v>
      </c>
      <c r="P737" t="str">
        <f>HYPERLINK("https://www.facebook.com/318123658569684")</f>
        <v>https://www.facebook.com/318123658569684</v>
      </c>
      <c r="Q737">
        <v>3096</v>
      </c>
      <c r="R737" t="s">
        <v>17</v>
      </c>
      <c r="S737" t="s">
        <v>180</v>
      </c>
      <c r="T737" t="s">
        <v>684</v>
      </c>
      <c r="U737" t="s">
        <v>684</v>
      </c>
      <c r="W737">
        <v>0</v>
      </c>
      <c r="X737">
        <v>0</v>
      </c>
      <c r="Y737">
        <v>0</v>
      </c>
      <c r="Z737">
        <v>0</v>
      </c>
      <c r="AA737">
        <v>0</v>
      </c>
      <c r="AB737">
        <v>0</v>
      </c>
      <c r="AC737">
        <v>0</v>
      </c>
      <c r="AE737">
        <v>0</v>
      </c>
      <c r="AF737">
        <v>0</v>
      </c>
      <c r="AI737" t="str">
        <f>HYPERLINK("https://i.ytimg.com/vi/AfO0E_aTGCE/hqdefault.jpg")</f>
        <v>https://i.ytimg.com/vi/AfO0E_aTGCE/hqdefault.jpg</v>
      </c>
      <c r="AJ737" t="s">
        <v>10</v>
      </c>
      <c r="AK737" t="s">
        <v>21</v>
      </c>
      <c r="AU737" t="s">
        <v>3246</v>
      </c>
      <c r="AV737" t="s">
        <v>3247</v>
      </c>
      <c r="AW737" t="s">
        <v>3248</v>
      </c>
      <c r="AY737" t="s">
        <v>3250</v>
      </c>
      <c r="AZ737" t="s">
        <v>3251</v>
      </c>
    </row>
    <row r="738" spans="1:52" x14ac:dyDescent="0.25">
      <c r="A738" t="s">
        <v>772</v>
      </c>
      <c r="B738" t="s">
        <v>806</v>
      </c>
      <c r="C738" t="s">
        <v>807</v>
      </c>
      <c r="D738" t="s">
        <v>262</v>
      </c>
      <c r="E738" t="s">
        <v>808</v>
      </c>
      <c r="F738" t="s">
        <v>26</v>
      </c>
      <c r="G738" t="str">
        <f>HYPERLINK("https://vk.com/wall-92972218_1535?reply=1552")</f>
        <v>https://vk.com/wall-92972218_1535?reply=1552</v>
      </c>
      <c r="H738" t="s">
        <v>13</v>
      </c>
      <c r="I738" t="s">
        <v>264</v>
      </c>
      <c r="J738" t="str">
        <f>HYPERLINK("http://vk.com/id469960421")</f>
        <v>http://vk.com/id469960421</v>
      </c>
      <c r="K738">
        <v>346</v>
      </c>
      <c r="L738" t="s">
        <v>15</v>
      </c>
      <c r="M738">
        <v>44</v>
      </c>
      <c r="N738" t="s">
        <v>16</v>
      </c>
      <c r="O738" t="s">
        <v>265</v>
      </c>
      <c r="P738" t="str">
        <f>HYPERLINK("http://vk.com/club92972218")</f>
        <v>http://vk.com/club92972218</v>
      </c>
      <c r="Q738">
        <v>5227</v>
      </c>
      <c r="R738" t="s">
        <v>17</v>
      </c>
      <c r="S738" t="s">
        <v>18</v>
      </c>
      <c r="T738" t="s">
        <v>266</v>
      </c>
      <c r="U738" t="s">
        <v>266</v>
      </c>
      <c r="AJ738" t="s">
        <v>10</v>
      </c>
      <c r="AK738" t="s">
        <v>21</v>
      </c>
      <c r="AT738" t="s">
        <v>3245</v>
      </c>
      <c r="AU738" t="s">
        <v>3246</v>
      </c>
      <c r="AV738" t="s">
        <v>3247</v>
      </c>
      <c r="AW738" t="s">
        <v>3248</v>
      </c>
      <c r="AY738" t="s">
        <v>3250</v>
      </c>
      <c r="AZ738" t="s">
        <v>3251</v>
      </c>
    </row>
    <row r="739" spans="1:52" x14ac:dyDescent="0.25">
      <c r="A739" t="s">
        <v>772</v>
      </c>
      <c r="B739" t="s">
        <v>559</v>
      </c>
      <c r="C739" t="s">
        <v>936</v>
      </c>
      <c r="D739" t="s">
        <v>24</v>
      </c>
      <c r="E739" t="s">
        <v>937</v>
      </c>
      <c r="F739" t="s">
        <v>26</v>
      </c>
      <c r="G739" t="str">
        <f>HYPERLINK("https://vk.com/wall-197114981_31?reply=1104&amp;thread=294")</f>
        <v>https://vk.com/wall-197114981_31?reply=1104&amp;thread=294</v>
      </c>
      <c r="H739" t="s">
        <v>885</v>
      </c>
      <c r="I739" t="s">
        <v>27</v>
      </c>
      <c r="J739" t="str">
        <f>HYPERLINK("http://vk.com/club197114981")</f>
        <v>http://vk.com/club197114981</v>
      </c>
      <c r="K739">
        <v>38</v>
      </c>
      <c r="L739" t="s">
        <v>28</v>
      </c>
      <c r="N739" t="s">
        <v>16</v>
      </c>
      <c r="O739" t="s">
        <v>27</v>
      </c>
      <c r="P739" t="str">
        <f>HYPERLINK("http://vk.com/club197114981")</f>
        <v>http://vk.com/club197114981</v>
      </c>
      <c r="Q739">
        <v>38</v>
      </c>
      <c r="R739" t="s">
        <v>17</v>
      </c>
      <c r="AJ739" t="s">
        <v>10</v>
      </c>
      <c r="AK739" t="s">
        <v>21</v>
      </c>
      <c r="AL739" t="s">
        <v>3237</v>
      </c>
      <c r="AT739" t="s">
        <v>3245</v>
      </c>
      <c r="AY739" t="s">
        <v>3250</v>
      </c>
      <c r="AZ739" t="s">
        <v>3251</v>
      </c>
    </row>
    <row r="740" spans="1:52" x14ac:dyDescent="0.25">
      <c r="A740" t="s">
        <v>2767</v>
      </c>
      <c r="B740" t="s">
        <v>2786</v>
      </c>
      <c r="C740" t="s">
        <v>968</v>
      </c>
      <c r="D740" t="s">
        <v>2724</v>
      </c>
      <c r="E740" t="s">
        <v>2787</v>
      </c>
      <c r="F740" t="s">
        <v>26</v>
      </c>
      <c r="G740" t="str">
        <f>HYPERLINK("https://vk.com/wall-25612112_2607652?reply=2607849")</f>
        <v>https://vk.com/wall-25612112_2607652?reply=2607849</v>
      </c>
      <c r="H740" t="s">
        <v>889</v>
      </c>
      <c r="I740" t="s">
        <v>2788</v>
      </c>
      <c r="J740" t="str">
        <f>HYPERLINK("http://vk.com/id61614254")</f>
        <v>http://vk.com/id61614254</v>
      </c>
      <c r="K740">
        <v>174</v>
      </c>
      <c r="L740" t="s">
        <v>80</v>
      </c>
      <c r="M740">
        <v>30</v>
      </c>
      <c r="N740" t="s">
        <v>16</v>
      </c>
      <c r="O740" t="s">
        <v>2727</v>
      </c>
      <c r="P740" t="str">
        <f>HYPERLINK("http://vk.com/club25612112")</f>
        <v>http://vk.com/club25612112</v>
      </c>
      <c r="Q740">
        <v>109065</v>
      </c>
      <c r="R740" t="s">
        <v>17</v>
      </c>
      <c r="S740" t="s">
        <v>18</v>
      </c>
      <c r="T740" t="s">
        <v>1015</v>
      </c>
      <c r="U740" t="s">
        <v>1016</v>
      </c>
      <c r="AJ740" t="s">
        <v>10</v>
      </c>
      <c r="AK740" t="s">
        <v>21</v>
      </c>
      <c r="AL740" t="s">
        <v>3237</v>
      </c>
      <c r="AY740" t="s">
        <v>3250</v>
      </c>
      <c r="AZ740" t="s">
        <v>3251</v>
      </c>
    </row>
    <row r="741" spans="1:52" x14ac:dyDescent="0.25">
      <c r="A741" t="s">
        <v>2767</v>
      </c>
      <c r="B741" t="s">
        <v>42</v>
      </c>
      <c r="C741" t="s">
        <v>968</v>
      </c>
      <c r="D741" t="s">
        <v>10</v>
      </c>
      <c r="E741" t="s">
        <v>2800</v>
      </c>
      <c r="F741" t="s">
        <v>45</v>
      </c>
      <c r="G741" t="str">
        <f>HYPERLINK("https://www.facebook.com/mriexpert/photos/a.902990326434112/3181380785261710/?type=3")</f>
        <v>https://www.facebook.com/mriexpert/photos/a.902990326434112/3181380785261710/?type=3</v>
      </c>
      <c r="H741" t="s">
        <v>885</v>
      </c>
      <c r="I741" t="s">
        <v>46</v>
      </c>
      <c r="J741" t="str">
        <f>HYPERLINK("https://www.facebook.com/902980129768465")</f>
        <v>https://www.facebook.com/902980129768465</v>
      </c>
      <c r="K741">
        <v>1509</v>
      </c>
      <c r="L741" t="s">
        <v>28</v>
      </c>
      <c r="N741" t="s">
        <v>179</v>
      </c>
      <c r="O741" t="s">
        <v>46</v>
      </c>
      <c r="P741" t="str">
        <f>HYPERLINK("https://www.facebook.com/902980129768465")</f>
        <v>https://www.facebook.com/902980129768465</v>
      </c>
      <c r="Q741">
        <v>1509</v>
      </c>
      <c r="R741" t="s">
        <v>17</v>
      </c>
      <c r="W741">
        <v>4</v>
      </c>
      <c r="X741">
        <v>4</v>
      </c>
      <c r="Y741">
        <v>0</v>
      </c>
      <c r="Z741">
        <v>0</v>
      </c>
      <c r="AA741">
        <v>0</v>
      </c>
      <c r="AB741">
        <v>0</v>
      </c>
      <c r="AC741">
        <v>0</v>
      </c>
      <c r="AE741">
        <v>0</v>
      </c>
      <c r="AI741" t="str">
        <f>HYPERLINK("https://scontent-hel2-1.xx.fbcdn.net/v/t1.0-9/s720x720/108794303_3181380791928376_1395713024120903677_o.jpg?_nc_cat=105&amp;_nc_sid=9267fe&amp;_nc_ohc=_VkVe5uDWkwAX-0jCes&amp;_nc_ht=scontent-hel2-1.xx&amp;_nc_tp=7&amp;oh=498db330387587d749ac16dc1d3fd8fe&amp;oe=5F306D8A")</f>
        <v>https://scontent-hel2-1.xx.fbcdn.net/v/t1.0-9/s720x720/108794303_3181380791928376_1395713024120903677_o.jpg?_nc_cat=105&amp;_nc_sid=9267fe&amp;_nc_ohc=_VkVe5uDWkwAX-0jCes&amp;_nc_ht=scontent-hel2-1.xx&amp;_nc_tp=7&amp;oh=498db330387587d749ac16dc1d3fd8fe&amp;oe=5F306D8A</v>
      </c>
      <c r="AJ741" t="s">
        <v>10</v>
      </c>
      <c r="AK741" t="s">
        <v>21</v>
      </c>
      <c r="AL741" t="s">
        <v>3237</v>
      </c>
      <c r="AV741" t="s">
        <v>3247</v>
      </c>
      <c r="AY741" t="s">
        <v>3250</v>
      </c>
      <c r="AZ741" t="s">
        <v>3251</v>
      </c>
    </row>
    <row r="742" spans="1:52" x14ac:dyDescent="0.25">
      <c r="A742" t="s">
        <v>2767</v>
      </c>
      <c r="B742" t="s">
        <v>637</v>
      </c>
      <c r="C742" t="s">
        <v>968</v>
      </c>
      <c r="D742" t="s">
        <v>10</v>
      </c>
      <c r="E742" t="s">
        <v>2805</v>
      </c>
      <c r="F742" t="s">
        <v>45</v>
      </c>
      <c r="G742" t="str">
        <f>HYPERLINK("https://vk.com/wall-48669646_10161")</f>
        <v>https://vk.com/wall-48669646_10161</v>
      </c>
      <c r="H742" t="s">
        <v>885</v>
      </c>
      <c r="I742" t="s">
        <v>46</v>
      </c>
      <c r="J742" t="str">
        <f>HYPERLINK("http://vk.com/club48669646")</f>
        <v>http://vk.com/club48669646</v>
      </c>
      <c r="K742">
        <v>5795</v>
      </c>
      <c r="L742" t="s">
        <v>28</v>
      </c>
      <c r="N742" t="s">
        <v>16</v>
      </c>
      <c r="O742" t="s">
        <v>46</v>
      </c>
      <c r="P742" t="str">
        <f>HYPERLINK("http://vk.com/club48669646")</f>
        <v>http://vk.com/club48669646</v>
      </c>
      <c r="Q742">
        <v>5795</v>
      </c>
      <c r="R742" t="s">
        <v>17</v>
      </c>
      <c r="S742" t="s">
        <v>18</v>
      </c>
      <c r="W742">
        <v>2</v>
      </c>
      <c r="X742">
        <v>2</v>
      </c>
      <c r="AE742">
        <v>0</v>
      </c>
      <c r="AF742">
        <v>0</v>
      </c>
      <c r="AG742">
        <v>341</v>
      </c>
      <c r="AI742" t="str">
        <f>HYPERLINK("https://sun1-99.userapi.com/ZgmAWUq5hFEO0yWrb21GbvrYaDyb-TCiqeQzig/aWmJHz1HpNo.jpg")</f>
        <v>https://sun1-99.userapi.com/ZgmAWUq5hFEO0yWrb21GbvrYaDyb-TCiqeQzig/aWmJHz1HpNo.jpg</v>
      </c>
      <c r="AJ742" t="s">
        <v>10</v>
      </c>
      <c r="AK742" t="s">
        <v>21</v>
      </c>
      <c r="AL742" t="s">
        <v>3237</v>
      </c>
      <c r="AT742" t="s">
        <v>3245</v>
      </c>
      <c r="AW742" t="s">
        <v>3248</v>
      </c>
      <c r="AY742" t="s">
        <v>3250</v>
      </c>
      <c r="AZ742" t="s">
        <v>3251</v>
      </c>
    </row>
    <row r="743" spans="1:52" x14ac:dyDescent="0.25">
      <c r="A743" t="s">
        <v>7</v>
      </c>
      <c r="B743" t="s">
        <v>175</v>
      </c>
      <c r="C743" t="s">
        <v>176</v>
      </c>
      <c r="D743" t="s">
        <v>10</v>
      </c>
      <c r="E743" t="s">
        <v>177</v>
      </c>
      <c r="F743" t="s">
        <v>45</v>
      </c>
      <c r="G743" t="str">
        <f>HYPERLINK("https://www.facebook.com/harsad.harsad.391/posts/1152867235081364")</f>
        <v>https://www.facebook.com/harsad.harsad.391/posts/1152867235081364</v>
      </c>
      <c r="H743" t="s">
        <v>13</v>
      </c>
      <c r="I743" t="s">
        <v>178</v>
      </c>
      <c r="J743" t="str">
        <f>HYPERLINK("https://www.facebook.com/100010742951600")</f>
        <v>https://www.facebook.com/100010742951600</v>
      </c>
      <c r="K743">
        <v>231</v>
      </c>
      <c r="L743" t="s">
        <v>15</v>
      </c>
      <c r="N743" t="s">
        <v>179</v>
      </c>
      <c r="O743" t="s">
        <v>178</v>
      </c>
      <c r="P743" t="str">
        <f>HYPERLINK("https://www.facebook.com/100010742951600")</f>
        <v>https://www.facebook.com/100010742951600</v>
      </c>
      <c r="Q743">
        <v>231</v>
      </c>
      <c r="R743" t="s">
        <v>17</v>
      </c>
      <c r="S743" t="s">
        <v>180</v>
      </c>
      <c r="T743" t="s">
        <v>181</v>
      </c>
      <c r="U743" t="s">
        <v>182</v>
      </c>
      <c r="W743">
        <v>4</v>
      </c>
      <c r="X743">
        <v>4</v>
      </c>
      <c r="AE743">
        <v>0</v>
      </c>
      <c r="AF743">
        <v>0</v>
      </c>
      <c r="AI743" t="str">
        <f>HYPERLINK("https://scontent-hel2-1.xx.fbcdn.net/v/t1.0-9/67933063_412219702978647_4368851853161529344_n.jpg?_nc_cat=109&amp;_nc_sid=8bfeb9&amp;_nc_ohc=SDunnKma5bEAX91MQvp&amp;_nc_ht=scontent-hel2-1.xx&amp;oh=9f71b9d6149ff1be12aa4c75349792a5&amp;oe=5F54DF88")</f>
        <v>https://scontent-hel2-1.xx.fbcdn.net/v/t1.0-9/67933063_412219702978647_4368851853161529344_n.jpg?_nc_cat=109&amp;_nc_sid=8bfeb9&amp;_nc_ohc=SDunnKma5bEAX91MQvp&amp;_nc_ht=scontent-hel2-1.xx&amp;oh=9f71b9d6149ff1be12aa4c75349792a5&amp;oe=5F54DF88</v>
      </c>
      <c r="AJ743" t="s">
        <v>10</v>
      </c>
      <c r="AK743" t="s">
        <v>21</v>
      </c>
      <c r="AU743" t="s">
        <v>3246</v>
      </c>
      <c r="AY743" t="s">
        <v>3250</v>
      </c>
      <c r="AZ743" t="s">
        <v>3251</v>
      </c>
    </row>
    <row r="744" spans="1:52" x14ac:dyDescent="0.25">
      <c r="A744" t="s">
        <v>7</v>
      </c>
      <c r="B744" t="s">
        <v>240</v>
      </c>
      <c r="C744" t="s">
        <v>241</v>
      </c>
      <c r="D744" t="s">
        <v>24</v>
      </c>
      <c r="E744" t="s">
        <v>242</v>
      </c>
      <c r="F744" t="s">
        <v>26</v>
      </c>
      <c r="G744" t="str">
        <f>HYPERLINK("https://vk.com/wall-197114981_31?reply=1354&amp;thread=1293")</f>
        <v>https://vk.com/wall-197114981_31?reply=1354&amp;thread=1293</v>
      </c>
      <c r="H744" t="s">
        <v>13</v>
      </c>
      <c r="I744" t="s">
        <v>27</v>
      </c>
      <c r="J744" t="str">
        <f>HYPERLINK("http://vk.com/club197114981")</f>
        <v>http://vk.com/club197114981</v>
      </c>
      <c r="K744">
        <v>38</v>
      </c>
      <c r="L744" t="s">
        <v>28</v>
      </c>
      <c r="N744" t="s">
        <v>16</v>
      </c>
      <c r="O744" t="s">
        <v>27</v>
      </c>
      <c r="P744" t="str">
        <f>HYPERLINK("http://vk.com/club197114981")</f>
        <v>http://vk.com/club197114981</v>
      </c>
      <c r="Q744">
        <v>38</v>
      </c>
      <c r="R744" t="s">
        <v>17</v>
      </c>
      <c r="AJ744" t="s">
        <v>10</v>
      </c>
      <c r="AK744" t="s">
        <v>21</v>
      </c>
      <c r="AV744" t="s">
        <v>3247</v>
      </c>
      <c r="AW744" t="s">
        <v>3248</v>
      </c>
      <c r="AX744" t="s">
        <v>3249</v>
      </c>
      <c r="AY744" t="s">
        <v>3250</v>
      </c>
      <c r="AZ744" t="s">
        <v>3251</v>
      </c>
    </row>
    <row r="745" spans="1:52" x14ac:dyDescent="0.25">
      <c r="A745" t="s">
        <v>414</v>
      </c>
      <c r="B745" t="s">
        <v>429</v>
      </c>
      <c r="C745" t="s">
        <v>430</v>
      </c>
      <c r="D745" t="s">
        <v>24</v>
      </c>
      <c r="E745" t="s">
        <v>428</v>
      </c>
      <c r="F745" t="s">
        <v>26</v>
      </c>
      <c r="G745" t="str">
        <f>HYPERLINK("https://vk.com/wall-197114981_31?reply=1276")</f>
        <v>https://vk.com/wall-197114981_31?reply=1276</v>
      </c>
      <c r="H745" t="s">
        <v>13</v>
      </c>
      <c r="I745" t="s">
        <v>353</v>
      </c>
      <c r="J745" t="str">
        <f>HYPERLINK("http://vk.com/id5881034")</f>
        <v>http://vk.com/id5881034</v>
      </c>
      <c r="K745">
        <v>1797</v>
      </c>
      <c r="L745" t="s">
        <v>80</v>
      </c>
      <c r="N745" t="s">
        <v>16</v>
      </c>
      <c r="O745" t="s">
        <v>27</v>
      </c>
      <c r="P745" t="str">
        <f>HYPERLINK("http://vk.com/club197114981")</f>
        <v>http://vk.com/club197114981</v>
      </c>
      <c r="Q745">
        <v>38</v>
      </c>
      <c r="R745" t="s">
        <v>17</v>
      </c>
      <c r="S745" t="s">
        <v>18</v>
      </c>
      <c r="T745" t="s">
        <v>354</v>
      </c>
      <c r="U745" t="s">
        <v>354</v>
      </c>
      <c r="AJ745" t="s">
        <v>10</v>
      </c>
      <c r="AK745" t="s">
        <v>21</v>
      </c>
      <c r="AY745" t="s">
        <v>3250</v>
      </c>
      <c r="AZ745" t="s">
        <v>3251</v>
      </c>
    </row>
    <row r="746" spans="1:52" x14ac:dyDescent="0.25">
      <c r="A746" t="s">
        <v>1597</v>
      </c>
      <c r="B746" t="s">
        <v>1665</v>
      </c>
      <c r="C746" t="s">
        <v>984</v>
      </c>
      <c r="D746" t="s">
        <v>10</v>
      </c>
      <c r="E746" t="s">
        <v>1598</v>
      </c>
      <c r="F746" t="s">
        <v>12</v>
      </c>
      <c r="G746" t="str">
        <f>HYPERLINK("https://vk.com/wall153184706_1589")</f>
        <v>https://vk.com/wall153184706_1589</v>
      </c>
      <c r="H746" t="s">
        <v>885</v>
      </c>
      <c r="I746" t="s">
        <v>1666</v>
      </c>
      <c r="J746" t="str">
        <f>HYPERLINK("http://vk.com/id153184706")</f>
        <v>http://vk.com/id153184706</v>
      </c>
      <c r="K746">
        <v>948</v>
      </c>
      <c r="L746" t="s">
        <v>80</v>
      </c>
      <c r="N746" t="s">
        <v>16</v>
      </c>
      <c r="O746" t="s">
        <v>1666</v>
      </c>
      <c r="P746" t="str">
        <f>HYPERLINK("http://vk.com/id153184706")</f>
        <v>http://vk.com/id153184706</v>
      </c>
      <c r="Q746">
        <v>948</v>
      </c>
      <c r="R746" t="s">
        <v>17</v>
      </c>
      <c r="S746" t="s">
        <v>18</v>
      </c>
      <c r="T746" t="s">
        <v>231</v>
      </c>
      <c r="U746" t="s">
        <v>232</v>
      </c>
      <c r="AI746" t="str">
        <f>HYPERLINK("https://sun1-87.userapi.com/c857624/v857624545/22e882/Vf5OaH3C2oc.jpg")</f>
        <v>https://sun1-87.userapi.com/c857624/v857624545/22e882/Vf5OaH3C2oc.jpg</v>
      </c>
      <c r="AJ746" t="s">
        <v>10</v>
      </c>
      <c r="AK746" t="s">
        <v>21</v>
      </c>
      <c r="AM746" t="s">
        <v>3238</v>
      </c>
    </row>
    <row r="747" spans="1:52" x14ac:dyDescent="0.25">
      <c r="A747" t="s">
        <v>2122</v>
      </c>
      <c r="B747" t="s">
        <v>277</v>
      </c>
      <c r="C747" t="s">
        <v>968</v>
      </c>
      <c r="D747" t="s">
        <v>2179</v>
      </c>
      <c r="E747" t="s">
        <v>2188</v>
      </c>
      <c r="F747" t="s">
        <v>45</v>
      </c>
      <c r="G747" t="str">
        <f>HYPERLINK("http://www.sbwire.com/press-releases/expert-cancer-homoeo-clinic-offering-homoeopathic-treatment-for-cancer-and-kidney-diseases-1297978.htm")</f>
        <v>http://www.sbwire.com/press-releases/expert-cancer-homoeo-clinic-offering-homoeopathic-treatment-for-cancer-and-kidney-diseases-1297978.htm</v>
      </c>
      <c r="H747" t="s">
        <v>885</v>
      </c>
      <c r="I747" t="s">
        <v>2186</v>
      </c>
      <c r="J747" t="str">
        <f>HYPERLINK("http://sbwire.com")</f>
        <v>http://sbwire.com</v>
      </c>
      <c r="N747" t="s">
        <v>2189</v>
      </c>
      <c r="R747" t="s">
        <v>239</v>
      </c>
      <c r="S747" t="s">
        <v>425</v>
      </c>
      <c r="AJ747" t="s">
        <v>10</v>
      </c>
      <c r="AK747" t="s">
        <v>21</v>
      </c>
      <c r="AY747" t="s">
        <v>3250</v>
      </c>
      <c r="AZ747" t="s">
        <v>3251</v>
      </c>
    </row>
    <row r="748" spans="1:52" x14ac:dyDescent="0.25">
      <c r="A748" t="s">
        <v>2380</v>
      </c>
      <c r="B748" t="s">
        <v>2396</v>
      </c>
      <c r="C748" t="s">
        <v>968</v>
      </c>
      <c r="D748" t="s">
        <v>2397</v>
      </c>
      <c r="E748" t="s">
        <v>2398</v>
      </c>
      <c r="F748" t="s">
        <v>26</v>
      </c>
      <c r="G748" t="str">
        <f>HYPERLINK("https://vk.com/wall-50738246_2956060?reply=2956102")</f>
        <v>https://vk.com/wall-50738246_2956060?reply=2956102</v>
      </c>
      <c r="H748" t="s">
        <v>889</v>
      </c>
      <c r="I748" t="s">
        <v>2399</v>
      </c>
      <c r="J748" t="str">
        <f>HYPERLINK("http://vk.com/id21188344")</f>
        <v>http://vk.com/id21188344</v>
      </c>
      <c r="K748">
        <v>326</v>
      </c>
      <c r="L748" t="s">
        <v>80</v>
      </c>
      <c r="N748" t="s">
        <v>16</v>
      </c>
      <c r="O748" t="s">
        <v>2400</v>
      </c>
      <c r="P748" t="str">
        <f>HYPERLINK("http://vk.com/club50738246")</f>
        <v>http://vk.com/club50738246</v>
      </c>
      <c r="Q748">
        <v>158454</v>
      </c>
      <c r="R748" t="s">
        <v>17</v>
      </c>
      <c r="S748" t="s">
        <v>18</v>
      </c>
      <c r="T748" t="s">
        <v>2401</v>
      </c>
      <c r="U748" t="s">
        <v>2402</v>
      </c>
      <c r="AJ748" t="s">
        <v>10</v>
      </c>
      <c r="AK748" t="s">
        <v>21</v>
      </c>
      <c r="AY748" t="s">
        <v>3250</v>
      </c>
      <c r="AZ748" t="s">
        <v>3251</v>
      </c>
    </row>
    <row r="749" spans="1:52" x14ac:dyDescent="0.25">
      <c r="A749" t="s">
        <v>2380</v>
      </c>
      <c r="B749" t="s">
        <v>2409</v>
      </c>
      <c r="C749" t="s">
        <v>968</v>
      </c>
      <c r="D749" t="s">
        <v>1341</v>
      </c>
      <c r="E749" t="s">
        <v>2410</v>
      </c>
      <c r="F749" t="s">
        <v>26</v>
      </c>
      <c r="G749" t="str">
        <f>HYPERLINK("https://www.youtube.com/watch?v=bqdhre76Jdo&amp;lc=UgyEZxVoOdXo_KVg-s14AaABAg")</f>
        <v>https://www.youtube.com/watch?v=bqdhre76Jdo&amp;lc=UgyEZxVoOdXo_KVg-s14AaABAg</v>
      </c>
      <c r="H749" t="s">
        <v>1057</v>
      </c>
      <c r="I749" t="s">
        <v>2411</v>
      </c>
      <c r="J749" t="str">
        <f>HYPERLINK("https://www.youtube.com/channel/UC5EU6VJIwHunGrdQ4KkTVNw")</f>
        <v>https://www.youtube.com/channel/UC5EU6VJIwHunGrdQ4KkTVNw</v>
      </c>
      <c r="K749">
        <v>1</v>
      </c>
      <c r="N749" t="s">
        <v>162</v>
      </c>
      <c r="O749" t="s">
        <v>424</v>
      </c>
      <c r="P749" t="str">
        <f>HYPERLINK("https://www.youtube.com/channel/UC8fQzKHIhSoZeSq3bwQx4mw")</f>
        <v>https://www.youtube.com/channel/UC8fQzKHIhSoZeSq3bwQx4mw</v>
      </c>
      <c r="Q749">
        <v>517000</v>
      </c>
      <c r="R749" t="s">
        <v>17</v>
      </c>
      <c r="S749" t="s">
        <v>425</v>
      </c>
      <c r="W749">
        <v>0</v>
      </c>
      <c r="X749">
        <v>0</v>
      </c>
      <c r="AE749">
        <v>0</v>
      </c>
      <c r="AJ749" t="s">
        <v>10</v>
      </c>
      <c r="AK749" t="s">
        <v>21</v>
      </c>
      <c r="AY749" t="s">
        <v>3250</v>
      </c>
      <c r="AZ749" t="s">
        <v>3251</v>
      </c>
    </row>
    <row r="750" spans="1:52" x14ac:dyDescent="0.25">
      <c r="A750" t="s">
        <v>772</v>
      </c>
      <c r="B750" t="s">
        <v>899</v>
      </c>
      <c r="C750" t="s">
        <v>900</v>
      </c>
      <c r="D750" t="s">
        <v>24</v>
      </c>
      <c r="E750" t="s">
        <v>902</v>
      </c>
      <c r="F750" t="s">
        <v>26</v>
      </c>
      <c r="G750" t="str">
        <f>HYPERLINK("https://vk.com/wall-197114981_31?reply=1119&amp;thread=619")</f>
        <v>https://vk.com/wall-197114981_31?reply=1119&amp;thread=619</v>
      </c>
      <c r="H750" t="s">
        <v>885</v>
      </c>
      <c r="I750" t="s">
        <v>903</v>
      </c>
      <c r="J750" t="str">
        <f>HYPERLINK("http://vk.com/id201697071")</f>
        <v>http://vk.com/id201697071</v>
      </c>
      <c r="K750">
        <v>353</v>
      </c>
      <c r="L750" t="s">
        <v>15</v>
      </c>
      <c r="N750" t="s">
        <v>16</v>
      </c>
      <c r="O750" t="s">
        <v>27</v>
      </c>
      <c r="P750" t="str">
        <f>HYPERLINK("http://vk.com/club197114981")</f>
        <v>http://vk.com/club197114981</v>
      </c>
      <c r="Q750">
        <v>38</v>
      </c>
      <c r="R750" t="s">
        <v>17</v>
      </c>
      <c r="S750" t="s">
        <v>18</v>
      </c>
      <c r="T750" t="s">
        <v>231</v>
      </c>
      <c r="U750" t="s">
        <v>232</v>
      </c>
      <c r="AJ750" t="s">
        <v>10</v>
      </c>
      <c r="AK750" t="s">
        <v>21</v>
      </c>
      <c r="AL750" t="s">
        <v>3237</v>
      </c>
      <c r="AY750" t="s">
        <v>3250</v>
      </c>
      <c r="AZ750" t="s">
        <v>3251</v>
      </c>
    </row>
    <row r="751" spans="1:52" x14ac:dyDescent="0.25">
      <c r="A751" t="s">
        <v>772</v>
      </c>
      <c r="B751" t="s">
        <v>939</v>
      </c>
      <c r="C751" t="s">
        <v>940</v>
      </c>
      <c r="D751" t="s">
        <v>24</v>
      </c>
      <c r="E751" t="s">
        <v>276</v>
      </c>
      <c r="F751" t="s">
        <v>26</v>
      </c>
      <c r="G751" t="str">
        <f>HYPERLINK("https://vk.com/wall-197114981_31?reply=1102&amp;thread=294")</f>
        <v>https://vk.com/wall-197114981_31?reply=1102&amp;thread=294</v>
      </c>
      <c r="H751" t="s">
        <v>889</v>
      </c>
      <c r="I751" t="s">
        <v>27</v>
      </c>
      <c r="J751" t="str">
        <f>HYPERLINK("http://vk.com/club197114981")</f>
        <v>http://vk.com/club197114981</v>
      </c>
      <c r="K751">
        <v>38</v>
      </c>
      <c r="L751" t="s">
        <v>28</v>
      </c>
      <c r="N751" t="s">
        <v>16</v>
      </c>
      <c r="O751" t="s">
        <v>27</v>
      </c>
      <c r="P751" t="str">
        <f>HYPERLINK("http://vk.com/club197114981")</f>
        <v>http://vk.com/club197114981</v>
      </c>
      <c r="Q751">
        <v>38</v>
      </c>
      <c r="R751" t="s">
        <v>17</v>
      </c>
      <c r="AJ751" t="s">
        <v>10</v>
      </c>
      <c r="AK751" t="s">
        <v>21</v>
      </c>
      <c r="AY751" t="s">
        <v>3250</v>
      </c>
      <c r="AZ751" t="s">
        <v>3251</v>
      </c>
    </row>
    <row r="752" spans="1:52" x14ac:dyDescent="0.25">
      <c r="A752" t="s">
        <v>1158</v>
      </c>
      <c r="B752" t="s">
        <v>1192</v>
      </c>
      <c r="C752" t="s">
        <v>984</v>
      </c>
      <c r="D752" t="s">
        <v>10</v>
      </c>
      <c r="E752" t="s">
        <v>1193</v>
      </c>
      <c r="F752" t="s">
        <v>45</v>
      </c>
      <c r="G752" t="str">
        <f>HYPERLINK("https://vk.com/wall-197114981_29")</f>
        <v>https://vk.com/wall-197114981_29</v>
      </c>
      <c r="H752" t="s">
        <v>885</v>
      </c>
      <c r="I752" t="s">
        <v>27</v>
      </c>
      <c r="J752" t="str">
        <f>HYPERLINK("http://vk.com/club197114981")</f>
        <v>http://vk.com/club197114981</v>
      </c>
      <c r="K752">
        <v>38</v>
      </c>
      <c r="L752" t="s">
        <v>28</v>
      </c>
      <c r="N752" t="s">
        <v>16</v>
      </c>
      <c r="O752" t="s">
        <v>27</v>
      </c>
      <c r="P752" t="str">
        <f>HYPERLINK("http://vk.com/club197114981")</f>
        <v>http://vk.com/club197114981</v>
      </c>
      <c r="Q752">
        <v>38</v>
      </c>
      <c r="R752" t="s">
        <v>17</v>
      </c>
      <c r="W752">
        <v>2</v>
      </c>
      <c r="X752">
        <v>2</v>
      </c>
      <c r="AE752">
        <v>0</v>
      </c>
      <c r="AF752">
        <v>0</v>
      </c>
      <c r="AG752">
        <v>97</v>
      </c>
      <c r="AI752" t="str">
        <f>HYPERLINK("https://sun1-85.userapi.com/pomstGnETO91KtDGalEpN9oHPw_3167Jj1Ls5g/erR8wBKuTUI.jpg")</f>
        <v>https://sun1-85.userapi.com/pomstGnETO91KtDGalEpN9oHPw_3167Jj1Ls5g/erR8wBKuTUI.jpg</v>
      </c>
      <c r="AJ752" t="s">
        <v>10</v>
      </c>
      <c r="AK752" t="s">
        <v>21</v>
      </c>
      <c r="AY752" t="s">
        <v>3250</v>
      </c>
      <c r="AZ752" t="s">
        <v>3251</v>
      </c>
    </row>
    <row r="753" spans="1:52" x14ac:dyDescent="0.25">
      <c r="A753" t="s">
        <v>1277</v>
      </c>
      <c r="B753" t="s">
        <v>42</v>
      </c>
      <c r="C753" t="s">
        <v>984</v>
      </c>
      <c r="D753" t="s">
        <v>10</v>
      </c>
      <c r="E753" t="s">
        <v>1317</v>
      </c>
      <c r="F753" t="s">
        <v>12</v>
      </c>
      <c r="G753" t="str">
        <f>HYPERLINK("https://www.facebook.com/568390943273818/posts/3036393926473495")</f>
        <v>https://www.facebook.com/568390943273818/posts/3036393926473495</v>
      </c>
      <c r="H753" t="s">
        <v>885</v>
      </c>
      <c r="I753" t="s">
        <v>280</v>
      </c>
      <c r="J753" t="str">
        <f>HYPERLINK("https://www.facebook.com/568390943273818")</f>
        <v>https://www.facebook.com/568390943273818</v>
      </c>
      <c r="K753">
        <v>18918</v>
      </c>
      <c r="L753" t="s">
        <v>28</v>
      </c>
      <c r="N753" t="s">
        <v>179</v>
      </c>
      <c r="O753" t="s">
        <v>280</v>
      </c>
      <c r="P753" t="str">
        <f>HYPERLINK("https://www.facebook.com/568390943273818")</f>
        <v>https://www.facebook.com/568390943273818</v>
      </c>
      <c r="Q753">
        <v>18918</v>
      </c>
      <c r="R753" t="s">
        <v>17</v>
      </c>
      <c r="S753" t="s">
        <v>281</v>
      </c>
      <c r="T753" t="s">
        <v>282</v>
      </c>
      <c r="U753" t="s">
        <v>282</v>
      </c>
      <c r="AI753" t="str">
        <f>HYPERLINK("https://scontent-lga3-1.xx.fbcdn.net/v/t1.0-9/s720x720/117168079_3036383276474560_7526410314890011367_n.jpg?_nc_cat=105&amp;_nc_sid=8024bb&amp;_nc_ohc=BMBoQxqyLoQAX89vKNX&amp;_nc_ht=scontent-lga3-1.xx&amp;_nc_tp=7&amp;oh=34e94e1baa988810a6ae5fb1e59d68ed&amp;oe=5F4C83C9")</f>
        <v>https://scontent-lga3-1.xx.fbcdn.net/v/t1.0-9/s720x720/117168079_3036383276474560_7526410314890011367_n.jpg?_nc_cat=105&amp;_nc_sid=8024bb&amp;_nc_ohc=BMBoQxqyLoQAX89vKNX&amp;_nc_ht=scontent-lga3-1.xx&amp;_nc_tp=7&amp;oh=34e94e1baa988810a6ae5fb1e59d68ed&amp;oe=5F4C83C9</v>
      </c>
      <c r="AJ753" t="s">
        <v>10</v>
      </c>
      <c r="AK753" t="s">
        <v>21</v>
      </c>
      <c r="AM753" t="s">
        <v>3238</v>
      </c>
      <c r="AT753" t="s">
        <v>3245</v>
      </c>
      <c r="AU753" t="s">
        <v>3246</v>
      </c>
    </row>
    <row r="754" spans="1:52" x14ac:dyDescent="0.25">
      <c r="A754" t="s">
        <v>1518</v>
      </c>
      <c r="B754" t="s">
        <v>1554</v>
      </c>
      <c r="C754" t="s">
        <v>984</v>
      </c>
      <c r="D754" t="s">
        <v>421</v>
      </c>
      <c r="E754" t="s">
        <v>1555</v>
      </c>
      <c r="F754" t="s">
        <v>26</v>
      </c>
      <c r="G754" t="str">
        <f>HYPERLINK("https://www.youtube.com/watch?v=gaka1vqYFNs&amp;lc=UgyMIHGl-W9Rw2185qF4AaABAg")</f>
        <v>https://www.youtube.com/watch?v=gaka1vqYFNs&amp;lc=UgyMIHGl-W9Rw2185qF4AaABAg</v>
      </c>
      <c r="H754" t="s">
        <v>1057</v>
      </c>
      <c r="I754" t="s">
        <v>1556</v>
      </c>
      <c r="J754" t="str">
        <f>HYPERLINK("https://www.youtube.com/channel/UCA6Qs-xCIc0PrSoRG6G0d_Q")</f>
        <v>https://www.youtube.com/channel/UCA6Qs-xCIc0PrSoRG6G0d_Q</v>
      </c>
      <c r="K754">
        <v>3</v>
      </c>
      <c r="N754" t="s">
        <v>162</v>
      </c>
      <c r="O754" t="s">
        <v>424</v>
      </c>
      <c r="P754" t="str">
        <f>HYPERLINK("https://www.youtube.com/channel/UC8fQzKHIhSoZeSq3bwQx4mw")</f>
        <v>https://www.youtube.com/channel/UC8fQzKHIhSoZeSq3bwQx4mw</v>
      </c>
      <c r="Q754">
        <v>517000</v>
      </c>
      <c r="R754" t="s">
        <v>17</v>
      </c>
      <c r="S754" t="s">
        <v>425</v>
      </c>
      <c r="AJ754" t="s">
        <v>10</v>
      </c>
      <c r="AK754" t="s">
        <v>21</v>
      </c>
      <c r="AM754" t="s">
        <v>3238</v>
      </c>
      <c r="AU754" t="s">
        <v>3246</v>
      </c>
    </row>
    <row r="755" spans="1:52" x14ac:dyDescent="0.25">
      <c r="A755" t="s">
        <v>1723</v>
      </c>
      <c r="B755" t="s">
        <v>1727</v>
      </c>
      <c r="C755" t="s">
        <v>984</v>
      </c>
      <c r="D755" t="s">
        <v>1728</v>
      </c>
      <c r="E755" t="s">
        <v>1729</v>
      </c>
      <c r="F755" t="s">
        <v>26</v>
      </c>
      <c r="G755" t="str">
        <f>HYPERLINK("https://www.breitbart.com/tech/2020/07/28/twitter-censors-videos-of-doctors-capitol-hill-coronavirus-press-conference-locks-breitbart-account/#comment-5009417433")</f>
        <v>https://www.breitbart.com/tech/2020/07/28/twitter-censors-videos-of-doctors-capitol-hill-coronavirus-press-conference-locks-breitbart-account/#comment-5009417433</v>
      </c>
      <c r="H755" t="s">
        <v>885</v>
      </c>
      <c r="I755" t="s">
        <v>1730</v>
      </c>
      <c r="J755" t="str">
        <f>HYPERLINK("https://disqus.com/by/josemaize/")</f>
        <v>https://disqus.com/by/josemaize/</v>
      </c>
      <c r="K755">
        <v>0</v>
      </c>
      <c r="L755" t="s">
        <v>15</v>
      </c>
      <c r="N755" t="s">
        <v>1731</v>
      </c>
      <c r="O755" t="s">
        <v>1732</v>
      </c>
      <c r="P755" t="str">
        <f>HYPERLINK("https://disqus.com/home/forum/breitbartproduction/")</f>
        <v>https://disqus.com/home/forum/breitbartproduction/</v>
      </c>
      <c r="R755" t="s">
        <v>966</v>
      </c>
      <c r="AJ755" t="s">
        <v>10</v>
      </c>
      <c r="AK755" t="s">
        <v>21</v>
      </c>
      <c r="AT755" t="s">
        <v>3245</v>
      </c>
      <c r="AU755" t="s">
        <v>3246</v>
      </c>
      <c r="AX755" t="s">
        <v>3249</v>
      </c>
      <c r="AY755" t="s">
        <v>3250</v>
      </c>
      <c r="AZ755" t="s">
        <v>3251</v>
      </c>
    </row>
    <row r="756" spans="1:52" x14ac:dyDescent="0.25">
      <c r="A756" t="s">
        <v>1838</v>
      </c>
      <c r="B756" t="s">
        <v>895</v>
      </c>
      <c r="C756" t="s">
        <v>984</v>
      </c>
      <c r="D756" t="s">
        <v>10</v>
      </c>
      <c r="E756" t="s">
        <v>1861</v>
      </c>
      <c r="F756" t="s">
        <v>45</v>
      </c>
      <c r="G756" t="str">
        <f>HYPERLINK("https://www.facebook.com/adel.gamane.7/posts/3293397584017103")</f>
        <v>https://www.facebook.com/adel.gamane.7/posts/3293397584017103</v>
      </c>
      <c r="H756" t="s">
        <v>889</v>
      </c>
      <c r="I756" t="s">
        <v>1862</v>
      </c>
      <c r="J756" t="str">
        <f>HYPERLINK("https://www.facebook.com/100000406809995")</f>
        <v>https://www.facebook.com/100000406809995</v>
      </c>
      <c r="K756">
        <v>224</v>
      </c>
      <c r="L756" t="s">
        <v>15</v>
      </c>
      <c r="N756" t="s">
        <v>179</v>
      </c>
      <c r="O756" t="s">
        <v>1862</v>
      </c>
      <c r="P756" t="str">
        <f>HYPERLINK("https://www.facebook.com/100000406809995")</f>
        <v>https://www.facebook.com/100000406809995</v>
      </c>
      <c r="Q756">
        <v>224</v>
      </c>
      <c r="R756" t="s">
        <v>17</v>
      </c>
      <c r="S756" t="s">
        <v>18</v>
      </c>
      <c r="T756" t="s">
        <v>1863</v>
      </c>
      <c r="U756" t="s">
        <v>1864</v>
      </c>
      <c r="W756">
        <v>4</v>
      </c>
      <c r="X756">
        <v>2</v>
      </c>
      <c r="Y756">
        <v>2</v>
      </c>
      <c r="Z756">
        <v>0</v>
      </c>
      <c r="AA756">
        <v>0</v>
      </c>
      <c r="AB756">
        <v>0</v>
      </c>
      <c r="AC756">
        <v>0</v>
      </c>
      <c r="AE756">
        <v>0</v>
      </c>
      <c r="AI756" t="s">
        <v>1865</v>
      </c>
      <c r="AJ756" t="s">
        <v>10</v>
      </c>
      <c r="AK756" t="s">
        <v>21</v>
      </c>
      <c r="AU756" t="s">
        <v>3246</v>
      </c>
      <c r="AX756" t="s">
        <v>3249</v>
      </c>
      <c r="AZ756" t="s">
        <v>3251</v>
      </c>
    </row>
    <row r="757" spans="1:52" x14ac:dyDescent="0.25">
      <c r="A757" t="s">
        <v>2541</v>
      </c>
      <c r="B757" t="s">
        <v>944</v>
      </c>
      <c r="C757" t="s">
        <v>968</v>
      </c>
      <c r="D757" t="s">
        <v>2556</v>
      </c>
      <c r="E757" t="s">
        <v>2557</v>
      </c>
      <c r="F757" t="s">
        <v>45</v>
      </c>
      <c r="G757" t="str">
        <f>HYPERLINK("https://www.google.com/maps/reviews/data=!4m5!14m4!1m3!1m2!1s109238538523028760998!2s0x0:0x6fb5747470fd36f3?hl=en-NL")</f>
        <v>https://www.google.com/maps/reviews/data=!4m5!14m4!1m3!1m2!1s109238538523028760998!2s0x0:0x6fb5747470fd36f3?hl=en-NL</v>
      </c>
      <c r="H757" t="s">
        <v>889</v>
      </c>
      <c r="I757" t="s">
        <v>2558</v>
      </c>
      <c r="J757" t="str">
        <f>HYPERLINK("https://maps.google.com/maps/contrib/109238538523028760998")</f>
        <v>https://maps.google.com/maps/contrib/109238538523028760998</v>
      </c>
      <c r="N757" t="s">
        <v>615</v>
      </c>
      <c r="O757" t="s">
        <v>2556</v>
      </c>
      <c r="P757" t="str">
        <f>HYPERLINK("https://maps.google.com/maps/place/data=!3m1!4b1!4m5!3m4!1s0x0:0x6fb5747470fd36f3!8m2!3d22.587310!4d88.407760")</f>
        <v>https://maps.google.com/maps/place/data=!3m1!4b1!4m5!3m4!1s0x0:0x6fb5747470fd36f3!8m2!3d22.587310!4d88.407760</v>
      </c>
      <c r="R757" t="s">
        <v>616</v>
      </c>
      <c r="S757" t="s">
        <v>1206</v>
      </c>
      <c r="T757" t="s">
        <v>1913</v>
      </c>
      <c r="U757" t="s">
        <v>2559</v>
      </c>
      <c r="AH757">
        <v>5</v>
      </c>
      <c r="AJ757" t="s">
        <v>10</v>
      </c>
      <c r="AK757" t="s">
        <v>21</v>
      </c>
      <c r="AU757" t="s">
        <v>3246</v>
      </c>
      <c r="AW757" t="s">
        <v>3248</v>
      </c>
      <c r="AX757" t="s">
        <v>3249</v>
      </c>
      <c r="AZ757" t="s">
        <v>3251</v>
      </c>
    </row>
    <row r="758" spans="1:52" x14ac:dyDescent="0.25">
      <c r="A758" t="s">
        <v>2767</v>
      </c>
      <c r="B758" t="s">
        <v>1194</v>
      </c>
      <c r="C758" t="s">
        <v>968</v>
      </c>
      <c r="D758" t="s">
        <v>2837</v>
      </c>
      <c r="E758" t="s">
        <v>2838</v>
      </c>
      <c r="F758" t="s">
        <v>26</v>
      </c>
      <c r="G758" t="str">
        <f>HYPERLINK("https://vk.com/wall-125331076_737853?reply=752299")</f>
        <v>https://vk.com/wall-125331076_737853?reply=752299</v>
      </c>
      <c r="H758" t="s">
        <v>889</v>
      </c>
      <c r="I758" t="s">
        <v>2309</v>
      </c>
      <c r="J758" t="str">
        <f>HYPERLINK("http://vk.com/id14737732")</f>
        <v>http://vk.com/id14737732</v>
      </c>
      <c r="K758">
        <v>1091</v>
      </c>
      <c r="L758" t="s">
        <v>80</v>
      </c>
      <c r="N758" t="s">
        <v>16</v>
      </c>
      <c r="O758" t="s">
        <v>1154</v>
      </c>
      <c r="P758" t="str">
        <f>HYPERLINK("http://vk.com/club125331076")</f>
        <v>http://vk.com/club125331076</v>
      </c>
      <c r="Q758">
        <v>38231</v>
      </c>
      <c r="R758" t="s">
        <v>17</v>
      </c>
      <c r="AJ758" t="s">
        <v>10</v>
      </c>
      <c r="AK758" t="s">
        <v>21</v>
      </c>
      <c r="AN758" t="s">
        <v>3239</v>
      </c>
    </row>
    <row r="759" spans="1:52" x14ac:dyDescent="0.25">
      <c r="A759" t="s">
        <v>3021</v>
      </c>
      <c r="B759" t="s">
        <v>3042</v>
      </c>
      <c r="C759" t="s">
        <v>968</v>
      </c>
      <c r="D759" t="s">
        <v>10</v>
      </c>
      <c r="E759" t="s">
        <v>1948</v>
      </c>
      <c r="F759" t="s">
        <v>45</v>
      </c>
      <c r="G759" t="str">
        <f>HYPERLINK("https://vk.com/wall-158633337_914")</f>
        <v>https://vk.com/wall-158633337_914</v>
      </c>
      <c r="H759" t="s">
        <v>889</v>
      </c>
      <c r="I759" t="s">
        <v>125</v>
      </c>
      <c r="J759" t="str">
        <f>HYPERLINK("http://vk.com/club158633337")</f>
        <v>http://vk.com/club158633337</v>
      </c>
      <c r="K759">
        <v>4852</v>
      </c>
      <c r="L759" t="s">
        <v>28</v>
      </c>
      <c r="N759" t="s">
        <v>16</v>
      </c>
      <c r="O759" t="s">
        <v>125</v>
      </c>
      <c r="P759" t="str">
        <f>HYPERLINK("http://vk.com/club158633337")</f>
        <v>http://vk.com/club158633337</v>
      </c>
      <c r="Q759">
        <v>4852</v>
      </c>
      <c r="R759" t="s">
        <v>17</v>
      </c>
      <c r="S759" t="s">
        <v>18</v>
      </c>
      <c r="T759" t="s">
        <v>126</v>
      </c>
      <c r="U759" t="s">
        <v>127</v>
      </c>
      <c r="W759">
        <v>0</v>
      </c>
      <c r="X759">
        <v>0</v>
      </c>
      <c r="AE759">
        <v>0</v>
      </c>
      <c r="AF759">
        <v>0</v>
      </c>
      <c r="AG759">
        <v>88</v>
      </c>
      <c r="AI759" t="str">
        <f>HYPERLINK("https://sun1-26.userapi.com/yMGuTIeCdpv9fT7_A9Inyqx6HE6n9jy7yqwE_w/MExu17Xz1OQ.jpg")</f>
        <v>https://sun1-26.userapi.com/yMGuTIeCdpv9fT7_A9Inyqx6HE6n9jy7yqwE_w/MExu17Xz1OQ.jpg</v>
      </c>
      <c r="AJ759" t="s">
        <v>10</v>
      </c>
      <c r="AK759" t="s">
        <v>21</v>
      </c>
      <c r="AN759" t="s">
        <v>3239</v>
      </c>
    </row>
    <row r="760" spans="1:52" x14ac:dyDescent="0.25">
      <c r="A760" t="s">
        <v>3021</v>
      </c>
      <c r="B760" t="s">
        <v>3064</v>
      </c>
      <c r="C760" t="s">
        <v>968</v>
      </c>
      <c r="D760" t="s">
        <v>10</v>
      </c>
      <c r="E760" t="s">
        <v>3065</v>
      </c>
      <c r="F760" t="s">
        <v>45</v>
      </c>
      <c r="G760" t="str">
        <f>HYPERLINK("https://www.instagram.com/p/CCa1Fo0olkO")</f>
        <v>https://www.instagram.com/p/CCa1Fo0olkO</v>
      </c>
      <c r="H760" t="s">
        <v>885</v>
      </c>
      <c r="I760" t="s">
        <v>3066</v>
      </c>
      <c r="J760" t="str">
        <f>HYPERLINK("http://instagram.com/dentalclinicexpert")</f>
        <v>http://instagram.com/dentalclinicexpert</v>
      </c>
      <c r="K760">
        <v>964</v>
      </c>
      <c r="N760" t="s">
        <v>69</v>
      </c>
      <c r="O760" t="s">
        <v>3066</v>
      </c>
      <c r="P760" t="str">
        <f>HYPERLINK("http://instagram.com/dentalclinicexpert")</f>
        <v>http://instagram.com/dentalclinicexpert</v>
      </c>
      <c r="Q760">
        <v>964</v>
      </c>
      <c r="R760" t="s">
        <v>17</v>
      </c>
      <c r="S760" t="s">
        <v>3067</v>
      </c>
      <c r="T760" t="s">
        <v>3068</v>
      </c>
      <c r="U760" t="s">
        <v>3069</v>
      </c>
      <c r="AI760" t="str">
        <f>HYPERLINK("https://www.instagram.com/p/CCa1Fo0olkO/media/?size=l")</f>
        <v>https://www.instagram.com/p/CCa1Fo0olkO/media/?size=l</v>
      </c>
      <c r="AJ760" t="s">
        <v>10</v>
      </c>
      <c r="AK760" t="s">
        <v>21</v>
      </c>
      <c r="AN760" t="s">
        <v>3239</v>
      </c>
      <c r="AO760" t="s">
        <v>3240</v>
      </c>
      <c r="AX760" t="s">
        <v>3249</v>
      </c>
      <c r="AY760" t="s">
        <v>3250</v>
      </c>
    </row>
    <row r="761" spans="1:52" x14ac:dyDescent="0.25">
      <c r="A761" t="s">
        <v>414</v>
      </c>
      <c r="B761" t="s">
        <v>582</v>
      </c>
      <c r="C761" t="s">
        <v>583</v>
      </c>
      <c r="D761" t="s">
        <v>24</v>
      </c>
      <c r="E761" t="s">
        <v>443</v>
      </c>
      <c r="F761" t="s">
        <v>26</v>
      </c>
      <c r="G761" t="str">
        <f>HYPERLINK("https://vk.com/wall-197114981_31?reply=1225&amp;thread=1206")</f>
        <v>https://vk.com/wall-197114981_31?reply=1225&amp;thread=1206</v>
      </c>
      <c r="H761" t="s">
        <v>13</v>
      </c>
      <c r="I761" t="s">
        <v>27</v>
      </c>
      <c r="J761" t="str">
        <f>HYPERLINK("http://vk.com/club197114981")</f>
        <v>http://vk.com/club197114981</v>
      </c>
      <c r="K761">
        <v>38</v>
      </c>
      <c r="L761" t="s">
        <v>28</v>
      </c>
      <c r="N761" t="s">
        <v>16</v>
      </c>
      <c r="O761" t="s">
        <v>27</v>
      </c>
      <c r="P761" t="str">
        <f>HYPERLINK("http://vk.com/club197114981")</f>
        <v>http://vk.com/club197114981</v>
      </c>
      <c r="Q761">
        <v>38</v>
      </c>
      <c r="R761" t="s">
        <v>17</v>
      </c>
      <c r="AJ761" t="s">
        <v>10</v>
      </c>
      <c r="AK761" t="s">
        <v>21</v>
      </c>
      <c r="AM761" t="s">
        <v>3238</v>
      </c>
      <c r="AN761" t="s">
        <v>3239</v>
      </c>
      <c r="AO761" t="s">
        <v>3240</v>
      </c>
      <c r="AV761" t="s">
        <v>3247</v>
      </c>
      <c r="AW761" t="s">
        <v>3248</v>
      </c>
      <c r="AX761" t="s">
        <v>3249</v>
      </c>
      <c r="AY761" t="s">
        <v>3250</v>
      </c>
    </row>
    <row r="762" spans="1:52" x14ac:dyDescent="0.25">
      <c r="A762" t="s">
        <v>772</v>
      </c>
      <c r="B762" t="s">
        <v>813</v>
      </c>
      <c r="C762" t="s">
        <v>814</v>
      </c>
      <c r="D762" t="s">
        <v>24</v>
      </c>
      <c r="E762" t="s">
        <v>815</v>
      </c>
      <c r="F762" t="s">
        <v>26</v>
      </c>
      <c r="G762" t="str">
        <f>HYPERLINK("https://vk.com/wall-197114981_31?reply=1148&amp;thread=294")</f>
        <v>https://vk.com/wall-197114981_31?reply=1148&amp;thread=294</v>
      </c>
      <c r="H762" t="s">
        <v>13</v>
      </c>
      <c r="I762" t="s">
        <v>27</v>
      </c>
      <c r="J762" t="str">
        <f>HYPERLINK("http://vk.com/club197114981")</f>
        <v>http://vk.com/club197114981</v>
      </c>
      <c r="K762">
        <v>38</v>
      </c>
      <c r="L762" t="s">
        <v>28</v>
      </c>
      <c r="N762" t="s">
        <v>16</v>
      </c>
      <c r="O762" t="s">
        <v>27</v>
      </c>
      <c r="P762" t="str">
        <f>HYPERLINK("http://vk.com/club197114981")</f>
        <v>http://vk.com/club197114981</v>
      </c>
      <c r="Q762">
        <v>38</v>
      </c>
      <c r="R762" t="s">
        <v>17</v>
      </c>
      <c r="AJ762" t="s">
        <v>10</v>
      </c>
      <c r="AK762" t="s">
        <v>21</v>
      </c>
      <c r="AN762" t="s">
        <v>3239</v>
      </c>
      <c r="AO762" t="s">
        <v>3240</v>
      </c>
      <c r="AU762" t="s">
        <v>3246</v>
      </c>
    </row>
    <row r="763" spans="1:52" x14ac:dyDescent="0.25">
      <c r="A763" t="s">
        <v>772</v>
      </c>
      <c r="B763" t="s">
        <v>554</v>
      </c>
      <c r="C763" t="s">
        <v>913</v>
      </c>
      <c r="D763" t="s">
        <v>24</v>
      </c>
      <c r="E763" t="s">
        <v>857</v>
      </c>
      <c r="F763" t="s">
        <v>26</v>
      </c>
      <c r="G763" t="str">
        <f>HYPERLINK("https://vk.com/wall-197114981_31?reply=1114&amp;thread=294")</f>
        <v>https://vk.com/wall-197114981_31?reply=1114&amp;thread=294</v>
      </c>
      <c r="H763" t="s">
        <v>889</v>
      </c>
      <c r="I763" t="s">
        <v>27</v>
      </c>
      <c r="J763" t="str">
        <f>HYPERLINK("http://vk.com/club197114981")</f>
        <v>http://vk.com/club197114981</v>
      </c>
      <c r="K763">
        <v>38</v>
      </c>
      <c r="L763" t="s">
        <v>28</v>
      </c>
      <c r="N763" t="s">
        <v>16</v>
      </c>
      <c r="O763" t="s">
        <v>27</v>
      </c>
      <c r="P763" t="str">
        <f>HYPERLINK("http://vk.com/club197114981")</f>
        <v>http://vk.com/club197114981</v>
      </c>
      <c r="Q763">
        <v>38</v>
      </c>
      <c r="R763" t="s">
        <v>17</v>
      </c>
      <c r="AJ763" t="s">
        <v>10</v>
      </c>
      <c r="AK763" t="s">
        <v>21</v>
      </c>
      <c r="AT763" t="s">
        <v>3245</v>
      </c>
    </row>
    <row r="764" spans="1:52" x14ac:dyDescent="0.25">
      <c r="A764" t="s">
        <v>1017</v>
      </c>
      <c r="B764" t="s">
        <v>1093</v>
      </c>
      <c r="C764" t="s">
        <v>1094</v>
      </c>
      <c r="D764" t="s">
        <v>10</v>
      </c>
      <c r="E764" t="s">
        <v>1095</v>
      </c>
      <c r="F764" t="s">
        <v>45</v>
      </c>
      <c r="G764" t="str">
        <f>HYPERLINK("https://vk.com/wall-78562600_2983")</f>
        <v>https://vk.com/wall-78562600_2983</v>
      </c>
      <c r="H764" t="s">
        <v>885</v>
      </c>
      <c r="I764" t="s">
        <v>1085</v>
      </c>
      <c r="J764" t="str">
        <f>HYPERLINK("http://vk.com/id162385864")</f>
        <v>http://vk.com/id162385864</v>
      </c>
      <c r="K764">
        <v>359</v>
      </c>
      <c r="L764" t="s">
        <v>80</v>
      </c>
      <c r="N764" t="s">
        <v>16</v>
      </c>
      <c r="O764" t="s">
        <v>1096</v>
      </c>
      <c r="P764" t="str">
        <f>HYPERLINK("http://vk.com/club78562600")</f>
        <v>http://vk.com/club78562600</v>
      </c>
      <c r="Q764">
        <v>472</v>
      </c>
      <c r="R764" t="s">
        <v>17</v>
      </c>
      <c r="S764" t="s">
        <v>18</v>
      </c>
      <c r="W764">
        <v>0</v>
      </c>
      <c r="X764">
        <v>0</v>
      </c>
      <c r="AE764">
        <v>0</v>
      </c>
      <c r="AF764">
        <v>0</v>
      </c>
      <c r="AI764" t="str">
        <f>HYPERLINK("https://sun9-61.userapi.com/c855520/v855520208/23812c/QuEEn_1eMfc.jpg")</f>
        <v>https://sun9-61.userapi.com/c855520/v855520208/23812c/QuEEn_1eMfc.jpg</v>
      </c>
      <c r="AJ764" t="s">
        <v>10</v>
      </c>
      <c r="AK764" t="s">
        <v>21</v>
      </c>
      <c r="AM764" t="s">
        <v>3238</v>
      </c>
    </row>
    <row r="765" spans="1:52" x14ac:dyDescent="0.25">
      <c r="A765" t="s">
        <v>1122</v>
      </c>
      <c r="B765" t="s">
        <v>1123</v>
      </c>
      <c r="C765" t="s">
        <v>984</v>
      </c>
      <c r="D765" t="s">
        <v>10</v>
      </c>
      <c r="E765" t="s">
        <v>1124</v>
      </c>
      <c r="F765" t="s">
        <v>12</v>
      </c>
      <c r="G765" t="str">
        <f>HYPERLINK("https://vk.com/wall382108462_6306")</f>
        <v>https://vk.com/wall382108462_6306</v>
      </c>
      <c r="H765" t="s">
        <v>885</v>
      </c>
      <c r="I765" t="s">
        <v>1125</v>
      </c>
      <c r="J765" t="str">
        <f>HYPERLINK("http://vk.com/id382108462")</f>
        <v>http://vk.com/id382108462</v>
      </c>
      <c r="K765">
        <v>104</v>
      </c>
      <c r="L765" t="s">
        <v>80</v>
      </c>
      <c r="N765" t="s">
        <v>16</v>
      </c>
      <c r="O765" t="s">
        <v>1125</v>
      </c>
      <c r="P765" t="str">
        <f>HYPERLINK("http://vk.com/id382108462")</f>
        <v>http://vk.com/id382108462</v>
      </c>
      <c r="Q765">
        <v>104</v>
      </c>
      <c r="R765" t="s">
        <v>17</v>
      </c>
      <c r="W765">
        <v>0</v>
      </c>
      <c r="X765">
        <v>0</v>
      </c>
      <c r="AE765">
        <v>0</v>
      </c>
      <c r="AF765">
        <v>0</v>
      </c>
      <c r="AG765">
        <v>6</v>
      </c>
      <c r="AI765" t="str">
        <f>HYPERLINK("https://sun9-59.userapi.com/0aK_W-tVMADhOxIJKEp8kQMfgfLwUyyZHpM3uA/SXCukUwPFv8.jpg")</f>
        <v>https://sun9-59.userapi.com/0aK_W-tVMADhOxIJKEp8kQMfgfLwUyyZHpM3uA/SXCukUwPFv8.jpg</v>
      </c>
      <c r="AJ765" t="s">
        <v>10</v>
      </c>
      <c r="AK765" t="s">
        <v>21</v>
      </c>
      <c r="AL765" t="s">
        <v>3237</v>
      </c>
      <c r="AM765" t="s">
        <v>3238</v>
      </c>
    </row>
    <row r="766" spans="1:52" x14ac:dyDescent="0.25">
      <c r="A766" t="s">
        <v>1122</v>
      </c>
      <c r="B766" t="s">
        <v>1143</v>
      </c>
      <c r="C766" t="s">
        <v>984</v>
      </c>
      <c r="D766" t="s">
        <v>10</v>
      </c>
      <c r="E766" t="s">
        <v>1144</v>
      </c>
      <c r="F766" t="s">
        <v>45</v>
      </c>
      <c r="G766" t="str">
        <f>HYPERLINK("https://www.instagram.com/p/CDiwz7KByDA")</f>
        <v>https://www.instagram.com/p/CDiwz7KByDA</v>
      </c>
      <c r="H766" t="s">
        <v>889</v>
      </c>
      <c r="I766" t="s">
        <v>1145</v>
      </c>
      <c r="J766" t="str">
        <f>HYPERLINK("http://instagram.com/dr_kosmetolog_kursk")</f>
        <v>http://instagram.com/dr_kosmetolog_kursk</v>
      </c>
      <c r="K766">
        <v>1296</v>
      </c>
      <c r="N766" t="s">
        <v>69</v>
      </c>
      <c r="O766" t="s">
        <v>1145</v>
      </c>
      <c r="P766" t="str">
        <f>HYPERLINK("http://instagram.com/dr_kosmetolog_kursk")</f>
        <v>http://instagram.com/dr_kosmetolog_kursk</v>
      </c>
      <c r="Q766">
        <v>1296</v>
      </c>
      <c r="R766" t="s">
        <v>17</v>
      </c>
      <c r="S766" t="s">
        <v>18</v>
      </c>
      <c r="T766" t="s">
        <v>231</v>
      </c>
      <c r="U766" t="s">
        <v>232</v>
      </c>
      <c r="W766">
        <v>9</v>
      </c>
      <c r="X766">
        <v>9</v>
      </c>
      <c r="AE766">
        <v>0</v>
      </c>
      <c r="AG766">
        <v>97</v>
      </c>
      <c r="AI766" t="str">
        <f>HYPERLINK("https://www.instagram.com/p/CDiwz7KByDA/media/?size=l")</f>
        <v>https://www.instagram.com/p/CDiwz7KByDA/media/?size=l</v>
      </c>
      <c r="AJ766" t="s">
        <v>10</v>
      </c>
      <c r="AK766" t="s">
        <v>21</v>
      </c>
    </row>
    <row r="767" spans="1:52" x14ac:dyDescent="0.25">
      <c r="A767" t="s">
        <v>1597</v>
      </c>
      <c r="B767" t="s">
        <v>1600</v>
      </c>
      <c r="C767" t="s">
        <v>984</v>
      </c>
      <c r="D767" t="s">
        <v>10</v>
      </c>
      <c r="E767" t="s">
        <v>1598</v>
      </c>
      <c r="F767" t="s">
        <v>12</v>
      </c>
      <c r="G767" t="str">
        <f>HYPERLINK("https://vk.com/wall22332164_1531")</f>
        <v>https://vk.com/wall22332164_1531</v>
      </c>
      <c r="H767" t="s">
        <v>885</v>
      </c>
      <c r="I767" t="s">
        <v>1601</v>
      </c>
      <c r="J767" t="str">
        <f>HYPERLINK("http://vk.com/id22332164")</f>
        <v>http://vk.com/id22332164</v>
      </c>
      <c r="K767">
        <v>755</v>
      </c>
      <c r="L767" t="s">
        <v>80</v>
      </c>
      <c r="N767" t="s">
        <v>16</v>
      </c>
      <c r="O767" t="s">
        <v>1601</v>
      </c>
      <c r="P767" t="str">
        <f>HYPERLINK("http://vk.com/id22332164")</f>
        <v>http://vk.com/id22332164</v>
      </c>
      <c r="Q767">
        <v>755</v>
      </c>
      <c r="R767" t="s">
        <v>17</v>
      </c>
      <c r="S767" t="s">
        <v>18</v>
      </c>
      <c r="W767">
        <v>0</v>
      </c>
      <c r="X767">
        <v>0</v>
      </c>
      <c r="AE767">
        <v>0</v>
      </c>
      <c r="AF767">
        <v>0</v>
      </c>
      <c r="AG767">
        <v>29</v>
      </c>
      <c r="AI767" t="str">
        <f>HYPERLINK("https://sun1-87.userapi.com/c857624/v857624545/22e882/Vf5OaH3C2oc.jpg")</f>
        <v>https://sun1-87.userapi.com/c857624/v857624545/22e882/Vf5OaH3C2oc.jpg</v>
      </c>
      <c r="AJ767" t="s">
        <v>10</v>
      </c>
      <c r="AK767" t="s">
        <v>21</v>
      </c>
      <c r="AM767" t="s">
        <v>3238</v>
      </c>
    </row>
    <row r="768" spans="1:52" x14ac:dyDescent="0.25">
      <c r="A768" t="s">
        <v>1723</v>
      </c>
      <c r="B768" t="s">
        <v>1831</v>
      </c>
      <c r="C768" t="s">
        <v>984</v>
      </c>
      <c r="D768" t="s">
        <v>421</v>
      </c>
      <c r="E768" t="s">
        <v>1832</v>
      </c>
      <c r="F768" t="s">
        <v>26</v>
      </c>
      <c r="G768" t="str">
        <f>HYPERLINK("https://www.youtube.com/watch?v=gaka1vqYFNs&amp;lc=Ugx_HdQN2S-7N6CIXLd4AaABAg")</f>
        <v>https://www.youtube.com/watch?v=gaka1vqYFNs&amp;lc=Ugx_HdQN2S-7N6CIXLd4AaABAg</v>
      </c>
      <c r="H768" t="s">
        <v>1057</v>
      </c>
      <c r="I768" t="s">
        <v>1833</v>
      </c>
      <c r="J768" t="str">
        <f>HYPERLINK("https://www.youtube.com/channel/UCOg08HHylm4qU5FpZqHbjzg")</f>
        <v>https://www.youtube.com/channel/UCOg08HHylm4qU5FpZqHbjzg</v>
      </c>
      <c r="K768">
        <v>0</v>
      </c>
      <c r="L768" t="s">
        <v>15</v>
      </c>
      <c r="N768" t="s">
        <v>162</v>
      </c>
      <c r="O768" t="s">
        <v>424</v>
      </c>
      <c r="P768" t="str">
        <f>HYPERLINK("https://www.youtube.com/channel/UC8fQzKHIhSoZeSq3bwQx4mw")</f>
        <v>https://www.youtube.com/channel/UC8fQzKHIhSoZeSq3bwQx4mw</v>
      </c>
      <c r="Q768">
        <v>517000</v>
      </c>
      <c r="R768" t="s">
        <v>17</v>
      </c>
      <c r="S768" t="s">
        <v>425</v>
      </c>
      <c r="W768">
        <v>1</v>
      </c>
      <c r="X768">
        <v>1</v>
      </c>
      <c r="AE768">
        <v>0</v>
      </c>
      <c r="AJ768" t="s">
        <v>10</v>
      </c>
      <c r="AK768" t="s">
        <v>21</v>
      </c>
      <c r="AV768" t="s">
        <v>3247</v>
      </c>
      <c r="AY768" t="s">
        <v>3250</v>
      </c>
    </row>
    <row r="769" spans="1:51" x14ac:dyDescent="0.25">
      <c r="A769" t="s">
        <v>2193</v>
      </c>
      <c r="B769" t="s">
        <v>2209</v>
      </c>
      <c r="C769" t="s">
        <v>968</v>
      </c>
      <c r="D769" t="s">
        <v>421</v>
      </c>
      <c r="E769" t="s">
        <v>2210</v>
      </c>
      <c r="F769" t="s">
        <v>26</v>
      </c>
      <c r="G769" t="str">
        <f>HYPERLINK("https://www.youtube.com/watch?v=gaka1vqYFNs&amp;lc=UgzU9XyFTKNG1Y2IbOd4AaABAg")</f>
        <v>https://www.youtube.com/watch?v=gaka1vqYFNs&amp;lc=UgzU9XyFTKNG1Y2IbOd4AaABAg</v>
      </c>
      <c r="H769" t="s">
        <v>1057</v>
      </c>
      <c r="I769" t="s">
        <v>2211</v>
      </c>
      <c r="J769" t="str">
        <f>HYPERLINK("https://www.youtube.com/channel/UCBj9zJoFAVZYxXBNklAx9hQ")</f>
        <v>https://www.youtube.com/channel/UCBj9zJoFAVZYxXBNklAx9hQ</v>
      </c>
      <c r="K769">
        <v>5</v>
      </c>
      <c r="N769" t="s">
        <v>162</v>
      </c>
      <c r="O769" t="s">
        <v>424</v>
      </c>
      <c r="P769" t="str">
        <f>HYPERLINK("https://www.youtube.com/channel/UC8fQzKHIhSoZeSq3bwQx4mw")</f>
        <v>https://www.youtube.com/channel/UC8fQzKHIhSoZeSq3bwQx4mw</v>
      </c>
      <c r="Q769">
        <v>517000</v>
      </c>
      <c r="R769" t="s">
        <v>17</v>
      </c>
      <c r="S769" t="s">
        <v>425</v>
      </c>
      <c r="W769">
        <v>0</v>
      </c>
      <c r="X769">
        <v>0</v>
      </c>
      <c r="AE769">
        <v>0</v>
      </c>
      <c r="AJ769" t="s">
        <v>10</v>
      </c>
      <c r="AK769" t="s">
        <v>21</v>
      </c>
      <c r="AV769" t="s">
        <v>3247</v>
      </c>
      <c r="AX769" t="s">
        <v>3249</v>
      </c>
      <c r="AY769" t="s">
        <v>3250</v>
      </c>
    </row>
    <row r="770" spans="1:51" x14ac:dyDescent="0.25">
      <c r="A770" t="s">
        <v>2193</v>
      </c>
      <c r="B770" t="s">
        <v>950</v>
      </c>
      <c r="C770" t="s">
        <v>968</v>
      </c>
      <c r="D770" t="s">
        <v>10</v>
      </c>
      <c r="E770" t="s">
        <v>2218</v>
      </c>
      <c r="F770" t="s">
        <v>45</v>
      </c>
      <c r="G770" t="str">
        <f>HYPERLINK("https://vk.com/wall-189715412_474")</f>
        <v>https://vk.com/wall-189715412_474</v>
      </c>
      <c r="H770" t="s">
        <v>885</v>
      </c>
      <c r="I770" t="s">
        <v>188</v>
      </c>
      <c r="J770" t="str">
        <f>HYPERLINK("http://vk.com/club189715412")</f>
        <v>http://vk.com/club189715412</v>
      </c>
      <c r="K770">
        <v>527</v>
      </c>
      <c r="L770" t="s">
        <v>28</v>
      </c>
      <c r="N770" t="s">
        <v>16</v>
      </c>
      <c r="O770" t="s">
        <v>188</v>
      </c>
      <c r="P770" t="str">
        <f>HYPERLINK("http://vk.com/club189715412")</f>
        <v>http://vk.com/club189715412</v>
      </c>
      <c r="Q770">
        <v>527</v>
      </c>
      <c r="R770" t="s">
        <v>17</v>
      </c>
      <c r="W770">
        <v>5</v>
      </c>
      <c r="X770">
        <v>5</v>
      </c>
      <c r="AE770">
        <v>0</v>
      </c>
      <c r="AF770">
        <v>0</v>
      </c>
      <c r="AG770">
        <v>428</v>
      </c>
      <c r="AI770" t="str">
        <f>HYPERLINK("https://sun9-32.userapi.com/xip7wClvQdAKhYBXqCsWLUZDY9J6e9fhDqDlbw/Ql3s4_ua4Vs.jpg")</f>
        <v>https://sun9-32.userapi.com/xip7wClvQdAKhYBXqCsWLUZDY9J6e9fhDqDlbw/Ql3s4_ua4Vs.jpg</v>
      </c>
      <c r="AJ770" t="s">
        <v>10</v>
      </c>
      <c r="AK770" t="s">
        <v>21</v>
      </c>
      <c r="AV770" t="s">
        <v>3247</v>
      </c>
      <c r="AX770" t="s">
        <v>3249</v>
      </c>
      <c r="AY770" t="s">
        <v>3250</v>
      </c>
    </row>
    <row r="771" spans="1:51" x14ac:dyDescent="0.25">
      <c r="A771" t="s">
        <v>2428</v>
      </c>
      <c r="B771" t="s">
        <v>1574</v>
      </c>
      <c r="C771" t="s">
        <v>968</v>
      </c>
      <c r="D771" t="s">
        <v>10</v>
      </c>
      <c r="E771" t="s">
        <v>2461</v>
      </c>
      <c r="F771" t="s">
        <v>12</v>
      </c>
      <c r="G771" t="str">
        <f>HYPERLINK("https://twitter.com/1694266459/status/1284368221231931396")</f>
        <v>https://twitter.com/1694266459/status/1284368221231931396</v>
      </c>
      <c r="H771" t="s">
        <v>885</v>
      </c>
      <c r="I771" t="s">
        <v>2462</v>
      </c>
      <c r="J771" t="str">
        <f>HYPERLINK("http://twitter.com/Bundaburg_420")</f>
        <v>http://twitter.com/Bundaburg_420</v>
      </c>
      <c r="K771">
        <v>1127</v>
      </c>
      <c r="N771" t="s">
        <v>54</v>
      </c>
      <c r="R771" t="s">
        <v>17</v>
      </c>
      <c r="AJ771" t="s">
        <v>10</v>
      </c>
      <c r="AK771" t="s">
        <v>21</v>
      </c>
      <c r="AL771" t="s">
        <v>3237</v>
      </c>
      <c r="AY771" t="s">
        <v>3250</v>
      </c>
    </row>
    <row r="772" spans="1:51" x14ac:dyDescent="0.25">
      <c r="A772" t="s">
        <v>2589</v>
      </c>
      <c r="B772" t="s">
        <v>2666</v>
      </c>
      <c r="C772" t="s">
        <v>968</v>
      </c>
      <c r="D772" t="s">
        <v>10</v>
      </c>
      <c r="E772" t="s">
        <v>2667</v>
      </c>
      <c r="F772" t="s">
        <v>26</v>
      </c>
      <c r="G772" t="str">
        <f>HYPERLINK("https://twitter.com/969024646837407744/status/1283199054529335296")</f>
        <v>https://twitter.com/969024646837407744/status/1283199054529335296</v>
      </c>
      <c r="H772" t="s">
        <v>885</v>
      </c>
      <c r="I772" t="s">
        <v>2665</v>
      </c>
      <c r="J772" t="str">
        <f>HYPERLINK("http://twitter.com/realpritch9")</f>
        <v>http://twitter.com/realpritch9</v>
      </c>
      <c r="K772">
        <v>53</v>
      </c>
      <c r="N772" t="s">
        <v>54</v>
      </c>
      <c r="R772" t="s">
        <v>17</v>
      </c>
      <c r="S772" t="s">
        <v>425</v>
      </c>
      <c r="AI772" t="str">
        <f>HYPERLINK("https://pbs.twimg.com/ext_tw_video_thumb/1283186784189456384/pu/img/S0qKtZy0dgriWM-3.jpg")</f>
        <v>https://pbs.twimg.com/ext_tw_video_thumb/1283186784189456384/pu/img/S0qKtZy0dgriWM-3.jpg</v>
      </c>
      <c r="AJ772" t="s">
        <v>10</v>
      </c>
      <c r="AK772" t="s">
        <v>21</v>
      </c>
      <c r="AW772" t="s">
        <v>3248</v>
      </c>
      <c r="AX772" t="s">
        <v>3249</v>
      </c>
      <c r="AY772" t="s">
        <v>3250</v>
      </c>
    </row>
    <row r="773" spans="1:51" x14ac:dyDescent="0.25">
      <c r="A773" t="s">
        <v>2915</v>
      </c>
      <c r="B773" t="s">
        <v>1093</v>
      </c>
      <c r="C773" t="s">
        <v>968</v>
      </c>
      <c r="D773" t="s">
        <v>10</v>
      </c>
      <c r="E773" t="s">
        <v>2953</v>
      </c>
      <c r="F773" t="s">
        <v>45</v>
      </c>
      <c r="G773" t="str">
        <f>HYPERLINK("https://vk.com/wall-158633337_918")</f>
        <v>https://vk.com/wall-158633337_918</v>
      </c>
      <c r="H773" t="s">
        <v>885</v>
      </c>
      <c r="I773" t="s">
        <v>125</v>
      </c>
      <c r="J773" t="str">
        <f>HYPERLINK("http://vk.com/club158633337")</f>
        <v>http://vk.com/club158633337</v>
      </c>
      <c r="K773">
        <v>4852</v>
      </c>
      <c r="L773" t="s">
        <v>28</v>
      </c>
      <c r="N773" t="s">
        <v>16</v>
      </c>
      <c r="O773" t="s">
        <v>125</v>
      </c>
      <c r="P773" t="str">
        <f>HYPERLINK("http://vk.com/club158633337")</f>
        <v>http://vk.com/club158633337</v>
      </c>
      <c r="Q773">
        <v>4852</v>
      </c>
      <c r="R773" t="s">
        <v>17</v>
      </c>
      <c r="S773" t="s">
        <v>18</v>
      </c>
      <c r="T773" t="s">
        <v>126</v>
      </c>
      <c r="U773" t="s">
        <v>127</v>
      </c>
      <c r="W773">
        <v>0</v>
      </c>
      <c r="X773">
        <v>0</v>
      </c>
      <c r="AE773">
        <v>0</v>
      </c>
      <c r="AF773">
        <v>0</v>
      </c>
      <c r="AG773">
        <v>95</v>
      </c>
      <c r="AI773" t="str">
        <f>HYPERLINK("https://sun1-29.userapi.com/lQL_8RzIVKEllkP-k4XRqzm8jr6MlFa7ztVnZA/NI7kAoWY1uk.jpg")</f>
        <v>https://sun1-29.userapi.com/lQL_8RzIVKEllkP-k4XRqzm8jr6MlFa7ztVnZA/NI7kAoWY1uk.jpg</v>
      </c>
      <c r="AJ773" t="s">
        <v>10</v>
      </c>
      <c r="AK773" t="s">
        <v>21</v>
      </c>
      <c r="AL773" t="s">
        <v>3237</v>
      </c>
      <c r="AY773" t="s">
        <v>3250</v>
      </c>
    </row>
    <row r="774" spans="1:51" x14ac:dyDescent="0.25">
      <c r="A774" t="s">
        <v>2978</v>
      </c>
      <c r="B774" t="s">
        <v>2999</v>
      </c>
      <c r="C774" t="s">
        <v>968</v>
      </c>
      <c r="D774" t="s">
        <v>3000</v>
      </c>
      <c r="E774" t="s">
        <v>3001</v>
      </c>
      <c r="F774" t="s">
        <v>45</v>
      </c>
      <c r="G774" t="str">
        <f>HYPERLINK("https://zen.yandex.ru/media/id/5e414dabcbb49f45fcf938c0/5f085d2e6c9010289fe90285")</f>
        <v>https://zen.yandex.ru/media/id/5e414dabcbb49f45fcf938c0/5f085d2e6c9010289fe90285</v>
      </c>
      <c r="H774" t="s">
        <v>885</v>
      </c>
      <c r="I774" t="s">
        <v>1152</v>
      </c>
      <c r="J774" t="str">
        <f>HYPERLINK("https://zen.yandex.ru/id/5e414dabcbb49f45fcf938c0")</f>
        <v>https://zen.yandex.ru/id/5e414dabcbb49f45fcf938c0</v>
      </c>
      <c r="K774">
        <v>12</v>
      </c>
      <c r="N774" t="s">
        <v>1153</v>
      </c>
      <c r="R774" t="s">
        <v>966</v>
      </c>
      <c r="S774" t="s">
        <v>18</v>
      </c>
      <c r="AE774">
        <v>0</v>
      </c>
      <c r="AG774">
        <v>2</v>
      </c>
      <c r="AI774" t="str">
        <f>HYPERLINK("https://avatars.mds.yandex.net/get-zen_doc/3512693/pub_5f085d2e6c9010289fe90285_5f085d39bab35f2354852ca8/scale_1200")</f>
        <v>https://avatars.mds.yandex.net/get-zen_doc/3512693/pub_5f085d2e6c9010289fe90285_5f085d39bab35f2354852ca8/scale_1200</v>
      </c>
      <c r="AJ774" t="s">
        <v>10</v>
      </c>
      <c r="AK774" t="s">
        <v>21</v>
      </c>
      <c r="AW774" t="s">
        <v>3248</v>
      </c>
      <c r="AY774" t="s">
        <v>3250</v>
      </c>
    </row>
    <row r="775" spans="1:51" x14ac:dyDescent="0.25">
      <c r="A775" t="s">
        <v>3021</v>
      </c>
      <c r="B775" t="s">
        <v>845</v>
      </c>
      <c r="C775" t="s">
        <v>968</v>
      </c>
      <c r="D775" t="s">
        <v>10</v>
      </c>
      <c r="E775" t="s">
        <v>2212</v>
      </c>
      <c r="F775" t="s">
        <v>45</v>
      </c>
      <c r="G775" t="str">
        <f>HYPERLINK("https://vk.com/wall-158633337_915")</f>
        <v>https://vk.com/wall-158633337_915</v>
      </c>
      <c r="H775" t="s">
        <v>889</v>
      </c>
      <c r="I775" t="s">
        <v>125</v>
      </c>
      <c r="J775" t="str">
        <f>HYPERLINK("http://vk.com/club158633337")</f>
        <v>http://vk.com/club158633337</v>
      </c>
      <c r="K775">
        <v>4852</v>
      </c>
      <c r="L775" t="s">
        <v>28</v>
      </c>
      <c r="N775" t="s">
        <v>16</v>
      </c>
      <c r="O775" t="s">
        <v>125</v>
      </c>
      <c r="P775" t="str">
        <f>HYPERLINK("http://vk.com/club158633337")</f>
        <v>http://vk.com/club158633337</v>
      </c>
      <c r="Q775">
        <v>4852</v>
      </c>
      <c r="R775" t="s">
        <v>17</v>
      </c>
      <c r="S775" t="s">
        <v>18</v>
      </c>
      <c r="T775" t="s">
        <v>126</v>
      </c>
      <c r="U775" t="s">
        <v>127</v>
      </c>
      <c r="W775">
        <v>0</v>
      </c>
      <c r="X775">
        <v>0</v>
      </c>
      <c r="AE775">
        <v>0</v>
      </c>
      <c r="AF775">
        <v>0</v>
      </c>
      <c r="AG775">
        <v>102</v>
      </c>
      <c r="AI775" t="str">
        <f>HYPERLINK("https://sun1-84.userapi.com/cct1nWwu1-ndHG6Y4GIv9o-3hjKvLj4vnlrGEw/9rjSvME2dto.jpg")</f>
        <v>https://sun1-84.userapi.com/cct1nWwu1-ndHG6Y4GIv9o-3hjKvLj4vnlrGEw/9rjSvME2dto.jpg</v>
      </c>
      <c r="AJ775" t="s">
        <v>10</v>
      </c>
      <c r="AK775" t="s">
        <v>21</v>
      </c>
      <c r="AL775" t="s">
        <v>3237</v>
      </c>
      <c r="AW775" t="s">
        <v>3248</v>
      </c>
      <c r="AY775" t="s">
        <v>3250</v>
      </c>
    </row>
    <row r="776" spans="1:51" x14ac:dyDescent="0.25">
      <c r="A776" t="s">
        <v>3100</v>
      </c>
      <c r="B776" t="s">
        <v>3158</v>
      </c>
      <c r="C776" t="s">
        <v>968</v>
      </c>
      <c r="D776" t="s">
        <v>10</v>
      </c>
      <c r="E776" t="s">
        <v>3159</v>
      </c>
      <c r="F776" t="s">
        <v>12</v>
      </c>
      <c r="G776" t="str">
        <f>HYPERLINK("https://vk.com/wall367451629_390")</f>
        <v>https://vk.com/wall367451629_390</v>
      </c>
      <c r="H776" t="s">
        <v>885</v>
      </c>
      <c r="I776" t="s">
        <v>1173</v>
      </c>
      <c r="J776" t="str">
        <f>HYPERLINK("http://vk.com/id367451629")</f>
        <v>http://vk.com/id367451629</v>
      </c>
      <c r="K776">
        <v>402</v>
      </c>
      <c r="L776" t="s">
        <v>15</v>
      </c>
      <c r="N776" t="s">
        <v>16</v>
      </c>
      <c r="O776" t="s">
        <v>1173</v>
      </c>
      <c r="P776" t="str">
        <f>HYPERLINK("http://vk.com/id367451629")</f>
        <v>http://vk.com/id367451629</v>
      </c>
      <c r="Q776">
        <v>402</v>
      </c>
      <c r="R776" t="s">
        <v>17</v>
      </c>
      <c r="S776" t="s">
        <v>18</v>
      </c>
      <c r="T776" t="s">
        <v>70</v>
      </c>
      <c r="U776" t="s">
        <v>71</v>
      </c>
      <c r="W776">
        <v>0</v>
      </c>
      <c r="X776">
        <v>0</v>
      </c>
      <c r="AE776">
        <v>0</v>
      </c>
      <c r="AF776">
        <v>0</v>
      </c>
      <c r="AG776">
        <v>5</v>
      </c>
      <c r="AI776" t="str">
        <f>HYPERLINK("https://sun9-56.userapi.com/c857728/v857728243/1fdaf1/Yu2pvx9XApI.jpg")</f>
        <v>https://sun9-56.userapi.com/c857728/v857728243/1fdaf1/Yu2pvx9XApI.jpg</v>
      </c>
      <c r="AJ776" t="s">
        <v>10</v>
      </c>
      <c r="AK776" t="s">
        <v>21</v>
      </c>
      <c r="AL776" t="s">
        <v>3237</v>
      </c>
      <c r="AW776" t="s">
        <v>3248</v>
      </c>
      <c r="AY776" t="s">
        <v>3250</v>
      </c>
    </row>
    <row r="777" spans="1:51" x14ac:dyDescent="0.25">
      <c r="A777" t="s">
        <v>3100</v>
      </c>
      <c r="B777" t="s">
        <v>680</v>
      </c>
      <c r="C777" t="s">
        <v>968</v>
      </c>
      <c r="D777" t="s">
        <v>10</v>
      </c>
      <c r="E777" t="s">
        <v>3165</v>
      </c>
      <c r="F777" t="s">
        <v>45</v>
      </c>
      <c r="G777" t="str">
        <f>HYPERLINK("https://vk.com/wall-122327832_621")</f>
        <v>https://vk.com/wall-122327832_621</v>
      </c>
      <c r="H777" t="s">
        <v>885</v>
      </c>
      <c r="I777" t="s">
        <v>1170</v>
      </c>
      <c r="J777" t="str">
        <f>HYPERLINK("http://vk.com/club122327832")</f>
        <v>http://vk.com/club122327832</v>
      </c>
      <c r="K777">
        <v>891</v>
      </c>
      <c r="L777" t="s">
        <v>28</v>
      </c>
      <c r="N777" t="s">
        <v>16</v>
      </c>
      <c r="O777" t="s">
        <v>1170</v>
      </c>
      <c r="P777" t="str">
        <f>HYPERLINK("http://vk.com/club122327832")</f>
        <v>http://vk.com/club122327832</v>
      </c>
      <c r="Q777">
        <v>891</v>
      </c>
      <c r="R777" t="s">
        <v>17</v>
      </c>
      <c r="S777" t="s">
        <v>18</v>
      </c>
      <c r="T777" t="s">
        <v>70</v>
      </c>
      <c r="U777" t="s">
        <v>71</v>
      </c>
      <c r="AI777" t="str">
        <f>HYPERLINK("https://sun1-91.userapi.com/QPVvj0h-kWTCCad1gQ0vaJlsuhLp9r6jS1EiDA/KNnyizfF0Fk.jpg")</f>
        <v>https://sun1-91.userapi.com/QPVvj0h-kWTCCad1gQ0vaJlsuhLp9r6jS1EiDA/KNnyizfF0Fk.jpg</v>
      </c>
      <c r="AJ777" t="s">
        <v>10</v>
      </c>
      <c r="AK777" t="s">
        <v>21</v>
      </c>
      <c r="AT777" t="s">
        <v>3245</v>
      </c>
      <c r="AY777" t="s">
        <v>3250</v>
      </c>
    </row>
    <row r="778" spans="1:51" x14ac:dyDescent="0.25">
      <c r="A778" t="s">
        <v>414</v>
      </c>
      <c r="B778" t="s">
        <v>477</v>
      </c>
      <c r="C778" t="s">
        <v>478</v>
      </c>
      <c r="D778" t="s">
        <v>24</v>
      </c>
      <c r="E778" t="s">
        <v>479</v>
      </c>
      <c r="F778" t="s">
        <v>26</v>
      </c>
      <c r="G778" t="str">
        <f>HYPERLINK("https://vk.com/wall-197114981_31?reply=1254&amp;thread=1253")</f>
        <v>https://vk.com/wall-197114981_31?reply=1254&amp;thread=1253</v>
      </c>
      <c r="H778" t="s">
        <v>13</v>
      </c>
      <c r="I778" t="s">
        <v>27</v>
      </c>
      <c r="J778" t="str">
        <f>HYPERLINK("http://vk.com/club197114981")</f>
        <v>http://vk.com/club197114981</v>
      </c>
      <c r="K778">
        <v>38</v>
      </c>
      <c r="L778" t="s">
        <v>28</v>
      </c>
      <c r="N778" t="s">
        <v>16</v>
      </c>
      <c r="O778" t="s">
        <v>27</v>
      </c>
      <c r="P778" t="str">
        <f>HYPERLINK("http://vk.com/club197114981")</f>
        <v>http://vk.com/club197114981</v>
      </c>
      <c r="Q778">
        <v>38</v>
      </c>
      <c r="R778" t="s">
        <v>17</v>
      </c>
      <c r="AJ778" t="s">
        <v>10</v>
      </c>
      <c r="AK778" t="s">
        <v>21</v>
      </c>
      <c r="AU778" t="s">
        <v>3246</v>
      </c>
      <c r="AW778" t="s">
        <v>3248</v>
      </c>
      <c r="AX778" t="s">
        <v>3249</v>
      </c>
      <c r="AY778" t="s">
        <v>3250</v>
      </c>
    </row>
    <row r="779" spans="1:51" x14ac:dyDescent="0.25">
      <c r="A779" t="s">
        <v>414</v>
      </c>
      <c r="B779" t="s">
        <v>745</v>
      </c>
      <c r="C779" t="s">
        <v>746</v>
      </c>
      <c r="D779" t="s">
        <v>24</v>
      </c>
      <c r="E779" t="s">
        <v>502</v>
      </c>
      <c r="F779" t="s">
        <v>26</v>
      </c>
      <c r="G779" t="str">
        <f>HYPERLINK("https://vk.com/wall-197114981_31?reply=1175&amp;thread=1098")</f>
        <v>https://vk.com/wall-197114981_31?reply=1175&amp;thread=1098</v>
      </c>
      <c r="H779" t="s">
        <v>13</v>
      </c>
      <c r="I779" t="s">
        <v>27</v>
      </c>
      <c r="J779" t="str">
        <f>HYPERLINK("http://vk.com/club197114981")</f>
        <v>http://vk.com/club197114981</v>
      </c>
      <c r="K779">
        <v>38</v>
      </c>
      <c r="L779" t="s">
        <v>28</v>
      </c>
      <c r="N779" t="s">
        <v>16</v>
      </c>
      <c r="O779" t="s">
        <v>27</v>
      </c>
      <c r="P779" t="str">
        <f>HYPERLINK("http://vk.com/club197114981")</f>
        <v>http://vk.com/club197114981</v>
      </c>
      <c r="Q779">
        <v>38</v>
      </c>
      <c r="R779" t="s">
        <v>17</v>
      </c>
      <c r="AJ779" t="s">
        <v>10</v>
      </c>
      <c r="AK779" t="s">
        <v>21</v>
      </c>
      <c r="AT779" t="s">
        <v>3245</v>
      </c>
      <c r="AW779" t="s">
        <v>3248</v>
      </c>
      <c r="AY779" t="s">
        <v>3250</v>
      </c>
    </row>
    <row r="780" spans="1:51" x14ac:dyDescent="0.25">
      <c r="A780" t="s">
        <v>1597</v>
      </c>
      <c r="B780" t="s">
        <v>637</v>
      </c>
      <c r="C780" t="s">
        <v>984</v>
      </c>
      <c r="D780" t="s">
        <v>992</v>
      </c>
      <c r="E780" t="s">
        <v>1694</v>
      </c>
      <c r="F780" t="s">
        <v>26</v>
      </c>
      <c r="G780" t="str">
        <f>HYPERLINK("https://www.google.com/maps/reviews/data=!4m5!14m4!1m3!1m2!1s103627796136806047233!2s0x0:0x51245643a6221378?hl=en-NL")</f>
        <v>https://www.google.com/maps/reviews/data=!4m5!14m4!1m3!1m2!1s103627796136806047233!2s0x0:0x51245643a6221378?hl=en-NL</v>
      </c>
      <c r="H780" t="s">
        <v>885</v>
      </c>
      <c r="I780" t="s">
        <v>992</v>
      </c>
      <c r="J780" t="str">
        <f>HYPERLINK("https://maps.google.com/maps/place/data=!3m1!4b1!4m5!3m4!1s0x0:0x51245643a6221378!8m2!3d60.029250!4d30.327430")</f>
        <v>https://maps.google.com/maps/place/data=!3m1!4b1!4m5!3m4!1s0x0:0x51245643a6221378!8m2!3d60.029250!4d30.327430</v>
      </c>
      <c r="N780" t="s">
        <v>615</v>
      </c>
      <c r="O780" t="s">
        <v>992</v>
      </c>
      <c r="P780" t="str">
        <f>HYPERLINK("https://maps.google.com/maps/place/data=!3m1!4b1!4m5!3m4!1s0x0:0x51245643a6221378!8m2!3d60.029250!4d30.327430")</f>
        <v>https://maps.google.com/maps/place/data=!3m1!4b1!4m5!3m4!1s0x0:0x51245643a6221378!8m2!3d60.029250!4d30.327430</v>
      </c>
      <c r="R780" t="s">
        <v>616</v>
      </c>
      <c r="S780" t="s">
        <v>18</v>
      </c>
      <c r="T780" t="s">
        <v>266</v>
      </c>
      <c r="U780" t="s">
        <v>1695</v>
      </c>
      <c r="AJ780" t="s">
        <v>10</v>
      </c>
      <c r="AK780" t="s">
        <v>21</v>
      </c>
      <c r="AT780" t="s">
        <v>3245</v>
      </c>
      <c r="AU780" t="s">
        <v>3246</v>
      </c>
      <c r="AV780" t="s">
        <v>3247</v>
      </c>
      <c r="AW780" t="s">
        <v>3248</v>
      </c>
      <c r="AY780" t="s">
        <v>3250</v>
      </c>
    </row>
    <row r="781" spans="1:51" x14ac:dyDescent="0.25">
      <c r="A781" t="s">
        <v>2193</v>
      </c>
      <c r="B781" t="s">
        <v>1093</v>
      </c>
      <c r="C781" t="s">
        <v>968</v>
      </c>
      <c r="D781" t="s">
        <v>10</v>
      </c>
      <c r="E781" t="s">
        <v>2235</v>
      </c>
      <c r="F781" t="s">
        <v>45</v>
      </c>
      <c r="G781" t="str">
        <f>HYPERLINK("https://www.facebook.com/mrtexpertrnd/posts/779050126172619")</f>
        <v>https://www.facebook.com/mrtexpertrnd/posts/779050126172619</v>
      </c>
      <c r="H781" t="s">
        <v>885</v>
      </c>
      <c r="I781" t="s">
        <v>125</v>
      </c>
      <c r="J781" t="str">
        <f>HYPERLINK("https://www.facebook.com/156600068417631")</f>
        <v>https://www.facebook.com/156600068417631</v>
      </c>
      <c r="K781">
        <v>236</v>
      </c>
      <c r="L781" t="s">
        <v>28</v>
      </c>
      <c r="N781" t="s">
        <v>179</v>
      </c>
      <c r="O781" t="s">
        <v>125</v>
      </c>
      <c r="P781" t="str">
        <f>HYPERLINK("https://www.facebook.com/156600068417631")</f>
        <v>https://www.facebook.com/156600068417631</v>
      </c>
      <c r="Q781">
        <v>236</v>
      </c>
      <c r="R781" t="s">
        <v>17</v>
      </c>
      <c r="S781" t="s">
        <v>18</v>
      </c>
      <c r="T781" t="s">
        <v>126</v>
      </c>
      <c r="U781" t="s">
        <v>127</v>
      </c>
      <c r="W781">
        <v>0</v>
      </c>
      <c r="X781">
        <v>0</v>
      </c>
      <c r="Y781">
        <v>0</v>
      </c>
      <c r="Z781">
        <v>0</v>
      </c>
      <c r="AA781">
        <v>0</v>
      </c>
      <c r="AB781">
        <v>0</v>
      </c>
      <c r="AC781">
        <v>0</v>
      </c>
      <c r="AE781">
        <v>0</v>
      </c>
      <c r="AI781" t="str">
        <f>HYPERLINK("https://scontent-hel2-1.xx.fbcdn.net/v/t1.0-9/110318733_779050006172631_8124714083972013697_o.jpg?_nc_cat=103&amp;_nc_sid=730e14&amp;_nc_ohc=tV_GH7IEJ_EAX8A1bHq&amp;_nc_ht=scontent-hel2-1.xx&amp;oh=3e23bd8f7fa15b3c25b11370f46238f1&amp;oe=5F3CCFC6")</f>
        <v>https://scontent-hel2-1.xx.fbcdn.net/v/t1.0-9/110318733_779050006172631_8124714083972013697_o.jpg?_nc_cat=103&amp;_nc_sid=730e14&amp;_nc_ohc=tV_GH7IEJ_EAX8A1bHq&amp;_nc_ht=scontent-hel2-1.xx&amp;oh=3e23bd8f7fa15b3c25b11370f46238f1&amp;oe=5F3CCFC6</v>
      </c>
      <c r="AJ781" t="s">
        <v>10</v>
      </c>
      <c r="AK781" t="s">
        <v>21</v>
      </c>
      <c r="AY781" t="s">
        <v>3250</v>
      </c>
    </row>
    <row r="782" spans="1:51" x14ac:dyDescent="0.25">
      <c r="A782" t="s">
        <v>2290</v>
      </c>
      <c r="B782" t="s">
        <v>1680</v>
      </c>
      <c r="C782" t="s">
        <v>968</v>
      </c>
      <c r="D782" t="s">
        <v>10</v>
      </c>
      <c r="E782" t="s">
        <v>2346</v>
      </c>
      <c r="F782" t="s">
        <v>45</v>
      </c>
      <c r="G782" t="str">
        <f>HYPERLINK("https://vk.com/wall-158633337_936")</f>
        <v>https://vk.com/wall-158633337_936</v>
      </c>
      <c r="H782" t="s">
        <v>889</v>
      </c>
      <c r="I782" t="s">
        <v>125</v>
      </c>
      <c r="J782" t="str">
        <f>HYPERLINK("http://vk.com/club158633337")</f>
        <v>http://vk.com/club158633337</v>
      </c>
      <c r="K782">
        <v>4852</v>
      </c>
      <c r="L782" t="s">
        <v>28</v>
      </c>
      <c r="N782" t="s">
        <v>16</v>
      </c>
      <c r="O782" t="s">
        <v>125</v>
      </c>
      <c r="P782" t="str">
        <f>HYPERLINK("http://vk.com/club158633337")</f>
        <v>http://vk.com/club158633337</v>
      </c>
      <c r="Q782">
        <v>4852</v>
      </c>
      <c r="R782" t="s">
        <v>17</v>
      </c>
      <c r="S782" t="s">
        <v>18</v>
      </c>
      <c r="T782" t="s">
        <v>126</v>
      </c>
      <c r="U782" t="s">
        <v>127</v>
      </c>
      <c r="W782">
        <v>0</v>
      </c>
      <c r="X782">
        <v>0</v>
      </c>
      <c r="AE782">
        <v>0</v>
      </c>
      <c r="AF782">
        <v>0</v>
      </c>
      <c r="AG782">
        <v>107</v>
      </c>
      <c r="AI782" t="str">
        <f>HYPERLINK("https://sun1-20.userapi.com/YIgSe_YtV5A5AdlxkUQOecGVBdRErjzUgjSbmA/34z4AERMb6s.jpg")</f>
        <v>https://sun1-20.userapi.com/YIgSe_YtV5A5AdlxkUQOecGVBdRErjzUgjSbmA/34z4AERMb6s.jpg</v>
      </c>
      <c r="AJ782" t="s">
        <v>10</v>
      </c>
      <c r="AK782" t="s">
        <v>21</v>
      </c>
      <c r="AY782" t="s">
        <v>3250</v>
      </c>
    </row>
    <row r="783" spans="1:51" x14ac:dyDescent="0.25">
      <c r="A783" t="s">
        <v>2380</v>
      </c>
      <c r="B783" t="s">
        <v>2394</v>
      </c>
      <c r="C783" t="s">
        <v>968</v>
      </c>
      <c r="D783" t="s">
        <v>10</v>
      </c>
      <c r="E783" t="s">
        <v>2395</v>
      </c>
      <c r="F783" t="s">
        <v>45</v>
      </c>
      <c r="G783" t="str">
        <f>HYPERLINK("https://vk.com/wall141293719_1670")</f>
        <v>https://vk.com/wall141293719_1670</v>
      </c>
      <c r="H783" t="s">
        <v>889</v>
      </c>
      <c r="I783" t="s">
        <v>1024</v>
      </c>
      <c r="J783" t="str">
        <f>HYPERLINK("http://vk.com/id141293719")</f>
        <v>http://vk.com/id141293719</v>
      </c>
      <c r="K783">
        <v>496</v>
      </c>
      <c r="L783" t="s">
        <v>80</v>
      </c>
      <c r="N783" t="s">
        <v>16</v>
      </c>
      <c r="O783" t="s">
        <v>1024</v>
      </c>
      <c r="P783" t="str">
        <f>HYPERLINK("http://vk.com/id141293719")</f>
        <v>http://vk.com/id141293719</v>
      </c>
      <c r="Q783">
        <v>496</v>
      </c>
      <c r="R783" t="s">
        <v>17</v>
      </c>
      <c r="S783" t="s">
        <v>18</v>
      </c>
      <c r="T783" t="s">
        <v>1015</v>
      </c>
      <c r="U783" t="s">
        <v>1016</v>
      </c>
      <c r="W783">
        <v>44</v>
      </c>
      <c r="X783">
        <v>44</v>
      </c>
      <c r="AE783">
        <v>0</v>
      </c>
      <c r="AF783">
        <v>0</v>
      </c>
      <c r="AG783">
        <v>433</v>
      </c>
      <c r="AI783" t="str">
        <f>HYPERLINK("https://sun2-3.userapi.com/A85zM4NEvLxhES9NeH7bTXZ5MkL0_rdaADX0wQ/99v00f_mUoA.jpg")</f>
        <v>https://sun2-3.userapi.com/A85zM4NEvLxhES9NeH7bTXZ5MkL0_rdaADX0wQ/99v00f_mUoA.jpg</v>
      </c>
      <c r="AJ783" t="s">
        <v>10</v>
      </c>
      <c r="AK783" t="s">
        <v>21</v>
      </c>
      <c r="AY783" t="s">
        <v>3250</v>
      </c>
    </row>
    <row r="784" spans="1:51" x14ac:dyDescent="0.25">
      <c r="A784" t="s">
        <v>3021</v>
      </c>
      <c r="B784" t="s">
        <v>3047</v>
      </c>
      <c r="C784" t="s">
        <v>968</v>
      </c>
      <c r="D784" t="s">
        <v>10</v>
      </c>
      <c r="E784" t="s">
        <v>3048</v>
      </c>
      <c r="F784" t="s">
        <v>45</v>
      </c>
      <c r="G784" t="str">
        <f>HYPERLINK("https://www.instagram.com/p/CCbBxXYhAPS")</f>
        <v>https://www.instagram.com/p/CCbBxXYhAPS</v>
      </c>
      <c r="H784" t="s">
        <v>889</v>
      </c>
      <c r="I784" t="s">
        <v>3049</v>
      </c>
      <c r="J784" t="str">
        <f>HYPERLINK("http://instagram.com/_ina_2")</f>
        <v>http://instagram.com/_ina_2</v>
      </c>
      <c r="K784">
        <v>2154</v>
      </c>
      <c r="N784" t="s">
        <v>69</v>
      </c>
      <c r="O784" t="s">
        <v>3049</v>
      </c>
      <c r="P784" t="str">
        <f>HYPERLINK("http://instagram.com/_ina_2")</f>
        <v>http://instagram.com/_ina_2</v>
      </c>
      <c r="Q784">
        <v>2154</v>
      </c>
      <c r="R784" t="s">
        <v>17</v>
      </c>
      <c r="S784" t="s">
        <v>18</v>
      </c>
      <c r="T784" t="s">
        <v>1015</v>
      </c>
      <c r="U784" t="s">
        <v>3050</v>
      </c>
      <c r="AI784" t="str">
        <f>HYPERLINK("https://www.instagram.com/p/CCbBxXYhAPS/media/?size=l")</f>
        <v>https://www.instagram.com/p/CCbBxXYhAPS/media/?size=l</v>
      </c>
      <c r="AJ784" t="s">
        <v>10</v>
      </c>
      <c r="AK784" t="s">
        <v>21</v>
      </c>
      <c r="AY784" t="s">
        <v>3250</v>
      </c>
    </row>
    <row r="785" spans="1:51" x14ac:dyDescent="0.25">
      <c r="A785" t="s">
        <v>414</v>
      </c>
      <c r="B785" t="s">
        <v>120</v>
      </c>
      <c r="C785" t="s">
        <v>630</v>
      </c>
      <c r="D785" t="s">
        <v>24</v>
      </c>
      <c r="E785" t="s">
        <v>631</v>
      </c>
      <c r="F785" t="s">
        <v>26</v>
      </c>
      <c r="G785" t="str">
        <f>HYPERLINK("https://vk.com/wall-197114981_31?reply=1204&amp;thread=1203")</f>
        <v>https://vk.com/wall-197114981_31?reply=1204&amp;thread=1203</v>
      </c>
      <c r="H785" t="s">
        <v>13</v>
      </c>
      <c r="I785" t="s">
        <v>27</v>
      </c>
      <c r="J785" t="str">
        <f>HYPERLINK("http://vk.com/club197114981")</f>
        <v>http://vk.com/club197114981</v>
      </c>
      <c r="K785">
        <v>38</v>
      </c>
      <c r="L785" t="s">
        <v>28</v>
      </c>
      <c r="N785" t="s">
        <v>16</v>
      </c>
      <c r="O785" t="s">
        <v>27</v>
      </c>
      <c r="P785" t="str">
        <f>HYPERLINK("http://vk.com/club197114981")</f>
        <v>http://vk.com/club197114981</v>
      </c>
      <c r="Q785">
        <v>38</v>
      </c>
      <c r="R785" t="s">
        <v>17</v>
      </c>
      <c r="AJ785" t="s">
        <v>10</v>
      </c>
      <c r="AK785" t="s">
        <v>21</v>
      </c>
      <c r="AY785" t="s">
        <v>3250</v>
      </c>
    </row>
    <row r="786" spans="1:51" x14ac:dyDescent="0.25">
      <c r="A786" t="s">
        <v>414</v>
      </c>
      <c r="B786" t="s">
        <v>243</v>
      </c>
      <c r="C786" t="s">
        <v>701</v>
      </c>
      <c r="D786" t="s">
        <v>24</v>
      </c>
      <c r="E786" t="s">
        <v>702</v>
      </c>
      <c r="F786" t="s">
        <v>26</v>
      </c>
      <c r="G786" t="str">
        <f>HYPERLINK("https://vk.com/wall-197114981_31?reply=1187")</f>
        <v>https://vk.com/wall-197114981_31?reply=1187</v>
      </c>
      <c r="H786" t="s">
        <v>13</v>
      </c>
      <c r="I786" t="s">
        <v>633</v>
      </c>
      <c r="J786" t="str">
        <f>HYPERLINK("http://vk.com/id531667777")</f>
        <v>http://vk.com/id531667777</v>
      </c>
      <c r="K786">
        <v>756</v>
      </c>
      <c r="L786" t="s">
        <v>80</v>
      </c>
      <c r="M786">
        <v>24</v>
      </c>
      <c r="N786" t="s">
        <v>16</v>
      </c>
      <c r="O786" t="s">
        <v>27</v>
      </c>
      <c r="P786" t="str">
        <f>HYPERLINK("http://vk.com/club197114981")</f>
        <v>http://vk.com/club197114981</v>
      </c>
      <c r="Q786">
        <v>38</v>
      </c>
      <c r="R786" t="s">
        <v>17</v>
      </c>
      <c r="S786" t="s">
        <v>18</v>
      </c>
      <c r="T786" t="s">
        <v>231</v>
      </c>
      <c r="U786" t="s">
        <v>232</v>
      </c>
      <c r="AJ786" t="s">
        <v>10</v>
      </c>
      <c r="AK786" t="s">
        <v>21</v>
      </c>
      <c r="AY786" t="s">
        <v>3250</v>
      </c>
    </row>
    <row r="787" spans="1:51" x14ac:dyDescent="0.25">
      <c r="A787" t="s">
        <v>414</v>
      </c>
      <c r="B787" t="s">
        <v>708</v>
      </c>
      <c r="C787" t="s">
        <v>709</v>
      </c>
      <c r="D787" t="s">
        <v>24</v>
      </c>
      <c r="E787" t="s">
        <v>710</v>
      </c>
      <c r="F787" t="s">
        <v>26</v>
      </c>
      <c r="G787" t="str">
        <f>HYPERLINK("https://vk.com/wall-197114981_31?reply=1183&amp;thread=1182")</f>
        <v>https://vk.com/wall-197114981_31?reply=1183&amp;thread=1182</v>
      </c>
      <c r="H787" t="s">
        <v>13</v>
      </c>
      <c r="I787" t="s">
        <v>27</v>
      </c>
      <c r="J787" t="str">
        <f>HYPERLINK("http://vk.com/club197114981")</f>
        <v>http://vk.com/club197114981</v>
      </c>
      <c r="K787">
        <v>38</v>
      </c>
      <c r="L787" t="s">
        <v>28</v>
      </c>
      <c r="N787" t="s">
        <v>16</v>
      </c>
      <c r="O787" t="s">
        <v>27</v>
      </c>
      <c r="P787" t="str">
        <f>HYPERLINK("http://vk.com/club197114981")</f>
        <v>http://vk.com/club197114981</v>
      </c>
      <c r="Q787">
        <v>38</v>
      </c>
      <c r="R787" t="s">
        <v>17</v>
      </c>
      <c r="AJ787" t="s">
        <v>10</v>
      </c>
      <c r="AK787" t="s">
        <v>21</v>
      </c>
      <c r="AL787" t="s">
        <v>3237</v>
      </c>
      <c r="AV787" t="s">
        <v>3247</v>
      </c>
      <c r="AW787" t="s">
        <v>3248</v>
      </c>
      <c r="AX787" t="s">
        <v>3249</v>
      </c>
      <c r="AY787" t="s">
        <v>3250</v>
      </c>
    </row>
    <row r="788" spans="1:51" x14ac:dyDescent="0.25">
      <c r="A788" t="s">
        <v>1352</v>
      </c>
      <c r="B788" t="s">
        <v>1093</v>
      </c>
      <c r="C788" t="s">
        <v>984</v>
      </c>
      <c r="D788" t="s">
        <v>10</v>
      </c>
      <c r="E788" t="s">
        <v>1408</v>
      </c>
      <c r="F788" t="s">
        <v>45</v>
      </c>
      <c r="G788" t="str">
        <f>HYPERLINK("https://www.facebook.com/clinicexpertrnd/posts/786654238745541")</f>
        <v>https://www.facebook.com/clinicexpertrnd/posts/786654238745541</v>
      </c>
      <c r="H788" t="s">
        <v>885</v>
      </c>
      <c r="I788" t="s">
        <v>125</v>
      </c>
      <c r="J788" t="str">
        <f>HYPERLINK("https://www.facebook.com/156600068417631")</f>
        <v>https://www.facebook.com/156600068417631</v>
      </c>
      <c r="K788">
        <v>236</v>
      </c>
      <c r="L788" t="s">
        <v>28</v>
      </c>
      <c r="N788" t="s">
        <v>179</v>
      </c>
      <c r="O788" t="s">
        <v>125</v>
      </c>
      <c r="P788" t="str">
        <f>HYPERLINK("https://www.facebook.com/156600068417631")</f>
        <v>https://www.facebook.com/156600068417631</v>
      </c>
      <c r="Q788">
        <v>236</v>
      </c>
      <c r="R788" t="s">
        <v>17</v>
      </c>
      <c r="S788" t="s">
        <v>18</v>
      </c>
      <c r="T788" t="s">
        <v>126</v>
      </c>
      <c r="U788" t="s">
        <v>127</v>
      </c>
      <c r="W788">
        <v>0</v>
      </c>
      <c r="X788">
        <v>0</v>
      </c>
      <c r="Y788">
        <v>0</v>
      </c>
      <c r="Z788">
        <v>0</v>
      </c>
      <c r="AA788">
        <v>0</v>
      </c>
      <c r="AB788">
        <v>0</v>
      </c>
      <c r="AC788">
        <v>0</v>
      </c>
      <c r="AE788">
        <v>0</v>
      </c>
      <c r="AI788" t="s">
        <v>1409</v>
      </c>
      <c r="AJ788" t="s">
        <v>10</v>
      </c>
      <c r="AK788" t="s">
        <v>21</v>
      </c>
      <c r="AU788" t="s">
        <v>3246</v>
      </c>
      <c r="AV788" t="s">
        <v>3247</v>
      </c>
      <c r="AX788" t="s">
        <v>3249</v>
      </c>
      <c r="AY788" t="s">
        <v>3250</v>
      </c>
    </row>
    <row r="789" spans="1:51" x14ac:dyDescent="0.25">
      <c r="A789" t="s">
        <v>1462</v>
      </c>
      <c r="B789" t="s">
        <v>1477</v>
      </c>
      <c r="C789" t="s">
        <v>984</v>
      </c>
      <c r="D789" t="s">
        <v>10</v>
      </c>
      <c r="E789" t="s">
        <v>1478</v>
      </c>
      <c r="F789" t="s">
        <v>45</v>
      </c>
      <c r="G789" t="str">
        <f>HYPERLINK("https://www.facebook.com/mriexpert/posts/3232728023460319")</f>
        <v>https://www.facebook.com/mriexpert/posts/3232728023460319</v>
      </c>
      <c r="H789" t="s">
        <v>885</v>
      </c>
      <c r="I789" t="s">
        <v>46</v>
      </c>
      <c r="J789" t="str">
        <f>HYPERLINK("https://www.facebook.com/902980129768465")</f>
        <v>https://www.facebook.com/902980129768465</v>
      </c>
      <c r="K789">
        <v>1509</v>
      </c>
      <c r="L789" t="s">
        <v>28</v>
      </c>
      <c r="N789" t="s">
        <v>179</v>
      </c>
      <c r="O789" t="s">
        <v>46</v>
      </c>
      <c r="P789" t="str">
        <f>HYPERLINK("https://www.facebook.com/902980129768465")</f>
        <v>https://www.facebook.com/902980129768465</v>
      </c>
      <c r="Q789">
        <v>1509</v>
      </c>
      <c r="R789" t="s">
        <v>17</v>
      </c>
      <c r="W789">
        <v>1</v>
      </c>
      <c r="X789">
        <v>1</v>
      </c>
      <c r="Y789">
        <v>0</v>
      </c>
      <c r="Z789">
        <v>0</v>
      </c>
      <c r="AA789">
        <v>0</v>
      </c>
      <c r="AB789">
        <v>0</v>
      </c>
      <c r="AC789">
        <v>0</v>
      </c>
      <c r="AE789">
        <v>0</v>
      </c>
      <c r="AF789">
        <v>3</v>
      </c>
      <c r="AI789" t="str">
        <f>HYPERLINK("https://scontent-hel2-1.xx.fbcdn.net/v/t1.0-9/s960x960/116797085_3232727406793714_1278046593897551564_o.jpg?_nc_cat=110&amp;_nc_sid=730e14&amp;_nc_ohc=5igo6bllJZ8AX-t8--D&amp;_nc_ht=scontent-hel2-1.xx&amp;_nc_tp=7&amp;oh=240ee88126849d7b539ed72d6016729b&amp;oe=5F4B7721")</f>
        <v>https://scontent-hel2-1.xx.fbcdn.net/v/t1.0-9/s960x960/116797085_3232727406793714_1278046593897551564_o.jpg?_nc_cat=110&amp;_nc_sid=730e14&amp;_nc_ohc=5igo6bllJZ8AX-t8--D&amp;_nc_ht=scontent-hel2-1.xx&amp;_nc_tp=7&amp;oh=240ee88126849d7b539ed72d6016729b&amp;oe=5F4B7721</v>
      </c>
      <c r="AJ789" t="s">
        <v>10</v>
      </c>
      <c r="AK789" t="s">
        <v>21</v>
      </c>
      <c r="AU789" t="s">
        <v>3246</v>
      </c>
      <c r="AW789" t="s">
        <v>3248</v>
      </c>
      <c r="AY789" t="s">
        <v>3250</v>
      </c>
    </row>
    <row r="790" spans="1:51" x14ac:dyDescent="0.25">
      <c r="A790" t="s">
        <v>1982</v>
      </c>
      <c r="B790" t="s">
        <v>2003</v>
      </c>
      <c r="C790" t="s">
        <v>968</v>
      </c>
      <c r="D790" t="s">
        <v>421</v>
      </c>
      <c r="E790" t="s">
        <v>2004</v>
      </c>
      <c r="F790" t="s">
        <v>26</v>
      </c>
      <c r="G790" t="str">
        <f>HYPERLINK("https://www.youtube.com/watch?v=gaka1vqYFNs&amp;lc=Ugx9FOirWgWRMHg8djp4AaABAg")</f>
        <v>https://www.youtube.com/watch?v=gaka1vqYFNs&amp;lc=Ugx9FOirWgWRMHg8djp4AaABAg</v>
      </c>
      <c r="H790" t="s">
        <v>885</v>
      </c>
      <c r="I790" t="s">
        <v>2005</v>
      </c>
      <c r="J790" t="str">
        <f>HYPERLINK("https://www.youtube.com/channel/UCns_6pVdM8kSsWdpGcclqgA")</f>
        <v>https://www.youtube.com/channel/UCns_6pVdM8kSsWdpGcclqgA</v>
      </c>
      <c r="K790">
        <v>13</v>
      </c>
      <c r="L790" t="s">
        <v>15</v>
      </c>
      <c r="N790" t="s">
        <v>162</v>
      </c>
      <c r="O790" t="s">
        <v>424</v>
      </c>
      <c r="P790" t="str">
        <f>HYPERLINK("https://www.youtube.com/channel/UC8fQzKHIhSoZeSq3bwQx4mw")</f>
        <v>https://www.youtube.com/channel/UC8fQzKHIhSoZeSq3bwQx4mw</v>
      </c>
      <c r="Q790">
        <v>517000</v>
      </c>
      <c r="R790" t="s">
        <v>17</v>
      </c>
      <c r="S790" t="s">
        <v>425</v>
      </c>
      <c r="W790">
        <v>0</v>
      </c>
      <c r="X790">
        <v>0</v>
      </c>
      <c r="AE790">
        <v>0</v>
      </c>
      <c r="AJ790" t="s">
        <v>10</v>
      </c>
      <c r="AK790" t="s">
        <v>21</v>
      </c>
      <c r="AV790" t="s">
        <v>3247</v>
      </c>
      <c r="AY790" t="s">
        <v>3250</v>
      </c>
    </row>
    <row r="791" spans="1:51" x14ac:dyDescent="0.25">
      <c r="A791" t="s">
        <v>2767</v>
      </c>
      <c r="B791" t="s">
        <v>233</v>
      </c>
      <c r="C791" t="s">
        <v>968</v>
      </c>
      <c r="D791" t="s">
        <v>10</v>
      </c>
      <c r="E791" t="s">
        <v>2852</v>
      </c>
      <c r="F791" t="s">
        <v>45</v>
      </c>
      <c r="G791" t="str">
        <f>HYPERLINK("https://www.instagram.com/p/CCkoAL-l3E6")</f>
        <v>https://www.instagram.com/p/CCkoAL-l3E6</v>
      </c>
      <c r="H791" t="s">
        <v>885</v>
      </c>
      <c r="I791" t="s">
        <v>68</v>
      </c>
      <c r="J791" t="str">
        <f>HYPERLINK("http://instagram.com/mrt_expert_62")</f>
        <v>http://instagram.com/mrt_expert_62</v>
      </c>
      <c r="K791">
        <v>484</v>
      </c>
      <c r="L791" t="s">
        <v>28</v>
      </c>
      <c r="N791" t="s">
        <v>69</v>
      </c>
      <c r="O791" t="s">
        <v>68</v>
      </c>
      <c r="P791" t="str">
        <f>HYPERLINK("http://instagram.com/mrt_expert_62")</f>
        <v>http://instagram.com/mrt_expert_62</v>
      </c>
      <c r="Q791">
        <v>484</v>
      </c>
      <c r="R791" t="s">
        <v>17</v>
      </c>
      <c r="S791" t="s">
        <v>18</v>
      </c>
      <c r="T791" t="s">
        <v>70</v>
      </c>
      <c r="U791" t="s">
        <v>71</v>
      </c>
      <c r="AI791" t="str">
        <f>HYPERLINK("https://www.instagram.com/p/CCkoAL-l3E6/media/?size=l")</f>
        <v>https://www.instagram.com/p/CCkoAL-l3E6/media/?size=l</v>
      </c>
      <c r="AJ791" t="s">
        <v>10</v>
      </c>
      <c r="AK791" t="s">
        <v>21</v>
      </c>
      <c r="AV791" t="s">
        <v>3247</v>
      </c>
      <c r="AW791" t="s">
        <v>3248</v>
      </c>
      <c r="AY791" t="s">
        <v>3250</v>
      </c>
    </row>
    <row r="792" spans="1:51" x14ac:dyDescent="0.25">
      <c r="A792" t="s">
        <v>3021</v>
      </c>
      <c r="B792" t="s">
        <v>1201</v>
      </c>
      <c r="C792" t="s">
        <v>968</v>
      </c>
      <c r="D792" t="s">
        <v>10</v>
      </c>
      <c r="E792" t="s">
        <v>2750</v>
      </c>
      <c r="F792" t="s">
        <v>45</v>
      </c>
      <c r="G792" t="str">
        <f>HYPERLINK("https://vk.com/wall-48669646_10143")</f>
        <v>https://vk.com/wall-48669646_10143</v>
      </c>
      <c r="H792" t="s">
        <v>885</v>
      </c>
      <c r="I792" t="s">
        <v>46</v>
      </c>
      <c r="J792" t="str">
        <f>HYPERLINK("http://vk.com/club48669646")</f>
        <v>http://vk.com/club48669646</v>
      </c>
      <c r="K792">
        <v>5795</v>
      </c>
      <c r="L792" t="s">
        <v>28</v>
      </c>
      <c r="N792" t="s">
        <v>16</v>
      </c>
      <c r="O792" t="s">
        <v>46</v>
      </c>
      <c r="P792" t="str">
        <f>HYPERLINK("http://vk.com/club48669646")</f>
        <v>http://vk.com/club48669646</v>
      </c>
      <c r="Q792">
        <v>5795</v>
      </c>
      <c r="R792" t="s">
        <v>17</v>
      </c>
      <c r="S792" t="s">
        <v>18</v>
      </c>
      <c r="W792">
        <v>2</v>
      </c>
      <c r="X792">
        <v>2</v>
      </c>
      <c r="AE792">
        <v>0</v>
      </c>
      <c r="AF792">
        <v>1</v>
      </c>
      <c r="AG792">
        <v>422</v>
      </c>
      <c r="AI792" t="str">
        <f>HYPERLINK("https://sun1-94.userapi.com/4ZoS-0bwCXtitCsm57BtKiqXAlaI5U54blJYtg/j_2Ptlb6Krw.jpg")</f>
        <v>https://sun1-94.userapi.com/4ZoS-0bwCXtitCsm57BtKiqXAlaI5U54blJYtg/j_2Ptlb6Krw.jpg</v>
      </c>
      <c r="AJ792" t="s">
        <v>10</v>
      </c>
      <c r="AK792" t="s">
        <v>21</v>
      </c>
      <c r="AU792" t="s">
        <v>3246</v>
      </c>
      <c r="AX792" t="s">
        <v>3249</v>
      </c>
      <c r="AY792" t="s">
        <v>3250</v>
      </c>
    </row>
    <row r="793" spans="1:51" x14ac:dyDescent="0.25">
      <c r="A793" t="s">
        <v>7</v>
      </c>
      <c r="B793" t="s">
        <v>90</v>
      </c>
      <c r="C793" t="s">
        <v>94</v>
      </c>
      <c r="D793" t="s">
        <v>24</v>
      </c>
      <c r="E793" t="s">
        <v>96</v>
      </c>
      <c r="F793" t="s">
        <v>26</v>
      </c>
      <c r="G793" t="str">
        <f>HYPERLINK("https://vk.com/wall-197114981_31?reply=1368")</f>
        <v>https://vk.com/wall-197114981_31?reply=1368</v>
      </c>
      <c r="H793" t="s">
        <v>13</v>
      </c>
      <c r="I793" t="s">
        <v>79</v>
      </c>
      <c r="J793" t="str">
        <f>HYPERLINK("http://vk.com/id95456096")</f>
        <v>http://vk.com/id95456096</v>
      </c>
      <c r="K793">
        <v>1176</v>
      </c>
      <c r="L793" t="s">
        <v>80</v>
      </c>
      <c r="N793" t="s">
        <v>16</v>
      </c>
      <c r="O793" t="s">
        <v>27</v>
      </c>
      <c r="P793" t="str">
        <f>HYPERLINK("http://vk.com/club197114981")</f>
        <v>http://vk.com/club197114981</v>
      </c>
      <c r="Q793">
        <v>38</v>
      </c>
      <c r="R793" t="s">
        <v>17</v>
      </c>
      <c r="S793" t="s">
        <v>18</v>
      </c>
      <c r="AJ793" t="s">
        <v>10</v>
      </c>
      <c r="AK793" t="s">
        <v>21</v>
      </c>
      <c r="AU793" t="s">
        <v>3246</v>
      </c>
      <c r="AV793" t="s">
        <v>3247</v>
      </c>
      <c r="AY793" t="s">
        <v>3250</v>
      </c>
    </row>
    <row r="794" spans="1:51" x14ac:dyDescent="0.25">
      <c r="A794" t="s">
        <v>7</v>
      </c>
      <c r="B794" t="s">
        <v>99</v>
      </c>
      <c r="C794" t="s">
        <v>100</v>
      </c>
      <c r="D794" t="s">
        <v>24</v>
      </c>
      <c r="E794" t="s">
        <v>101</v>
      </c>
      <c r="F794" t="s">
        <v>26</v>
      </c>
      <c r="G794" t="str">
        <f>HYPERLINK("https://vk.com/wall-197114981_31?reply=1366&amp;thread=1362")</f>
        <v>https://vk.com/wall-197114981_31?reply=1366&amp;thread=1362</v>
      </c>
      <c r="H794" t="s">
        <v>13</v>
      </c>
      <c r="I794" t="s">
        <v>27</v>
      </c>
      <c r="J794" t="str">
        <f>HYPERLINK("http://vk.com/club197114981")</f>
        <v>http://vk.com/club197114981</v>
      </c>
      <c r="K794">
        <v>38</v>
      </c>
      <c r="L794" t="s">
        <v>28</v>
      </c>
      <c r="N794" t="s">
        <v>16</v>
      </c>
      <c r="O794" t="s">
        <v>27</v>
      </c>
      <c r="P794" t="str">
        <f>HYPERLINK("http://vk.com/club197114981")</f>
        <v>http://vk.com/club197114981</v>
      </c>
      <c r="Q794">
        <v>38</v>
      </c>
      <c r="R794" t="s">
        <v>17</v>
      </c>
      <c r="AJ794" t="s">
        <v>10</v>
      </c>
      <c r="AK794" t="s">
        <v>21</v>
      </c>
      <c r="AU794" t="s">
        <v>3246</v>
      </c>
      <c r="AX794" t="s">
        <v>3249</v>
      </c>
      <c r="AY794" t="s">
        <v>3250</v>
      </c>
    </row>
    <row r="795" spans="1:51" x14ac:dyDescent="0.25">
      <c r="A795" t="s">
        <v>7</v>
      </c>
      <c r="B795" t="s">
        <v>102</v>
      </c>
      <c r="C795" t="s">
        <v>103</v>
      </c>
      <c r="D795" t="s">
        <v>24</v>
      </c>
      <c r="E795" t="s">
        <v>104</v>
      </c>
      <c r="F795" t="s">
        <v>26</v>
      </c>
      <c r="G795" t="str">
        <f>HYPERLINK("https://vk.com/wall-197114981_31?reply=1365&amp;thread=1364")</f>
        <v>https://vk.com/wall-197114981_31?reply=1365&amp;thread=1364</v>
      </c>
      <c r="H795" t="s">
        <v>13</v>
      </c>
      <c r="I795" t="s">
        <v>27</v>
      </c>
      <c r="J795" t="str">
        <f>HYPERLINK("http://vk.com/club197114981")</f>
        <v>http://vk.com/club197114981</v>
      </c>
      <c r="K795">
        <v>38</v>
      </c>
      <c r="L795" t="s">
        <v>28</v>
      </c>
      <c r="N795" t="s">
        <v>16</v>
      </c>
      <c r="O795" t="s">
        <v>27</v>
      </c>
      <c r="P795" t="str">
        <f>HYPERLINK("http://vk.com/club197114981")</f>
        <v>http://vk.com/club197114981</v>
      </c>
      <c r="Q795">
        <v>38</v>
      </c>
      <c r="R795" t="s">
        <v>17</v>
      </c>
      <c r="AJ795" t="s">
        <v>10</v>
      </c>
      <c r="AK795" t="s">
        <v>21</v>
      </c>
      <c r="AM795" t="s">
        <v>3238</v>
      </c>
      <c r="AU795" t="s">
        <v>3246</v>
      </c>
      <c r="AV795" t="s">
        <v>3247</v>
      </c>
      <c r="AW795" t="s">
        <v>3248</v>
      </c>
      <c r="AX795" t="s">
        <v>3249</v>
      </c>
      <c r="AY795" t="s">
        <v>3250</v>
      </c>
    </row>
    <row r="796" spans="1:51" x14ac:dyDescent="0.25">
      <c r="A796" t="s">
        <v>414</v>
      </c>
      <c r="B796" t="s">
        <v>569</v>
      </c>
      <c r="C796" t="s">
        <v>570</v>
      </c>
      <c r="D796" t="s">
        <v>24</v>
      </c>
      <c r="E796" t="s">
        <v>443</v>
      </c>
      <c r="F796" t="s">
        <v>26</v>
      </c>
      <c r="G796" t="str">
        <f>HYPERLINK("https://vk.com/wall-197114981_31?reply=1227&amp;thread=1206")</f>
        <v>https://vk.com/wall-197114981_31?reply=1227&amp;thread=1206</v>
      </c>
      <c r="H796" t="s">
        <v>13</v>
      </c>
      <c r="I796" t="s">
        <v>27</v>
      </c>
      <c r="J796" t="str">
        <f>HYPERLINK("http://vk.com/club197114981")</f>
        <v>http://vk.com/club197114981</v>
      </c>
      <c r="K796">
        <v>38</v>
      </c>
      <c r="L796" t="s">
        <v>28</v>
      </c>
      <c r="N796" t="s">
        <v>16</v>
      </c>
      <c r="O796" t="s">
        <v>27</v>
      </c>
      <c r="P796" t="str">
        <f>HYPERLINK("http://vk.com/club197114981")</f>
        <v>http://vk.com/club197114981</v>
      </c>
      <c r="Q796">
        <v>38</v>
      </c>
      <c r="R796" t="s">
        <v>17</v>
      </c>
      <c r="AJ796" t="s">
        <v>10</v>
      </c>
      <c r="AK796" t="s">
        <v>21</v>
      </c>
      <c r="AV796" t="s">
        <v>3247</v>
      </c>
      <c r="AW796" t="s">
        <v>3248</v>
      </c>
      <c r="AY796" t="s">
        <v>3250</v>
      </c>
    </row>
    <row r="797" spans="1:51" x14ac:dyDescent="0.25">
      <c r="A797" t="s">
        <v>414</v>
      </c>
      <c r="B797" t="s">
        <v>90</v>
      </c>
      <c r="C797" t="s">
        <v>593</v>
      </c>
      <c r="D797" t="s">
        <v>24</v>
      </c>
      <c r="E797" t="s">
        <v>597</v>
      </c>
      <c r="F797" t="s">
        <v>26</v>
      </c>
      <c r="G797" t="str">
        <f>HYPERLINK("https://vk.com/wall-197114981_31?reply=1218&amp;thread=1217")</f>
        <v>https://vk.com/wall-197114981_31?reply=1218&amp;thread=1217</v>
      </c>
      <c r="H797" t="s">
        <v>13</v>
      </c>
      <c r="I797" t="s">
        <v>27</v>
      </c>
      <c r="J797" t="str">
        <f>HYPERLINK("http://vk.com/club197114981")</f>
        <v>http://vk.com/club197114981</v>
      </c>
      <c r="K797">
        <v>38</v>
      </c>
      <c r="L797" t="s">
        <v>28</v>
      </c>
      <c r="N797" t="s">
        <v>16</v>
      </c>
      <c r="O797" t="s">
        <v>27</v>
      </c>
      <c r="P797" t="str">
        <f>HYPERLINK("http://vk.com/club197114981")</f>
        <v>http://vk.com/club197114981</v>
      </c>
      <c r="Q797">
        <v>38</v>
      </c>
      <c r="R797" t="s">
        <v>17</v>
      </c>
      <c r="AJ797" t="s">
        <v>10</v>
      </c>
      <c r="AK797" t="s">
        <v>21</v>
      </c>
      <c r="AL797" t="s">
        <v>3237</v>
      </c>
      <c r="AW797" t="s">
        <v>3248</v>
      </c>
      <c r="AX797" t="s">
        <v>3249</v>
      </c>
      <c r="AY797" t="s">
        <v>3250</v>
      </c>
    </row>
    <row r="798" spans="1:51" x14ac:dyDescent="0.25">
      <c r="A798" t="s">
        <v>1277</v>
      </c>
      <c r="B798" t="s">
        <v>1336</v>
      </c>
      <c r="C798" t="s">
        <v>984</v>
      </c>
      <c r="D798" t="s">
        <v>1337</v>
      </c>
      <c r="E798" t="s">
        <v>1338</v>
      </c>
      <c r="F798" t="s">
        <v>45</v>
      </c>
      <c r="G798" t="str">
        <f>HYPERLINK("http://dominickexphz.digiblogbox.com/18924236/clinical-pilates-singapore-options")</f>
        <v>http://dominickexphz.digiblogbox.com/18924236/clinical-pilates-singapore-options</v>
      </c>
      <c r="H798" t="s">
        <v>885</v>
      </c>
      <c r="N798" t="s">
        <v>1339</v>
      </c>
      <c r="R798" t="s">
        <v>966</v>
      </c>
      <c r="S798" t="s">
        <v>425</v>
      </c>
      <c r="AJ798" t="s">
        <v>10</v>
      </c>
      <c r="AK798" t="s">
        <v>21</v>
      </c>
      <c r="AU798" t="s">
        <v>3246</v>
      </c>
      <c r="AX798" t="s">
        <v>3249</v>
      </c>
      <c r="AY798" t="s">
        <v>3250</v>
      </c>
    </row>
    <row r="799" spans="1:51" x14ac:dyDescent="0.25">
      <c r="A799" t="s">
        <v>1462</v>
      </c>
      <c r="B799" t="s">
        <v>1201</v>
      </c>
      <c r="C799" t="s">
        <v>984</v>
      </c>
      <c r="D799" t="s">
        <v>10</v>
      </c>
      <c r="E799" t="s">
        <v>1494</v>
      </c>
      <c r="F799" t="s">
        <v>12</v>
      </c>
      <c r="G799" t="str">
        <f>HYPERLINK("https://vk.com/wall52949648_2057")</f>
        <v>https://vk.com/wall52949648_2057</v>
      </c>
      <c r="H799" t="s">
        <v>889</v>
      </c>
      <c r="I799" t="s">
        <v>1076</v>
      </c>
      <c r="J799" t="str">
        <f>HYPERLINK("http://vk.com/id52949648")</f>
        <v>http://vk.com/id52949648</v>
      </c>
      <c r="K799">
        <v>389</v>
      </c>
      <c r="L799" t="s">
        <v>80</v>
      </c>
      <c r="N799" t="s">
        <v>16</v>
      </c>
      <c r="O799" t="s">
        <v>1076</v>
      </c>
      <c r="P799" t="str">
        <f>HYPERLINK("http://vk.com/id52949648")</f>
        <v>http://vk.com/id52949648</v>
      </c>
      <c r="Q799">
        <v>389</v>
      </c>
      <c r="R799" t="s">
        <v>17</v>
      </c>
      <c r="S799" t="s">
        <v>18</v>
      </c>
      <c r="T799" t="s">
        <v>1015</v>
      </c>
      <c r="U799" t="s">
        <v>1016</v>
      </c>
      <c r="W799">
        <v>0</v>
      </c>
      <c r="X799">
        <v>0</v>
      </c>
      <c r="AE799">
        <v>0</v>
      </c>
      <c r="AF799">
        <v>0</v>
      </c>
      <c r="AG799">
        <v>16</v>
      </c>
      <c r="AI799" t="str">
        <f>HYPERLINK("https://sun1-88.userapi.com/Jil7nnwu2eqP8sI56z9xQDlnYI3CE8smkQb0jw/Any2w2V3Slk.jpg")</f>
        <v>https://sun1-88.userapi.com/Jil7nnwu2eqP8sI56z9xQDlnYI3CE8smkQb0jw/Any2w2V3Slk.jpg</v>
      </c>
      <c r="AJ799" t="s">
        <v>10</v>
      </c>
      <c r="AK799" t="s">
        <v>21</v>
      </c>
      <c r="AT799" t="s">
        <v>3245</v>
      </c>
      <c r="AU799" t="s">
        <v>3246</v>
      </c>
      <c r="AX799" t="s">
        <v>3249</v>
      </c>
      <c r="AY799" t="s">
        <v>3250</v>
      </c>
    </row>
    <row r="800" spans="1:51" x14ac:dyDescent="0.25">
      <c r="A800" t="s">
        <v>1518</v>
      </c>
      <c r="B800" t="s">
        <v>1527</v>
      </c>
      <c r="C800" t="s">
        <v>984</v>
      </c>
      <c r="D800" t="s">
        <v>10</v>
      </c>
      <c r="E800" t="s">
        <v>1528</v>
      </c>
      <c r="F800" t="s">
        <v>45</v>
      </c>
      <c r="G800" t="str">
        <f>HYPERLINK("https://www.facebook.com/straysworthsaving/posts/328445361895698")</f>
        <v>https://www.facebook.com/straysworthsaving/posts/328445361895698</v>
      </c>
      <c r="H800" t="s">
        <v>889</v>
      </c>
      <c r="I800" t="s">
        <v>1529</v>
      </c>
      <c r="J800" t="str">
        <f>HYPERLINK("https://www.facebook.com/103683861038517")</f>
        <v>https://www.facebook.com/103683861038517</v>
      </c>
      <c r="K800">
        <v>21459</v>
      </c>
      <c r="L800" t="s">
        <v>28</v>
      </c>
      <c r="N800" t="s">
        <v>179</v>
      </c>
      <c r="O800" t="s">
        <v>1529</v>
      </c>
      <c r="P800" t="str">
        <f>HYPERLINK("https://www.facebook.com/103683861038517")</f>
        <v>https://www.facebook.com/103683861038517</v>
      </c>
      <c r="Q800">
        <v>21459</v>
      </c>
      <c r="R800" t="s">
        <v>17</v>
      </c>
      <c r="S800" t="s">
        <v>1530</v>
      </c>
      <c r="T800" t="s">
        <v>1531</v>
      </c>
      <c r="U800" t="s">
        <v>1532</v>
      </c>
      <c r="AI800" t="str">
        <f>HYPERLINK("https://scontent-hel2-1.xx.fbcdn.net/v/t1.0-0/s640x640/116519337_328445331895701_3849339355219393975_o.jpg?_nc_cat=105&amp;_nc_sid=8bfeb9&amp;_nc_ohc=O4lbzRn8a2AAX_zXVox&amp;_nc_ht=scontent-hel2-1.xx&amp;_nc_tp=7&amp;oh=42b0deb27784a90ba58a8d73ea234e01&amp;oe=5F491101")</f>
        <v>https://scontent-hel2-1.xx.fbcdn.net/v/t1.0-0/s640x640/116519337_328445331895701_3849339355219393975_o.jpg?_nc_cat=105&amp;_nc_sid=8bfeb9&amp;_nc_ohc=O4lbzRn8a2AAX_zXVox&amp;_nc_ht=scontent-hel2-1.xx&amp;_nc_tp=7&amp;oh=42b0deb27784a90ba58a8d73ea234e01&amp;oe=5F491101</v>
      </c>
      <c r="AJ800" t="s">
        <v>10</v>
      </c>
      <c r="AK800" t="s">
        <v>21</v>
      </c>
      <c r="AT800" t="s">
        <v>3245</v>
      </c>
      <c r="AW800" t="s">
        <v>3248</v>
      </c>
    </row>
    <row r="801" spans="1:51" x14ac:dyDescent="0.25">
      <c r="A801" t="s">
        <v>1838</v>
      </c>
      <c r="B801" t="s">
        <v>1842</v>
      </c>
      <c r="C801" t="s">
        <v>984</v>
      </c>
      <c r="D801" t="s">
        <v>1843</v>
      </c>
      <c r="E801" t="s">
        <v>1844</v>
      </c>
      <c r="F801" t="s">
        <v>45</v>
      </c>
      <c r="G801" t="str">
        <f>HYPERLINK("https://patch.com/illinois/chicago/surviving-covid-19-one-thing-physical-therapy-another")</f>
        <v>https://patch.com/illinois/chicago/surviving-covid-19-one-thing-physical-therapy-another</v>
      </c>
      <c r="H801" t="s">
        <v>885</v>
      </c>
      <c r="I801" t="s">
        <v>1845</v>
      </c>
      <c r="J801" t="str">
        <f>HYPERLINK("https://patch.com")</f>
        <v>https://patch.com</v>
      </c>
      <c r="N801" t="s">
        <v>1846</v>
      </c>
      <c r="R801" t="s">
        <v>239</v>
      </c>
      <c r="S801" t="s">
        <v>425</v>
      </c>
      <c r="AJ801" t="s">
        <v>10</v>
      </c>
      <c r="AK801" t="s">
        <v>21</v>
      </c>
      <c r="AT801" t="s">
        <v>3245</v>
      </c>
      <c r="AU801" t="s">
        <v>3246</v>
      </c>
    </row>
    <row r="802" spans="1:51" x14ac:dyDescent="0.25">
      <c r="A802" t="s">
        <v>2589</v>
      </c>
      <c r="B802" t="s">
        <v>2674</v>
      </c>
      <c r="C802" t="s">
        <v>968</v>
      </c>
      <c r="D802" t="s">
        <v>10</v>
      </c>
      <c r="E802" t="s">
        <v>2675</v>
      </c>
      <c r="F802" t="s">
        <v>45</v>
      </c>
      <c r="G802" t="str">
        <f>HYPERLINK("https://twitter.com/969024646837407744/status/1283187342388363265")</f>
        <v>https://twitter.com/969024646837407744/status/1283187342388363265</v>
      </c>
      <c r="H802" t="s">
        <v>885</v>
      </c>
      <c r="I802" t="s">
        <v>2665</v>
      </c>
      <c r="J802" t="str">
        <f>HYPERLINK("http://twitter.com/realpritch9")</f>
        <v>http://twitter.com/realpritch9</v>
      </c>
      <c r="K802">
        <v>53</v>
      </c>
      <c r="N802" t="s">
        <v>54</v>
      </c>
      <c r="R802" t="s">
        <v>17</v>
      </c>
      <c r="S802" t="s">
        <v>425</v>
      </c>
      <c r="AI802" t="str">
        <f>HYPERLINK("https://pbs.twimg.com/ext_tw_video_thumb/1283186784189456384/pu/img/S0qKtZy0dgriWM-3.jpg")</f>
        <v>https://pbs.twimg.com/ext_tw_video_thumb/1283186784189456384/pu/img/S0qKtZy0dgriWM-3.jpg</v>
      </c>
      <c r="AJ802" t="s">
        <v>10</v>
      </c>
      <c r="AK802" t="s">
        <v>21</v>
      </c>
    </row>
    <row r="803" spans="1:51" x14ac:dyDescent="0.25">
      <c r="A803" t="s">
        <v>2767</v>
      </c>
      <c r="B803" t="s">
        <v>2860</v>
      </c>
      <c r="C803" t="s">
        <v>968</v>
      </c>
      <c r="D803" t="s">
        <v>10</v>
      </c>
      <c r="E803" t="s">
        <v>2861</v>
      </c>
      <c r="F803" t="s">
        <v>45</v>
      </c>
      <c r="G803" t="str">
        <f>HYPERLINK("https://vk.com/wall-189715412_357")</f>
        <v>https://vk.com/wall-189715412_357</v>
      </c>
      <c r="H803" t="s">
        <v>885</v>
      </c>
      <c r="I803" t="s">
        <v>188</v>
      </c>
      <c r="J803" t="str">
        <f>HYPERLINK("http://vk.com/club189715412")</f>
        <v>http://vk.com/club189715412</v>
      </c>
      <c r="K803">
        <v>527</v>
      </c>
      <c r="L803" t="s">
        <v>28</v>
      </c>
      <c r="N803" t="s">
        <v>16</v>
      </c>
      <c r="O803" t="s">
        <v>188</v>
      </c>
      <c r="P803" t="str">
        <f>HYPERLINK("http://vk.com/club189715412")</f>
        <v>http://vk.com/club189715412</v>
      </c>
      <c r="Q803">
        <v>527</v>
      </c>
      <c r="R803" t="s">
        <v>17</v>
      </c>
      <c r="W803">
        <v>10</v>
      </c>
      <c r="X803">
        <v>10</v>
      </c>
      <c r="AE803">
        <v>0</v>
      </c>
      <c r="AF803">
        <v>0</v>
      </c>
      <c r="AG803">
        <v>600</v>
      </c>
      <c r="AI803" t="str">
        <f>HYPERLINK("https://sun9-17.userapi.com/WLAQpLSNCfCVUijE3kzWf42OnyoFlONJrjaTIg/-nemgs3DPL8.jpg")</f>
        <v>https://sun9-17.userapi.com/WLAQpLSNCfCVUijE3kzWf42OnyoFlONJrjaTIg/-nemgs3DPL8.jpg</v>
      </c>
      <c r="AJ803" t="s">
        <v>10</v>
      </c>
      <c r="AK803" t="s">
        <v>21</v>
      </c>
    </row>
    <row r="804" spans="1:51" x14ac:dyDescent="0.25">
      <c r="A804" t="s">
        <v>2380</v>
      </c>
      <c r="B804" t="s">
        <v>637</v>
      </c>
      <c r="C804" t="s">
        <v>968</v>
      </c>
      <c r="D804" t="s">
        <v>10</v>
      </c>
      <c r="E804" t="s">
        <v>2408</v>
      </c>
      <c r="F804" t="s">
        <v>45</v>
      </c>
      <c r="G804" t="str">
        <f>HYPERLINK("https://www.facebook.com/mriexpert/photos/a.902990326434112/3198150906918031/?type=3")</f>
        <v>https://www.facebook.com/mriexpert/photos/a.902990326434112/3198150906918031/?type=3</v>
      </c>
      <c r="H804" t="s">
        <v>885</v>
      </c>
      <c r="I804" t="s">
        <v>46</v>
      </c>
      <c r="J804" t="str">
        <f>HYPERLINK("https://www.facebook.com/902980129768465")</f>
        <v>https://www.facebook.com/902980129768465</v>
      </c>
      <c r="K804">
        <v>1509</v>
      </c>
      <c r="L804" t="s">
        <v>28</v>
      </c>
      <c r="N804" t="s">
        <v>179</v>
      </c>
      <c r="O804" t="s">
        <v>46</v>
      </c>
      <c r="P804" t="str">
        <f>HYPERLINK("https://www.facebook.com/902980129768465")</f>
        <v>https://www.facebook.com/902980129768465</v>
      </c>
      <c r="Q804">
        <v>1509</v>
      </c>
      <c r="R804" t="s">
        <v>17</v>
      </c>
      <c r="W804">
        <v>4</v>
      </c>
      <c r="X804">
        <v>4</v>
      </c>
      <c r="Y804">
        <v>0</v>
      </c>
      <c r="Z804">
        <v>0</v>
      </c>
      <c r="AA804">
        <v>0</v>
      </c>
      <c r="AB804">
        <v>0</v>
      </c>
      <c r="AC804">
        <v>0</v>
      </c>
      <c r="AE804">
        <v>0</v>
      </c>
      <c r="AF804">
        <v>3</v>
      </c>
      <c r="AI804" t="str">
        <f>HYPERLINK("https://scontent-hel2-1.xx.fbcdn.net/v/t1.0-9/s960x960/110278075_3198150913584697_8746213414240258656_o.jpg?_nc_cat=107&amp;_nc_sid=9267fe&amp;_nc_ohc=0exXRQWq_bUAX9DrRJL&amp;_nc_ht=scontent-hel2-1.xx&amp;_nc_tp=7&amp;oh=7ba2ba6ab1107eb6783617833929bc4e&amp;oe=5F3ABA38")</f>
        <v>https://scontent-hel2-1.xx.fbcdn.net/v/t1.0-9/s960x960/110278075_3198150913584697_8746213414240258656_o.jpg?_nc_cat=107&amp;_nc_sid=9267fe&amp;_nc_ohc=0exXRQWq_bUAX9DrRJL&amp;_nc_ht=scontent-hel2-1.xx&amp;_nc_tp=7&amp;oh=7ba2ba6ab1107eb6783617833929bc4e&amp;oe=5F3ABA38</v>
      </c>
      <c r="AJ804" t="s">
        <v>10</v>
      </c>
      <c r="AK804" t="s">
        <v>21</v>
      </c>
    </row>
    <row r="805" spans="1:51" x14ac:dyDescent="0.25">
      <c r="A805" t="s">
        <v>2428</v>
      </c>
      <c r="B805" t="s">
        <v>1602</v>
      </c>
      <c r="C805" t="s">
        <v>968</v>
      </c>
      <c r="D805" t="s">
        <v>421</v>
      </c>
      <c r="E805" t="s">
        <v>2429</v>
      </c>
      <c r="F805" t="s">
        <v>26</v>
      </c>
      <c r="G805" t="str">
        <f>HYPERLINK("https://www.youtube.com/watch?v=gaka1vqYFNs&amp;lc=UgwEDBI_QtJkvN5NpuZ4AaABAg")</f>
        <v>https://www.youtube.com/watch?v=gaka1vqYFNs&amp;lc=UgwEDBI_QtJkvN5NpuZ4AaABAg</v>
      </c>
      <c r="H805" t="s">
        <v>885</v>
      </c>
      <c r="I805" t="s">
        <v>2430</v>
      </c>
      <c r="J805" t="str">
        <f>HYPERLINK("https://www.youtube.com/channel/UCOx0lEBQMT9r0M2StKE-sYw")</f>
        <v>https://www.youtube.com/channel/UCOx0lEBQMT9r0M2StKE-sYw</v>
      </c>
      <c r="K805">
        <v>0</v>
      </c>
      <c r="L805" t="s">
        <v>15</v>
      </c>
      <c r="N805" t="s">
        <v>162</v>
      </c>
      <c r="O805" t="s">
        <v>424</v>
      </c>
      <c r="P805" t="str">
        <f>HYPERLINK("https://www.youtube.com/channel/UC8fQzKHIhSoZeSq3bwQx4mw")</f>
        <v>https://www.youtube.com/channel/UC8fQzKHIhSoZeSq3bwQx4mw</v>
      </c>
      <c r="Q805">
        <v>517000</v>
      </c>
      <c r="R805" t="s">
        <v>17</v>
      </c>
      <c r="S805" t="s">
        <v>425</v>
      </c>
      <c r="W805">
        <v>5</v>
      </c>
      <c r="X805">
        <v>5</v>
      </c>
      <c r="AE805">
        <v>1</v>
      </c>
      <c r="AJ805" t="s">
        <v>10</v>
      </c>
      <c r="AK805" t="s">
        <v>21</v>
      </c>
    </row>
    <row r="806" spans="1:51" x14ac:dyDescent="0.25">
      <c r="A806" t="s">
        <v>2428</v>
      </c>
      <c r="B806" t="s">
        <v>29</v>
      </c>
      <c r="C806" t="s">
        <v>968</v>
      </c>
      <c r="D806" t="s">
        <v>2449</v>
      </c>
      <c r="E806" t="s">
        <v>2450</v>
      </c>
      <c r="F806" t="s">
        <v>26</v>
      </c>
      <c r="G806" t="str">
        <f>HYPERLINK("https://telegram.me/rskleroz100/8773")</f>
        <v>https://telegram.me/rskleroz100/8773</v>
      </c>
      <c r="H806" t="s">
        <v>1057</v>
      </c>
      <c r="I806" t="s">
        <v>2451</v>
      </c>
      <c r="J806" t="str">
        <f>HYPERLINK("https://telegram.me/396330571")</f>
        <v>https://telegram.me/396330571</v>
      </c>
      <c r="L806" t="s">
        <v>80</v>
      </c>
      <c r="N806" t="s">
        <v>877</v>
      </c>
      <c r="O806" t="s">
        <v>2452</v>
      </c>
      <c r="P806" t="str">
        <f>HYPERLINK("https://telegram.me/rskleroz100")</f>
        <v>https://telegram.me/rskleroz100</v>
      </c>
      <c r="Q806">
        <v>61</v>
      </c>
      <c r="R806" t="s">
        <v>878</v>
      </c>
      <c r="AJ806" t="s">
        <v>10</v>
      </c>
      <c r="AK806" t="s">
        <v>21</v>
      </c>
    </row>
    <row r="807" spans="1:51" x14ac:dyDescent="0.25">
      <c r="A807" t="s">
        <v>2541</v>
      </c>
      <c r="B807" t="s">
        <v>2564</v>
      </c>
      <c r="C807" t="s">
        <v>968</v>
      </c>
      <c r="D807" t="s">
        <v>10</v>
      </c>
      <c r="E807" t="s">
        <v>2565</v>
      </c>
      <c r="F807" t="s">
        <v>45</v>
      </c>
      <c r="G807" t="str">
        <f>HYPERLINK("https://www.instagram.com/p/CCsq10RpcuC")</f>
        <v>https://www.instagram.com/p/CCsq10RpcuC</v>
      </c>
      <c r="H807" t="s">
        <v>889</v>
      </c>
      <c r="I807" t="s">
        <v>2566</v>
      </c>
      <c r="J807" t="str">
        <f>HYPERLINK("http://instagram.com/dc_gippokrat_balakovo")</f>
        <v>http://instagram.com/dc_gippokrat_balakovo</v>
      </c>
      <c r="K807">
        <v>1339</v>
      </c>
      <c r="N807" t="s">
        <v>69</v>
      </c>
      <c r="O807" t="s">
        <v>2566</v>
      </c>
      <c r="P807" t="str">
        <f>HYPERLINK("http://instagram.com/dc_gippokrat_balakovo")</f>
        <v>http://instagram.com/dc_gippokrat_balakovo</v>
      </c>
      <c r="Q807">
        <v>1339</v>
      </c>
      <c r="R807" t="s">
        <v>17</v>
      </c>
      <c r="S807" t="s">
        <v>18</v>
      </c>
      <c r="T807" t="s">
        <v>2567</v>
      </c>
      <c r="U807" t="s">
        <v>2568</v>
      </c>
      <c r="AI807" t="str">
        <f>HYPERLINK("https://www.instagram.com/p/CCsq10RpcuC/media/?size=l")</f>
        <v>https://www.instagram.com/p/CCsq10RpcuC/media/?size=l</v>
      </c>
      <c r="AJ807" t="s">
        <v>10</v>
      </c>
      <c r="AK807" t="s">
        <v>21</v>
      </c>
    </row>
    <row r="808" spans="1:51" x14ac:dyDescent="0.25">
      <c r="A808" t="s">
        <v>2541</v>
      </c>
      <c r="B808" t="s">
        <v>1327</v>
      </c>
      <c r="C808" t="s">
        <v>968</v>
      </c>
      <c r="D808" t="s">
        <v>10</v>
      </c>
      <c r="E808" t="s">
        <v>2569</v>
      </c>
      <c r="F808" t="s">
        <v>45</v>
      </c>
      <c r="G808" t="str">
        <f>HYPERLINK("https://www.instagram.com/p/CCsqQ0wpGan")</f>
        <v>https://www.instagram.com/p/CCsqQ0wpGan</v>
      </c>
      <c r="H808" t="s">
        <v>885</v>
      </c>
      <c r="I808" t="s">
        <v>2570</v>
      </c>
      <c r="J808" t="str">
        <f>HYPERLINK("http://instagram.com/mrt.expert.2018")</f>
        <v>http://instagram.com/mrt.expert.2018</v>
      </c>
      <c r="K808">
        <v>638</v>
      </c>
      <c r="N808" t="s">
        <v>69</v>
      </c>
      <c r="O808" t="s">
        <v>2570</v>
      </c>
      <c r="P808" t="str">
        <f>HYPERLINK("http://instagram.com/mrt.expert.2018")</f>
        <v>http://instagram.com/mrt.expert.2018</v>
      </c>
      <c r="Q808">
        <v>638</v>
      </c>
      <c r="R808" t="s">
        <v>17</v>
      </c>
      <c r="S808" t="s">
        <v>18</v>
      </c>
      <c r="T808" t="s">
        <v>2567</v>
      </c>
      <c r="U808" t="s">
        <v>2568</v>
      </c>
      <c r="AI808" t="str">
        <f>HYPERLINK("https://www.instagram.com/p/CCsqQ0wpGan/media/?size=l")</f>
        <v>https://www.instagram.com/p/CCsqQ0wpGan/media/?size=l</v>
      </c>
      <c r="AJ808" t="s">
        <v>10</v>
      </c>
      <c r="AK808" t="s">
        <v>21</v>
      </c>
    </row>
    <row r="809" spans="1:51" x14ac:dyDescent="0.25">
      <c r="A809" t="s">
        <v>2589</v>
      </c>
      <c r="B809" t="s">
        <v>42</v>
      </c>
      <c r="C809" t="s">
        <v>968</v>
      </c>
      <c r="D809" t="s">
        <v>10</v>
      </c>
      <c r="E809" t="s">
        <v>2626</v>
      </c>
      <c r="F809" t="s">
        <v>45</v>
      </c>
      <c r="G809" t="str">
        <f>HYPERLINK("https://www.facebook.com/mriexpert/photos/a.902990326434112/3187255858007536/?type=3")</f>
        <v>https://www.facebook.com/mriexpert/photos/a.902990326434112/3187255858007536/?type=3</v>
      </c>
      <c r="H809" t="s">
        <v>885</v>
      </c>
      <c r="I809" t="s">
        <v>46</v>
      </c>
      <c r="J809" t="str">
        <f>HYPERLINK("https://www.facebook.com/902980129768465")</f>
        <v>https://www.facebook.com/902980129768465</v>
      </c>
      <c r="K809">
        <v>1509</v>
      </c>
      <c r="L809" t="s">
        <v>28</v>
      </c>
      <c r="N809" t="s">
        <v>179</v>
      </c>
      <c r="O809" t="s">
        <v>46</v>
      </c>
      <c r="P809" t="str">
        <f>HYPERLINK("https://www.facebook.com/902980129768465")</f>
        <v>https://www.facebook.com/902980129768465</v>
      </c>
      <c r="Q809">
        <v>1509</v>
      </c>
      <c r="R809" t="s">
        <v>17</v>
      </c>
      <c r="W809">
        <v>3</v>
      </c>
      <c r="X809">
        <v>3</v>
      </c>
      <c r="Y809">
        <v>0</v>
      </c>
      <c r="Z809">
        <v>0</v>
      </c>
      <c r="AA809">
        <v>0</v>
      </c>
      <c r="AB809">
        <v>0</v>
      </c>
      <c r="AC809">
        <v>0</v>
      </c>
      <c r="AE809">
        <v>0</v>
      </c>
      <c r="AF809">
        <v>2</v>
      </c>
      <c r="AI809" t="str">
        <f>HYPERLINK("https://scontent-hel2-1.xx.fbcdn.net/v/t1.0-9/s960x960/109348088_3187255864674202_2526984063554163514_o.jpg?_nc_cat=111&amp;_nc_sid=9267fe&amp;_nc_ohc=fPdaaDxed5UAX-t1sVA&amp;_nc_ht=scontent-hel2-1.xx&amp;_nc_tp=7&amp;oh=0dffdc73c33501edbd66ea78176f5c11&amp;oe=5F365736")</f>
        <v>https://scontent-hel2-1.xx.fbcdn.net/v/t1.0-9/s960x960/109348088_3187255864674202_2526984063554163514_o.jpg?_nc_cat=111&amp;_nc_sid=9267fe&amp;_nc_ohc=fPdaaDxed5UAX-t1sVA&amp;_nc_ht=scontent-hel2-1.xx&amp;_nc_tp=7&amp;oh=0dffdc73c33501edbd66ea78176f5c11&amp;oe=5F365736</v>
      </c>
      <c r="AJ809" t="s">
        <v>10</v>
      </c>
      <c r="AK809" t="s">
        <v>21</v>
      </c>
      <c r="AN809" t="s">
        <v>3239</v>
      </c>
      <c r="AT809" t="s">
        <v>3245</v>
      </c>
      <c r="AU809" t="s">
        <v>3246</v>
      </c>
      <c r="AV809" t="s">
        <v>3247</v>
      </c>
      <c r="AW809" t="s">
        <v>3248</v>
      </c>
    </row>
    <row r="810" spans="1:51" x14ac:dyDescent="0.25">
      <c r="A810" t="s">
        <v>2684</v>
      </c>
      <c r="B810" t="s">
        <v>2723</v>
      </c>
      <c r="C810" t="s">
        <v>968</v>
      </c>
      <c r="D810" t="s">
        <v>2724</v>
      </c>
      <c r="E810" t="s">
        <v>2725</v>
      </c>
      <c r="F810" t="s">
        <v>26</v>
      </c>
      <c r="G810" t="str">
        <f>HYPERLINK("https://vk.com/wall-25612112_2607652?reply=2608150")</f>
        <v>https://vk.com/wall-25612112_2607652?reply=2608150</v>
      </c>
      <c r="H810" t="s">
        <v>889</v>
      </c>
      <c r="I810" t="s">
        <v>2726</v>
      </c>
      <c r="J810" t="str">
        <f>HYPERLINK("http://vk.com/id15900452")</f>
        <v>http://vk.com/id15900452</v>
      </c>
      <c r="K810">
        <v>262</v>
      </c>
      <c r="L810" t="s">
        <v>15</v>
      </c>
      <c r="N810" t="s">
        <v>16</v>
      </c>
      <c r="O810" t="s">
        <v>2727</v>
      </c>
      <c r="P810" t="str">
        <f>HYPERLINK("http://vk.com/club25612112")</f>
        <v>http://vk.com/club25612112</v>
      </c>
      <c r="Q810">
        <v>109065</v>
      </c>
      <c r="R810" t="s">
        <v>17</v>
      </c>
      <c r="S810" t="s">
        <v>18</v>
      </c>
      <c r="T810" t="s">
        <v>1015</v>
      </c>
      <c r="U810" t="s">
        <v>2728</v>
      </c>
      <c r="AJ810" t="s">
        <v>10</v>
      </c>
      <c r="AK810" t="s">
        <v>21</v>
      </c>
      <c r="AM810" t="s">
        <v>3238</v>
      </c>
      <c r="AN810" t="s">
        <v>3239</v>
      </c>
      <c r="AV810" t="s">
        <v>3247</v>
      </c>
      <c r="AX810" t="s">
        <v>3249</v>
      </c>
      <c r="AY810" t="s">
        <v>3250</v>
      </c>
    </row>
    <row r="811" spans="1:51" x14ac:dyDescent="0.25">
      <c r="A811" t="s">
        <v>2915</v>
      </c>
      <c r="B811" t="s">
        <v>277</v>
      </c>
      <c r="C811" t="s">
        <v>968</v>
      </c>
      <c r="D811" t="s">
        <v>10</v>
      </c>
      <c r="E811" t="s">
        <v>2964</v>
      </c>
      <c r="F811" t="s">
        <v>12</v>
      </c>
      <c r="G811" t="str">
        <f>HYPERLINK("https://www.facebook.com/568390943273818/posts/2976508572462031")</f>
        <v>https://www.facebook.com/568390943273818/posts/2976508572462031</v>
      </c>
      <c r="H811" t="s">
        <v>885</v>
      </c>
      <c r="I811" t="s">
        <v>280</v>
      </c>
      <c r="J811" t="str">
        <f>HYPERLINK("https://www.facebook.com/568390943273818")</f>
        <v>https://www.facebook.com/568390943273818</v>
      </c>
      <c r="K811">
        <v>18918</v>
      </c>
      <c r="L811" t="s">
        <v>28</v>
      </c>
      <c r="N811" t="s">
        <v>179</v>
      </c>
      <c r="O811" t="s">
        <v>280</v>
      </c>
      <c r="P811" t="str">
        <f>HYPERLINK("https://www.facebook.com/568390943273818")</f>
        <v>https://www.facebook.com/568390943273818</v>
      </c>
      <c r="Q811">
        <v>18918</v>
      </c>
      <c r="R811" t="s">
        <v>17</v>
      </c>
      <c r="S811" t="s">
        <v>281</v>
      </c>
      <c r="T811" t="s">
        <v>282</v>
      </c>
      <c r="U811" t="s">
        <v>282</v>
      </c>
      <c r="AI811" t="str">
        <f>HYPERLINK("https://scontent-ams4-1.xx.fbcdn.net/v/t1.0-9/p720x720/107783877_2976507615795460_6546775413083340181_n.jpg?_nc_cat=107&amp;_nc_sid=8024bb&amp;_nc_ohc=NzukbJLI13EAX-2yzKx&amp;_nc_ht=scontent-ams4-1.xx&amp;_nc_tp=6&amp;oh=015307fccbaec702fa673b53e484a095&amp;oe=5F2E8689")</f>
        <v>https://scontent-ams4-1.xx.fbcdn.net/v/t1.0-9/p720x720/107783877_2976507615795460_6546775413083340181_n.jpg?_nc_cat=107&amp;_nc_sid=8024bb&amp;_nc_ohc=NzukbJLI13EAX-2yzKx&amp;_nc_ht=scontent-ams4-1.xx&amp;_nc_tp=6&amp;oh=015307fccbaec702fa673b53e484a095&amp;oe=5F2E8689</v>
      </c>
      <c r="AJ811" t="s">
        <v>10</v>
      </c>
      <c r="AK811" t="s">
        <v>21</v>
      </c>
      <c r="AN811" t="s">
        <v>3239</v>
      </c>
      <c r="AO811" t="s">
        <v>3240</v>
      </c>
      <c r="AT811" t="s">
        <v>3245</v>
      </c>
      <c r="AX811" t="s">
        <v>3249</v>
      </c>
      <c r="AY811" t="s">
        <v>3250</v>
      </c>
    </row>
    <row r="812" spans="1:51" x14ac:dyDescent="0.25">
      <c r="A812" t="s">
        <v>1723</v>
      </c>
      <c r="B812" t="s">
        <v>1753</v>
      </c>
      <c r="C812" t="s">
        <v>984</v>
      </c>
      <c r="D812" t="s">
        <v>10</v>
      </c>
      <c r="E812" t="s">
        <v>1754</v>
      </c>
      <c r="F812" t="s">
        <v>45</v>
      </c>
      <c r="G812" t="str">
        <f>HYPERLINK("https://vk.com/wall243943201_1561")</f>
        <v>https://vk.com/wall243943201_1561</v>
      </c>
      <c r="H812" t="s">
        <v>885</v>
      </c>
      <c r="I812" t="s">
        <v>1755</v>
      </c>
      <c r="J812" t="str">
        <f>HYPERLINK("http://vk.com/id243943201")</f>
        <v>http://vk.com/id243943201</v>
      </c>
      <c r="K812">
        <v>543</v>
      </c>
      <c r="L812" t="s">
        <v>15</v>
      </c>
      <c r="M812">
        <v>27</v>
      </c>
      <c r="N812" t="s">
        <v>16</v>
      </c>
      <c r="O812" t="s">
        <v>1755</v>
      </c>
      <c r="P812" t="str">
        <f>HYPERLINK("http://vk.com/id243943201")</f>
        <v>http://vk.com/id243943201</v>
      </c>
      <c r="Q812">
        <v>543</v>
      </c>
      <c r="R812" t="s">
        <v>17</v>
      </c>
      <c r="S812" t="s">
        <v>18</v>
      </c>
      <c r="T812" t="s">
        <v>617</v>
      </c>
      <c r="U812" t="s">
        <v>1034</v>
      </c>
      <c r="AJ812" t="s">
        <v>10</v>
      </c>
      <c r="AK812" t="s">
        <v>21</v>
      </c>
      <c r="AW812" t="s">
        <v>3248</v>
      </c>
      <c r="AY812" t="s">
        <v>3250</v>
      </c>
    </row>
    <row r="813" spans="1:51" x14ac:dyDescent="0.25">
      <c r="A813" t="s">
        <v>2122</v>
      </c>
      <c r="B813" t="s">
        <v>2161</v>
      </c>
      <c r="C813" t="s">
        <v>968</v>
      </c>
      <c r="D813" t="s">
        <v>10</v>
      </c>
      <c r="E813" t="s">
        <v>2162</v>
      </c>
      <c r="F813" t="s">
        <v>45</v>
      </c>
      <c r="G813" t="str">
        <f>HYPERLINK("https://www.instagram.com/p/CC-7loehHjp")</f>
        <v>https://www.instagram.com/p/CC-7loehHjp</v>
      </c>
      <c r="H813" t="s">
        <v>889</v>
      </c>
      <c r="I813" t="s">
        <v>1476</v>
      </c>
      <c r="J813" t="str">
        <f>HYPERLINK("http://instagram.com/clinic_expert_kursk")</f>
        <v>http://instagram.com/clinic_expert_kursk</v>
      </c>
      <c r="K813">
        <v>1960</v>
      </c>
      <c r="N813" t="s">
        <v>69</v>
      </c>
      <c r="O813" t="s">
        <v>1476</v>
      </c>
      <c r="P813" t="str">
        <f>HYPERLINK("http://instagram.com/clinic_expert_kursk")</f>
        <v>http://instagram.com/clinic_expert_kursk</v>
      </c>
      <c r="Q813">
        <v>1960</v>
      </c>
      <c r="R813" t="s">
        <v>17</v>
      </c>
      <c r="S813" t="s">
        <v>18</v>
      </c>
      <c r="T813" t="s">
        <v>231</v>
      </c>
      <c r="U813" t="s">
        <v>232</v>
      </c>
      <c r="AI813" t="str">
        <f>HYPERLINK("https://www.instagram.com/p/CC-7loehHjp/media/?size=l")</f>
        <v>https://www.instagram.com/p/CC-7loehHjp/media/?size=l</v>
      </c>
      <c r="AJ813" t="s">
        <v>10</v>
      </c>
      <c r="AK813" t="s">
        <v>21</v>
      </c>
      <c r="AT813" t="s">
        <v>3245</v>
      </c>
      <c r="AV813" t="s">
        <v>3247</v>
      </c>
    </row>
    <row r="814" spans="1:51" x14ac:dyDescent="0.25">
      <c r="A814" t="s">
        <v>2428</v>
      </c>
      <c r="B814" t="s">
        <v>2440</v>
      </c>
      <c r="C814" t="s">
        <v>968</v>
      </c>
      <c r="D814" t="s">
        <v>10</v>
      </c>
      <c r="E814" t="s">
        <v>2388</v>
      </c>
      <c r="F814" t="s">
        <v>45</v>
      </c>
      <c r="G814" t="str">
        <f>HYPERLINK("https://vk.com/wall-55131656_181733")</f>
        <v>https://vk.com/wall-55131656_181733</v>
      </c>
      <c r="H814" t="s">
        <v>885</v>
      </c>
      <c r="I814" t="s">
        <v>1493</v>
      </c>
      <c r="J814" t="str">
        <f>HYPERLINK("http://vk.com/club55131656")</f>
        <v>http://vk.com/club55131656</v>
      </c>
      <c r="K814">
        <v>33584</v>
      </c>
      <c r="L814" t="s">
        <v>28</v>
      </c>
      <c r="N814" t="s">
        <v>16</v>
      </c>
      <c r="O814" t="s">
        <v>1493</v>
      </c>
      <c r="P814" t="str">
        <f>HYPERLINK("http://vk.com/club55131656")</f>
        <v>http://vk.com/club55131656</v>
      </c>
      <c r="Q814">
        <v>33584</v>
      </c>
      <c r="R814" t="s">
        <v>17</v>
      </c>
      <c r="W814">
        <v>9</v>
      </c>
      <c r="X814">
        <v>9</v>
      </c>
      <c r="AE814">
        <v>4</v>
      </c>
      <c r="AF814">
        <v>2</v>
      </c>
      <c r="AG814">
        <v>1479</v>
      </c>
      <c r="AI814" t="str">
        <f>HYPERLINK("https://sun1.is74.userapi.com/gFc6d3yZcEgg0XH8DyUn75HEceQKbAB_Nv7KkQ/CaUZut2MJYY.jpg")</f>
        <v>https://sun1.is74.userapi.com/gFc6d3yZcEgg0XH8DyUn75HEceQKbAB_Nv7KkQ/CaUZut2MJYY.jpg</v>
      </c>
      <c r="AJ814" t="s">
        <v>10</v>
      </c>
      <c r="AK814" t="s">
        <v>21</v>
      </c>
    </row>
    <row r="815" spans="1:51" x14ac:dyDescent="0.25">
      <c r="A815" t="s">
        <v>2589</v>
      </c>
      <c r="B815" t="s">
        <v>2635</v>
      </c>
      <c r="C815" t="s">
        <v>968</v>
      </c>
      <c r="D815" t="s">
        <v>2636</v>
      </c>
      <c r="E815" t="s">
        <v>2637</v>
      </c>
      <c r="F815" t="s">
        <v>26</v>
      </c>
      <c r="G815" t="str">
        <f>HYPERLINK("https://vk.com/wall-77036221_216456?reply=216458")</f>
        <v>https://vk.com/wall-77036221_216456?reply=216458</v>
      </c>
      <c r="H815" t="s">
        <v>885</v>
      </c>
      <c r="I815" t="s">
        <v>2638</v>
      </c>
      <c r="J815" t="str">
        <f>HYPERLINK("http://vk.com/id310454696")</f>
        <v>http://vk.com/id310454696</v>
      </c>
      <c r="K815">
        <v>106</v>
      </c>
      <c r="L815" t="s">
        <v>80</v>
      </c>
      <c r="M815">
        <v>44</v>
      </c>
      <c r="N815" t="s">
        <v>16</v>
      </c>
      <c r="O815" t="s">
        <v>2639</v>
      </c>
      <c r="P815" t="str">
        <f>HYPERLINK("http://vk.com/club77036221")</f>
        <v>http://vk.com/club77036221</v>
      </c>
      <c r="Q815">
        <v>54073</v>
      </c>
      <c r="R815" t="s">
        <v>17</v>
      </c>
      <c r="S815" t="s">
        <v>18</v>
      </c>
      <c r="T815" t="s">
        <v>766</v>
      </c>
      <c r="U815" t="s">
        <v>2640</v>
      </c>
      <c r="AJ815" t="s">
        <v>10</v>
      </c>
      <c r="AK815" t="s">
        <v>21</v>
      </c>
    </row>
    <row r="816" spans="1:51" x14ac:dyDescent="0.25">
      <c r="A816" t="s">
        <v>414</v>
      </c>
      <c r="B816" t="s">
        <v>439</v>
      </c>
      <c r="C816" t="s">
        <v>440</v>
      </c>
      <c r="D816" t="s">
        <v>24</v>
      </c>
      <c r="E816" t="s">
        <v>25</v>
      </c>
      <c r="F816" t="s">
        <v>26</v>
      </c>
      <c r="G816" t="str">
        <f>HYPERLINK("https://vk.com/wall-197114981_31?reply=1272&amp;thread=1236")</f>
        <v>https://vk.com/wall-197114981_31?reply=1272&amp;thread=1236</v>
      </c>
      <c r="H816" t="s">
        <v>13</v>
      </c>
      <c r="I816" t="s">
        <v>27</v>
      </c>
      <c r="J816" t="str">
        <f>HYPERLINK("http://vk.com/club197114981")</f>
        <v>http://vk.com/club197114981</v>
      </c>
      <c r="K816">
        <v>38</v>
      </c>
      <c r="L816" t="s">
        <v>28</v>
      </c>
      <c r="N816" t="s">
        <v>16</v>
      </c>
      <c r="O816" t="s">
        <v>27</v>
      </c>
      <c r="P816" t="str">
        <f>HYPERLINK("http://vk.com/club197114981")</f>
        <v>http://vk.com/club197114981</v>
      </c>
      <c r="Q816">
        <v>38</v>
      </c>
      <c r="R816" t="s">
        <v>17</v>
      </c>
      <c r="AJ816" t="s">
        <v>10</v>
      </c>
      <c r="AK816" t="s">
        <v>21</v>
      </c>
    </row>
    <row r="817" spans="1:51" x14ac:dyDescent="0.25">
      <c r="A817" t="s">
        <v>1122</v>
      </c>
      <c r="B817" t="s">
        <v>1155</v>
      </c>
      <c r="C817" t="s">
        <v>984</v>
      </c>
      <c r="D817" t="s">
        <v>10</v>
      </c>
      <c r="E817" t="s">
        <v>1147</v>
      </c>
      <c r="F817" t="s">
        <v>45</v>
      </c>
      <c r="G817" t="str">
        <f>HYPERLINK("https://www.facebook.com/permalink.php?story_fbid=3243310985748259&amp;id=100002081683220")</f>
        <v>https://www.facebook.com/permalink.php?story_fbid=3243310985748259&amp;id=100002081683220</v>
      </c>
      <c r="H817" t="s">
        <v>885</v>
      </c>
      <c r="I817" t="s">
        <v>1156</v>
      </c>
      <c r="J817" t="str">
        <f>HYPERLINK("https://www.facebook.com/100002081683220")</f>
        <v>https://www.facebook.com/100002081683220</v>
      </c>
      <c r="K817">
        <v>1158</v>
      </c>
      <c r="L817" t="s">
        <v>80</v>
      </c>
      <c r="N817" t="s">
        <v>179</v>
      </c>
      <c r="O817" t="s">
        <v>1156</v>
      </c>
      <c r="P817" t="str">
        <f>HYPERLINK("https://www.facebook.com/100002081683220")</f>
        <v>https://www.facebook.com/100002081683220</v>
      </c>
      <c r="Q817">
        <v>1158</v>
      </c>
      <c r="R817" t="s">
        <v>17</v>
      </c>
      <c r="S817" t="s">
        <v>18</v>
      </c>
      <c r="T817" t="s">
        <v>766</v>
      </c>
      <c r="U817" t="s">
        <v>1157</v>
      </c>
      <c r="W817">
        <v>60</v>
      </c>
      <c r="X817">
        <v>59</v>
      </c>
      <c r="Y817">
        <v>1</v>
      </c>
      <c r="Z817">
        <v>0</v>
      </c>
      <c r="AA817">
        <v>0</v>
      </c>
      <c r="AB817">
        <v>0</v>
      </c>
      <c r="AC817">
        <v>0</v>
      </c>
      <c r="AE817">
        <v>7</v>
      </c>
      <c r="AF817">
        <v>1</v>
      </c>
      <c r="AI817" t="str">
        <f>HYPERLINK("https://scontent-hel2-1.xx.fbcdn.net/v/t1.0-9/117108155_3243309439081747_1537531780383821907_n.jpg?_nc_cat=108&amp;_nc_sid=8bfeb9&amp;_nc_ohc=1yACMLu6D-cAX9mCDS-&amp;_nc_ht=scontent-hel2-1.xx&amp;oh=43647a7e19a1a9926a82da7f4e608a71&amp;oe=5F51B9BE")</f>
        <v>https://scontent-hel2-1.xx.fbcdn.net/v/t1.0-9/117108155_3243309439081747_1537531780383821907_n.jpg?_nc_cat=108&amp;_nc_sid=8bfeb9&amp;_nc_ohc=1yACMLu6D-cAX9mCDS-&amp;_nc_ht=scontent-hel2-1.xx&amp;oh=43647a7e19a1a9926a82da7f4e608a71&amp;oe=5F51B9BE</v>
      </c>
      <c r="AJ817" t="s">
        <v>10</v>
      </c>
      <c r="AK817" t="s">
        <v>21</v>
      </c>
      <c r="AL817" t="s">
        <v>3237</v>
      </c>
      <c r="AN817" t="s">
        <v>3239</v>
      </c>
      <c r="AT817" t="s">
        <v>3245</v>
      </c>
      <c r="AV817" t="s">
        <v>3247</v>
      </c>
      <c r="AW817" t="s">
        <v>3248</v>
      </c>
      <c r="AX817" t="s">
        <v>3249</v>
      </c>
    </row>
    <row r="818" spans="1:51" x14ac:dyDescent="0.25">
      <c r="A818" t="s">
        <v>1277</v>
      </c>
      <c r="B818" t="s">
        <v>1340</v>
      </c>
      <c r="C818" t="s">
        <v>984</v>
      </c>
      <c r="D818" t="s">
        <v>1341</v>
      </c>
      <c r="E818" t="s">
        <v>1342</v>
      </c>
      <c r="F818" t="s">
        <v>26</v>
      </c>
      <c r="G818" t="str">
        <f>HYPERLINK("https://www.youtube.com/watch?v=bqdhre76Jdo&amp;lc=UgzlLgzKHVcI-CYM0td4AaABAg")</f>
        <v>https://www.youtube.com/watch?v=bqdhre76Jdo&amp;lc=UgzlLgzKHVcI-CYM0td4AaABAg</v>
      </c>
      <c r="H818" t="s">
        <v>1057</v>
      </c>
      <c r="I818" t="s">
        <v>1343</v>
      </c>
      <c r="J818" t="str">
        <f>HYPERLINK("https://www.youtube.com/channel/UCKknlr8BTGxStjgnKZ5ORSA")</f>
        <v>https://www.youtube.com/channel/UCKknlr8BTGxStjgnKZ5ORSA</v>
      </c>
      <c r="K818">
        <v>68</v>
      </c>
      <c r="N818" t="s">
        <v>162</v>
      </c>
      <c r="O818" t="s">
        <v>424</v>
      </c>
      <c r="P818" t="str">
        <f>HYPERLINK("https://www.youtube.com/channel/UC8fQzKHIhSoZeSq3bwQx4mw")</f>
        <v>https://www.youtube.com/channel/UC8fQzKHIhSoZeSq3bwQx4mw</v>
      </c>
      <c r="Q818">
        <v>517000</v>
      </c>
      <c r="R818" t="s">
        <v>17</v>
      </c>
      <c r="S818" t="s">
        <v>1165</v>
      </c>
      <c r="AJ818" t="s">
        <v>10</v>
      </c>
      <c r="AK818" t="s">
        <v>21</v>
      </c>
      <c r="AW818" t="s">
        <v>3248</v>
      </c>
    </row>
    <row r="819" spans="1:51" x14ac:dyDescent="0.25">
      <c r="A819" t="s">
        <v>1425</v>
      </c>
      <c r="B819" t="s">
        <v>1448</v>
      </c>
      <c r="C819" t="s">
        <v>984</v>
      </c>
      <c r="D819" t="s">
        <v>10</v>
      </c>
      <c r="E819" t="s">
        <v>1449</v>
      </c>
      <c r="F819" t="s">
        <v>12</v>
      </c>
      <c r="G819" t="str">
        <f>HYPERLINK("https://twitter.com/830106203380383745/status/1289373025519857664")</f>
        <v>https://twitter.com/830106203380383745/status/1289373025519857664</v>
      </c>
      <c r="H819" t="s">
        <v>885</v>
      </c>
      <c r="I819" t="s">
        <v>1450</v>
      </c>
      <c r="J819" t="str">
        <f>HYPERLINK("http://twitter.com/federalist28")</f>
        <v>http://twitter.com/federalist28</v>
      </c>
      <c r="K819">
        <v>691</v>
      </c>
      <c r="N819" t="s">
        <v>54</v>
      </c>
      <c r="R819" t="s">
        <v>17</v>
      </c>
      <c r="W819">
        <v>0</v>
      </c>
      <c r="X819">
        <v>0</v>
      </c>
      <c r="AJ819" t="s">
        <v>10</v>
      </c>
      <c r="AK819" t="s">
        <v>21</v>
      </c>
      <c r="AW819" t="s">
        <v>3248</v>
      </c>
    </row>
    <row r="820" spans="1:51" x14ac:dyDescent="0.25">
      <c r="A820" t="s">
        <v>1723</v>
      </c>
      <c r="B820" t="s">
        <v>1773</v>
      </c>
      <c r="C820" t="s">
        <v>984</v>
      </c>
      <c r="D820" t="s">
        <v>421</v>
      </c>
      <c r="E820" t="s">
        <v>1774</v>
      </c>
      <c r="F820" t="s">
        <v>26</v>
      </c>
      <c r="G820" t="str">
        <f>HYPERLINK("https://www.youtube.com/watch?v=gaka1vqYFNs&amp;lc=UgyyvkoSqrwYbblwTjV4AaABAg")</f>
        <v>https://www.youtube.com/watch?v=gaka1vqYFNs&amp;lc=UgyyvkoSqrwYbblwTjV4AaABAg</v>
      </c>
      <c r="H820" t="s">
        <v>885</v>
      </c>
      <c r="I820" t="s">
        <v>1775</v>
      </c>
      <c r="J820" t="str">
        <f>HYPERLINK("https://www.youtube.com/channel/UC_xeFgBaoesWtc7xO8N6xKg")</f>
        <v>https://www.youtube.com/channel/UC_xeFgBaoesWtc7xO8N6xKg</v>
      </c>
      <c r="K820">
        <v>17</v>
      </c>
      <c r="L820" t="s">
        <v>80</v>
      </c>
      <c r="N820" t="s">
        <v>162</v>
      </c>
      <c r="O820" t="s">
        <v>424</v>
      </c>
      <c r="P820" t="str">
        <f>HYPERLINK("https://www.youtube.com/channel/UC8fQzKHIhSoZeSq3bwQx4mw")</f>
        <v>https://www.youtube.com/channel/UC8fQzKHIhSoZeSq3bwQx4mw</v>
      </c>
      <c r="Q820">
        <v>517000</v>
      </c>
      <c r="R820" t="s">
        <v>17</v>
      </c>
      <c r="S820" t="s">
        <v>425</v>
      </c>
      <c r="W820">
        <v>1</v>
      </c>
      <c r="X820">
        <v>1</v>
      </c>
      <c r="AE820">
        <v>0</v>
      </c>
      <c r="AJ820" t="s">
        <v>10</v>
      </c>
      <c r="AK820" t="s">
        <v>21</v>
      </c>
      <c r="AV820" t="s">
        <v>3247</v>
      </c>
    </row>
    <row r="821" spans="1:51" x14ac:dyDescent="0.25">
      <c r="A821" t="s">
        <v>2541</v>
      </c>
      <c r="B821" t="s">
        <v>2561</v>
      </c>
      <c r="C821" t="s">
        <v>968</v>
      </c>
      <c r="D821" t="s">
        <v>10</v>
      </c>
      <c r="E821" t="s">
        <v>2562</v>
      </c>
      <c r="F821" t="s">
        <v>45</v>
      </c>
      <c r="G821" t="str">
        <f>HYPERLINK("https://vk.com/wall-48669646_10174")</f>
        <v>https://vk.com/wall-48669646_10174</v>
      </c>
      <c r="H821" t="s">
        <v>885</v>
      </c>
      <c r="I821" t="s">
        <v>46</v>
      </c>
      <c r="J821" t="str">
        <f>HYPERLINK("http://vk.com/club48669646")</f>
        <v>http://vk.com/club48669646</v>
      </c>
      <c r="K821">
        <v>5795</v>
      </c>
      <c r="L821" t="s">
        <v>28</v>
      </c>
      <c r="N821" t="s">
        <v>16</v>
      </c>
      <c r="O821" t="s">
        <v>46</v>
      </c>
      <c r="P821" t="str">
        <f>HYPERLINK("http://vk.com/club48669646")</f>
        <v>http://vk.com/club48669646</v>
      </c>
      <c r="Q821">
        <v>5795</v>
      </c>
      <c r="R821" t="s">
        <v>17</v>
      </c>
      <c r="S821" t="s">
        <v>18</v>
      </c>
      <c r="W821">
        <v>1</v>
      </c>
      <c r="X821">
        <v>1</v>
      </c>
      <c r="AE821">
        <v>0</v>
      </c>
      <c r="AF821">
        <v>0</v>
      </c>
      <c r="AG821">
        <v>426</v>
      </c>
      <c r="AI821" t="str">
        <f>HYPERLINK("https://sun1-94.userapi.com/6v6yEyo60AwIMoPoL0svvfhFtHnAZ66pdZouuA/6CsI8maD82M.jpg")</f>
        <v>https://sun1-94.userapi.com/6v6yEyo60AwIMoPoL0svvfhFtHnAZ66pdZouuA/6CsI8maD82M.jpg</v>
      </c>
      <c r="AJ821" t="s">
        <v>10</v>
      </c>
      <c r="AK821" t="s">
        <v>21</v>
      </c>
      <c r="AL821" t="s">
        <v>3237</v>
      </c>
      <c r="AW821" t="s">
        <v>3248</v>
      </c>
    </row>
    <row r="822" spans="1:51" x14ac:dyDescent="0.25">
      <c r="A822" t="s">
        <v>2865</v>
      </c>
      <c r="B822" t="s">
        <v>2913</v>
      </c>
      <c r="C822" t="s">
        <v>968</v>
      </c>
      <c r="D822" t="s">
        <v>10</v>
      </c>
      <c r="E822" t="s">
        <v>2914</v>
      </c>
      <c r="F822" t="s">
        <v>26</v>
      </c>
      <c r="G822" t="str">
        <f>HYPERLINK("https://twitter.com/814994216921210880/status/1282059277956513792")</f>
        <v>https://twitter.com/814994216921210880/status/1282059277956513792</v>
      </c>
      <c r="H822" t="s">
        <v>885</v>
      </c>
      <c r="I822" t="s">
        <v>2912</v>
      </c>
      <c r="J822" t="str">
        <f>HYPERLINK("http://twitter.com/GrangerF451")</f>
        <v>http://twitter.com/GrangerF451</v>
      </c>
      <c r="K822">
        <v>82</v>
      </c>
      <c r="N822" t="s">
        <v>54</v>
      </c>
      <c r="R822" t="s">
        <v>17</v>
      </c>
      <c r="S822" t="s">
        <v>425</v>
      </c>
      <c r="W822">
        <v>0</v>
      </c>
      <c r="X822">
        <v>0</v>
      </c>
      <c r="AF822">
        <v>0</v>
      </c>
      <c r="AJ822" t="s">
        <v>10</v>
      </c>
      <c r="AK822" t="s">
        <v>21</v>
      </c>
      <c r="AV822" t="s">
        <v>3247</v>
      </c>
      <c r="AX822" t="s">
        <v>3249</v>
      </c>
    </row>
    <row r="823" spans="1:51" x14ac:dyDescent="0.25">
      <c r="A823" t="s">
        <v>2915</v>
      </c>
      <c r="B823" t="s">
        <v>1548</v>
      </c>
      <c r="C823" t="s">
        <v>968</v>
      </c>
      <c r="D823" t="s">
        <v>2939</v>
      </c>
      <c r="E823" t="s">
        <v>2940</v>
      </c>
      <c r="F823" t="s">
        <v>26</v>
      </c>
      <c r="G823" t="str">
        <f>HYPERLINK("https://vk.com/wall-5608669_6795938?reply=6796276&amp;thread=6795994")</f>
        <v>https://vk.com/wall-5608669_6795938?reply=6796276&amp;thread=6795994</v>
      </c>
      <c r="H823" t="s">
        <v>885</v>
      </c>
      <c r="I823" t="s">
        <v>2941</v>
      </c>
      <c r="J823" t="str">
        <f>HYPERLINK("http://vk.com/id1707640")</f>
        <v>http://vk.com/id1707640</v>
      </c>
      <c r="K823">
        <v>156</v>
      </c>
      <c r="L823" t="s">
        <v>80</v>
      </c>
      <c r="N823" t="s">
        <v>16</v>
      </c>
      <c r="O823" t="s">
        <v>38</v>
      </c>
      <c r="P823" t="str">
        <f>HYPERLINK("http://vk.com/club5608669")</f>
        <v>http://vk.com/club5608669</v>
      </c>
      <c r="Q823">
        <v>343954</v>
      </c>
      <c r="R823" t="s">
        <v>17</v>
      </c>
      <c r="S823" t="s">
        <v>18</v>
      </c>
      <c r="T823" t="s">
        <v>37</v>
      </c>
      <c r="U823" t="s">
        <v>38</v>
      </c>
      <c r="AJ823" t="s">
        <v>10</v>
      </c>
      <c r="AK823" t="s">
        <v>21</v>
      </c>
      <c r="AL823" t="s">
        <v>3237</v>
      </c>
      <c r="AM823" t="s">
        <v>3238</v>
      </c>
      <c r="AU823" t="s">
        <v>3246</v>
      </c>
      <c r="AV823" t="s">
        <v>3247</v>
      </c>
      <c r="AX823" t="s">
        <v>3249</v>
      </c>
    </row>
    <row r="824" spans="1:51" x14ac:dyDescent="0.25">
      <c r="A824" t="s">
        <v>3021</v>
      </c>
      <c r="B824" t="s">
        <v>1093</v>
      </c>
      <c r="C824" t="s">
        <v>968</v>
      </c>
      <c r="D824" t="s">
        <v>10</v>
      </c>
      <c r="E824" t="s">
        <v>3073</v>
      </c>
      <c r="F824" t="s">
        <v>45</v>
      </c>
      <c r="G824" t="str">
        <f>HYPERLINK("https://www.facebook.com/expert.klinika.stavropol/photos/a.108004590782008/164161051833028/?type=3")</f>
        <v>https://www.facebook.com/expert.klinika.stavropol/photos/a.108004590782008/164161051833028/?type=3</v>
      </c>
      <c r="H824" t="s">
        <v>885</v>
      </c>
      <c r="I824" t="s">
        <v>640</v>
      </c>
      <c r="J824" t="str">
        <f>HYPERLINK("https://www.facebook.com/107325724183228")</f>
        <v>https://www.facebook.com/107325724183228</v>
      </c>
      <c r="K824">
        <v>1</v>
      </c>
      <c r="L824" t="s">
        <v>28</v>
      </c>
      <c r="N824" t="s">
        <v>179</v>
      </c>
      <c r="O824" t="s">
        <v>640</v>
      </c>
      <c r="P824" t="str">
        <f>HYPERLINK("https://www.facebook.com/107325724183228")</f>
        <v>https://www.facebook.com/107325724183228</v>
      </c>
      <c r="Q824">
        <v>1</v>
      </c>
      <c r="R824" t="s">
        <v>17</v>
      </c>
      <c r="S824" t="s">
        <v>18</v>
      </c>
      <c r="T824" t="s">
        <v>641</v>
      </c>
      <c r="U824" t="s">
        <v>642</v>
      </c>
      <c r="W824">
        <v>0</v>
      </c>
      <c r="X824">
        <v>0</v>
      </c>
      <c r="Y824">
        <v>0</v>
      </c>
      <c r="Z824">
        <v>0</v>
      </c>
      <c r="AA824">
        <v>0</v>
      </c>
      <c r="AB824">
        <v>0</v>
      </c>
      <c r="AC824">
        <v>0</v>
      </c>
      <c r="AE824">
        <v>0</v>
      </c>
      <c r="AI824" t="str">
        <f>HYPERLINK("https://scontent-hel2-1.xx.fbcdn.net/v/t1.0-0/p526x296/107102643_164161055166361_2580727406601548152_n.jpg?_nc_cat=100&amp;_nc_sid=9267fe&amp;_nc_ohc=UXLn7caIcVgAX_uFhvG&amp;_nc_ht=scontent-hel2-1.xx&amp;_nc_tp=6&amp;oh=321bf68eef6b2efda396fe98edaa0a77&amp;oe=5F2D5D27")</f>
        <v>https://scontent-hel2-1.xx.fbcdn.net/v/t1.0-0/p526x296/107102643_164161055166361_2580727406601548152_n.jpg?_nc_cat=100&amp;_nc_sid=9267fe&amp;_nc_ohc=UXLn7caIcVgAX_uFhvG&amp;_nc_ht=scontent-hel2-1.xx&amp;_nc_tp=6&amp;oh=321bf68eef6b2efda396fe98edaa0a77&amp;oe=5F2D5D27</v>
      </c>
      <c r="AJ824" t="s">
        <v>10</v>
      </c>
      <c r="AK824" t="s">
        <v>21</v>
      </c>
      <c r="AV824" t="s">
        <v>3247</v>
      </c>
      <c r="AW824" t="s">
        <v>3248</v>
      </c>
    </row>
    <row r="825" spans="1:51" x14ac:dyDescent="0.25">
      <c r="A825" t="s">
        <v>7</v>
      </c>
      <c r="B825" t="s">
        <v>72</v>
      </c>
      <c r="C825" t="s">
        <v>73</v>
      </c>
      <c r="D825" t="s">
        <v>24</v>
      </c>
      <c r="E825" t="s">
        <v>74</v>
      </c>
      <c r="F825" t="s">
        <v>26</v>
      </c>
      <c r="G825" t="str">
        <f>HYPERLINK("https://vk.com/wall-197114981_31?reply=1375&amp;thread=1352")</f>
        <v>https://vk.com/wall-197114981_31?reply=1375&amp;thread=1352</v>
      </c>
      <c r="H825" t="s">
        <v>13</v>
      </c>
      <c r="I825" t="s">
        <v>27</v>
      </c>
      <c r="J825" t="str">
        <f>HYPERLINK("http://vk.com/club197114981")</f>
        <v>http://vk.com/club197114981</v>
      </c>
      <c r="K825">
        <v>38</v>
      </c>
      <c r="L825" t="s">
        <v>28</v>
      </c>
      <c r="N825" t="s">
        <v>16</v>
      </c>
      <c r="O825" t="s">
        <v>27</v>
      </c>
      <c r="P825" t="str">
        <f>HYPERLINK("http://vk.com/club197114981")</f>
        <v>http://vk.com/club197114981</v>
      </c>
      <c r="Q825">
        <v>38</v>
      </c>
      <c r="R825" t="s">
        <v>17</v>
      </c>
      <c r="AJ825" t="s">
        <v>10</v>
      </c>
      <c r="AK825" t="s">
        <v>21</v>
      </c>
      <c r="AM825" t="s">
        <v>3238</v>
      </c>
      <c r="AX825" t="s">
        <v>3249</v>
      </c>
    </row>
    <row r="826" spans="1:51" x14ac:dyDescent="0.25">
      <c r="A826" t="s">
        <v>772</v>
      </c>
      <c r="B826" t="s">
        <v>899</v>
      </c>
      <c r="C826" t="s">
        <v>900</v>
      </c>
      <c r="D826" t="s">
        <v>24</v>
      </c>
      <c r="E826" t="s">
        <v>901</v>
      </c>
      <c r="F826" t="s">
        <v>26</v>
      </c>
      <c r="G826" t="str">
        <f>HYPERLINK("https://vk.com/wall-197114981_31?reply=1120&amp;thread=619")</f>
        <v>https://vk.com/wall-197114981_31?reply=1120&amp;thread=619</v>
      </c>
      <c r="H826" t="s">
        <v>885</v>
      </c>
      <c r="I826" t="s">
        <v>27</v>
      </c>
      <c r="J826" t="str">
        <f>HYPERLINK("http://vk.com/club197114981")</f>
        <v>http://vk.com/club197114981</v>
      </c>
      <c r="K826">
        <v>38</v>
      </c>
      <c r="L826" t="s">
        <v>28</v>
      </c>
      <c r="N826" t="s">
        <v>16</v>
      </c>
      <c r="O826" t="s">
        <v>27</v>
      </c>
      <c r="P826" t="str">
        <f>HYPERLINK("http://vk.com/club197114981")</f>
        <v>http://vk.com/club197114981</v>
      </c>
      <c r="Q826">
        <v>38</v>
      </c>
      <c r="R826" t="s">
        <v>17</v>
      </c>
      <c r="AJ826" t="s">
        <v>10</v>
      </c>
      <c r="AK826" t="s">
        <v>21</v>
      </c>
      <c r="AM826" t="s">
        <v>3238</v>
      </c>
      <c r="AY826" t="s">
        <v>3250</v>
      </c>
    </row>
    <row r="827" spans="1:51" x14ac:dyDescent="0.25">
      <c r="A827" t="s">
        <v>1225</v>
      </c>
      <c r="B827" t="s">
        <v>1239</v>
      </c>
      <c r="C827" t="s">
        <v>984</v>
      </c>
      <c r="D827" t="s">
        <v>10</v>
      </c>
      <c r="E827" t="s">
        <v>1240</v>
      </c>
      <c r="F827" t="s">
        <v>45</v>
      </c>
      <c r="G827" t="str">
        <f>HYPERLINK("https://www.instagram.com/p/CDeVkp_jTMe")</f>
        <v>https://www.instagram.com/p/CDeVkp_jTMe</v>
      </c>
      <c r="H827" t="s">
        <v>885</v>
      </c>
      <c r="I827" t="s">
        <v>1241</v>
      </c>
      <c r="J827" t="str">
        <f>HYPERLINK("http://instagram.com/dr.jdinkha")</f>
        <v>http://instagram.com/dr.jdinkha</v>
      </c>
      <c r="K827">
        <v>13350</v>
      </c>
      <c r="N827" t="s">
        <v>69</v>
      </c>
      <c r="O827" t="s">
        <v>1241</v>
      </c>
      <c r="P827" t="str">
        <f>HYPERLINK("http://instagram.com/dr.jdinkha")</f>
        <v>http://instagram.com/dr.jdinkha</v>
      </c>
      <c r="Q827">
        <v>13350</v>
      </c>
      <c r="R827" t="s">
        <v>17</v>
      </c>
      <c r="S827" t="s">
        <v>1242</v>
      </c>
      <c r="W827">
        <v>159</v>
      </c>
      <c r="X827">
        <v>159</v>
      </c>
      <c r="AE827">
        <v>12</v>
      </c>
      <c r="AG827">
        <v>1024</v>
      </c>
      <c r="AI827" t="str">
        <f>HYPERLINK("https://www.instagram.com/p/CDeVkp_jTMe/media/?size=l")</f>
        <v>https://www.instagram.com/p/CDeVkp_jTMe/media/?size=l</v>
      </c>
      <c r="AJ827" t="s">
        <v>10</v>
      </c>
      <c r="AK827" t="s">
        <v>21</v>
      </c>
      <c r="AL827" t="s">
        <v>3237</v>
      </c>
      <c r="AU827" t="s">
        <v>3246</v>
      </c>
      <c r="AW827" t="s">
        <v>3248</v>
      </c>
      <c r="AY827" t="s">
        <v>3250</v>
      </c>
    </row>
    <row r="828" spans="1:51" x14ac:dyDescent="0.25">
      <c r="A828" t="s">
        <v>1277</v>
      </c>
      <c r="B828" t="s">
        <v>1283</v>
      </c>
      <c r="C828" t="s">
        <v>984</v>
      </c>
      <c r="D828" t="s">
        <v>10</v>
      </c>
      <c r="E828" t="s">
        <v>1284</v>
      </c>
      <c r="F828" t="s">
        <v>45</v>
      </c>
      <c r="G828" t="str">
        <f>HYPERLINK("https://www.facebook.com/TheProjectKuwait/photos/a.364644271018854/745421139607830/?type=3")</f>
        <v>https://www.facebook.com/TheProjectKuwait/photos/a.364644271018854/745421139607830/?type=3</v>
      </c>
      <c r="H828" t="s">
        <v>885</v>
      </c>
      <c r="I828" t="s">
        <v>1285</v>
      </c>
      <c r="J828" t="str">
        <f>HYPERLINK("https://www.facebook.com/364270074389607")</f>
        <v>https://www.facebook.com/364270074389607</v>
      </c>
      <c r="K828">
        <v>202</v>
      </c>
      <c r="L828" t="s">
        <v>28</v>
      </c>
      <c r="N828" t="s">
        <v>179</v>
      </c>
      <c r="O828" t="s">
        <v>1285</v>
      </c>
      <c r="P828" t="str">
        <f>HYPERLINK("https://www.facebook.com/364270074389607")</f>
        <v>https://www.facebook.com/364270074389607</v>
      </c>
      <c r="Q828">
        <v>202</v>
      </c>
      <c r="R828" t="s">
        <v>17</v>
      </c>
      <c r="S828" t="s">
        <v>1242</v>
      </c>
      <c r="W828">
        <v>1</v>
      </c>
      <c r="X828">
        <v>1</v>
      </c>
      <c r="Y828">
        <v>0</v>
      </c>
      <c r="Z828">
        <v>0</v>
      </c>
      <c r="AA828">
        <v>0</v>
      </c>
      <c r="AB828">
        <v>0</v>
      </c>
      <c r="AC828">
        <v>0</v>
      </c>
      <c r="AE828">
        <v>1</v>
      </c>
      <c r="AI828" t="str">
        <f>HYPERLINK("https://scontent-hel2-1.xx.fbcdn.net/v/t1.0-9/116595646_745421142941163_3860555517819126025_n.jpg?_nc_cat=104&amp;_nc_sid=9267fe&amp;_nc_ohc=rRNHJHjBIRkAX8OiMQF&amp;_nc_ht=scontent-hel2-1.xx&amp;oh=19c5b6ac8262f79f7fbf113c59827e51&amp;oe=5F509511")</f>
        <v>https://scontent-hel2-1.xx.fbcdn.net/v/t1.0-9/116595646_745421142941163_3860555517819126025_n.jpg?_nc_cat=104&amp;_nc_sid=9267fe&amp;_nc_ohc=rRNHJHjBIRkAX8OiMQF&amp;_nc_ht=scontent-hel2-1.xx&amp;oh=19c5b6ac8262f79f7fbf113c59827e51&amp;oe=5F509511</v>
      </c>
      <c r="AJ828" t="s">
        <v>10</v>
      </c>
      <c r="AK828" t="s">
        <v>21</v>
      </c>
      <c r="AT828" t="s">
        <v>3245</v>
      </c>
      <c r="AV828" t="s">
        <v>3247</v>
      </c>
      <c r="AX828" t="s">
        <v>3249</v>
      </c>
      <c r="AY828" t="s">
        <v>3250</v>
      </c>
    </row>
    <row r="829" spans="1:51" x14ac:dyDescent="0.25">
      <c r="A829" t="s">
        <v>1723</v>
      </c>
      <c r="B829" t="s">
        <v>1783</v>
      </c>
      <c r="C829" t="s">
        <v>984</v>
      </c>
      <c r="D829" t="s">
        <v>1697</v>
      </c>
      <c r="E829" t="s">
        <v>1776</v>
      </c>
      <c r="F829" t="s">
        <v>45</v>
      </c>
      <c r="G829" t="str">
        <f>HYPERLINK("https://www.ydr.com/story/news/coronavirus/2020/07/28/covid-northeast-better-prepared-second-spike/5449927002")</f>
        <v>https://www.ydr.com/story/news/coronavirus/2020/07/28/covid-northeast-better-prepared-second-spike/5449927002</v>
      </c>
      <c r="H829" t="s">
        <v>885</v>
      </c>
      <c r="I829" t="s">
        <v>1625</v>
      </c>
      <c r="J829" t="str">
        <f>HYPERLINK("https://www.ydr.com/story/news/coronavirus/2020/07/28/covid-northeast-better-prepared-second-spike/5449927002/")</f>
        <v>https://www.ydr.com/story/news/coronavirus/2020/07/28/covid-northeast-better-prepared-second-spike/5449927002/</v>
      </c>
      <c r="L829" t="s">
        <v>15</v>
      </c>
      <c r="N829" t="s">
        <v>1790</v>
      </c>
      <c r="R829" t="s">
        <v>239</v>
      </c>
      <c r="S829" t="s">
        <v>425</v>
      </c>
      <c r="AJ829" t="s">
        <v>10</v>
      </c>
      <c r="AK829" t="s">
        <v>21</v>
      </c>
      <c r="AO829" t="s">
        <v>3240</v>
      </c>
    </row>
    <row r="830" spans="1:51" x14ac:dyDescent="0.25">
      <c r="A830" t="s">
        <v>1723</v>
      </c>
      <c r="B830" t="s">
        <v>1826</v>
      </c>
      <c r="C830" t="s">
        <v>984</v>
      </c>
      <c r="D830" t="s">
        <v>1827</v>
      </c>
      <c r="E830" t="s">
        <v>1828</v>
      </c>
      <c r="F830" t="s">
        <v>26</v>
      </c>
      <c r="G830" t="str">
        <f>HYPERLINK("https://www.youtube.com/watch?v=0ayBZF06nh0&amp;lc=UgzBnccq6fMRJg3z65x4AaABAg")</f>
        <v>https://www.youtube.com/watch?v=0ayBZF06nh0&amp;lc=UgzBnccq6fMRJg3z65x4AaABAg</v>
      </c>
      <c r="H830" t="s">
        <v>885</v>
      </c>
      <c r="I830" t="s">
        <v>1829</v>
      </c>
      <c r="J830" t="str">
        <f>HYPERLINK("https://www.youtube.com/channel/UCv0vaIbypkUXwJ5HOuvjwlg")</f>
        <v>https://www.youtube.com/channel/UCv0vaIbypkUXwJ5HOuvjwlg</v>
      </c>
      <c r="K830">
        <v>0</v>
      </c>
      <c r="N830" t="s">
        <v>162</v>
      </c>
      <c r="O830" t="s">
        <v>1830</v>
      </c>
      <c r="P830" t="str">
        <f>HYPERLINK("https://www.youtube.com/channel/UCkz3m787ygph7Uvjxzngl-g")</f>
        <v>https://www.youtube.com/channel/UCkz3m787ygph7Uvjxzngl-g</v>
      </c>
      <c r="Q830">
        <v>201000</v>
      </c>
      <c r="R830" t="s">
        <v>17</v>
      </c>
      <c r="S830" t="s">
        <v>425</v>
      </c>
      <c r="AJ830" t="s">
        <v>10</v>
      </c>
      <c r="AK830" t="s">
        <v>21</v>
      </c>
      <c r="AM830" t="s">
        <v>3238</v>
      </c>
      <c r="AO830" t="s">
        <v>3240</v>
      </c>
    </row>
    <row r="831" spans="1:51" x14ac:dyDescent="0.25">
      <c r="A831" t="s">
        <v>1838</v>
      </c>
      <c r="B831" t="s">
        <v>1479</v>
      </c>
      <c r="C831" t="s">
        <v>984</v>
      </c>
      <c r="D831" t="s">
        <v>10</v>
      </c>
      <c r="E831" t="s">
        <v>1701</v>
      </c>
      <c r="F831" t="s">
        <v>12</v>
      </c>
      <c r="G831" t="str">
        <f>HYPERLINK("https://twitter.com/103784518/status/1287700146151550976")</f>
        <v>https://twitter.com/103784518/status/1287700146151550976</v>
      </c>
      <c r="H831" t="s">
        <v>885</v>
      </c>
      <c r="I831" t="s">
        <v>1897</v>
      </c>
      <c r="J831" t="str">
        <f>HYPERLINK("http://twitter.com/aviatorravi2007")</f>
        <v>http://twitter.com/aviatorravi2007</v>
      </c>
      <c r="K831">
        <v>69</v>
      </c>
      <c r="L831" t="s">
        <v>15</v>
      </c>
      <c r="N831" t="s">
        <v>54</v>
      </c>
      <c r="R831" t="s">
        <v>17</v>
      </c>
      <c r="W831">
        <v>0</v>
      </c>
      <c r="X831">
        <v>0</v>
      </c>
      <c r="AJ831" t="s">
        <v>10</v>
      </c>
      <c r="AK831" t="s">
        <v>21</v>
      </c>
    </row>
    <row r="832" spans="1:51" x14ac:dyDescent="0.25">
      <c r="A832" t="s">
        <v>1838</v>
      </c>
      <c r="B832" t="s">
        <v>605</v>
      </c>
      <c r="C832" t="s">
        <v>984</v>
      </c>
      <c r="D832" t="s">
        <v>1898</v>
      </c>
      <c r="E832" t="s">
        <v>1899</v>
      </c>
      <c r="F832" t="s">
        <v>26</v>
      </c>
      <c r="G832" t="str">
        <f>HYPERLINK("https://telegram.me/sportmytischi/31791")</f>
        <v>https://telegram.me/sportmytischi/31791</v>
      </c>
      <c r="H832" t="s">
        <v>1057</v>
      </c>
      <c r="I832" t="s">
        <v>1900</v>
      </c>
      <c r="J832" t="str">
        <f>HYPERLINK("https://telegram.me/198047949")</f>
        <v>https://telegram.me/198047949</v>
      </c>
      <c r="L832" t="s">
        <v>15</v>
      </c>
      <c r="N832" t="s">
        <v>877</v>
      </c>
      <c r="O832" t="s">
        <v>1901</v>
      </c>
      <c r="P832" t="str">
        <f>HYPERLINK("https://telegram.me/sportmytischi")</f>
        <v>https://telegram.me/sportmytischi</v>
      </c>
      <c r="Q832">
        <v>101</v>
      </c>
      <c r="R832" t="s">
        <v>878</v>
      </c>
      <c r="AJ832" t="s">
        <v>10</v>
      </c>
      <c r="AK832" t="s">
        <v>21</v>
      </c>
    </row>
    <row r="833" spans="1:51" x14ac:dyDescent="0.25">
      <c r="A833" t="s">
        <v>1838</v>
      </c>
      <c r="B833" t="s">
        <v>1902</v>
      </c>
      <c r="C833" t="s">
        <v>984</v>
      </c>
      <c r="D833" t="s">
        <v>1903</v>
      </c>
      <c r="E833" t="s">
        <v>1898</v>
      </c>
      <c r="F833" t="s">
        <v>26</v>
      </c>
      <c r="G833" t="str">
        <f>HYPERLINK("https://telegram.me/sportmytischi/31790")</f>
        <v>https://telegram.me/sportmytischi/31790</v>
      </c>
      <c r="H833" t="s">
        <v>1057</v>
      </c>
      <c r="I833" t="s">
        <v>1904</v>
      </c>
      <c r="J833" t="str">
        <f>HYPERLINK("https://telegram.me/baratynskiy")</f>
        <v>https://telegram.me/baratynskiy</v>
      </c>
      <c r="L833" t="s">
        <v>15</v>
      </c>
      <c r="N833" t="s">
        <v>877</v>
      </c>
      <c r="O833" t="s">
        <v>1901</v>
      </c>
      <c r="P833" t="str">
        <f>HYPERLINK("https://telegram.me/sportmytischi")</f>
        <v>https://telegram.me/sportmytischi</v>
      </c>
      <c r="Q833">
        <v>101</v>
      </c>
      <c r="R833" t="s">
        <v>878</v>
      </c>
      <c r="AJ833" t="s">
        <v>10</v>
      </c>
      <c r="AK833" t="s">
        <v>21</v>
      </c>
    </row>
    <row r="834" spans="1:51" x14ac:dyDescent="0.25">
      <c r="A834" t="s">
        <v>2122</v>
      </c>
      <c r="B834" t="s">
        <v>2135</v>
      </c>
      <c r="C834" t="s">
        <v>968</v>
      </c>
      <c r="D834" t="s">
        <v>10</v>
      </c>
      <c r="E834" t="s">
        <v>1948</v>
      </c>
      <c r="F834" t="s">
        <v>45</v>
      </c>
      <c r="G834" t="str">
        <f>HYPERLINK("https://vk.com/wall-158633337_943")</f>
        <v>https://vk.com/wall-158633337_943</v>
      </c>
      <c r="H834" t="s">
        <v>889</v>
      </c>
      <c r="I834" t="s">
        <v>125</v>
      </c>
      <c r="J834" t="str">
        <f>HYPERLINK("http://vk.com/club158633337")</f>
        <v>http://vk.com/club158633337</v>
      </c>
      <c r="K834">
        <v>4852</v>
      </c>
      <c r="L834" t="s">
        <v>28</v>
      </c>
      <c r="N834" t="s">
        <v>16</v>
      </c>
      <c r="O834" t="s">
        <v>125</v>
      </c>
      <c r="P834" t="str">
        <f>HYPERLINK("http://vk.com/club158633337")</f>
        <v>http://vk.com/club158633337</v>
      </c>
      <c r="Q834">
        <v>4852</v>
      </c>
      <c r="R834" t="s">
        <v>17</v>
      </c>
      <c r="S834" t="s">
        <v>18</v>
      </c>
      <c r="T834" t="s">
        <v>126</v>
      </c>
      <c r="U834" t="s">
        <v>127</v>
      </c>
      <c r="W834">
        <v>0</v>
      </c>
      <c r="X834">
        <v>0</v>
      </c>
      <c r="AE834">
        <v>0</v>
      </c>
      <c r="AF834">
        <v>0</v>
      </c>
      <c r="AG834">
        <v>107</v>
      </c>
      <c r="AI834" t="str">
        <f>HYPERLINK("https://sun1-26.userapi.com/yMGuTIeCdpv9fT7_A9Inyqx6HE6n9jy7yqwE_w/MExu17Xz1OQ.jpg")</f>
        <v>https://sun1-26.userapi.com/yMGuTIeCdpv9fT7_A9Inyqx6HE6n9jy7yqwE_w/MExu17Xz1OQ.jpg</v>
      </c>
      <c r="AJ834" t="s">
        <v>10</v>
      </c>
      <c r="AK834" t="s">
        <v>21</v>
      </c>
      <c r="AL834" t="s">
        <v>3237</v>
      </c>
      <c r="AO834" t="s">
        <v>3240</v>
      </c>
    </row>
    <row r="835" spans="1:51" x14ac:dyDescent="0.25">
      <c r="A835" t="s">
        <v>2122</v>
      </c>
      <c r="B835" t="s">
        <v>2183</v>
      </c>
      <c r="C835" t="s">
        <v>968</v>
      </c>
      <c r="D835" t="s">
        <v>2179</v>
      </c>
      <c r="E835" t="s">
        <v>2184</v>
      </c>
      <c r="F835" t="s">
        <v>45</v>
      </c>
      <c r="G835" t="str">
        <f>HYPERLINK("http://www.releasewire.com/press-releases/expert-cancer-homoeo-clinic-offering-homoeopathic-treatment-for-cancer-and-kidney-diseases-1297978.htm")</f>
        <v>http://www.releasewire.com/press-releases/expert-cancer-homoeo-clinic-offering-homoeopathic-treatment-for-cancer-and-kidney-diseases-1297978.htm</v>
      </c>
      <c r="H835" t="s">
        <v>885</v>
      </c>
      <c r="I835" t="s">
        <v>2185</v>
      </c>
      <c r="J835" t="str">
        <f>HYPERLINK("http://www.releasewire.com")</f>
        <v>http://www.releasewire.com</v>
      </c>
      <c r="N835" t="s">
        <v>2186</v>
      </c>
      <c r="R835" t="s">
        <v>239</v>
      </c>
      <c r="S835" t="s">
        <v>425</v>
      </c>
      <c r="AJ835" t="s">
        <v>10</v>
      </c>
      <c r="AK835" t="s">
        <v>21</v>
      </c>
      <c r="AL835" t="s">
        <v>3237</v>
      </c>
      <c r="AO835" t="s">
        <v>3240</v>
      </c>
    </row>
    <row r="836" spans="1:51" x14ac:dyDescent="0.25">
      <c r="A836" t="s">
        <v>2122</v>
      </c>
      <c r="B836" t="s">
        <v>2190</v>
      </c>
      <c r="C836" t="s">
        <v>968</v>
      </c>
      <c r="D836" t="s">
        <v>10</v>
      </c>
      <c r="E836" t="s">
        <v>2191</v>
      </c>
      <c r="F836" t="s">
        <v>12</v>
      </c>
      <c r="G836" t="str">
        <f>HYPERLINK("https://twitter.com/1119569900861837313/status/1286089624058724353")</f>
        <v>https://twitter.com/1119569900861837313/status/1286089624058724353</v>
      </c>
      <c r="H836" t="s">
        <v>885</v>
      </c>
      <c r="I836" t="s">
        <v>2192</v>
      </c>
      <c r="J836" t="str">
        <f>HYPERLINK("http://twitter.com/Stewart63818860")</f>
        <v>http://twitter.com/Stewart63818860</v>
      </c>
      <c r="K836">
        <v>133</v>
      </c>
      <c r="L836" t="s">
        <v>15</v>
      </c>
      <c r="N836" t="s">
        <v>54</v>
      </c>
      <c r="R836" t="s">
        <v>17</v>
      </c>
      <c r="S836" t="s">
        <v>425</v>
      </c>
      <c r="W836">
        <v>0</v>
      </c>
      <c r="X836">
        <v>0</v>
      </c>
      <c r="AJ836" t="s">
        <v>10</v>
      </c>
      <c r="AK836" t="s">
        <v>21</v>
      </c>
      <c r="AO836" t="s">
        <v>3240</v>
      </c>
    </row>
    <row r="837" spans="1:51" x14ac:dyDescent="0.25">
      <c r="A837" t="s">
        <v>7</v>
      </c>
      <c r="B837" t="s">
        <v>220</v>
      </c>
      <c r="C837" t="s">
        <v>217</v>
      </c>
      <c r="D837" t="s">
        <v>10</v>
      </c>
      <c r="E837" t="s">
        <v>221</v>
      </c>
      <c r="F837" t="s">
        <v>45</v>
      </c>
      <c r="G837" t="str">
        <f>HYPERLINK("https://vk.com/wall-196360197_1650")</f>
        <v>https://vk.com/wall-196360197_1650</v>
      </c>
      <c r="H837" t="s">
        <v>13</v>
      </c>
      <c r="I837" t="s">
        <v>222</v>
      </c>
      <c r="J837" t="str">
        <f>HYPERLINK("http://vk.com/club196360197")</f>
        <v>http://vk.com/club196360197</v>
      </c>
      <c r="K837">
        <v>42</v>
      </c>
      <c r="L837" t="s">
        <v>28</v>
      </c>
      <c r="N837" t="s">
        <v>16</v>
      </c>
      <c r="O837" t="s">
        <v>222</v>
      </c>
      <c r="P837" t="str">
        <f>HYPERLINK("http://vk.com/club196360197")</f>
        <v>http://vk.com/club196360197</v>
      </c>
      <c r="Q837">
        <v>42</v>
      </c>
      <c r="R837" t="s">
        <v>17</v>
      </c>
      <c r="AI837" t="str">
        <f>HYPERLINK("https://sun9-56.userapi.com/c854420/v854420276/2546cf/OHL1JYOK0Nk.jpg")</f>
        <v>https://sun9-56.userapi.com/c854420/v854420276/2546cf/OHL1JYOK0Nk.jpg</v>
      </c>
      <c r="AJ837" t="s">
        <v>10</v>
      </c>
      <c r="AK837" t="s">
        <v>21</v>
      </c>
      <c r="AX837" t="s">
        <v>3249</v>
      </c>
      <c r="AY837" t="s">
        <v>3250</v>
      </c>
    </row>
    <row r="838" spans="1:51" x14ac:dyDescent="0.25">
      <c r="A838" t="s">
        <v>1017</v>
      </c>
      <c r="B838" t="s">
        <v>1072</v>
      </c>
      <c r="C838" t="s">
        <v>984</v>
      </c>
      <c r="D838" t="s">
        <v>10</v>
      </c>
      <c r="E838" t="s">
        <v>1073</v>
      </c>
      <c r="F838" t="s">
        <v>12</v>
      </c>
      <c r="G838" t="str">
        <f>HYPERLINK("https://www.facebook.com/permalink.php?story_fbid=1368550976674422&amp;id=100005585983932")</f>
        <v>https://www.facebook.com/permalink.php?story_fbid=1368550976674422&amp;id=100005585983932</v>
      </c>
      <c r="H838" t="s">
        <v>885</v>
      </c>
      <c r="I838" t="s">
        <v>1074</v>
      </c>
      <c r="J838" t="str">
        <f>HYPERLINK("https://www.facebook.com/100005585983932")</f>
        <v>https://www.facebook.com/100005585983932</v>
      </c>
      <c r="K838">
        <v>485</v>
      </c>
      <c r="L838" t="s">
        <v>80</v>
      </c>
      <c r="N838" t="s">
        <v>179</v>
      </c>
      <c r="O838" t="s">
        <v>1074</v>
      </c>
      <c r="P838" t="str">
        <f>HYPERLINK("https://www.facebook.com/100005585983932")</f>
        <v>https://www.facebook.com/100005585983932</v>
      </c>
      <c r="Q838">
        <v>485</v>
      </c>
      <c r="R838" t="s">
        <v>17</v>
      </c>
      <c r="S838" t="s">
        <v>18</v>
      </c>
      <c r="T838" t="s">
        <v>1015</v>
      </c>
      <c r="U838" t="s">
        <v>1016</v>
      </c>
      <c r="W838">
        <v>9</v>
      </c>
      <c r="X838">
        <v>8</v>
      </c>
      <c r="Y838">
        <v>1</v>
      </c>
      <c r="Z838">
        <v>0</v>
      </c>
      <c r="AA838">
        <v>0</v>
      </c>
      <c r="AB838">
        <v>0</v>
      </c>
      <c r="AC838">
        <v>0</v>
      </c>
      <c r="AE838">
        <v>0</v>
      </c>
      <c r="AF838">
        <v>2</v>
      </c>
      <c r="AI838" t="str">
        <f>HYPERLINK("https://scontent-hel2-1.xx.fbcdn.net/v/t15.5256-10/p180x540/117173450_596700514371898_6013744581150274627_n.jpg?_nc_cat=104&amp;_nc_sid=ad6a45&amp;_nc_ohc=suz61kG3AHYAX_2NC8K&amp;_nc_ht=scontent-hel2-1.xx&amp;oh=6d0a76e601fa0ad5bc71c4be826fdf02&amp;oe=5F547AD7")</f>
        <v>https://scontent-hel2-1.xx.fbcdn.net/v/t15.5256-10/p180x540/117173450_596700514371898_6013744581150274627_n.jpg?_nc_cat=104&amp;_nc_sid=ad6a45&amp;_nc_ohc=suz61kG3AHYAX_2NC8K&amp;_nc_ht=scontent-hel2-1.xx&amp;oh=6d0a76e601fa0ad5bc71c4be826fdf02&amp;oe=5F547AD7</v>
      </c>
      <c r="AJ838" t="s">
        <v>10</v>
      </c>
      <c r="AK838" t="s">
        <v>21</v>
      </c>
      <c r="AV838" t="s">
        <v>3247</v>
      </c>
      <c r="AY838" t="s">
        <v>3250</v>
      </c>
    </row>
    <row r="839" spans="1:51" x14ac:dyDescent="0.25">
      <c r="A839" t="s">
        <v>1352</v>
      </c>
      <c r="B839" t="s">
        <v>1399</v>
      </c>
      <c r="C839" t="s">
        <v>984</v>
      </c>
      <c r="D839" t="s">
        <v>10</v>
      </c>
      <c r="E839" t="s">
        <v>1400</v>
      </c>
      <c r="F839" t="s">
        <v>45</v>
      </c>
      <c r="G839" t="str">
        <f>HYPERLINK("https://www.facebook.com/180093597810/posts/10157082314462811")</f>
        <v>https://www.facebook.com/180093597810/posts/10157082314462811</v>
      </c>
      <c r="H839" t="s">
        <v>885</v>
      </c>
      <c r="I839" t="s">
        <v>1401</v>
      </c>
      <c r="J839" t="str">
        <f>HYPERLINK("https://www.facebook.com/180093597810")</f>
        <v>https://www.facebook.com/180093597810</v>
      </c>
      <c r="K839">
        <v>14852</v>
      </c>
      <c r="L839" t="s">
        <v>28</v>
      </c>
      <c r="N839" t="s">
        <v>179</v>
      </c>
      <c r="O839" t="s">
        <v>1401</v>
      </c>
      <c r="P839" t="str">
        <f>HYPERLINK("https://www.facebook.com/180093597810")</f>
        <v>https://www.facebook.com/180093597810</v>
      </c>
      <c r="Q839">
        <v>14852</v>
      </c>
      <c r="R839" t="s">
        <v>17</v>
      </c>
      <c r="W839">
        <v>4</v>
      </c>
      <c r="X839">
        <v>4</v>
      </c>
      <c r="Y839">
        <v>0</v>
      </c>
      <c r="Z839">
        <v>0</v>
      </c>
      <c r="AA839">
        <v>0</v>
      </c>
      <c r="AB839">
        <v>0</v>
      </c>
      <c r="AC839">
        <v>0</v>
      </c>
      <c r="AE839">
        <v>1</v>
      </c>
      <c r="AI839" t="s">
        <v>1402</v>
      </c>
      <c r="AJ839" t="s">
        <v>10</v>
      </c>
      <c r="AK839" t="s">
        <v>21</v>
      </c>
      <c r="AV839" t="s">
        <v>3247</v>
      </c>
      <c r="AX839" t="s">
        <v>3249</v>
      </c>
      <c r="AY839" t="s">
        <v>3250</v>
      </c>
    </row>
    <row r="840" spans="1:51" x14ac:dyDescent="0.25">
      <c r="A840" t="s">
        <v>1518</v>
      </c>
      <c r="B840" t="s">
        <v>1589</v>
      </c>
      <c r="C840" t="s">
        <v>984</v>
      </c>
      <c r="D840" t="s">
        <v>1590</v>
      </c>
      <c r="E840" t="s">
        <v>1591</v>
      </c>
      <c r="F840" t="s">
        <v>26</v>
      </c>
      <c r="G840" t="str">
        <f>HYPERLINK("https://www.youtube.com/watch?v=Gu7AbcKTSM8&amp;lc=Ugwc23MWuHNF-74GcTV4AaABAg")</f>
        <v>https://www.youtube.com/watch?v=Gu7AbcKTSM8&amp;lc=Ugwc23MWuHNF-74GcTV4AaABAg</v>
      </c>
      <c r="H840" t="s">
        <v>885</v>
      </c>
      <c r="I840" t="s">
        <v>1587</v>
      </c>
      <c r="J840" t="str">
        <f>HYPERLINK("https://www.youtube.com/channel/UCGHfzC4BslnQVGaRSraVmHw")</f>
        <v>https://www.youtube.com/channel/UCGHfzC4BslnQVGaRSraVmHw</v>
      </c>
      <c r="K840">
        <v>3</v>
      </c>
      <c r="L840" t="s">
        <v>15</v>
      </c>
      <c r="N840" t="s">
        <v>162</v>
      </c>
      <c r="O840" t="s">
        <v>1592</v>
      </c>
      <c r="P840" t="str">
        <f>HYPERLINK("https://www.youtube.com/channel/UCoWZ_PsG1SSShZ_6ORL5-uA")</f>
        <v>https://www.youtube.com/channel/UCoWZ_PsG1SSShZ_6ORL5-uA</v>
      </c>
      <c r="Q840">
        <v>435000</v>
      </c>
      <c r="R840" t="s">
        <v>17</v>
      </c>
      <c r="S840" t="s">
        <v>425</v>
      </c>
      <c r="W840">
        <v>0</v>
      </c>
      <c r="X840">
        <v>0</v>
      </c>
      <c r="AE840">
        <v>0</v>
      </c>
      <c r="AJ840" t="s">
        <v>10</v>
      </c>
      <c r="AK840" t="s">
        <v>21</v>
      </c>
      <c r="AV840" t="s">
        <v>3247</v>
      </c>
      <c r="AY840" t="s">
        <v>3250</v>
      </c>
    </row>
    <row r="841" spans="1:51" x14ac:dyDescent="0.25">
      <c r="A841" t="s">
        <v>1597</v>
      </c>
      <c r="B841" t="s">
        <v>1605</v>
      </c>
      <c r="C841" t="s">
        <v>984</v>
      </c>
      <c r="D841" t="s">
        <v>10</v>
      </c>
      <c r="E841" t="s">
        <v>1598</v>
      </c>
      <c r="F841" t="s">
        <v>12</v>
      </c>
      <c r="G841" t="str">
        <f>HYPERLINK("https://vk.com/wall467486592_537")</f>
        <v>https://vk.com/wall467486592_537</v>
      </c>
      <c r="H841" t="s">
        <v>885</v>
      </c>
      <c r="I841" t="s">
        <v>1606</v>
      </c>
      <c r="J841" t="str">
        <f>HYPERLINK("http://vk.com/id467486592")</f>
        <v>http://vk.com/id467486592</v>
      </c>
      <c r="K841">
        <v>261</v>
      </c>
      <c r="L841" t="s">
        <v>80</v>
      </c>
      <c r="M841">
        <v>37</v>
      </c>
      <c r="N841" t="s">
        <v>16</v>
      </c>
      <c r="O841" t="s">
        <v>1606</v>
      </c>
      <c r="P841" t="str">
        <f>HYPERLINK("http://vk.com/id467486592")</f>
        <v>http://vk.com/id467486592</v>
      </c>
      <c r="Q841">
        <v>261</v>
      </c>
      <c r="R841" t="s">
        <v>17</v>
      </c>
      <c r="S841" t="s">
        <v>18</v>
      </c>
      <c r="T841" t="s">
        <v>231</v>
      </c>
      <c r="U841" t="s">
        <v>232</v>
      </c>
      <c r="AI841" t="str">
        <f>HYPERLINK("https://sun1.48276.userapi.com/c857624/v857624545/22e882/Vf5OaH3C2oc.jpg")</f>
        <v>https://sun1.48276.userapi.com/c857624/v857624545/22e882/Vf5OaH3C2oc.jpg</v>
      </c>
      <c r="AJ841" t="s">
        <v>10</v>
      </c>
      <c r="AK841" t="s">
        <v>21</v>
      </c>
    </row>
    <row r="842" spans="1:51" x14ac:dyDescent="0.25">
      <c r="A842" t="s">
        <v>1723</v>
      </c>
      <c r="B842" t="s">
        <v>1819</v>
      </c>
      <c r="C842" t="s">
        <v>984</v>
      </c>
      <c r="D842" t="s">
        <v>421</v>
      </c>
      <c r="E842" t="s">
        <v>1820</v>
      </c>
      <c r="F842" t="s">
        <v>26</v>
      </c>
      <c r="G842" t="str">
        <f>HYPERLINK("https://www.youtube.com/watch?v=gaka1vqYFNs&amp;lc=UgyfVqNDQjBHk1Lr3NR4AaABAg")</f>
        <v>https://www.youtube.com/watch?v=gaka1vqYFNs&amp;lc=UgyfVqNDQjBHk1Lr3NR4AaABAg</v>
      </c>
      <c r="H842" t="s">
        <v>885</v>
      </c>
      <c r="I842" t="s">
        <v>1821</v>
      </c>
      <c r="J842" t="str">
        <f>HYPERLINK("https://www.youtube.com/channel/UCgai0GcvJRBOdAOu78LHQ-g")</f>
        <v>https://www.youtube.com/channel/UCgai0GcvJRBOdAOu78LHQ-g</v>
      </c>
      <c r="K842">
        <v>232</v>
      </c>
      <c r="N842" t="s">
        <v>162</v>
      </c>
      <c r="O842" t="s">
        <v>424</v>
      </c>
      <c r="P842" t="str">
        <f>HYPERLINK("https://www.youtube.com/channel/UC8fQzKHIhSoZeSq3bwQx4mw")</f>
        <v>https://www.youtube.com/channel/UC8fQzKHIhSoZeSq3bwQx4mw</v>
      </c>
      <c r="Q842">
        <v>517000</v>
      </c>
      <c r="R842" t="s">
        <v>17</v>
      </c>
      <c r="S842" t="s">
        <v>425</v>
      </c>
      <c r="W842">
        <v>2</v>
      </c>
      <c r="X842">
        <v>2</v>
      </c>
      <c r="AE842">
        <v>1</v>
      </c>
      <c r="AJ842" t="s">
        <v>10</v>
      </c>
      <c r="AK842" t="s">
        <v>21</v>
      </c>
      <c r="AV842" t="s">
        <v>3247</v>
      </c>
      <c r="AX842" t="s">
        <v>3249</v>
      </c>
      <c r="AY842" t="s">
        <v>3250</v>
      </c>
    </row>
    <row r="843" spans="1:51" x14ac:dyDescent="0.25">
      <c r="A843" t="s">
        <v>2260</v>
      </c>
      <c r="B843" t="s">
        <v>864</v>
      </c>
      <c r="C843" t="s">
        <v>968</v>
      </c>
      <c r="D843" t="s">
        <v>10</v>
      </c>
      <c r="E843" t="s">
        <v>1856</v>
      </c>
      <c r="F843" t="s">
        <v>45</v>
      </c>
      <c r="G843" t="str">
        <f>HYPERLINK("https://www.facebook.com/mrtexpertrnd/photos/a.565935020817465/778577749553190/?type=3")</f>
        <v>https://www.facebook.com/mrtexpertrnd/photos/a.565935020817465/778577749553190/?type=3</v>
      </c>
      <c r="H843" t="s">
        <v>885</v>
      </c>
      <c r="I843" t="s">
        <v>125</v>
      </c>
      <c r="J843" t="str">
        <f>HYPERLINK("https://www.facebook.com/156600068417631")</f>
        <v>https://www.facebook.com/156600068417631</v>
      </c>
      <c r="K843">
        <v>236</v>
      </c>
      <c r="L843" t="s">
        <v>28</v>
      </c>
      <c r="N843" t="s">
        <v>179</v>
      </c>
      <c r="O843" t="s">
        <v>125</v>
      </c>
      <c r="P843" t="str">
        <f>HYPERLINK("https://www.facebook.com/156600068417631")</f>
        <v>https://www.facebook.com/156600068417631</v>
      </c>
      <c r="Q843">
        <v>236</v>
      </c>
      <c r="R843" t="s">
        <v>17</v>
      </c>
      <c r="S843" t="s">
        <v>18</v>
      </c>
      <c r="T843" t="s">
        <v>126</v>
      </c>
      <c r="U843" t="s">
        <v>127</v>
      </c>
      <c r="W843">
        <v>0</v>
      </c>
      <c r="X843">
        <v>0</v>
      </c>
      <c r="Y843">
        <v>0</v>
      </c>
      <c r="Z843">
        <v>0</v>
      </c>
      <c r="AA843">
        <v>0</v>
      </c>
      <c r="AB843">
        <v>0</v>
      </c>
      <c r="AC843">
        <v>0</v>
      </c>
      <c r="AE843">
        <v>0</v>
      </c>
      <c r="AI843" t="str">
        <f>HYPERLINK("https://scontent-hel2-1.xx.fbcdn.net/v/t1.0-0/p526x296/110329821_778577752886523_1571453128310239306_o.jpg?_nc_cat=102&amp;_nc_sid=9267fe&amp;_nc_ohc=0SJ0nnIXjsQAX8BiAy0&amp;_nc_ht=scontent-hel2-1.xx&amp;_nc_tp=6&amp;oh=03d79ff86be1822fb33acedd8e8a0633&amp;oe=5F3C35D7")</f>
        <v>https://scontent-hel2-1.xx.fbcdn.net/v/t1.0-0/p526x296/110329821_778577752886523_1571453128310239306_o.jpg?_nc_cat=102&amp;_nc_sid=9267fe&amp;_nc_ohc=0SJ0nnIXjsQAX8BiAy0&amp;_nc_ht=scontent-hel2-1.xx&amp;_nc_tp=6&amp;oh=03d79ff86be1822fb33acedd8e8a0633&amp;oe=5F3C35D7</v>
      </c>
      <c r="AJ843" t="s">
        <v>10</v>
      </c>
      <c r="AK843" t="s">
        <v>21</v>
      </c>
      <c r="AL843" t="s">
        <v>3237</v>
      </c>
      <c r="AY843" t="s">
        <v>3250</v>
      </c>
    </row>
    <row r="844" spans="1:51" x14ac:dyDescent="0.25">
      <c r="A844" t="s">
        <v>2684</v>
      </c>
      <c r="B844" t="s">
        <v>2693</v>
      </c>
      <c r="C844" t="s">
        <v>968</v>
      </c>
      <c r="D844" t="s">
        <v>10</v>
      </c>
      <c r="E844" t="s">
        <v>2688</v>
      </c>
      <c r="F844" t="s">
        <v>12</v>
      </c>
      <c r="G844" t="str">
        <f>HYPERLINK("https://www.facebook.com/colak.tosunyan/posts/1986611284803508")</f>
        <v>https://www.facebook.com/colak.tosunyan/posts/1986611284803508</v>
      </c>
      <c r="H844" t="s">
        <v>885</v>
      </c>
      <c r="I844" t="s">
        <v>2694</v>
      </c>
      <c r="J844" t="str">
        <f>HYPERLINK("https://www.facebook.com/100003639685777")</f>
        <v>https://www.facebook.com/100003639685777</v>
      </c>
      <c r="K844">
        <v>725</v>
      </c>
      <c r="L844" t="s">
        <v>15</v>
      </c>
      <c r="N844" t="s">
        <v>179</v>
      </c>
      <c r="O844" t="s">
        <v>2694</v>
      </c>
      <c r="P844" t="str">
        <f>HYPERLINK("https://www.facebook.com/100003639685777")</f>
        <v>https://www.facebook.com/100003639685777</v>
      </c>
      <c r="Q844">
        <v>725</v>
      </c>
      <c r="R844" t="s">
        <v>17</v>
      </c>
      <c r="S844" t="s">
        <v>2690</v>
      </c>
      <c r="T844" t="s">
        <v>2691</v>
      </c>
      <c r="U844" t="s">
        <v>2692</v>
      </c>
      <c r="W844">
        <v>2</v>
      </c>
      <c r="X844">
        <v>2</v>
      </c>
      <c r="Y844">
        <v>0</v>
      </c>
      <c r="Z844">
        <v>0</v>
      </c>
      <c r="AA844">
        <v>0</v>
      </c>
      <c r="AB844">
        <v>0</v>
      </c>
      <c r="AC844">
        <v>0</v>
      </c>
      <c r="AE844">
        <v>0</v>
      </c>
      <c r="AF844">
        <v>1</v>
      </c>
      <c r="AI844" t="str">
        <f>HYPERLINK("https://scontent-hel2-1.xx.fbcdn.net/v/t15.13418-10/107718255_3109660389083815_8825691245568026571_n.jpg?_nc_cat=108&amp;_nc_sid=ad6a45&amp;_nc_ohc=fyWVkB1ebcUAX-b7_yf&amp;_nc_ht=scontent-hel2-1.xx&amp;oh=d158678262d55c5fd1e6079fddba7051&amp;oe=5F34D9DA")</f>
        <v>https://scontent-hel2-1.xx.fbcdn.net/v/t15.13418-10/107718255_3109660389083815_8825691245568026571_n.jpg?_nc_cat=108&amp;_nc_sid=ad6a45&amp;_nc_ohc=fyWVkB1ebcUAX-b7_yf&amp;_nc_ht=scontent-hel2-1.xx&amp;oh=d158678262d55c5fd1e6079fddba7051&amp;oe=5F34D9DA</v>
      </c>
      <c r="AJ844" t="s">
        <v>10</v>
      </c>
      <c r="AK844" t="s">
        <v>21</v>
      </c>
    </row>
    <row r="845" spans="1:51" x14ac:dyDescent="0.25">
      <c r="A845" t="s">
        <v>2767</v>
      </c>
      <c r="B845" t="s">
        <v>2845</v>
      </c>
      <c r="C845" t="s">
        <v>968</v>
      </c>
      <c r="D845" t="s">
        <v>2724</v>
      </c>
      <c r="E845" t="s">
        <v>2848</v>
      </c>
      <c r="F845" t="s">
        <v>26</v>
      </c>
      <c r="G845" t="str">
        <f>HYPERLINK("https://vk.com/wall-25612112_2607652?reply=2607680")</f>
        <v>https://vk.com/wall-25612112_2607652?reply=2607680</v>
      </c>
      <c r="H845" t="s">
        <v>889</v>
      </c>
      <c r="I845" t="s">
        <v>2847</v>
      </c>
      <c r="J845" t="str">
        <f>HYPERLINK("http://vk.com/id175426575")</f>
        <v>http://vk.com/id175426575</v>
      </c>
      <c r="K845">
        <v>1</v>
      </c>
      <c r="L845" t="s">
        <v>15</v>
      </c>
      <c r="N845" t="s">
        <v>16</v>
      </c>
      <c r="O845" t="s">
        <v>2727</v>
      </c>
      <c r="P845" t="str">
        <f>HYPERLINK("http://vk.com/club25612112")</f>
        <v>http://vk.com/club25612112</v>
      </c>
      <c r="Q845">
        <v>109065</v>
      </c>
      <c r="R845" t="s">
        <v>17</v>
      </c>
      <c r="S845" t="s">
        <v>18</v>
      </c>
      <c r="T845" t="s">
        <v>1015</v>
      </c>
      <c r="U845" t="s">
        <v>1016</v>
      </c>
      <c r="AJ845" t="s">
        <v>10</v>
      </c>
      <c r="AK845" t="s">
        <v>21</v>
      </c>
      <c r="AL845" t="s">
        <v>3237</v>
      </c>
    </row>
    <row r="846" spans="1:51" x14ac:dyDescent="0.25">
      <c r="A846" t="s">
        <v>2915</v>
      </c>
      <c r="B846" t="s">
        <v>2971</v>
      </c>
      <c r="C846" t="s">
        <v>968</v>
      </c>
      <c r="D846" t="s">
        <v>10</v>
      </c>
      <c r="E846" t="s">
        <v>2972</v>
      </c>
      <c r="F846" t="s">
        <v>26</v>
      </c>
      <c r="G846" t="str">
        <f>HYPERLINK("https://twitter.com/745684488374587392/status/1281706926787760129")</f>
        <v>https://twitter.com/745684488374587392/status/1281706926787760129</v>
      </c>
      <c r="H846" t="s">
        <v>885</v>
      </c>
      <c r="I846" t="s">
        <v>2973</v>
      </c>
      <c r="J846" t="str">
        <f>HYPERLINK("http://twitter.com/stevebouff")</f>
        <v>http://twitter.com/stevebouff</v>
      </c>
      <c r="K846">
        <v>73</v>
      </c>
      <c r="N846" t="s">
        <v>54</v>
      </c>
      <c r="R846" t="s">
        <v>17</v>
      </c>
      <c r="W846">
        <v>0</v>
      </c>
      <c r="X846">
        <v>0</v>
      </c>
      <c r="AF846">
        <v>0</v>
      </c>
      <c r="AJ846" t="s">
        <v>10</v>
      </c>
      <c r="AK846" t="s">
        <v>21</v>
      </c>
      <c r="AO846" t="s">
        <v>3240</v>
      </c>
      <c r="AW846" t="s">
        <v>3248</v>
      </c>
      <c r="AY846" t="s">
        <v>3250</v>
      </c>
    </row>
    <row r="847" spans="1:51" x14ac:dyDescent="0.25">
      <c r="A847" t="s">
        <v>3100</v>
      </c>
      <c r="B847" t="s">
        <v>2822</v>
      </c>
      <c r="C847" t="s">
        <v>968</v>
      </c>
      <c r="D847" t="s">
        <v>10</v>
      </c>
      <c r="E847" t="s">
        <v>3155</v>
      </c>
      <c r="F847" t="s">
        <v>45</v>
      </c>
      <c r="G847" t="str">
        <f>HYPERLINK("https://vk.com/wall2476928_9103")</f>
        <v>https://vk.com/wall2476928_9103</v>
      </c>
      <c r="H847" t="s">
        <v>889</v>
      </c>
      <c r="I847" t="s">
        <v>1137</v>
      </c>
      <c r="J847" t="str">
        <f>HYPERLINK("http://vk.com/id2476928")</f>
        <v>http://vk.com/id2476928</v>
      </c>
      <c r="K847">
        <v>2443</v>
      </c>
      <c r="L847" t="s">
        <v>80</v>
      </c>
      <c r="M847">
        <v>28</v>
      </c>
      <c r="N847" t="s">
        <v>16</v>
      </c>
      <c r="O847" t="s">
        <v>1137</v>
      </c>
      <c r="P847" t="str">
        <f>HYPERLINK("http://vk.com/id2476928")</f>
        <v>http://vk.com/id2476928</v>
      </c>
      <c r="Q847">
        <v>2443</v>
      </c>
      <c r="R847" t="s">
        <v>17</v>
      </c>
      <c r="S847" t="s">
        <v>18</v>
      </c>
      <c r="T847" t="s">
        <v>231</v>
      </c>
      <c r="U847" t="s">
        <v>232</v>
      </c>
      <c r="W847">
        <v>2</v>
      </c>
      <c r="X847">
        <v>2</v>
      </c>
      <c r="AE847">
        <v>0</v>
      </c>
      <c r="AF847">
        <v>0</v>
      </c>
      <c r="AG847">
        <v>214</v>
      </c>
      <c r="AI847" t="str">
        <f>HYPERLINK("https://sun6-16.userapi.com/KCJol1Z04pC8pvviojVPDFO6GsAHwcH7eiqpkw/_ELfdG9v_Bw.jpg")</f>
        <v>https://sun6-16.userapi.com/KCJol1Z04pC8pvviojVPDFO6GsAHwcH7eiqpkw/_ELfdG9v_Bw.jpg</v>
      </c>
      <c r="AJ847" t="s">
        <v>10</v>
      </c>
      <c r="AK847" t="s">
        <v>21</v>
      </c>
      <c r="AT847" t="s">
        <v>3245</v>
      </c>
      <c r="AV847" t="s">
        <v>3247</v>
      </c>
      <c r="AW847" t="s">
        <v>3248</v>
      </c>
      <c r="AY847" t="s">
        <v>3250</v>
      </c>
    </row>
    <row r="848" spans="1:51" x14ac:dyDescent="0.25">
      <c r="A848" t="s">
        <v>7</v>
      </c>
      <c r="B848" t="s">
        <v>349</v>
      </c>
      <c r="C848" t="s">
        <v>350</v>
      </c>
      <c r="D848" t="s">
        <v>24</v>
      </c>
      <c r="E848" t="s">
        <v>352</v>
      </c>
      <c r="F848" t="s">
        <v>26</v>
      </c>
      <c r="G848" t="str">
        <f>HYPERLINK("https://vk.com/wall-197114981_31?reply=1317")</f>
        <v>https://vk.com/wall-197114981_31?reply=1317</v>
      </c>
      <c r="H848" t="s">
        <v>13</v>
      </c>
      <c r="I848" t="s">
        <v>353</v>
      </c>
      <c r="J848" t="str">
        <f>HYPERLINK("http://vk.com/id5881034")</f>
        <v>http://vk.com/id5881034</v>
      </c>
      <c r="K848">
        <v>1797</v>
      </c>
      <c r="L848" t="s">
        <v>80</v>
      </c>
      <c r="N848" t="s">
        <v>16</v>
      </c>
      <c r="O848" t="s">
        <v>27</v>
      </c>
      <c r="P848" t="str">
        <f>HYPERLINK("http://vk.com/club197114981")</f>
        <v>http://vk.com/club197114981</v>
      </c>
      <c r="Q848">
        <v>38</v>
      </c>
      <c r="R848" t="s">
        <v>17</v>
      </c>
      <c r="S848" t="s">
        <v>18</v>
      </c>
      <c r="T848" t="s">
        <v>354</v>
      </c>
      <c r="U848" t="s">
        <v>354</v>
      </c>
      <c r="AJ848" t="s">
        <v>10</v>
      </c>
      <c r="AK848" t="s">
        <v>21</v>
      </c>
      <c r="AN848" t="s">
        <v>3239</v>
      </c>
      <c r="AV848" t="s">
        <v>3247</v>
      </c>
      <c r="AX848" t="s">
        <v>3249</v>
      </c>
      <c r="AY848" t="s">
        <v>3250</v>
      </c>
    </row>
    <row r="849" spans="1:51" x14ac:dyDescent="0.25">
      <c r="A849" t="s">
        <v>7</v>
      </c>
      <c r="B849" t="s">
        <v>372</v>
      </c>
      <c r="C849" t="s">
        <v>373</v>
      </c>
      <c r="D849" t="s">
        <v>24</v>
      </c>
      <c r="E849" t="s">
        <v>25</v>
      </c>
      <c r="F849" t="s">
        <v>26</v>
      </c>
      <c r="G849" t="str">
        <f>HYPERLINK("https://vk.com/wall-197114981_31?reply=1310&amp;thread=1243")</f>
        <v>https://vk.com/wall-197114981_31?reply=1310&amp;thread=1243</v>
      </c>
      <c r="H849" t="s">
        <v>13</v>
      </c>
      <c r="I849" t="s">
        <v>27</v>
      </c>
      <c r="J849" t="str">
        <f>HYPERLINK("http://vk.com/club197114981")</f>
        <v>http://vk.com/club197114981</v>
      </c>
      <c r="K849">
        <v>38</v>
      </c>
      <c r="L849" t="s">
        <v>28</v>
      </c>
      <c r="N849" t="s">
        <v>16</v>
      </c>
      <c r="O849" t="s">
        <v>27</v>
      </c>
      <c r="P849" t="str">
        <f>HYPERLINK("http://vk.com/club197114981")</f>
        <v>http://vk.com/club197114981</v>
      </c>
      <c r="Q849">
        <v>38</v>
      </c>
      <c r="R849" t="s">
        <v>17</v>
      </c>
      <c r="AJ849" t="s">
        <v>10</v>
      </c>
      <c r="AK849" t="s">
        <v>21</v>
      </c>
      <c r="AN849" t="s">
        <v>3239</v>
      </c>
      <c r="AU849" t="s">
        <v>3246</v>
      </c>
      <c r="AX849" t="s">
        <v>3249</v>
      </c>
      <c r="AY849" t="s">
        <v>3250</v>
      </c>
    </row>
    <row r="850" spans="1:51" x14ac:dyDescent="0.25">
      <c r="A850" t="s">
        <v>7</v>
      </c>
      <c r="B850" t="s">
        <v>384</v>
      </c>
      <c r="C850" t="s">
        <v>385</v>
      </c>
      <c r="D850" t="s">
        <v>24</v>
      </c>
      <c r="E850" t="s">
        <v>390</v>
      </c>
      <c r="F850" t="s">
        <v>26</v>
      </c>
      <c r="G850" t="str">
        <f>HYPERLINK("https://vk.com/wall-197114981_31?reply=1303&amp;thread=1293")</f>
        <v>https://vk.com/wall-197114981_31?reply=1303&amp;thread=1293</v>
      </c>
      <c r="H850" t="s">
        <v>13</v>
      </c>
      <c r="I850" t="s">
        <v>388</v>
      </c>
      <c r="J850" t="str">
        <f>HYPERLINK("http://vk.com/id169523743")</f>
        <v>http://vk.com/id169523743</v>
      </c>
      <c r="K850">
        <v>50</v>
      </c>
      <c r="L850" t="s">
        <v>80</v>
      </c>
      <c r="M850">
        <v>24</v>
      </c>
      <c r="N850" t="s">
        <v>16</v>
      </c>
      <c r="O850" t="s">
        <v>27</v>
      </c>
      <c r="P850" t="str">
        <f>HYPERLINK("http://vk.com/club197114981")</f>
        <v>http://vk.com/club197114981</v>
      </c>
      <c r="Q850">
        <v>38</v>
      </c>
      <c r="R850" t="s">
        <v>17</v>
      </c>
      <c r="S850" t="s">
        <v>18</v>
      </c>
      <c r="T850" t="s">
        <v>231</v>
      </c>
      <c r="U850" t="s">
        <v>232</v>
      </c>
      <c r="AJ850" t="s">
        <v>10</v>
      </c>
      <c r="AK850" t="s">
        <v>21</v>
      </c>
    </row>
    <row r="851" spans="1:51" x14ac:dyDescent="0.25">
      <c r="A851" t="s">
        <v>414</v>
      </c>
      <c r="B851" t="s">
        <v>503</v>
      </c>
      <c r="C851" t="s">
        <v>504</v>
      </c>
      <c r="D851" t="s">
        <v>24</v>
      </c>
      <c r="E851" t="s">
        <v>505</v>
      </c>
      <c r="F851" t="s">
        <v>26</v>
      </c>
      <c r="G851" t="str">
        <f>HYPERLINK("https://vk.com/wall-197114981_31?reply=1244&amp;thread=1243")</f>
        <v>https://vk.com/wall-197114981_31?reply=1244&amp;thread=1243</v>
      </c>
      <c r="H851" t="s">
        <v>13</v>
      </c>
      <c r="I851" t="s">
        <v>27</v>
      </c>
      <c r="J851" t="str">
        <f>HYPERLINK("http://vk.com/club197114981")</f>
        <v>http://vk.com/club197114981</v>
      </c>
      <c r="K851">
        <v>38</v>
      </c>
      <c r="L851" t="s">
        <v>28</v>
      </c>
      <c r="N851" t="s">
        <v>16</v>
      </c>
      <c r="O851" t="s">
        <v>27</v>
      </c>
      <c r="P851" t="str">
        <f>HYPERLINK("http://vk.com/club197114981")</f>
        <v>http://vk.com/club197114981</v>
      </c>
      <c r="Q851">
        <v>38</v>
      </c>
      <c r="R851" t="s">
        <v>17</v>
      </c>
      <c r="AJ851" t="s">
        <v>10</v>
      </c>
      <c r="AK851" t="s">
        <v>21</v>
      </c>
    </row>
    <row r="852" spans="1:51" x14ac:dyDescent="0.25">
      <c r="A852" t="s">
        <v>414</v>
      </c>
      <c r="B852" t="s">
        <v>691</v>
      </c>
      <c r="C852" t="s">
        <v>692</v>
      </c>
      <c r="D852" t="s">
        <v>10</v>
      </c>
      <c r="E852" t="s">
        <v>693</v>
      </c>
      <c r="F852" t="s">
        <v>26</v>
      </c>
      <c r="G852" t="str">
        <f>HYPERLINK("https://twitter.com/896274173697433600/status/1292345925755645952")</f>
        <v>https://twitter.com/896274173697433600/status/1292345925755645952</v>
      </c>
      <c r="H852" t="s">
        <v>13</v>
      </c>
      <c r="I852" t="s">
        <v>694</v>
      </c>
      <c r="J852" t="str">
        <f>HYPERLINK("http://twitter.com/RockySly9")</f>
        <v>http://twitter.com/RockySly9</v>
      </c>
      <c r="K852">
        <v>7137</v>
      </c>
      <c r="N852" t="s">
        <v>54</v>
      </c>
      <c r="R852" t="s">
        <v>17</v>
      </c>
      <c r="S852" t="s">
        <v>425</v>
      </c>
      <c r="T852" t="s">
        <v>695</v>
      </c>
      <c r="U852" t="s">
        <v>696</v>
      </c>
      <c r="W852">
        <v>1</v>
      </c>
      <c r="X852">
        <v>1</v>
      </c>
      <c r="AE852">
        <v>0</v>
      </c>
      <c r="AF852">
        <v>1</v>
      </c>
      <c r="AJ852" t="s">
        <v>10</v>
      </c>
      <c r="AK852" t="s">
        <v>21</v>
      </c>
    </row>
    <row r="853" spans="1:51" x14ac:dyDescent="0.25">
      <c r="A853" t="s">
        <v>1352</v>
      </c>
      <c r="B853" t="s">
        <v>1392</v>
      </c>
      <c r="C853" t="s">
        <v>984</v>
      </c>
      <c r="D853" t="s">
        <v>10</v>
      </c>
      <c r="E853" t="s">
        <v>1384</v>
      </c>
      <c r="F853" t="s">
        <v>45</v>
      </c>
      <c r="G853" t="str">
        <f>HYPERLINK("https://www.instagram.com/p/CDYkhKIjk7x")</f>
        <v>https://www.instagram.com/p/CDYkhKIjk7x</v>
      </c>
      <c r="H853" t="s">
        <v>889</v>
      </c>
      <c r="I853" t="s">
        <v>1393</v>
      </c>
      <c r="J853" t="str">
        <f>HYPERLINK("http://instagram.com/pavelchantoritskiy")</f>
        <v>http://instagram.com/pavelchantoritskiy</v>
      </c>
      <c r="K853">
        <v>364</v>
      </c>
      <c r="L853" t="s">
        <v>15</v>
      </c>
      <c r="N853" t="s">
        <v>69</v>
      </c>
      <c r="O853" t="s">
        <v>1393</v>
      </c>
      <c r="P853" t="str">
        <f>HYPERLINK("http://instagram.com/pavelchantoritskiy")</f>
        <v>http://instagram.com/pavelchantoritskiy</v>
      </c>
      <c r="Q853">
        <v>364</v>
      </c>
      <c r="R853" t="s">
        <v>17</v>
      </c>
      <c r="AI853" t="str">
        <f>HYPERLINK("https://www.instagram.com/p/CDYkhKIjk7x/media/?size=l")</f>
        <v>https://www.instagram.com/p/CDYkhKIjk7x/media/?size=l</v>
      </c>
      <c r="AJ853" t="s">
        <v>10</v>
      </c>
      <c r="AK853" t="s">
        <v>21</v>
      </c>
      <c r="AV853" t="s">
        <v>3247</v>
      </c>
    </row>
    <row r="854" spans="1:51" x14ac:dyDescent="0.25">
      <c r="A854" t="s">
        <v>1982</v>
      </c>
      <c r="B854" t="s">
        <v>1327</v>
      </c>
      <c r="C854" t="s">
        <v>968</v>
      </c>
      <c r="D854" t="s">
        <v>1959</v>
      </c>
      <c r="E854" t="s">
        <v>2026</v>
      </c>
      <c r="F854" t="s">
        <v>26</v>
      </c>
      <c r="G854" t="str">
        <f>HYPERLINK("https://www.facebook.com/permalink.php?story_fbid=2626249161024079&amp;id=100009170625998&amp;comment_id=2626383384343990&amp;reply_comment_id=2627326707582991")</f>
        <v>https://www.facebook.com/permalink.php?story_fbid=2626249161024079&amp;id=100009170625998&amp;comment_id=2626383384343990&amp;reply_comment_id=2627326707582991</v>
      </c>
      <c r="H854" t="s">
        <v>885</v>
      </c>
      <c r="I854" t="s">
        <v>1961</v>
      </c>
      <c r="J854" t="str">
        <f>HYPERLINK("https://www.facebook.com/100009170625998")</f>
        <v>https://www.facebook.com/100009170625998</v>
      </c>
      <c r="K854">
        <v>759</v>
      </c>
      <c r="L854" t="s">
        <v>80</v>
      </c>
      <c r="N854" t="s">
        <v>179</v>
      </c>
      <c r="O854" t="s">
        <v>1961</v>
      </c>
      <c r="P854" t="str">
        <f>HYPERLINK("https://www.facebook.com/100009170625998")</f>
        <v>https://www.facebook.com/100009170625998</v>
      </c>
      <c r="Q854">
        <v>759</v>
      </c>
      <c r="R854" t="s">
        <v>17</v>
      </c>
      <c r="S854" t="s">
        <v>18</v>
      </c>
      <c r="T854" t="s">
        <v>354</v>
      </c>
      <c r="U854" t="s">
        <v>354</v>
      </c>
      <c r="AJ854" t="s">
        <v>10</v>
      </c>
      <c r="AK854" t="s">
        <v>21</v>
      </c>
      <c r="AV854" t="s">
        <v>3247</v>
      </c>
    </row>
    <row r="855" spans="1:51" x14ac:dyDescent="0.25">
      <c r="A855" t="s">
        <v>2290</v>
      </c>
      <c r="B855" t="s">
        <v>277</v>
      </c>
      <c r="C855" t="s">
        <v>968</v>
      </c>
      <c r="D855" t="s">
        <v>10</v>
      </c>
      <c r="E855" t="s">
        <v>2362</v>
      </c>
      <c r="F855" t="s">
        <v>12</v>
      </c>
      <c r="G855" t="str">
        <f>HYPERLINK("https://www.facebook.com/568390943273818/posts/2995010603945161")</f>
        <v>https://www.facebook.com/568390943273818/posts/2995010603945161</v>
      </c>
      <c r="H855" t="s">
        <v>885</v>
      </c>
      <c r="I855" t="s">
        <v>280</v>
      </c>
      <c r="J855" t="str">
        <f>HYPERLINK("https://www.facebook.com/568390943273818")</f>
        <v>https://www.facebook.com/568390943273818</v>
      </c>
      <c r="K855">
        <v>18918</v>
      </c>
      <c r="L855" t="s">
        <v>28</v>
      </c>
      <c r="N855" t="s">
        <v>179</v>
      </c>
      <c r="O855" t="s">
        <v>280</v>
      </c>
      <c r="P855" t="str">
        <f>HYPERLINK("https://www.facebook.com/568390943273818")</f>
        <v>https://www.facebook.com/568390943273818</v>
      </c>
      <c r="Q855">
        <v>18918</v>
      </c>
      <c r="R855" t="s">
        <v>17</v>
      </c>
      <c r="S855" t="s">
        <v>281</v>
      </c>
      <c r="T855" t="s">
        <v>282</v>
      </c>
      <c r="U855" t="s">
        <v>282</v>
      </c>
      <c r="W855">
        <v>15</v>
      </c>
      <c r="X855">
        <v>15</v>
      </c>
      <c r="Y855">
        <v>0</v>
      </c>
      <c r="Z855">
        <v>0</v>
      </c>
      <c r="AA855">
        <v>0</v>
      </c>
      <c r="AB855">
        <v>0</v>
      </c>
      <c r="AC855">
        <v>0</v>
      </c>
      <c r="AE855">
        <v>0</v>
      </c>
      <c r="AF855">
        <v>2</v>
      </c>
      <c r="AI855" t="str">
        <f>HYPERLINK("https://scontent-dfw5-2.xx.fbcdn.net/v/t15.5256-10/108144927_2665033243596371_2148690568209089522_n.jpg?_nc_cat=108&amp;_nc_sid=ad6a45&amp;_nc_ohc=boOIUFEK3q0AX-HhyAg&amp;_nc_ht=scontent-dfw5-2.xx&amp;oh=90a60948a7baefc6c21036d5e6cd6b40&amp;oe=5F3CEB41")</f>
        <v>https://scontent-dfw5-2.xx.fbcdn.net/v/t15.5256-10/108144927_2665033243596371_2148690568209089522_n.jpg?_nc_cat=108&amp;_nc_sid=ad6a45&amp;_nc_ohc=boOIUFEK3q0AX-HhyAg&amp;_nc_ht=scontent-dfw5-2.xx&amp;oh=90a60948a7baefc6c21036d5e6cd6b40&amp;oe=5F3CEB41</v>
      </c>
      <c r="AJ855" t="s">
        <v>10</v>
      </c>
      <c r="AK855" t="s">
        <v>21</v>
      </c>
      <c r="AV855" t="s">
        <v>3247</v>
      </c>
    </row>
    <row r="856" spans="1:51" x14ac:dyDescent="0.25">
      <c r="A856" t="s">
        <v>7</v>
      </c>
      <c r="B856" t="s">
        <v>42</v>
      </c>
      <c r="C856" t="s">
        <v>43</v>
      </c>
      <c r="D856" t="s">
        <v>10</v>
      </c>
      <c r="E856" t="s">
        <v>44</v>
      </c>
      <c r="F856" t="s">
        <v>45</v>
      </c>
      <c r="G856" t="str">
        <f>HYPERLINK("https://vk.com/wall-48669646_10278")</f>
        <v>https://vk.com/wall-48669646_10278</v>
      </c>
      <c r="H856" t="s">
        <v>13</v>
      </c>
      <c r="I856" t="s">
        <v>46</v>
      </c>
      <c r="J856" t="str">
        <f>HYPERLINK("http://vk.com/club48669646")</f>
        <v>http://vk.com/club48669646</v>
      </c>
      <c r="K856">
        <v>5795</v>
      </c>
      <c r="L856" t="s">
        <v>28</v>
      </c>
      <c r="N856" t="s">
        <v>16</v>
      </c>
      <c r="O856" t="s">
        <v>46</v>
      </c>
      <c r="P856" t="str">
        <f>HYPERLINK("http://vk.com/club48669646")</f>
        <v>http://vk.com/club48669646</v>
      </c>
      <c r="Q856">
        <v>5795</v>
      </c>
      <c r="R856" t="s">
        <v>17</v>
      </c>
      <c r="S856" t="s">
        <v>18</v>
      </c>
      <c r="W856">
        <v>1</v>
      </c>
      <c r="X856">
        <v>1</v>
      </c>
      <c r="AE856">
        <v>0</v>
      </c>
      <c r="AF856">
        <v>0</v>
      </c>
      <c r="AG856">
        <v>64</v>
      </c>
      <c r="AI856" t="str">
        <f>HYPERLINK("https://sun9-61.userapi.com/c857624/v857624956/23476a/FFlQ19gZxMg.jpg")</f>
        <v>https://sun9-61.userapi.com/c857624/v857624956/23476a/FFlQ19gZxMg.jpg</v>
      </c>
      <c r="AJ856" t="s">
        <v>10</v>
      </c>
      <c r="AK856" t="s">
        <v>21</v>
      </c>
    </row>
    <row r="857" spans="1:51" x14ac:dyDescent="0.25">
      <c r="A857" t="s">
        <v>772</v>
      </c>
      <c r="B857" t="s">
        <v>813</v>
      </c>
      <c r="C857" t="s">
        <v>814</v>
      </c>
      <c r="D857" t="s">
        <v>24</v>
      </c>
      <c r="E857" t="s">
        <v>816</v>
      </c>
      <c r="F857" t="s">
        <v>26</v>
      </c>
      <c r="G857" t="str">
        <f>HYPERLINK("https://vk.com/wall-197114981_31?reply=1147&amp;thread=294")</f>
        <v>https://vk.com/wall-197114981_31?reply=1147&amp;thread=294</v>
      </c>
      <c r="H857" t="s">
        <v>13</v>
      </c>
      <c r="I857" t="s">
        <v>817</v>
      </c>
      <c r="J857" t="str">
        <f>HYPERLINK("http://vk.com/id143266537")</f>
        <v>http://vk.com/id143266537</v>
      </c>
      <c r="K857">
        <v>668</v>
      </c>
      <c r="L857" t="s">
        <v>80</v>
      </c>
      <c r="N857" t="s">
        <v>16</v>
      </c>
      <c r="O857" t="s">
        <v>27</v>
      </c>
      <c r="P857" t="str">
        <f>HYPERLINK("http://vk.com/club197114981")</f>
        <v>http://vk.com/club197114981</v>
      </c>
      <c r="Q857">
        <v>38</v>
      </c>
      <c r="R857" t="s">
        <v>17</v>
      </c>
      <c r="S857" t="s">
        <v>18</v>
      </c>
      <c r="T857" t="s">
        <v>231</v>
      </c>
      <c r="U857" t="s">
        <v>232</v>
      </c>
      <c r="AJ857" t="s">
        <v>10</v>
      </c>
      <c r="AK857" t="s">
        <v>21</v>
      </c>
    </row>
    <row r="858" spans="1:51" x14ac:dyDescent="0.25">
      <c r="A858" t="s">
        <v>1425</v>
      </c>
      <c r="B858" t="s">
        <v>1438</v>
      </c>
      <c r="C858" t="s">
        <v>984</v>
      </c>
      <c r="D858" t="s">
        <v>1439</v>
      </c>
      <c r="E858" t="s">
        <v>1440</v>
      </c>
      <c r="F858" t="s">
        <v>26</v>
      </c>
      <c r="G858" t="str">
        <f>HYPERLINK("https://vk.com/wall-8241837_1309?reply=1310")</f>
        <v>https://vk.com/wall-8241837_1309?reply=1310</v>
      </c>
      <c r="H858" t="s">
        <v>1057</v>
      </c>
      <c r="I858" t="s">
        <v>1058</v>
      </c>
      <c r="J858" t="str">
        <f>HYPERLINK("http://vk.com/id71191578")</f>
        <v>http://vk.com/id71191578</v>
      </c>
      <c r="K858">
        <v>1008</v>
      </c>
      <c r="L858" t="s">
        <v>15</v>
      </c>
      <c r="M858">
        <v>55</v>
      </c>
      <c r="N858" t="s">
        <v>16</v>
      </c>
      <c r="O858" t="s">
        <v>1279</v>
      </c>
      <c r="P858" t="str">
        <f>HYPERLINK("http://vk.com/club8241837")</f>
        <v>http://vk.com/club8241837</v>
      </c>
      <c r="Q858">
        <v>3195</v>
      </c>
      <c r="R858" t="s">
        <v>17</v>
      </c>
      <c r="S858" t="s">
        <v>18</v>
      </c>
      <c r="T858" t="s">
        <v>1060</v>
      </c>
      <c r="U858" t="s">
        <v>1061</v>
      </c>
      <c r="AJ858" t="s">
        <v>10</v>
      </c>
      <c r="AK858" t="s">
        <v>21</v>
      </c>
      <c r="AV858" t="s">
        <v>3247</v>
      </c>
    </row>
    <row r="859" spans="1:51" x14ac:dyDescent="0.25">
      <c r="A859" t="s">
        <v>1723</v>
      </c>
      <c r="B859" t="s">
        <v>1733</v>
      </c>
      <c r="C859" t="s">
        <v>984</v>
      </c>
      <c r="D859" t="s">
        <v>10</v>
      </c>
      <c r="E859" t="s">
        <v>1734</v>
      </c>
      <c r="F859" t="s">
        <v>45</v>
      </c>
      <c r="G859" t="str">
        <f>HYPERLINK("https://www.instagram.com/p/CDMc6QNjoTq")</f>
        <v>https://www.instagram.com/p/CDMc6QNjoTq</v>
      </c>
      <c r="H859" t="s">
        <v>885</v>
      </c>
      <c r="I859" t="s">
        <v>1241</v>
      </c>
      <c r="J859" t="str">
        <f>HYPERLINK("http://instagram.com/dr.jdinkha")</f>
        <v>http://instagram.com/dr.jdinkha</v>
      </c>
      <c r="K859">
        <v>13350</v>
      </c>
      <c r="N859" t="s">
        <v>69</v>
      </c>
      <c r="O859" t="s">
        <v>1241</v>
      </c>
      <c r="P859" t="str">
        <f>HYPERLINK("http://instagram.com/dr.jdinkha")</f>
        <v>http://instagram.com/dr.jdinkha</v>
      </c>
      <c r="Q859">
        <v>13350</v>
      </c>
      <c r="R859" t="s">
        <v>17</v>
      </c>
      <c r="S859" t="s">
        <v>1242</v>
      </c>
      <c r="AI859" t="str">
        <f>HYPERLINK("https://www.instagram.com/p/CDMc6QNjoTq/media/?size=l")</f>
        <v>https://www.instagram.com/p/CDMc6QNjoTq/media/?size=l</v>
      </c>
      <c r="AJ859" t="s">
        <v>10</v>
      </c>
      <c r="AK859" t="s">
        <v>21</v>
      </c>
      <c r="AV859" t="s">
        <v>3247</v>
      </c>
    </row>
    <row r="860" spans="1:51" x14ac:dyDescent="0.25">
      <c r="A860" t="s">
        <v>1982</v>
      </c>
      <c r="B860" t="s">
        <v>2051</v>
      </c>
      <c r="C860" t="s">
        <v>968</v>
      </c>
      <c r="D860" t="s">
        <v>2052</v>
      </c>
      <c r="E860" t="s">
        <v>2053</v>
      </c>
      <c r="F860" t="s">
        <v>26</v>
      </c>
      <c r="G860" t="str">
        <f>HYPERLINK("https://vk.com/wall-131222876_322930?reply=322957")</f>
        <v>https://vk.com/wall-131222876_322930?reply=322957</v>
      </c>
      <c r="H860" t="s">
        <v>889</v>
      </c>
      <c r="I860" t="s">
        <v>2054</v>
      </c>
      <c r="J860" t="str">
        <f>HYPERLINK("http://vk.com/id64378541")</f>
        <v>http://vk.com/id64378541</v>
      </c>
      <c r="K860">
        <v>391</v>
      </c>
      <c r="L860" t="s">
        <v>80</v>
      </c>
      <c r="N860" t="s">
        <v>16</v>
      </c>
      <c r="O860" t="s">
        <v>2055</v>
      </c>
      <c r="P860" t="str">
        <f>HYPERLINK("http://vk.com/club131222876")</f>
        <v>http://vk.com/club131222876</v>
      </c>
      <c r="Q860">
        <v>9285</v>
      </c>
      <c r="R860" t="s">
        <v>17</v>
      </c>
      <c r="S860" t="s">
        <v>18</v>
      </c>
      <c r="T860" t="s">
        <v>354</v>
      </c>
      <c r="U860" t="s">
        <v>2056</v>
      </c>
      <c r="AJ860" t="s">
        <v>10</v>
      </c>
      <c r="AK860" t="s">
        <v>21</v>
      </c>
      <c r="AV860" t="s">
        <v>3247</v>
      </c>
    </row>
    <row r="861" spans="1:51" x14ac:dyDescent="0.25">
      <c r="A861" t="s">
        <v>2057</v>
      </c>
      <c r="B861" t="s">
        <v>2023</v>
      </c>
      <c r="C861" t="s">
        <v>968</v>
      </c>
      <c r="D861" t="s">
        <v>10</v>
      </c>
      <c r="E861" t="s">
        <v>1896</v>
      </c>
      <c r="F861" t="s">
        <v>45</v>
      </c>
      <c r="G861" t="str">
        <f>HYPERLINK("https://www.facebook.com/expert.klinika.stavropol/photos/a.108004590782008/168361198079680/?type=3")</f>
        <v>https://www.facebook.com/expert.klinika.stavropol/photos/a.108004590782008/168361198079680/?type=3</v>
      </c>
      <c r="H861" t="s">
        <v>885</v>
      </c>
      <c r="I861" t="s">
        <v>640</v>
      </c>
      <c r="J861" t="str">
        <f>HYPERLINK("https://www.facebook.com/107325724183228")</f>
        <v>https://www.facebook.com/107325724183228</v>
      </c>
      <c r="K861">
        <v>1</v>
      </c>
      <c r="L861" t="s">
        <v>28</v>
      </c>
      <c r="N861" t="s">
        <v>179</v>
      </c>
      <c r="O861" t="s">
        <v>640</v>
      </c>
      <c r="P861" t="str">
        <f>HYPERLINK("https://www.facebook.com/107325724183228")</f>
        <v>https://www.facebook.com/107325724183228</v>
      </c>
      <c r="Q861">
        <v>1</v>
      </c>
      <c r="R861" t="s">
        <v>17</v>
      </c>
      <c r="S861" t="s">
        <v>18</v>
      </c>
      <c r="T861" t="s">
        <v>641</v>
      </c>
      <c r="U861" t="s">
        <v>642</v>
      </c>
      <c r="W861">
        <v>0</v>
      </c>
      <c r="X861">
        <v>0</v>
      </c>
      <c r="Y861">
        <v>0</v>
      </c>
      <c r="Z861">
        <v>0</v>
      </c>
      <c r="AA861">
        <v>0</v>
      </c>
      <c r="AB861">
        <v>0</v>
      </c>
      <c r="AC861">
        <v>0</v>
      </c>
      <c r="AE861">
        <v>0</v>
      </c>
      <c r="AI861" t="s">
        <v>2096</v>
      </c>
      <c r="AJ861" t="s">
        <v>10</v>
      </c>
      <c r="AK861" t="s">
        <v>21</v>
      </c>
    </row>
    <row r="862" spans="1:51" x14ac:dyDescent="0.25">
      <c r="A862" t="s">
        <v>2122</v>
      </c>
      <c r="B862" t="s">
        <v>2135</v>
      </c>
      <c r="C862" t="s">
        <v>968</v>
      </c>
      <c r="D862" t="s">
        <v>10</v>
      </c>
      <c r="E862" t="s">
        <v>1947</v>
      </c>
      <c r="F862" t="s">
        <v>45</v>
      </c>
      <c r="G862" t="str">
        <f>HYPERLINK("https://www.facebook.com/mrtexpertrnd/photos/a.565935020817465/779953479415617/?type=3")</f>
        <v>https://www.facebook.com/mrtexpertrnd/photos/a.565935020817465/779953479415617/?type=3</v>
      </c>
      <c r="H862" t="s">
        <v>889</v>
      </c>
      <c r="I862" t="s">
        <v>125</v>
      </c>
      <c r="J862" t="str">
        <f>HYPERLINK("https://www.facebook.com/156600068417631")</f>
        <v>https://www.facebook.com/156600068417631</v>
      </c>
      <c r="K862">
        <v>236</v>
      </c>
      <c r="L862" t="s">
        <v>28</v>
      </c>
      <c r="N862" t="s">
        <v>179</v>
      </c>
      <c r="O862" t="s">
        <v>125</v>
      </c>
      <c r="P862" t="str">
        <f>HYPERLINK("https://www.facebook.com/156600068417631")</f>
        <v>https://www.facebook.com/156600068417631</v>
      </c>
      <c r="Q862">
        <v>236</v>
      </c>
      <c r="R862" t="s">
        <v>17</v>
      </c>
      <c r="S862" t="s">
        <v>18</v>
      </c>
      <c r="T862" t="s">
        <v>126</v>
      </c>
      <c r="U862" t="s">
        <v>127</v>
      </c>
      <c r="W862">
        <v>0</v>
      </c>
      <c r="X862">
        <v>0</v>
      </c>
      <c r="Y862">
        <v>0</v>
      </c>
      <c r="Z862">
        <v>0</v>
      </c>
      <c r="AA862">
        <v>0</v>
      </c>
      <c r="AB862">
        <v>0</v>
      </c>
      <c r="AC862">
        <v>0</v>
      </c>
      <c r="AE862">
        <v>0</v>
      </c>
      <c r="AI862" t="str">
        <f>HYPERLINK("https://scontent-hel2-1.xx.fbcdn.net/v/t1.0-0/p526x296/115995955_779953482748950_1548844347008965041_o.jpg?_nc_cat=110&amp;_nc_sid=9267fe&amp;_nc_ohc=EoZGvMbRvIAAX9LxOdm&amp;_nc_ht=scontent-hel2-1.xx&amp;_nc_tp=6&amp;oh=65e94bb4d148221f0c0db07e1eeef1a8&amp;oe=5F4002D7")</f>
        <v>https://scontent-hel2-1.xx.fbcdn.net/v/t1.0-0/p526x296/115995955_779953482748950_1548844347008965041_o.jpg?_nc_cat=110&amp;_nc_sid=9267fe&amp;_nc_ohc=EoZGvMbRvIAAX9LxOdm&amp;_nc_ht=scontent-hel2-1.xx&amp;_nc_tp=6&amp;oh=65e94bb4d148221f0c0db07e1eeef1a8&amp;oe=5F4002D7</v>
      </c>
      <c r="AJ862" t="s">
        <v>10</v>
      </c>
      <c r="AK862" t="s">
        <v>21</v>
      </c>
      <c r="AV862" t="s">
        <v>3247</v>
      </c>
    </row>
    <row r="863" spans="1:51" x14ac:dyDescent="0.25">
      <c r="A863" t="s">
        <v>2290</v>
      </c>
      <c r="B863" t="s">
        <v>2329</v>
      </c>
      <c r="C863" t="s">
        <v>968</v>
      </c>
      <c r="D863" t="s">
        <v>10</v>
      </c>
      <c r="E863" t="s">
        <v>2330</v>
      </c>
      <c r="F863" t="s">
        <v>45</v>
      </c>
      <c r="G863" t="str">
        <f>HYPERLINK("https://vk.com/wall-48669646_10193")</f>
        <v>https://vk.com/wall-48669646_10193</v>
      </c>
      <c r="H863" t="s">
        <v>885</v>
      </c>
      <c r="I863" t="s">
        <v>46</v>
      </c>
      <c r="J863" t="str">
        <f>HYPERLINK("http://vk.com/club48669646")</f>
        <v>http://vk.com/club48669646</v>
      </c>
      <c r="K863">
        <v>5795</v>
      </c>
      <c r="L863" t="s">
        <v>28</v>
      </c>
      <c r="N863" t="s">
        <v>16</v>
      </c>
      <c r="O863" t="s">
        <v>46</v>
      </c>
      <c r="P863" t="str">
        <f>HYPERLINK("http://vk.com/club48669646")</f>
        <v>http://vk.com/club48669646</v>
      </c>
      <c r="Q863">
        <v>5795</v>
      </c>
      <c r="R863" t="s">
        <v>17</v>
      </c>
      <c r="S863" t="s">
        <v>18</v>
      </c>
      <c r="W863">
        <v>1</v>
      </c>
      <c r="X863">
        <v>1</v>
      </c>
      <c r="AE863">
        <v>0</v>
      </c>
      <c r="AF863">
        <v>0</v>
      </c>
      <c r="AG863">
        <v>290</v>
      </c>
      <c r="AI863" t="str">
        <f>HYPERLINK("https://sun3-10.userapi.com/xQbHpaTnsyeTU87z6YRxfe3k2hvgZ_eMmzuHQg/iW0AcKodAYE.jpg")</f>
        <v>https://sun3-10.userapi.com/xQbHpaTnsyeTU87z6YRxfe3k2hvgZ_eMmzuHQg/iW0AcKodAYE.jpg</v>
      </c>
      <c r="AJ863" t="s">
        <v>10</v>
      </c>
      <c r="AK863" t="s">
        <v>21</v>
      </c>
      <c r="AM863" t="s">
        <v>3238</v>
      </c>
      <c r="AV863" t="s">
        <v>3247</v>
      </c>
    </row>
    <row r="864" spans="1:51" x14ac:dyDescent="0.25">
      <c r="A864" t="s">
        <v>7</v>
      </c>
      <c r="B864" t="s">
        <v>257</v>
      </c>
      <c r="C864" t="s">
        <v>258</v>
      </c>
      <c r="D864" t="s">
        <v>24</v>
      </c>
      <c r="E864" t="s">
        <v>259</v>
      </c>
      <c r="F864" t="s">
        <v>26</v>
      </c>
      <c r="G864" t="str">
        <f>HYPERLINK("https://vk.com/wall-197114981_31?reply=1347&amp;thread=1273")</f>
        <v>https://vk.com/wall-197114981_31?reply=1347&amp;thread=1273</v>
      </c>
      <c r="H864" t="s">
        <v>13</v>
      </c>
      <c r="I864" t="s">
        <v>27</v>
      </c>
      <c r="J864" t="str">
        <f>HYPERLINK("http://vk.com/club197114981")</f>
        <v>http://vk.com/club197114981</v>
      </c>
      <c r="K864">
        <v>38</v>
      </c>
      <c r="L864" t="s">
        <v>28</v>
      </c>
      <c r="N864" t="s">
        <v>16</v>
      </c>
      <c r="O864" t="s">
        <v>27</v>
      </c>
      <c r="P864" t="str">
        <f>HYPERLINK("http://vk.com/club197114981")</f>
        <v>http://vk.com/club197114981</v>
      </c>
      <c r="Q864">
        <v>38</v>
      </c>
      <c r="R864" t="s">
        <v>17</v>
      </c>
      <c r="AJ864" t="s">
        <v>10</v>
      </c>
      <c r="AK864" t="s">
        <v>21</v>
      </c>
      <c r="AM864" t="s">
        <v>3238</v>
      </c>
      <c r="AV864" t="s">
        <v>3247</v>
      </c>
    </row>
    <row r="865" spans="1:51" x14ac:dyDescent="0.25">
      <c r="A865" t="s">
        <v>414</v>
      </c>
      <c r="B865" t="s">
        <v>755</v>
      </c>
      <c r="C865" t="s">
        <v>756</v>
      </c>
      <c r="D865" t="s">
        <v>24</v>
      </c>
      <c r="E865" t="s">
        <v>25</v>
      </c>
      <c r="F865" t="s">
        <v>26</v>
      </c>
      <c r="G865" t="str">
        <f>HYPERLINK("https://vk.com/wall-197114981_31?reply=1169&amp;thread=1131")</f>
        <v>https://vk.com/wall-197114981_31?reply=1169&amp;thread=1131</v>
      </c>
      <c r="H865" t="s">
        <v>13</v>
      </c>
      <c r="I865" t="s">
        <v>27</v>
      </c>
      <c r="J865" t="str">
        <f>HYPERLINK("http://vk.com/club197114981")</f>
        <v>http://vk.com/club197114981</v>
      </c>
      <c r="K865">
        <v>38</v>
      </c>
      <c r="L865" t="s">
        <v>28</v>
      </c>
      <c r="N865" t="s">
        <v>16</v>
      </c>
      <c r="O865" t="s">
        <v>27</v>
      </c>
      <c r="P865" t="str">
        <f>HYPERLINK("http://vk.com/club197114981")</f>
        <v>http://vk.com/club197114981</v>
      </c>
      <c r="Q865">
        <v>38</v>
      </c>
      <c r="R865" t="s">
        <v>17</v>
      </c>
      <c r="AJ865" t="s">
        <v>10</v>
      </c>
      <c r="AK865" t="s">
        <v>21</v>
      </c>
      <c r="AM865" t="s">
        <v>3238</v>
      </c>
    </row>
    <row r="866" spans="1:51" x14ac:dyDescent="0.25">
      <c r="A866" t="s">
        <v>1723</v>
      </c>
      <c r="B866" t="s">
        <v>1823</v>
      </c>
      <c r="C866" t="s">
        <v>984</v>
      </c>
      <c r="D866" t="s">
        <v>10</v>
      </c>
      <c r="E866" t="s">
        <v>1824</v>
      </c>
      <c r="F866" t="s">
        <v>45</v>
      </c>
      <c r="G866" t="str">
        <f>HYPERLINK("https://www.instagram.com/p/CDK7zrYq0g5")</f>
        <v>https://www.instagram.com/p/CDK7zrYq0g5</v>
      </c>
      <c r="H866" t="s">
        <v>889</v>
      </c>
      <c r="I866" t="s">
        <v>1825</v>
      </c>
      <c r="J866" t="str">
        <f>HYPERLINK("http://instagram.com/uzi_belkina")</f>
        <v>http://instagram.com/uzi_belkina</v>
      </c>
      <c r="K866">
        <v>1327</v>
      </c>
      <c r="N866" t="s">
        <v>69</v>
      </c>
      <c r="O866" t="s">
        <v>1825</v>
      </c>
      <c r="P866" t="str">
        <f>HYPERLINK("http://instagram.com/uzi_belkina")</f>
        <v>http://instagram.com/uzi_belkina</v>
      </c>
      <c r="Q866">
        <v>1327</v>
      </c>
      <c r="R866" t="s">
        <v>17</v>
      </c>
      <c r="S866" t="s">
        <v>18</v>
      </c>
      <c r="T866" t="s">
        <v>189</v>
      </c>
      <c r="U866" t="s">
        <v>190</v>
      </c>
      <c r="AI866" t="str">
        <f>HYPERLINK("https://www.instagram.com/p/CDK7zrYq0g5/media/?size=l")</f>
        <v>https://www.instagram.com/p/CDK7zrYq0g5/media/?size=l</v>
      </c>
      <c r="AJ866" t="s">
        <v>10</v>
      </c>
      <c r="AK866" t="s">
        <v>21</v>
      </c>
    </row>
    <row r="867" spans="1:51" x14ac:dyDescent="0.25">
      <c r="A867" t="s">
        <v>2193</v>
      </c>
      <c r="B867" t="s">
        <v>989</v>
      </c>
      <c r="C867" t="s">
        <v>968</v>
      </c>
      <c r="D867" t="s">
        <v>2237</v>
      </c>
      <c r="E867" t="s">
        <v>2238</v>
      </c>
      <c r="F867" t="s">
        <v>45</v>
      </c>
      <c r="G867" t="str">
        <f>HYPERLINK("https://www.freeprnow.com/pr/expert-cancer-homoeo-clinic-offering-advanced-care-and-homoeopathic-treatment-for-cancer")</f>
        <v>https://www.freeprnow.com/pr/expert-cancer-homoeo-clinic-offering-advanced-care-and-homoeopathic-treatment-for-cancer</v>
      </c>
      <c r="H867" t="s">
        <v>885</v>
      </c>
      <c r="I867" t="s">
        <v>2239</v>
      </c>
      <c r="J867" t="str">
        <f>HYPERLINK("https://www.freeprnow.com")</f>
        <v>https://www.freeprnow.com</v>
      </c>
      <c r="N867" t="s">
        <v>2240</v>
      </c>
      <c r="R867" t="s">
        <v>239</v>
      </c>
      <c r="S867" t="s">
        <v>1206</v>
      </c>
      <c r="AJ867" t="s">
        <v>10</v>
      </c>
      <c r="AK867" t="s">
        <v>21</v>
      </c>
      <c r="AL867" t="s">
        <v>3237</v>
      </c>
    </row>
    <row r="868" spans="1:51" x14ac:dyDescent="0.25">
      <c r="A868" t="s">
        <v>2260</v>
      </c>
      <c r="B868" t="s">
        <v>637</v>
      </c>
      <c r="C868" t="s">
        <v>968</v>
      </c>
      <c r="D868" t="s">
        <v>10</v>
      </c>
      <c r="E868" t="s">
        <v>2270</v>
      </c>
      <c r="F868" t="s">
        <v>45</v>
      </c>
      <c r="G868" t="str">
        <f>HYPERLINK("https://www.facebook.com/mriexpert/photos/a.902990326434112/3203744536358668/?type=3")</f>
        <v>https://www.facebook.com/mriexpert/photos/a.902990326434112/3203744536358668/?type=3</v>
      </c>
      <c r="H868" t="s">
        <v>885</v>
      </c>
      <c r="I868" t="s">
        <v>46</v>
      </c>
      <c r="J868" t="str">
        <f>HYPERLINK("https://www.facebook.com/902980129768465")</f>
        <v>https://www.facebook.com/902980129768465</v>
      </c>
      <c r="K868">
        <v>1509</v>
      </c>
      <c r="L868" t="s">
        <v>28</v>
      </c>
      <c r="N868" t="s">
        <v>179</v>
      </c>
      <c r="O868" t="s">
        <v>46</v>
      </c>
      <c r="P868" t="str">
        <f>HYPERLINK("https://www.facebook.com/902980129768465")</f>
        <v>https://www.facebook.com/902980129768465</v>
      </c>
      <c r="Q868">
        <v>1509</v>
      </c>
      <c r="R868" t="s">
        <v>17</v>
      </c>
      <c r="W868">
        <v>2</v>
      </c>
      <c r="X868">
        <v>2</v>
      </c>
      <c r="Y868">
        <v>0</v>
      </c>
      <c r="Z868">
        <v>0</v>
      </c>
      <c r="AA868">
        <v>0</v>
      </c>
      <c r="AB868">
        <v>0</v>
      </c>
      <c r="AC868">
        <v>0</v>
      </c>
      <c r="AE868">
        <v>0</v>
      </c>
      <c r="AF868">
        <v>2</v>
      </c>
      <c r="AI868" t="str">
        <f>HYPERLINK("https://scontent-hel2-1.xx.fbcdn.net/v/t1.0-9/s960x960/110491483_3203744539692001_8769584465220743333_o.jpg?_nc_cat=108&amp;_nc_sid=9267fe&amp;_nc_ohc=3SJ2iHdmPNsAX-G9Axx&amp;_nc_ht=scontent-hel2-1.xx&amp;_nc_tp=7&amp;oh=1d28470fd376e33b050e5d149717a1d8&amp;oe=5F3C97BF")</f>
        <v>https://scontent-hel2-1.xx.fbcdn.net/v/t1.0-9/s960x960/110491483_3203744539692001_8769584465220743333_o.jpg?_nc_cat=108&amp;_nc_sid=9267fe&amp;_nc_ohc=3SJ2iHdmPNsAX-G9Axx&amp;_nc_ht=scontent-hel2-1.xx&amp;_nc_tp=7&amp;oh=1d28470fd376e33b050e5d149717a1d8&amp;oe=5F3C97BF</v>
      </c>
      <c r="AJ868" t="s">
        <v>10</v>
      </c>
      <c r="AK868" t="s">
        <v>21</v>
      </c>
    </row>
    <row r="869" spans="1:51" x14ac:dyDescent="0.25">
      <c r="A869" t="s">
        <v>2260</v>
      </c>
      <c r="B869" t="s">
        <v>2282</v>
      </c>
      <c r="C869" t="s">
        <v>968</v>
      </c>
      <c r="D869" t="s">
        <v>1236</v>
      </c>
      <c r="E869" t="s">
        <v>2283</v>
      </c>
      <c r="F869" t="s">
        <v>26</v>
      </c>
      <c r="G869" t="str">
        <f>HYPERLINK("https://www.youtube.com/watch?v=laG_UAIUZ6w&amp;lc=UgzE5S7lQ4cl_4RpCwV4AaABAg")</f>
        <v>https://www.youtube.com/watch?v=laG_UAIUZ6w&amp;lc=UgzE5S7lQ4cl_4RpCwV4AaABAg</v>
      </c>
      <c r="H869" t="s">
        <v>885</v>
      </c>
      <c r="I869" t="s">
        <v>2284</v>
      </c>
      <c r="J869" t="str">
        <f>HYPERLINK("https://www.youtube.com/channel/UCNKSkt-_SFMtMz3i-1ycDrg")</f>
        <v>https://www.youtube.com/channel/UCNKSkt-_SFMtMz3i-1ycDrg</v>
      </c>
      <c r="K869">
        <v>0</v>
      </c>
      <c r="N869" t="s">
        <v>162</v>
      </c>
      <c r="O869" t="s">
        <v>424</v>
      </c>
      <c r="P869" t="str">
        <f>HYPERLINK("https://www.youtube.com/channel/UC8fQzKHIhSoZeSq3bwQx4mw")</f>
        <v>https://www.youtube.com/channel/UC8fQzKHIhSoZeSq3bwQx4mw</v>
      </c>
      <c r="Q869">
        <v>517000</v>
      </c>
      <c r="R869" t="s">
        <v>17</v>
      </c>
      <c r="S869" t="s">
        <v>425</v>
      </c>
      <c r="W869">
        <v>0</v>
      </c>
      <c r="X869">
        <v>0</v>
      </c>
      <c r="AE869">
        <v>1</v>
      </c>
      <c r="AJ869" t="s">
        <v>10</v>
      </c>
      <c r="AK869" t="s">
        <v>21</v>
      </c>
      <c r="AT869" t="s">
        <v>3245</v>
      </c>
      <c r="AU869" t="s">
        <v>3246</v>
      </c>
      <c r="AV869" t="s">
        <v>3247</v>
      </c>
    </row>
    <row r="870" spans="1:51" x14ac:dyDescent="0.25">
      <c r="A870" t="s">
        <v>772</v>
      </c>
      <c r="B870" t="s">
        <v>849</v>
      </c>
      <c r="C870" t="s">
        <v>850</v>
      </c>
      <c r="D870" t="s">
        <v>24</v>
      </c>
      <c r="E870" t="s">
        <v>494</v>
      </c>
      <c r="F870" t="s">
        <v>26</v>
      </c>
      <c r="G870" t="str">
        <f>HYPERLINK("https://vk.com/wall-197114981_31?reply=1137&amp;thread=1135")</f>
        <v>https://vk.com/wall-197114981_31?reply=1137&amp;thread=1135</v>
      </c>
      <c r="H870" t="s">
        <v>13</v>
      </c>
      <c r="I870" t="s">
        <v>27</v>
      </c>
      <c r="J870" t="str">
        <f>HYPERLINK("http://vk.com/club197114981")</f>
        <v>http://vk.com/club197114981</v>
      </c>
      <c r="K870">
        <v>38</v>
      </c>
      <c r="L870" t="s">
        <v>28</v>
      </c>
      <c r="N870" t="s">
        <v>16</v>
      </c>
      <c r="O870" t="s">
        <v>27</v>
      </c>
      <c r="P870" t="str">
        <f>HYPERLINK("http://vk.com/club197114981")</f>
        <v>http://vk.com/club197114981</v>
      </c>
      <c r="Q870">
        <v>38</v>
      </c>
      <c r="R870" t="s">
        <v>17</v>
      </c>
      <c r="AJ870" t="s">
        <v>10</v>
      </c>
      <c r="AK870" t="s">
        <v>21</v>
      </c>
      <c r="AV870" t="s">
        <v>3247</v>
      </c>
    </row>
    <row r="871" spans="1:51" x14ac:dyDescent="0.25">
      <c r="A871" t="s">
        <v>2428</v>
      </c>
      <c r="B871" t="s">
        <v>1088</v>
      </c>
      <c r="C871" t="s">
        <v>968</v>
      </c>
      <c r="D871" t="s">
        <v>2307</v>
      </c>
      <c r="E871" t="s">
        <v>2454</v>
      </c>
      <c r="F871" t="s">
        <v>26</v>
      </c>
      <c r="G871" t="str">
        <f>HYPERLINK("https://vk.com/wall-121026450_24607?reply=24609")</f>
        <v>https://vk.com/wall-121026450_24607?reply=24609</v>
      </c>
      <c r="H871" t="s">
        <v>889</v>
      </c>
      <c r="I871" t="s">
        <v>1299</v>
      </c>
      <c r="J871" t="str">
        <f>HYPERLINK("http://vk.com/id152172862")</f>
        <v>http://vk.com/id152172862</v>
      </c>
      <c r="K871">
        <v>55</v>
      </c>
      <c r="L871" t="s">
        <v>80</v>
      </c>
      <c r="N871" t="s">
        <v>16</v>
      </c>
      <c r="O871" t="s">
        <v>1822</v>
      </c>
      <c r="P871" t="str">
        <f>HYPERLINK("http://vk.com/club121026450")</f>
        <v>http://vk.com/club121026450</v>
      </c>
      <c r="Q871">
        <v>11822</v>
      </c>
      <c r="R871" t="s">
        <v>17</v>
      </c>
      <c r="S871" t="s">
        <v>18</v>
      </c>
      <c r="T871" t="s">
        <v>272</v>
      </c>
      <c r="U871" t="s">
        <v>1300</v>
      </c>
      <c r="AJ871" t="s">
        <v>10</v>
      </c>
      <c r="AK871" t="s">
        <v>21</v>
      </c>
      <c r="AT871" t="s">
        <v>3245</v>
      </c>
      <c r="AU871" t="s">
        <v>3246</v>
      </c>
    </row>
    <row r="872" spans="1:51" x14ac:dyDescent="0.25">
      <c r="A872" t="s">
        <v>2541</v>
      </c>
      <c r="B872" t="s">
        <v>2553</v>
      </c>
      <c r="C872" t="s">
        <v>968</v>
      </c>
      <c r="D872" t="s">
        <v>10</v>
      </c>
      <c r="E872" t="s">
        <v>2212</v>
      </c>
      <c r="F872" t="s">
        <v>12</v>
      </c>
      <c r="G872" t="str">
        <f>HYPERLINK("https://www.facebook.com/permalink.php?story_fbid=926288384556213&amp;id=100015251794464")</f>
        <v>https://www.facebook.com/permalink.php?story_fbid=926288384556213&amp;id=100015251794464</v>
      </c>
      <c r="H872" t="s">
        <v>889</v>
      </c>
      <c r="I872" t="s">
        <v>2555</v>
      </c>
      <c r="J872" t="str">
        <f>HYPERLINK("https://www.facebook.com/100015251794464")</f>
        <v>https://www.facebook.com/100015251794464</v>
      </c>
      <c r="K872">
        <v>156</v>
      </c>
      <c r="L872" t="s">
        <v>15</v>
      </c>
      <c r="N872" t="s">
        <v>179</v>
      </c>
      <c r="O872" t="s">
        <v>2555</v>
      </c>
      <c r="P872" t="str">
        <f>HYPERLINK("https://www.facebook.com/100015251794464")</f>
        <v>https://www.facebook.com/100015251794464</v>
      </c>
      <c r="Q872">
        <v>156</v>
      </c>
      <c r="R872" t="s">
        <v>17</v>
      </c>
      <c r="W872">
        <v>0</v>
      </c>
      <c r="X872">
        <v>0</v>
      </c>
      <c r="Y872">
        <v>0</v>
      </c>
      <c r="Z872">
        <v>0</v>
      </c>
      <c r="AA872">
        <v>0</v>
      </c>
      <c r="AB872">
        <v>0</v>
      </c>
      <c r="AC872">
        <v>0</v>
      </c>
      <c r="AE872">
        <v>0</v>
      </c>
      <c r="AI872" t="str">
        <f>HYPERLINK("https://scontent-hel2-1.xx.fbcdn.net/v/t1.0-0/p526x296/109258964_773166653427633_6852729238875261591_o.jpg?_nc_cat=105&amp;_nc_sid=9267fe&amp;_nc_ohc=gJRkPOr1t3wAX90Qdwg&amp;_nc_ht=scontent-hel2-1.xx&amp;_nc_tp=6&amp;oh=2caa07a6b9cd6f51ad3db76aa99e16fc&amp;oe=5F367F8B")</f>
        <v>https://scontent-hel2-1.xx.fbcdn.net/v/t1.0-0/p526x296/109258964_773166653427633_6852729238875261591_o.jpg?_nc_cat=105&amp;_nc_sid=9267fe&amp;_nc_ohc=gJRkPOr1t3wAX90Qdwg&amp;_nc_ht=scontent-hel2-1.xx&amp;_nc_tp=6&amp;oh=2caa07a6b9cd6f51ad3db76aa99e16fc&amp;oe=5F367F8B</v>
      </c>
      <c r="AJ872" t="s">
        <v>10</v>
      </c>
      <c r="AK872" t="s">
        <v>21</v>
      </c>
      <c r="AT872" t="s">
        <v>3245</v>
      </c>
      <c r="AU872" t="s">
        <v>3246</v>
      </c>
    </row>
    <row r="873" spans="1:51" x14ac:dyDescent="0.25">
      <c r="A873" t="s">
        <v>2589</v>
      </c>
      <c r="B873" t="s">
        <v>2135</v>
      </c>
      <c r="C873" t="s">
        <v>968</v>
      </c>
      <c r="D873" t="s">
        <v>10</v>
      </c>
      <c r="E873" t="s">
        <v>1857</v>
      </c>
      <c r="F873" t="s">
        <v>45</v>
      </c>
      <c r="G873" t="str">
        <f>HYPERLINK("https://vk.com/wall-158633337_927")</f>
        <v>https://vk.com/wall-158633337_927</v>
      </c>
      <c r="H873" t="s">
        <v>885</v>
      </c>
      <c r="I873" t="s">
        <v>125</v>
      </c>
      <c r="J873" t="str">
        <f>HYPERLINK("http://vk.com/club158633337")</f>
        <v>http://vk.com/club158633337</v>
      </c>
      <c r="K873">
        <v>4852</v>
      </c>
      <c r="L873" t="s">
        <v>28</v>
      </c>
      <c r="N873" t="s">
        <v>16</v>
      </c>
      <c r="O873" t="s">
        <v>125</v>
      </c>
      <c r="P873" t="str">
        <f>HYPERLINK("http://vk.com/club158633337")</f>
        <v>http://vk.com/club158633337</v>
      </c>
      <c r="Q873">
        <v>4852</v>
      </c>
      <c r="R873" t="s">
        <v>17</v>
      </c>
      <c r="S873" t="s">
        <v>18</v>
      </c>
      <c r="T873" t="s">
        <v>126</v>
      </c>
      <c r="U873" t="s">
        <v>127</v>
      </c>
      <c r="W873">
        <v>0</v>
      </c>
      <c r="X873">
        <v>0</v>
      </c>
      <c r="AE873">
        <v>0</v>
      </c>
      <c r="AF873">
        <v>0</v>
      </c>
      <c r="AG873">
        <v>108</v>
      </c>
      <c r="AI873" t="str">
        <f>HYPERLINK("https://sun1-83.userapi.com/6nwED_J1zDr8DLroaD13Wehn3M18QoJbhJ8Zlw/0b9q7nNaYJc.jpg")</f>
        <v>https://sun1-83.userapi.com/6nwED_J1zDr8DLroaD13Wehn3M18QoJbhJ8Zlw/0b9q7nNaYJc.jpg</v>
      </c>
      <c r="AJ873" t="s">
        <v>10</v>
      </c>
      <c r="AK873" t="s">
        <v>21</v>
      </c>
      <c r="AT873" t="s">
        <v>3245</v>
      </c>
      <c r="AU873" t="s">
        <v>3246</v>
      </c>
      <c r="AY873" t="s">
        <v>3250</v>
      </c>
    </row>
    <row r="874" spans="1:51" x14ac:dyDescent="0.25">
      <c r="A874" t="s">
        <v>2684</v>
      </c>
      <c r="B874" t="s">
        <v>1564</v>
      </c>
      <c r="C874" t="s">
        <v>968</v>
      </c>
      <c r="D874" t="s">
        <v>10</v>
      </c>
      <c r="E874" t="s">
        <v>2752</v>
      </c>
      <c r="F874" t="s">
        <v>45</v>
      </c>
      <c r="G874" t="str">
        <f>HYPERLINK("https://www.facebook.com/permalink.php?story_fbid=3309588415753229&amp;id=100001063100518")</f>
        <v>https://www.facebook.com/permalink.php?story_fbid=3309588415753229&amp;id=100001063100518</v>
      </c>
      <c r="H874" t="s">
        <v>889</v>
      </c>
      <c r="I874" t="s">
        <v>2754</v>
      </c>
      <c r="J874" t="str">
        <f>HYPERLINK("https://www.facebook.com/100001063100518")</f>
        <v>https://www.facebook.com/100001063100518</v>
      </c>
      <c r="K874">
        <v>2154</v>
      </c>
      <c r="L874" t="s">
        <v>80</v>
      </c>
      <c r="N874" t="s">
        <v>179</v>
      </c>
      <c r="O874" t="s">
        <v>2755</v>
      </c>
      <c r="P874" t="str">
        <f>HYPERLINK("https://www.facebook.com/100001226211320")</f>
        <v>https://www.facebook.com/100001226211320</v>
      </c>
      <c r="Q874">
        <v>4108</v>
      </c>
      <c r="R874" t="s">
        <v>17</v>
      </c>
      <c r="S874" t="s">
        <v>18</v>
      </c>
      <c r="T874" t="s">
        <v>1015</v>
      </c>
      <c r="U874" t="s">
        <v>1016</v>
      </c>
      <c r="AI874" t="str">
        <f>HYPERLINK("https://scontent-hel2-1.xx.fbcdn.net/v/t1.0-9/107896233_3309584482420289_8432793678039861666_n.jpg?_nc_cat=107&amp;_nc_sid=0debeb&amp;_nc_ohc=tngmq11FzjEAX_rIXwj&amp;_nc_ht=scontent-hel2-1.xx&amp;oh=767bb09b39edccb6407c0c8de277f6f8&amp;oe=5F35C18E")</f>
        <v>https://scontent-hel2-1.xx.fbcdn.net/v/t1.0-9/107896233_3309584482420289_8432793678039861666_n.jpg?_nc_cat=107&amp;_nc_sid=0debeb&amp;_nc_ohc=tngmq11FzjEAX_rIXwj&amp;_nc_ht=scontent-hel2-1.xx&amp;oh=767bb09b39edccb6407c0c8de277f6f8&amp;oe=5F35C18E</v>
      </c>
      <c r="AJ874" t="s">
        <v>10</v>
      </c>
      <c r="AK874" t="s">
        <v>21</v>
      </c>
      <c r="AU874" t="s">
        <v>3246</v>
      </c>
      <c r="AW874" t="s">
        <v>3248</v>
      </c>
      <c r="AY874" t="s">
        <v>3250</v>
      </c>
    </row>
    <row r="875" spans="1:51" x14ac:dyDescent="0.25">
      <c r="A875" t="s">
        <v>1930</v>
      </c>
      <c r="B875" t="s">
        <v>1680</v>
      </c>
      <c r="C875" t="s">
        <v>984</v>
      </c>
      <c r="D875" t="s">
        <v>10</v>
      </c>
      <c r="E875" t="s">
        <v>1964</v>
      </c>
      <c r="F875" t="s">
        <v>45</v>
      </c>
      <c r="G875" t="str">
        <f>HYPERLINK("https://www.facebook.com/mrtexpertrnd/posts/781874162556882")</f>
        <v>https://www.facebook.com/mrtexpertrnd/posts/781874162556882</v>
      </c>
      <c r="H875" t="s">
        <v>889</v>
      </c>
      <c r="I875" t="s">
        <v>125</v>
      </c>
      <c r="J875" t="str">
        <f>HYPERLINK("https://www.facebook.com/156600068417631")</f>
        <v>https://www.facebook.com/156600068417631</v>
      </c>
      <c r="K875">
        <v>236</v>
      </c>
      <c r="L875" t="s">
        <v>28</v>
      </c>
      <c r="N875" t="s">
        <v>179</v>
      </c>
      <c r="O875" t="s">
        <v>125</v>
      </c>
      <c r="P875" t="str">
        <f>HYPERLINK("https://www.facebook.com/156600068417631")</f>
        <v>https://www.facebook.com/156600068417631</v>
      </c>
      <c r="Q875">
        <v>236</v>
      </c>
      <c r="R875" t="s">
        <v>17</v>
      </c>
      <c r="S875" t="s">
        <v>18</v>
      </c>
      <c r="T875" t="s">
        <v>126</v>
      </c>
      <c r="U875" t="s">
        <v>127</v>
      </c>
      <c r="W875">
        <v>0</v>
      </c>
      <c r="X875">
        <v>0</v>
      </c>
      <c r="Y875">
        <v>0</v>
      </c>
      <c r="Z875">
        <v>0</v>
      </c>
      <c r="AA875">
        <v>0</v>
      </c>
      <c r="AB875">
        <v>0</v>
      </c>
      <c r="AC875">
        <v>0</v>
      </c>
      <c r="AE875">
        <v>0</v>
      </c>
      <c r="AI875" t="str">
        <f>HYPERLINK("https://scontent-hel2-1.xx.fbcdn.net/v/t1.0-9/116363235_781874039223561_2728439524657840314_o.jpg?_nc_cat=102&amp;_nc_sid=730e14&amp;_nc_ohc=-SB0zVGsLRwAX-Slg1S&amp;_nc_ht=scontent-hel2-1.xx&amp;oh=cee4b668efe7d5181574075a0a8226e1&amp;oe=5F42B967")</f>
        <v>https://scontent-hel2-1.xx.fbcdn.net/v/t1.0-9/116363235_781874039223561_2728439524657840314_o.jpg?_nc_cat=102&amp;_nc_sid=730e14&amp;_nc_ohc=-SB0zVGsLRwAX-Slg1S&amp;_nc_ht=scontent-hel2-1.xx&amp;oh=cee4b668efe7d5181574075a0a8226e1&amp;oe=5F42B967</v>
      </c>
      <c r="AJ875" t="s">
        <v>10</v>
      </c>
      <c r="AK875" t="s">
        <v>21</v>
      </c>
      <c r="AT875" t="s">
        <v>3245</v>
      </c>
      <c r="AU875" t="s">
        <v>3246</v>
      </c>
    </row>
    <row r="876" spans="1:51" x14ac:dyDescent="0.25">
      <c r="A876" t="s">
        <v>2380</v>
      </c>
      <c r="B876" t="s">
        <v>42</v>
      </c>
      <c r="C876" t="s">
        <v>968</v>
      </c>
      <c r="D876" t="s">
        <v>10</v>
      </c>
      <c r="E876" t="s">
        <v>2405</v>
      </c>
      <c r="F876" t="s">
        <v>12</v>
      </c>
      <c r="G876" t="str">
        <f>HYPERLINK("https://www.facebook.com/568390943273818/posts/2994969693949252")</f>
        <v>https://www.facebook.com/568390943273818/posts/2994969693949252</v>
      </c>
      <c r="H876" t="s">
        <v>885</v>
      </c>
      <c r="I876" t="s">
        <v>280</v>
      </c>
      <c r="J876" t="str">
        <f>HYPERLINK("https://www.facebook.com/568390943273818")</f>
        <v>https://www.facebook.com/568390943273818</v>
      </c>
      <c r="K876">
        <v>18918</v>
      </c>
      <c r="L876" t="s">
        <v>28</v>
      </c>
      <c r="N876" t="s">
        <v>179</v>
      </c>
      <c r="O876" t="s">
        <v>280</v>
      </c>
      <c r="P876" t="str">
        <f>HYPERLINK("https://www.facebook.com/568390943273818")</f>
        <v>https://www.facebook.com/568390943273818</v>
      </c>
      <c r="Q876">
        <v>18918</v>
      </c>
      <c r="R876" t="s">
        <v>17</v>
      </c>
      <c r="S876" t="s">
        <v>281</v>
      </c>
      <c r="T876" t="s">
        <v>282</v>
      </c>
      <c r="U876" t="s">
        <v>282</v>
      </c>
      <c r="AI876" t="str">
        <f>HYPERLINK("https://scontent-amt2-1.xx.fbcdn.net/v/t1.0-9/s720x720/109681341_2994967543949467_2497875792098081669_o.jpg?_nc_cat=106&amp;_nc_sid=8024bb&amp;_nc_ohc=ofCMF3BlJ-MAX-OAUEK&amp;_nc_ht=scontent-amt2-1.xx&amp;_nc_tp=7&amp;oh=f5f72eb080acbc3197f86a882d26ee29&amp;oe=5F3BA2AF")</f>
        <v>https://scontent-amt2-1.xx.fbcdn.net/v/t1.0-9/s720x720/109681341_2994967543949467_2497875792098081669_o.jpg?_nc_cat=106&amp;_nc_sid=8024bb&amp;_nc_ohc=ofCMF3BlJ-MAX-OAUEK&amp;_nc_ht=scontent-amt2-1.xx&amp;_nc_tp=7&amp;oh=f5f72eb080acbc3197f86a882d26ee29&amp;oe=5F3BA2AF</v>
      </c>
      <c r="AJ876" t="s">
        <v>10</v>
      </c>
      <c r="AK876" t="s">
        <v>21</v>
      </c>
      <c r="AU876" t="s">
        <v>3246</v>
      </c>
      <c r="AV876" t="s">
        <v>3247</v>
      </c>
    </row>
    <row r="877" spans="1:51" x14ac:dyDescent="0.25">
      <c r="A877" t="s">
        <v>414</v>
      </c>
      <c r="B877" t="s">
        <v>466</v>
      </c>
      <c r="C877" t="s">
        <v>467</v>
      </c>
      <c r="D877" t="s">
        <v>24</v>
      </c>
      <c r="E877" t="s">
        <v>469</v>
      </c>
      <c r="F877" t="s">
        <v>26</v>
      </c>
      <c r="G877" t="str">
        <f>HYPERLINK("https://vk.com/wall-197114981_31?reply=1259")</f>
        <v>https://vk.com/wall-197114981_31?reply=1259</v>
      </c>
      <c r="H877" t="s">
        <v>13</v>
      </c>
      <c r="I877" t="s">
        <v>461</v>
      </c>
      <c r="J877" t="str">
        <f>HYPERLINK("http://vk.com/id17469829")</f>
        <v>http://vk.com/id17469829</v>
      </c>
      <c r="K877">
        <v>374</v>
      </c>
      <c r="L877" t="s">
        <v>80</v>
      </c>
      <c r="M877">
        <v>28</v>
      </c>
      <c r="N877" t="s">
        <v>16</v>
      </c>
      <c r="O877" t="s">
        <v>27</v>
      </c>
      <c r="P877" t="str">
        <f>HYPERLINK("http://vk.com/club197114981")</f>
        <v>http://vk.com/club197114981</v>
      </c>
      <c r="Q877">
        <v>38</v>
      </c>
      <c r="R877" t="s">
        <v>17</v>
      </c>
      <c r="S877" t="s">
        <v>18</v>
      </c>
      <c r="AJ877" t="s">
        <v>10</v>
      </c>
      <c r="AK877" t="s">
        <v>21</v>
      </c>
      <c r="AL877" t="s">
        <v>3237</v>
      </c>
      <c r="AT877" t="s">
        <v>3245</v>
      </c>
      <c r="AU877" t="s">
        <v>3246</v>
      </c>
      <c r="AV877" t="s">
        <v>3247</v>
      </c>
    </row>
    <row r="878" spans="1:51" x14ac:dyDescent="0.25">
      <c r="A878" t="s">
        <v>1158</v>
      </c>
      <c r="B878" t="s">
        <v>1171</v>
      </c>
      <c r="C878" t="s">
        <v>984</v>
      </c>
      <c r="D878" t="s">
        <v>10</v>
      </c>
      <c r="E878" t="s">
        <v>1172</v>
      </c>
      <c r="F878" t="s">
        <v>12</v>
      </c>
      <c r="G878" t="str">
        <f>HYPERLINK("https://vk.com/wall367451629_399")</f>
        <v>https://vk.com/wall367451629_399</v>
      </c>
      <c r="H878" t="s">
        <v>885</v>
      </c>
      <c r="I878" t="s">
        <v>1173</v>
      </c>
      <c r="J878" t="str">
        <f>HYPERLINK("http://vk.com/id367451629")</f>
        <v>http://vk.com/id367451629</v>
      </c>
      <c r="K878">
        <v>402</v>
      </c>
      <c r="L878" t="s">
        <v>15</v>
      </c>
      <c r="N878" t="s">
        <v>16</v>
      </c>
      <c r="O878" t="s">
        <v>1173</v>
      </c>
      <c r="P878" t="str">
        <f>HYPERLINK("http://vk.com/id367451629")</f>
        <v>http://vk.com/id367451629</v>
      </c>
      <c r="Q878">
        <v>402</v>
      </c>
      <c r="R878" t="s">
        <v>17</v>
      </c>
      <c r="S878" t="s">
        <v>18</v>
      </c>
      <c r="T878" t="s">
        <v>70</v>
      </c>
      <c r="U878" t="s">
        <v>71</v>
      </c>
      <c r="W878">
        <v>0</v>
      </c>
      <c r="X878">
        <v>0</v>
      </c>
      <c r="AE878">
        <v>0</v>
      </c>
      <c r="AF878">
        <v>0</v>
      </c>
      <c r="AG878">
        <v>14</v>
      </c>
      <c r="AI878" t="str">
        <f>HYPERLINK("https://sun9-18.userapi.com/c206628/v206628496/1753ef/0KWfRc5Uw64.jpg")</f>
        <v>https://sun9-18.userapi.com/c206628/v206628496/1753ef/0KWfRc5Uw64.jpg</v>
      </c>
      <c r="AJ878" t="s">
        <v>10</v>
      </c>
      <c r="AK878" t="s">
        <v>21</v>
      </c>
      <c r="AL878" t="s">
        <v>3237</v>
      </c>
      <c r="AT878" t="s">
        <v>3245</v>
      </c>
      <c r="AV878" t="s">
        <v>3247</v>
      </c>
    </row>
    <row r="879" spans="1:51" x14ac:dyDescent="0.25">
      <c r="A879" t="s">
        <v>1225</v>
      </c>
      <c r="B879" t="s">
        <v>1243</v>
      </c>
      <c r="C879" t="s">
        <v>984</v>
      </c>
      <c r="D879" t="s">
        <v>10</v>
      </c>
      <c r="E879" t="s">
        <v>1244</v>
      </c>
      <c r="F879" t="s">
        <v>45</v>
      </c>
      <c r="G879" t="str">
        <f>HYPERLINK("https://www.instagram.com/p/CDeQQaKjyYX")</f>
        <v>https://www.instagram.com/p/CDeQQaKjyYX</v>
      </c>
      <c r="H879" t="s">
        <v>885</v>
      </c>
      <c r="I879" t="s">
        <v>1241</v>
      </c>
      <c r="J879" t="str">
        <f>HYPERLINK("http://instagram.com/dr.jdinkha")</f>
        <v>http://instagram.com/dr.jdinkha</v>
      </c>
      <c r="K879">
        <v>13350</v>
      </c>
      <c r="N879" t="s">
        <v>69</v>
      </c>
      <c r="O879" t="s">
        <v>1241</v>
      </c>
      <c r="P879" t="str">
        <f>HYPERLINK("http://instagram.com/dr.jdinkha")</f>
        <v>http://instagram.com/dr.jdinkha</v>
      </c>
      <c r="Q879">
        <v>13350</v>
      </c>
      <c r="R879" t="s">
        <v>17</v>
      </c>
      <c r="S879" t="s">
        <v>1242</v>
      </c>
      <c r="AI879" t="str">
        <f>HYPERLINK("https://www.instagram.com/p/CDeQQaKjyYX/media/?size=l")</f>
        <v>https://www.instagram.com/p/CDeQQaKjyYX/media/?size=l</v>
      </c>
      <c r="AJ879" t="s">
        <v>10</v>
      </c>
      <c r="AK879" t="s">
        <v>21</v>
      </c>
      <c r="AL879" t="s">
        <v>3237</v>
      </c>
      <c r="AU879" t="s">
        <v>3246</v>
      </c>
      <c r="AV879" t="s">
        <v>3247</v>
      </c>
      <c r="AW879" t="s">
        <v>3248</v>
      </c>
      <c r="AX879" t="s">
        <v>3249</v>
      </c>
      <c r="AY879" t="s">
        <v>3250</v>
      </c>
    </row>
    <row r="880" spans="1:51" x14ac:dyDescent="0.25">
      <c r="A880" t="s">
        <v>1225</v>
      </c>
      <c r="B880" t="s">
        <v>1264</v>
      </c>
      <c r="C880" t="s">
        <v>984</v>
      </c>
      <c r="D880" t="s">
        <v>10</v>
      </c>
      <c r="E880" t="s">
        <v>1265</v>
      </c>
      <c r="F880" t="s">
        <v>45</v>
      </c>
      <c r="G880" t="str">
        <f>HYPERLINK("https://www.instagram.com/p/CDde8C5BBBr")</f>
        <v>https://www.instagram.com/p/CDde8C5BBBr</v>
      </c>
      <c r="H880" t="s">
        <v>885</v>
      </c>
      <c r="I880" t="s">
        <v>1145</v>
      </c>
      <c r="J880" t="str">
        <f>HYPERLINK("http://instagram.com/dr_kosmetolog_kursk")</f>
        <v>http://instagram.com/dr_kosmetolog_kursk</v>
      </c>
      <c r="K880">
        <v>1296</v>
      </c>
      <c r="N880" t="s">
        <v>69</v>
      </c>
      <c r="O880" t="s">
        <v>1145</v>
      </c>
      <c r="P880" t="str">
        <f>HYPERLINK("http://instagram.com/dr_kosmetolog_kursk")</f>
        <v>http://instagram.com/dr_kosmetolog_kursk</v>
      </c>
      <c r="Q880">
        <v>1296</v>
      </c>
      <c r="R880" t="s">
        <v>17</v>
      </c>
      <c r="S880" t="s">
        <v>18</v>
      </c>
      <c r="T880" t="s">
        <v>231</v>
      </c>
      <c r="U880" t="s">
        <v>1266</v>
      </c>
      <c r="W880">
        <v>8</v>
      </c>
      <c r="X880">
        <v>8</v>
      </c>
      <c r="AE880">
        <v>0</v>
      </c>
      <c r="AI880" t="str">
        <f>HYPERLINK("https://www.instagram.com/p/CDde8C5BBBr/media/?size=l")</f>
        <v>https://www.instagram.com/p/CDde8C5BBBr/media/?size=l</v>
      </c>
      <c r="AJ880" t="s">
        <v>10</v>
      </c>
      <c r="AK880" t="s">
        <v>21</v>
      </c>
      <c r="AL880" t="s">
        <v>3237</v>
      </c>
      <c r="AT880" t="s">
        <v>3245</v>
      </c>
      <c r="AW880" t="s">
        <v>3248</v>
      </c>
      <c r="AY880" t="s">
        <v>3250</v>
      </c>
    </row>
    <row r="881" spans="1:51" x14ac:dyDescent="0.25">
      <c r="A881" t="s">
        <v>1597</v>
      </c>
      <c r="B881" t="s">
        <v>835</v>
      </c>
      <c r="C881" t="s">
        <v>984</v>
      </c>
      <c r="D881" t="s">
        <v>10</v>
      </c>
      <c r="E881" t="s">
        <v>1607</v>
      </c>
      <c r="F881" t="s">
        <v>45</v>
      </c>
      <c r="G881" t="str">
        <f>HYPERLINK("https://www.facebook.com/groups/315724405441837/permalink/1221597314854537")</f>
        <v>https://www.facebook.com/groups/315724405441837/permalink/1221597314854537</v>
      </c>
      <c r="H881" t="s">
        <v>885</v>
      </c>
      <c r="I881" t="s">
        <v>1608</v>
      </c>
      <c r="J881" t="str">
        <f>HYPERLINK("https://www.facebook.com/100011071866813")</f>
        <v>https://www.facebook.com/100011071866813</v>
      </c>
      <c r="K881">
        <v>4424</v>
      </c>
      <c r="L881" t="s">
        <v>80</v>
      </c>
      <c r="N881" t="s">
        <v>179</v>
      </c>
      <c r="O881" t="s">
        <v>1609</v>
      </c>
      <c r="P881" t="str">
        <f>HYPERLINK("https://www.facebook.com/315724405441837")</f>
        <v>https://www.facebook.com/315724405441837</v>
      </c>
      <c r="Q881">
        <v>1420</v>
      </c>
      <c r="R881" t="s">
        <v>17</v>
      </c>
      <c r="S881" t="s">
        <v>18</v>
      </c>
      <c r="W881">
        <v>0</v>
      </c>
      <c r="X881">
        <v>0</v>
      </c>
      <c r="Y881">
        <v>0</v>
      </c>
      <c r="Z881">
        <v>0</v>
      </c>
      <c r="AA881">
        <v>0</v>
      </c>
      <c r="AB881">
        <v>0</v>
      </c>
      <c r="AC881">
        <v>0</v>
      </c>
      <c r="AE881">
        <v>0</v>
      </c>
      <c r="AJ881" t="s">
        <v>10</v>
      </c>
      <c r="AK881" t="s">
        <v>21</v>
      </c>
      <c r="AL881" t="s">
        <v>3237</v>
      </c>
      <c r="AU881" t="s">
        <v>3246</v>
      </c>
      <c r="AV881" t="s">
        <v>3247</v>
      </c>
      <c r="AY881" t="s">
        <v>3250</v>
      </c>
    </row>
    <row r="882" spans="1:51" x14ac:dyDescent="0.25">
      <c r="A882" t="s">
        <v>414</v>
      </c>
      <c r="B882" t="s">
        <v>415</v>
      </c>
      <c r="C882" t="s">
        <v>416</v>
      </c>
      <c r="D882" t="s">
        <v>24</v>
      </c>
      <c r="E882" t="s">
        <v>417</v>
      </c>
      <c r="F882" t="s">
        <v>26</v>
      </c>
      <c r="G882" t="str">
        <f>HYPERLINK("https://vk.com/wall-197114981_31?reply=1281&amp;thread=1280")</f>
        <v>https://vk.com/wall-197114981_31?reply=1281&amp;thread=1280</v>
      </c>
      <c r="H882" t="s">
        <v>13</v>
      </c>
      <c r="I882" t="s">
        <v>27</v>
      </c>
      <c r="J882" t="str">
        <f>HYPERLINK("http://vk.com/club197114981")</f>
        <v>http://vk.com/club197114981</v>
      </c>
      <c r="K882">
        <v>38</v>
      </c>
      <c r="L882" t="s">
        <v>28</v>
      </c>
      <c r="N882" t="s">
        <v>16</v>
      </c>
      <c r="O882" t="s">
        <v>27</v>
      </c>
      <c r="P882" t="str">
        <f>HYPERLINK("http://vk.com/club197114981")</f>
        <v>http://vk.com/club197114981</v>
      </c>
      <c r="Q882">
        <v>38</v>
      </c>
      <c r="R882" t="s">
        <v>17</v>
      </c>
      <c r="AJ882" t="s">
        <v>10</v>
      </c>
      <c r="AK882" t="s">
        <v>21</v>
      </c>
      <c r="AL882" t="s">
        <v>3237</v>
      </c>
      <c r="AY882" t="s">
        <v>3250</v>
      </c>
    </row>
    <row r="883" spans="1:51" x14ac:dyDescent="0.25">
      <c r="A883" t="s">
        <v>414</v>
      </c>
      <c r="B883" t="s">
        <v>539</v>
      </c>
      <c r="C883" t="s">
        <v>540</v>
      </c>
      <c r="D883" t="s">
        <v>541</v>
      </c>
      <c r="E883" t="s">
        <v>542</v>
      </c>
      <c r="F883" t="s">
        <v>26</v>
      </c>
      <c r="G883" t="str">
        <f>HYPERLINK("https://vk.com/wall-122820146_827281?reply=827317")</f>
        <v>https://vk.com/wall-122820146_827281?reply=827317</v>
      </c>
      <c r="H883" t="s">
        <v>13</v>
      </c>
      <c r="I883" t="s">
        <v>543</v>
      </c>
      <c r="J883" t="str">
        <f>HYPERLINK("http://vk.com/id66255416")</f>
        <v>http://vk.com/id66255416</v>
      </c>
      <c r="K883">
        <v>111</v>
      </c>
      <c r="L883" t="s">
        <v>80</v>
      </c>
      <c r="N883" t="s">
        <v>16</v>
      </c>
      <c r="O883" t="s">
        <v>544</v>
      </c>
      <c r="P883" t="str">
        <f>HYPERLINK("http://vk.com/club122820146")</f>
        <v>http://vk.com/club122820146</v>
      </c>
      <c r="Q883">
        <v>6663</v>
      </c>
      <c r="R883" t="s">
        <v>17</v>
      </c>
      <c r="S883" t="s">
        <v>18</v>
      </c>
      <c r="T883" t="s">
        <v>296</v>
      </c>
      <c r="U883" t="s">
        <v>545</v>
      </c>
      <c r="AJ883" t="s">
        <v>10</v>
      </c>
      <c r="AK883" t="s">
        <v>21</v>
      </c>
      <c r="AT883" t="s">
        <v>3245</v>
      </c>
      <c r="AX883" t="s">
        <v>3249</v>
      </c>
      <c r="AY883" t="s">
        <v>3250</v>
      </c>
    </row>
    <row r="884" spans="1:51" x14ac:dyDescent="0.25">
      <c r="A884" t="s">
        <v>1352</v>
      </c>
      <c r="B884" t="s">
        <v>1389</v>
      </c>
      <c r="C884" t="s">
        <v>1375</v>
      </c>
      <c r="D884" t="s">
        <v>1203</v>
      </c>
      <c r="E884" t="s">
        <v>1390</v>
      </c>
      <c r="F884" t="s">
        <v>45</v>
      </c>
      <c r="G884" t="str">
        <f>HYPERLINK("https://www.google.com/maps/reviews/data=!4m5!14m4!1m3!1m2!1s107428984663744118323!2s0x0:0x4f16bea49627273c?hl=en-NL")</f>
        <v>https://www.google.com/maps/reviews/data=!4m5!14m4!1m3!1m2!1s107428984663744118323!2s0x0:0x4f16bea49627273c?hl=en-NL</v>
      </c>
      <c r="H884" t="s">
        <v>13</v>
      </c>
      <c r="I884" t="s">
        <v>1391</v>
      </c>
      <c r="J884" t="str">
        <f>HYPERLINK("https://maps.google.com/maps/contrib/107428984663744118323")</f>
        <v>https://maps.google.com/maps/contrib/107428984663744118323</v>
      </c>
      <c r="L884" t="s">
        <v>15</v>
      </c>
      <c r="N884" t="s">
        <v>615</v>
      </c>
      <c r="O884" t="s">
        <v>1203</v>
      </c>
      <c r="P884" t="str">
        <f>HYPERLINK("https://maps.google.com/maps/place/data=!3m1!4b1!4m5!3m4!1s0x0:0x4f16bea49627273c!8m2!3d28.645680!4d77.134860")</f>
        <v>https://maps.google.com/maps/place/data=!3m1!4b1!4m5!3m4!1s0x0:0x4f16bea49627273c!8m2!3d28.645680!4d77.134860</v>
      </c>
      <c r="R884" t="s">
        <v>616</v>
      </c>
      <c r="S884" t="s">
        <v>1206</v>
      </c>
      <c r="T884" t="s">
        <v>1207</v>
      </c>
      <c r="U884" t="s">
        <v>1208</v>
      </c>
      <c r="W884">
        <v>1</v>
      </c>
      <c r="X884">
        <v>1</v>
      </c>
      <c r="AH884">
        <v>5</v>
      </c>
      <c r="AJ884" t="s">
        <v>10</v>
      </c>
      <c r="AK884" t="s">
        <v>21</v>
      </c>
      <c r="AV884" t="s">
        <v>3247</v>
      </c>
      <c r="AW884" t="s">
        <v>3248</v>
      </c>
      <c r="AY884" t="s">
        <v>3250</v>
      </c>
    </row>
    <row r="885" spans="1:51" x14ac:dyDescent="0.25">
      <c r="A885" t="s">
        <v>1930</v>
      </c>
      <c r="B885" t="s">
        <v>1957</v>
      </c>
      <c r="C885" t="s">
        <v>984</v>
      </c>
      <c r="D885" t="s">
        <v>10</v>
      </c>
      <c r="E885" t="s">
        <v>1896</v>
      </c>
      <c r="F885" t="s">
        <v>45</v>
      </c>
      <c r="G885" t="str">
        <f>HYPERLINK("https://www.facebook.com/expert.klinika.stavropol/photos/a.108004590782008/168912058024594/?type=3")</f>
        <v>https://www.facebook.com/expert.klinika.stavropol/photos/a.108004590782008/168912058024594/?type=3</v>
      </c>
      <c r="H885" t="s">
        <v>885</v>
      </c>
      <c r="I885" t="s">
        <v>640</v>
      </c>
      <c r="J885" t="str">
        <f>HYPERLINK("https://www.facebook.com/107325724183228")</f>
        <v>https://www.facebook.com/107325724183228</v>
      </c>
      <c r="K885">
        <v>1</v>
      </c>
      <c r="L885" t="s">
        <v>28</v>
      </c>
      <c r="N885" t="s">
        <v>179</v>
      </c>
      <c r="O885" t="s">
        <v>640</v>
      </c>
      <c r="P885" t="str">
        <f>HYPERLINK("https://www.facebook.com/107325724183228")</f>
        <v>https://www.facebook.com/107325724183228</v>
      </c>
      <c r="Q885">
        <v>1</v>
      </c>
      <c r="R885" t="s">
        <v>17</v>
      </c>
      <c r="S885" t="s">
        <v>18</v>
      </c>
      <c r="T885" t="s">
        <v>641</v>
      </c>
      <c r="U885" t="s">
        <v>642</v>
      </c>
      <c r="W885">
        <v>0</v>
      </c>
      <c r="X885">
        <v>0</v>
      </c>
      <c r="Y885">
        <v>0</v>
      </c>
      <c r="Z885">
        <v>0</v>
      </c>
      <c r="AA885">
        <v>0</v>
      </c>
      <c r="AB885">
        <v>0</v>
      </c>
      <c r="AC885">
        <v>0</v>
      </c>
      <c r="AE885">
        <v>0</v>
      </c>
      <c r="AI885" t="str">
        <f>HYPERLINK("https://scontent-hel2-1.xx.fbcdn.net/v/t1.0-0/p526x296/116341489_168912061357927_1950245950008831970_o.jpg?_nc_cat=109&amp;_nc_sid=9267fe&amp;_nc_ohc=_ri4Ggko_woAX_s26iL&amp;_nc_ht=scontent-hel2-1.xx&amp;_nc_tp=6&amp;oh=ee5d878ec3fc1bf4e71fcf050e6bbaa9&amp;oe=5F41B89A")</f>
        <v>https://scontent-hel2-1.xx.fbcdn.net/v/t1.0-0/p526x296/116341489_168912061357927_1950245950008831970_o.jpg?_nc_cat=109&amp;_nc_sid=9267fe&amp;_nc_ohc=_ri4Ggko_woAX_s26iL&amp;_nc_ht=scontent-hel2-1.xx&amp;_nc_tp=6&amp;oh=ee5d878ec3fc1bf4e71fcf050e6bbaa9&amp;oe=5F41B89A</v>
      </c>
      <c r="AJ885" t="s">
        <v>10</v>
      </c>
      <c r="AK885" t="s">
        <v>21</v>
      </c>
      <c r="AV885" t="s">
        <v>3247</v>
      </c>
      <c r="AX885" t="s">
        <v>3249</v>
      </c>
      <c r="AY885" t="s">
        <v>3250</v>
      </c>
    </row>
    <row r="886" spans="1:51" x14ac:dyDescent="0.25">
      <c r="A886" t="s">
        <v>2057</v>
      </c>
      <c r="B886" t="s">
        <v>2114</v>
      </c>
      <c r="C886" t="s">
        <v>968</v>
      </c>
      <c r="D886" t="s">
        <v>10</v>
      </c>
      <c r="E886" t="s">
        <v>1959</v>
      </c>
      <c r="F886" t="s">
        <v>45</v>
      </c>
      <c r="G886" t="str">
        <f>HYPERLINK("https://www.facebook.com/permalink.php?story_fbid=2626249161024079&amp;id=100009170625998")</f>
        <v>https://www.facebook.com/permalink.php?story_fbid=2626249161024079&amp;id=100009170625998</v>
      </c>
      <c r="H886" t="s">
        <v>885</v>
      </c>
      <c r="I886" t="s">
        <v>1961</v>
      </c>
      <c r="J886" t="str">
        <f>HYPERLINK("https://www.facebook.com/100009170625998")</f>
        <v>https://www.facebook.com/100009170625998</v>
      </c>
      <c r="K886">
        <v>759</v>
      </c>
      <c r="L886" t="s">
        <v>80</v>
      </c>
      <c r="N886" t="s">
        <v>179</v>
      </c>
      <c r="O886" t="s">
        <v>1961</v>
      </c>
      <c r="P886" t="str">
        <f>HYPERLINK("https://www.facebook.com/100009170625998")</f>
        <v>https://www.facebook.com/100009170625998</v>
      </c>
      <c r="Q886">
        <v>759</v>
      </c>
      <c r="R886" t="s">
        <v>17</v>
      </c>
      <c r="S886" t="s">
        <v>18</v>
      </c>
      <c r="T886" t="s">
        <v>354</v>
      </c>
      <c r="U886" t="s">
        <v>354</v>
      </c>
      <c r="W886">
        <v>69</v>
      </c>
      <c r="X886">
        <v>65</v>
      </c>
      <c r="Y886">
        <v>4</v>
      </c>
      <c r="Z886">
        <v>0</v>
      </c>
      <c r="AA886">
        <v>0</v>
      </c>
      <c r="AB886">
        <v>0</v>
      </c>
      <c r="AC886">
        <v>0</v>
      </c>
      <c r="AE886">
        <v>18</v>
      </c>
      <c r="AI886" t="str">
        <f>HYPERLINK("https://scontent-hel2-1.xx.fbcdn.net/v/t1.0-9/85013449_2800244333375359_4089484215039557632_n.jpg?_nc_cat=100&amp;_nc_sid=09cbfe&amp;_nc_ohc=NheFE3bQqOYAX8EP014&amp;_nc_ht=scontent-hel2-1.xx&amp;oh=71eb09bf2095084bcbc526c222493601&amp;oe=5F421BB7")</f>
        <v>https://scontent-hel2-1.xx.fbcdn.net/v/t1.0-9/85013449_2800244333375359_4089484215039557632_n.jpg?_nc_cat=100&amp;_nc_sid=09cbfe&amp;_nc_ohc=NheFE3bQqOYAX8EP014&amp;_nc_ht=scontent-hel2-1.xx&amp;oh=71eb09bf2095084bcbc526c222493601&amp;oe=5F421BB7</v>
      </c>
      <c r="AJ886" t="s">
        <v>10</v>
      </c>
      <c r="AK886" t="s">
        <v>21</v>
      </c>
      <c r="AL886" t="s">
        <v>3237</v>
      </c>
      <c r="AY886" t="s">
        <v>3250</v>
      </c>
    </row>
    <row r="887" spans="1:51" x14ac:dyDescent="0.25">
      <c r="A887" t="s">
        <v>1277</v>
      </c>
      <c r="B887" t="s">
        <v>1283</v>
      </c>
      <c r="C887" t="s">
        <v>984</v>
      </c>
      <c r="D887" t="s">
        <v>10</v>
      </c>
      <c r="E887" t="s">
        <v>1286</v>
      </c>
      <c r="F887" t="s">
        <v>45</v>
      </c>
      <c r="G887" t="str">
        <f>HYPERLINK("https://www.instagram.com/p/CDb5oGrBtrN")</f>
        <v>https://www.instagram.com/p/CDb5oGrBtrN</v>
      </c>
      <c r="H887" t="s">
        <v>885</v>
      </c>
      <c r="I887" t="s">
        <v>1285</v>
      </c>
      <c r="J887" t="str">
        <f>HYPERLINK("http://instagram.com/theprojectkuwait")</f>
        <v>http://instagram.com/theprojectkuwait</v>
      </c>
      <c r="K887">
        <v>5037</v>
      </c>
      <c r="N887" t="s">
        <v>69</v>
      </c>
      <c r="O887" t="s">
        <v>1285</v>
      </c>
      <c r="P887" t="str">
        <f>HYPERLINK("http://instagram.com/theprojectkuwait")</f>
        <v>http://instagram.com/theprojectkuwait</v>
      </c>
      <c r="Q887">
        <v>5037</v>
      </c>
      <c r="R887" t="s">
        <v>17</v>
      </c>
      <c r="S887" t="s">
        <v>1242</v>
      </c>
      <c r="T887" t="s">
        <v>1287</v>
      </c>
      <c r="U887" t="s">
        <v>1242</v>
      </c>
      <c r="W887">
        <v>21</v>
      </c>
      <c r="X887">
        <v>21</v>
      </c>
      <c r="AE887">
        <v>0</v>
      </c>
      <c r="AI887" t="str">
        <f>HYPERLINK("https://www.instagram.com/p/CDb5oGrBtrN/media/?size=l")</f>
        <v>https://www.instagram.com/p/CDb5oGrBtrN/media/?size=l</v>
      </c>
      <c r="AJ887" t="s">
        <v>10</v>
      </c>
      <c r="AK887" t="s">
        <v>21</v>
      </c>
      <c r="AY887" t="s">
        <v>3250</v>
      </c>
    </row>
    <row r="888" spans="1:51" x14ac:dyDescent="0.25">
      <c r="A888" t="s">
        <v>1352</v>
      </c>
      <c r="B888" t="s">
        <v>1414</v>
      </c>
      <c r="C888" t="s">
        <v>984</v>
      </c>
      <c r="D888" t="s">
        <v>1415</v>
      </c>
      <c r="E888" t="s">
        <v>1416</v>
      </c>
      <c r="F888" t="s">
        <v>45</v>
      </c>
      <c r="G888" t="str">
        <f>HYPERLINK("https://www.youtube.com/watch?v=_aLggG7c6MI")</f>
        <v>https://www.youtube.com/watch?v=_aLggG7c6MI</v>
      </c>
      <c r="H888" t="s">
        <v>885</v>
      </c>
      <c r="I888" t="s">
        <v>1417</v>
      </c>
      <c r="J888" t="str">
        <f>HYPERLINK("https://www.youtube.com/channel/UCgWzxf09OkFTERutHdZTQdg")</f>
        <v>https://www.youtube.com/channel/UCgWzxf09OkFTERutHdZTQdg</v>
      </c>
      <c r="K888">
        <v>224</v>
      </c>
      <c r="N888" t="s">
        <v>162</v>
      </c>
      <c r="O888" t="s">
        <v>1417</v>
      </c>
      <c r="P888" t="str">
        <f>HYPERLINK("https://www.youtube.com/channel/UCgWzxf09OkFTERutHdZTQdg")</f>
        <v>https://www.youtube.com/channel/UCgWzxf09OkFTERutHdZTQdg</v>
      </c>
      <c r="Q888">
        <v>224</v>
      </c>
      <c r="R888" t="s">
        <v>17</v>
      </c>
      <c r="W888">
        <v>1</v>
      </c>
      <c r="X888">
        <v>1</v>
      </c>
      <c r="AD888">
        <v>0</v>
      </c>
      <c r="AE888">
        <v>0</v>
      </c>
      <c r="AG888">
        <v>12</v>
      </c>
      <c r="AI888" t="str">
        <f>HYPERLINK("https://i.ytimg.com/vi/_aLggG7c6MI/maxresdefault.jpg")</f>
        <v>https://i.ytimg.com/vi/_aLggG7c6MI/maxresdefault.jpg</v>
      </c>
      <c r="AJ888" t="s">
        <v>10</v>
      </c>
      <c r="AK888" t="s">
        <v>21</v>
      </c>
      <c r="AM888" t="s">
        <v>3238</v>
      </c>
      <c r="AY888" t="s">
        <v>3250</v>
      </c>
    </row>
    <row r="889" spans="1:51" x14ac:dyDescent="0.25">
      <c r="A889" t="s">
        <v>1352</v>
      </c>
      <c r="B889" t="s">
        <v>1418</v>
      </c>
      <c r="C889" t="s">
        <v>984</v>
      </c>
      <c r="D889" t="s">
        <v>421</v>
      </c>
      <c r="E889" t="s">
        <v>1419</v>
      </c>
      <c r="F889" t="s">
        <v>26</v>
      </c>
      <c r="G889" t="str">
        <f>HYPERLINK("https://www.youtube.com/watch?v=gaka1vqYFNs&amp;lc=UgwS97PP14LdCSRDiBV4AaABAg")</f>
        <v>https://www.youtube.com/watch?v=gaka1vqYFNs&amp;lc=UgwS97PP14LdCSRDiBV4AaABAg</v>
      </c>
      <c r="H889" t="s">
        <v>885</v>
      </c>
      <c r="I889" t="s">
        <v>1420</v>
      </c>
      <c r="J889" t="str">
        <f>HYPERLINK("https://www.youtube.com/channel/UCuzPxgsY5RKzxYQdaMID7xg")</f>
        <v>https://www.youtube.com/channel/UCuzPxgsY5RKzxYQdaMID7xg</v>
      </c>
      <c r="K889">
        <v>0</v>
      </c>
      <c r="N889" t="s">
        <v>162</v>
      </c>
      <c r="O889" t="s">
        <v>424</v>
      </c>
      <c r="P889" t="str">
        <f>HYPERLINK("https://www.youtube.com/channel/UC8fQzKHIhSoZeSq3bwQx4mw")</f>
        <v>https://www.youtube.com/channel/UC8fQzKHIhSoZeSq3bwQx4mw</v>
      </c>
      <c r="Q889">
        <v>517000</v>
      </c>
      <c r="R889" t="s">
        <v>17</v>
      </c>
      <c r="S889" t="s">
        <v>425</v>
      </c>
      <c r="W889">
        <v>1</v>
      </c>
      <c r="X889">
        <v>1</v>
      </c>
      <c r="AE889">
        <v>0</v>
      </c>
      <c r="AJ889" t="s">
        <v>10</v>
      </c>
      <c r="AK889" t="s">
        <v>21</v>
      </c>
      <c r="AM889" t="s">
        <v>3238</v>
      </c>
      <c r="AY889" t="s">
        <v>3250</v>
      </c>
    </row>
    <row r="890" spans="1:51" x14ac:dyDescent="0.25">
      <c r="A890" t="s">
        <v>1462</v>
      </c>
      <c r="B890" t="s">
        <v>1506</v>
      </c>
      <c r="C890" t="s">
        <v>984</v>
      </c>
      <c r="D890" t="s">
        <v>10</v>
      </c>
      <c r="E890" t="s">
        <v>1487</v>
      </c>
      <c r="F890" t="s">
        <v>12</v>
      </c>
      <c r="G890" t="str">
        <f>HYPERLINK("https://www.facebook.com/permalink.php?story_fbid=1391753761019160&amp;id=100005536488847")</f>
        <v>https://www.facebook.com/permalink.php?story_fbid=1391753761019160&amp;id=100005536488847</v>
      </c>
      <c r="H890" t="s">
        <v>889</v>
      </c>
      <c r="I890" t="s">
        <v>1354</v>
      </c>
      <c r="J890" t="str">
        <f>HYPERLINK("https://www.facebook.com/100005536488847")</f>
        <v>https://www.facebook.com/100005536488847</v>
      </c>
      <c r="K890">
        <v>320</v>
      </c>
      <c r="L890" t="s">
        <v>80</v>
      </c>
      <c r="N890" t="s">
        <v>179</v>
      </c>
      <c r="O890" t="s">
        <v>1354</v>
      </c>
      <c r="P890" t="str">
        <f>HYPERLINK("https://www.facebook.com/100005536488847")</f>
        <v>https://www.facebook.com/100005536488847</v>
      </c>
      <c r="Q890">
        <v>320</v>
      </c>
      <c r="R890" t="s">
        <v>17</v>
      </c>
      <c r="W890">
        <v>4</v>
      </c>
      <c r="X890">
        <v>4</v>
      </c>
      <c r="Y890">
        <v>0</v>
      </c>
      <c r="Z890">
        <v>0</v>
      </c>
      <c r="AA890">
        <v>0</v>
      </c>
      <c r="AB890">
        <v>0</v>
      </c>
      <c r="AC890">
        <v>0</v>
      </c>
      <c r="AE890">
        <v>0</v>
      </c>
      <c r="AI890" t="str">
        <f>HYPERLINK("https://scontent-hel2-1.xx.fbcdn.net/v/t1.0-9/s960x960/116580080_3229936993739422_7168008555214612237_o.jpg?_nc_cat=104&amp;_nc_sid=730e14&amp;_nc_ohc=VCAYeXMTu2kAX__wtbA&amp;_nc_ht=scontent-hel2-1.xx&amp;_nc_tp=7&amp;oh=eac57c0868c00926d9a0f86c19d16f34&amp;oe=5F4D3E42")</f>
        <v>https://scontent-hel2-1.xx.fbcdn.net/v/t1.0-9/s960x960/116580080_3229936993739422_7168008555214612237_o.jpg?_nc_cat=104&amp;_nc_sid=730e14&amp;_nc_ohc=VCAYeXMTu2kAX__wtbA&amp;_nc_ht=scontent-hel2-1.xx&amp;_nc_tp=7&amp;oh=eac57c0868c00926d9a0f86c19d16f34&amp;oe=5F4D3E42</v>
      </c>
      <c r="AJ890" t="s">
        <v>10</v>
      </c>
      <c r="AK890" t="s">
        <v>21</v>
      </c>
      <c r="AM890" t="s">
        <v>3238</v>
      </c>
      <c r="AY890" t="s">
        <v>3250</v>
      </c>
    </row>
    <row r="891" spans="1:51" x14ac:dyDescent="0.25">
      <c r="A891" t="s">
        <v>1597</v>
      </c>
      <c r="B891" t="s">
        <v>1671</v>
      </c>
      <c r="C891" t="s">
        <v>984</v>
      </c>
      <c r="D891" t="s">
        <v>10</v>
      </c>
      <c r="E891" t="s">
        <v>1672</v>
      </c>
      <c r="F891" t="s">
        <v>45</v>
      </c>
      <c r="G891" t="str">
        <f>HYPERLINK("https://www.facebook.com/straysworthsaving/posts/327268595346708")</f>
        <v>https://www.facebook.com/straysworthsaving/posts/327268595346708</v>
      </c>
      <c r="H891" t="s">
        <v>885</v>
      </c>
      <c r="I891" t="s">
        <v>1529</v>
      </c>
      <c r="J891" t="str">
        <f>HYPERLINK("https://www.facebook.com/103683861038517")</f>
        <v>https://www.facebook.com/103683861038517</v>
      </c>
      <c r="K891">
        <v>21459</v>
      </c>
      <c r="L891" t="s">
        <v>28</v>
      </c>
      <c r="N891" t="s">
        <v>179</v>
      </c>
      <c r="O891" t="s">
        <v>1529</v>
      </c>
      <c r="P891" t="str">
        <f>HYPERLINK("https://www.facebook.com/103683861038517")</f>
        <v>https://www.facebook.com/103683861038517</v>
      </c>
      <c r="Q891">
        <v>21459</v>
      </c>
      <c r="R891" t="s">
        <v>17</v>
      </c>
      <c r="S891" t="s">
        <v>1530</v>
      </c>
      <c r="T891" t="s">
        <v>1531</v>
      </c>
      <c r="U891" t="s">
        <v>1532</v>
      </c>
      <c r="W891">
        <v>210</v>
      </c>
      <c r="X891">
        <v>76</v>
      </c>
      <c r="Y891">
        <v>11</v>
      </c>
      <c r="Z891">
        <v>0</v>
      </c>
      <c r="AA891">
        <v>0</v>
      </c>
      <c r="AB891">
        <v>123</v>
      </c>
      <c r="AC891">
        <v>0</v>
      </c>
      <c r="AE891">
        <v>10</v>
      </c>
      <c r="AF891">
        <v>38</v>
      </c>
      <c r="AI891" t="str">
        <f>HYPERLINK("https://scontent-hel2-1.xx.fbcdn.net/v/t1.0-9/116463461_327266748680226_2180164099770469710_n.jpg?_nc_cat=100&amp;_nc_sid=730e14&amp;_nc_ohc=4ryNiNR5144AX8505Uk&amp;_nc_ht=scontent-hel2-1.xx&amp;oh=0555c32761ff81ae25f1f22ac76cfd69&amp;oe=5F480B63")</f>
        <v>https://scontent-hel2-1.xx.fbcdn.net/v/t1.0-9/116463461_327266748680226_2180164099770469710_n.jpg?_nc_cat=100&amp;_nc_sid=730e14&amp;_nc_ohc=4ryNiNR5144AX8505Uk&amp;_nc_ht=scontent-hel2-1.xx&amp;oh=0555c32761ff81ae25f1f22ac76cfd69&amp;oe=5F480B63</v>
      </c>
      <c r="AJ891" t="s">
        <v>10</v>
      </c>
      <c r="AK891" t="s">
        <v>21</v>
      </c>
      <c r="AL891" t="s">
        <v>3237</v>
      </c>
      <c r="AY891" t="s">
        <v>3250</v>
      </c>
    </row>
    <row r="892" spans="1:51" x14ac:dyDescent="0.25">
      <c r="A892" t="s">
        <v>1838</v>
      </c>
      <c r="B892" t="s">
        <v>1889</v>
      </c>
      <c r="C892" t="s">
        <v>984</v>
      </c>
      <c r="D892" t="s">
        <v>1890</v>
      </c>
      <c r="E892" t="s">
        <v>1891</v>
      </c>
      <c r="F892" t="s">
        <v>26</v>
      </c>
      <c r="G892" t="str">
        <f>HYPERLINK("https://vk.com/wall-106670753_947369?reply=947531")</f>
        <v>https://vk.com/wall-106670753_947369?reply=947531</v>
      </c>
      <c r="H892" t="s">
        <v>885</v>
      </c>
      <c r="I892" t="s">
        <v>1892</v>
      </c>
      <c r="J892" t="str">
        <f>HYPERLINK("http://vk.com/id46740912")</f>
        <v>http://vk.com/id46740912</v>
      </c>
      <c r="K892">
        <v>675</v>
      </c>
      <c r="L892" t="s">
        <v>80</v>
      </c>
      <c r="N892" t="s">
        <v>16</v>
      </c>
      <c r="O892" t="s">
        <v>1893</v>
      </c>
      <c r="P892" t="str">
        <f>HYPERLINK("http://vk.com/club106670753")</f>
        <v>http://vk.com/club106670753</v>
      </c>
      <c r="Q892">
        <v>8425</v>
      </c>
      <c r="R892" t="s">
        <v>17</v>
      </c>
      <c r="S892" t="s">
        <v>18</v>
      </c>
      <c r="T892" t="s">
        <v>1562</v>
      </c>
      <c r="U892" t="s">
        <v>1894</v>
      </c>
      <c r="AJ892" t="s">
        <v>10</v>
      </c>
      <c r="AK892" t="s">
        <v>21</v>
      </c>
      <c r="AL892" t="s">
        <v>3237</v>
      </c>
      <c r="AY892" t="s">
        <v>3250</v>
      </c>
    </row>
    <row r="893" spans="1:51" x14ac:dyDescent="0.25">
      <c r="A893" t="s">
        <v>1838</v>
      </c>
      <c r="B893" t="s">
        <v>1773</v>
      </c>
      <c r="C893" t="s">
        <v>984</v>
      </c>
      <c r="D893" t="s">
        <v>1905</v>
      </c>
      <c r="E893" t="s">
        <v>1906</v>
      </c>
      <c r="F893" t="s">
        <v>26</v>
      </c>
      <c r="G893" t="str">
        <f>HYPERLINK("https://telegram.me/sportmytischi/31783")</f>
        <v>https://telegram.me/sportmytischi/31783</v>
      </c>
      <c r="H893" t="s">
        <v>889</v>
      </c>
      <c r="I893" t="s">
        <v>1907</v>
      </c>
      <c r="J893" t="str">
        <f>HYPERLINK("https://telegram.me/wallettino")</f>
        <v>https://telegram.me/wallettino</v>
      </c>
      <c r="L893" t="s">
        <v>15</v>
      </c>
      <c r="N893" t="s">
        <v>877</v>
      </c>
      <c r="O893" t="s">
        <v>1901</v>
      </c>
      <c r="P893" t="str">
        <f>HYPERLINK("https://telegram.me/sportmytischi")</f>
        <v>https://telegram.me/sportmytischi</v>
      </c>
      <c r="Q893">
        <v>101</v>
      </c>
      <c r="R893" t="s">
        <v>878</v>
      </c>
      <c r="AJ893" t="s">
        <v>10</v>
      </c>
      <c r="AK893" t="s">
        <v>21</v>
      </c>
      <c r="AL893" t="s">
        <v>3237</v>
      </c>
      <c r="AY893" t="s">
        <v>3250</v>
      </c>
    </row>
    <row r="894" spans="1:51" x14ac:dyDescent="0.25">
      <c r="A894" t="s">
        <v>1982</v>
      </c>
      <c r="B894" t="s">
        <v>1994</v>
      </c>
      <c r="C894" t="s">
        <v>968</v>
      </c>
      <c r="D894" t="s">
        <v>1995</v>
      </c>
      <c r="E894" t="s">
        <v>1996</v>
      </c>
      <c r="F894" t="s">
        <v>45</v>
      </c>
      <c r="G894" t="str">
        <f>HYPERLINK("http://httpsherbsandhealthcozapr98528.isblog.net/everything-about-https-herbsandhealth-co-za-products-erectile-dysfunction-pills-south-africa-13084166")</f>
        <v>http://httpsherbsandhealthcozapr98528.isblog.net/everything-about-https-herbsandhealth-co-za-products-erectile-dysfunction-pills-south-africa-13084166</v>
      </c>
      <c r="H894" t="s">
        <v>885</v>
      </c>
      <c r="N894" t="s">
        <v>1997</v>
      </c>
      <c r="R894" t="s">
        <v>966</v>
      </c>
      <c r="S894" t="s">
        <v>425</v>
      </c>
      <c r="AJ894" t="s">
        <v>10</v>
      </c>
      <c r="AK894" t="s">
        <v>21</v>
      </c>
      <c r="AY894" t="s">
        <v>3250</v>
      </c>
    </row>
    <row r="895" spans="1:51" x14ac:dyDescent="0.25">
      <c r="A895" t="s">
        <v>1982</v>
      </c>
      <c r="B895" t="s">
        <v>637</v>
      </c>
      <c r="C895" t="s">
        <v>968</v>
      </c>
      <c r="D895" t="s">
        <v>10</v>
      </c>
      <c r="E895" t="s">
        <v>2030</v>
      </c>
      <c r="F895" t="s">
        <v>45</v>
      </c>
      <c r="G895" t="str">
        <f>HYPERLINK("https://www.facebook.com/mriexpert/photos/a.902990326434112/3215059098560545/?type=3")</f>
        <v>https://www.facebook.com/mriexpert/photos/a.902990326434112/3215059098560545/?type=3</v>
      </c>
      <c r="H895" t="s">
        <v>885</v>
      </c>
      <c r="I895" t="s">
        <v>46</v>
      </c>
      <c r="J895" t="str">
        <f>HYPERLINK("https://www.facebook.com/902980129768465")</f>
        <v>https://www.facebook.com/902980129768465</v>
      </c>
      <c r="K895">
        <v>1509</v>
      </c>
      <c r="L895" t="s">
        <v>28</v>
      </c>
      <c r="N895" t="s">
        <v>179</v>
      </c>
      <c r="O895" t="s">
        <v>46</v>
      </c>
      <c r="P895" t="str">
        <f>HYPERLINK("https://www.facebook.com/902980129768465")</f>
        <v>https://www.facebook.com/902980129768465</v>
      </c>
      <c r="Q895">
        <v>1509</v>
      </c>
      <c r="R895" t="s">
        <v>17</v>
      </c>
      <c r="W895">
        <v>0</v>
      </c>
      <c r="X895">
        <v>0</v>
      </c>
      <c r="Y895">
        <v>0</v>
      </c>
      <c r="Z895">
        <v>0</v>
      </c>
      <c r="AA895">
        <v>0</v>
      </c>
      <c r="AB895">
        <v>0</v>
      </c>
      <c r="AC895">
        <v>0</v>
      </c>
      <c r="AE895">
        <v>0</v>
      </c>
      <c r="AI895" t="str">
        <f>HYPERLINK("https://scontent-hel2-1.xx.fbcdn.net/v/t1.0-9/s960x960/116262928_3215059105227211_2883339141220873695_o.jpg?_nc_cat=111&amp;_nc_sid=9267fe&amp;_nc_ohc=uAk48JHmWXIAX_FK7D0&amp;_nc_ht=scontent-hel2-1.xx&amp;_nc_tp=7&amp;oh=74021e4e5758783e8299c3a807011a5a&amp;oe=5F44BEE0")</f>
        <v>https://scontent-hel2-1.xx.fbcdn.net/v/t1.0-9/s960x960/116262928_3215059105227211_2883339141220873695_o.jpg?_nc_cat=111&amp;_nc_sid=9267fe&amp;_nc_ohc=uAk48JHmWXIAX_FK7D0&amp;_nc_ht=scontent-hel2-1.xx&amp;_nc_tp=7&amp;oh=74021e4e5758783e8299c3a807011a5a&amp;oe=5F44BEE0</v>
      </c>
      <c r="AJ895" t="s">
        <v>10</v>
      </c>
      <c r="AK895" t="s">
        <v>21</v>
      </c>
      <c r="AY895" t="s">
        <v>3250</v>
      </c>
    </row>
    <row r="896" spans="1:51" x14ac:dyDescent="0.25">
      <c r="A896" t="s">
        <v>2057</v>
      </c>
      <c r="B896" t="s">
        <v>128</v>
      </c>
      <c r="C896" t="s">
        <v>968</v>
      </c>
      <c r="D896" t="s">
        <v>10</v>
      </c>
      <c r="E896" t="s">
        <v>2102</v>
      </c>
      <c r="F896" t="s">
        <v>45</v>
      </c>
      <c r="G896" t="str">
        <f>HYPERLINK("https://www.facebook.com/mrtexpertrnd/posts/780442996033332")</f>
        <v>https://www.facebook.com/mrtexpertrnd/posts/780442996033332</v>
      </c>
      <c r="H896" t="s">
        <v>889</v>
      </c>
      <c r="I896" t="s">
        <v>125</v>
      </c>
      <c r="J896" t="str">
        <f>HYPERLINK("https://www.facebook.com/156600068417631")</f>
        <v>https://www.facebook.com/156600068417631</v>
      </c>
      <c r="K896">
        <v>236</v>
      </c>
      <c r="L896" t="s">
        <v>28</v>
      </c>
      <c r="N896" t="s">
        <v>179</v>
      </c>
      <c r="O896" t="s">
        <v>125</v>
      </c>
      <c r="P896" t="str">
        <f>HYPERLINK("https://www.facebook.com/156600068417631")</f>
        <v>https://www.facebook.com/156600068417631</v>
      </c>
      <c r="Q896">
        <v>236</v>
      </c>
      <c r="R896" t="s">
        <v>17</v>
      </c>
      <c r="S896" t="s">
        <v>18</v>
      </c>
      <c r="T896" t="s">
        <v>126</v>
      </c>
      <c r="U896" t="s">
        <v>127</v>
      </c>
      <c r="W896">
        <v>0</v>
      </c>
      <c r="X896">
        <v>0</v>
      </c>
      <c r="Y896">
        <v>0</v>
      </c>
      <c r="Z896">
        <v>0</v>
      </c>
      <c r="AA896">
        <v>0</v>
      </c>
      <c r="AB896">
        <v>0</v>
      </c>
      <c r="AC896">
        <v>0</v>
      </c>
      <c r="AE896">
        <v>0</v>
      </c>
      <c r="AI896" t="str">
        <f>HYPERLINK("https://scontent-hel2-1.xx.fbcdn.net/v/t1.0-9/111726843_780442836033348_2769548014362040258_o.jpg?_nc_cat=108&amp;_nc_sid=730e14&amp;_nc_ohc=K9MtJlg_LfIAX8SDYfO&amp;_nc_ht=scontent-hel2-1.xx&amp;oh=52158fa531f63c0b9b1dba208fb18eb0&amp;oe=5F3F8FFA")</f>
        <v>https://scontent-hel2-1.xx.fbcdn.net/v/t1.0-9/111726843_780442836033348_2769548014362040258_o.jpg?_nc_cat=108&amp;_nc_sid=730e14&amp;_nc_ohc=K9MtJlg_LfIAX8SDYfO&amp;_nc_ht=scontent-hel2-1.xx&amp;oh=52158fa531f63c0b9b1dba208fb18eb0&amp;oe=5F3F8FFA</v>
      </c>
      <c r="AJ896" t="s">
        <v>10</v>
      </c>
      <c r="AK896" t="s">
        <v>21</v>
      </c>
      <c r="AY896" t="s">
        <v>3250</v>
      </c>
    </row>
    <row r="897" spans="1:52" x14ac:dyDescent="0.25">
      <c r="A897" t="s">
        <v>2290</v>
      </c>
      <c r="B897" t="s">
        <v>2310</v>
      </c>
      <c r="C897" t="s">
        <v>968</v>
      </c>
      <c r="D897" t="s">
        <v>2311</v>
      </c>
      <c r="E897" t="s">
        <v>2312</v>
      </c>
      <c r="F897" t="s">
        <v>26</v>
      </c>
      <c r="G897" t="str">
        <f>HYPERLINK("https://vk.com/wall-121026450_24624?reply=24627")</f>
        <v>https://vk.com/wall-121026450_24624?reply=24627</v>
      </c>
      <c r="H897" t="s">
        <v>885</v>
      </c>
      <c r="I897" t="s">
        <v>2309</v>
      </c>
      <c r="J897" t="str">
        <f>HYPERLINK("http://vk.com/id14737732")</f>
        <v>http://vk.com/id14737732</v>
      </c>
      <c r="K897">
        <v>1091</v>
      </c>
      <c r="L897" t="s">
        <v>80</v>
      </c>
      <c r="N897" t="s">
        <v>16</v>
      </c>
      <c r="O897" t="s">
        <v>1822</v>
      </c>
      <c r="P897" t="str">
        <f>HYPERLINK("http://vk.com/club121026450")</f>
        <v>http://vk.com/club121026450</v>
      </c>
      <c r="Q897">
        <v>11822</v>
      </c>
      <c r="R897" t="s">
        <v>17</v>
      </c>
      <c r="AJ897" t="s">
        <v>10</v>
      </c>
      <c r="AK897" t="s">
        <v>21</v>
      </c>
      <c r="AY897" t="s">
        <v>3250</v>
      </c>
    </row>
    <row r="898" spans="1:52" x14ac:dyDescent="0.25">
      <c r="A898" t="s">
        <v>7</v>
      </c>
      <c r="B898" t="s">
        <v>200</v>
      </c>
      <c r="C898" t="s">
        <v>201</v>
      </c>
      <c r="D898" t="s">
        <v>10</v>
      </c>
      <c r="E898" t="s">
        <v>168</v>
      </c>
      <c r="F898" t="s">
        <v>45</v>
      </c>
      <c r="G898" t="str">
        <f>HYPERLINK("https://vk.com/wall230925279_4435")</f>
        <v>https://vk.com/wall230925279_4435</v>
      </c>
      <c r="H898" t="s">
        <v>13</v>
      </c>
      <c r="I898" t="s">
        <v>202</v>
      </c>
      <c r="J898" t="str">
        <f>HYPERLINK("http://vk.com/id230925279")</f>
        <v>http://vk.com/id230925279</v>
      </c>
      <c r="K898">
        <v>1471</v>
      </c>
      <c r="L898" t="s">
        <v>80</v>
      </c>
      <c r="M898">
        <v>89</v>
      </c>
      <c r="N898" t="s">
        <v>16</v>
      </c>
      <c r="O898" t="s">
        <v>202</v>
      </c>
      <c r="P898" t="str">
        <f>HYPERLINK("http://vk.com/id230925279")</f>
        <v>http://vk.com/id230925279</v>
      </c>
      <c r="Q898">
        <v>1471</v>
      </c>
      <c r="R898" t="s">
        <v>17</v>
      </c>
      <c r="S898" t="s">
        <v>18</v>
      </c>
      <c r="T898" t="s">
        <v>19</v>
      </c>
      <c r="U898" t="s">
        <v>203</v>
      </c>
      <c r="W898">
        <v>0</v>
      </c>
      <c r="X898">
        <v>0</v>
      </c>
      <c r="AE898">
        <v>0</v>
      </c>
      <c r="AF898">
        <v>0</v>
      </c>
      <c r="AG898">
        <v>163</v>
      </c>
      <c r="AI898" t="str">
        <f>HYPERLINK("https://sun9-60.userapi.com/c858024/v858024360/21c9b4/j1dfXwEg08s.jpg")</f>
        <v>https://sun9-60.userapi.com/c858024/v858024360/21c9b4/j1dfXwEg08s.jpg</v>
      </c>
      <c r="AJ898" t="s">
        <v>10</v>
      </c>
      <c r="AK898" t="s">
        <v>21</v>
      </c>
      <c r="AM898" t="s">
        <v>3238</v>
      </c>
    </row>
    <row r="899" spans="1:52" x14ac:dyDescent="0.25">
      <c r="A899" t="s">
        <v>7</v>
      </c>
      <c r="B899" t="s">
        <v>349</v>
      </c>
      <c r="C899" t="s">
        <v>350</v>
      </c>
      <c r="D899" t="s">
        <v>24</v>
      </c>
      <c r="E899" t="s">
        <v>351</v>
      </c>
      <c r="F899" t="s">
        <v>26</v>
      </c>
      <c r="G899" t="str">
        <f>HYPERLINK("https://vk.com/wall-197114981_31?reply=1318&amp;thread=1317")</f>
        <v>https://vk.com/wall-197114981_31?reply=1318&amp;thread=1317</v>
      </c>
      <c r="H899" t="s">
        <v>13</v>
      </c>
      <c r="I899" t="s">
        <v>27</v>
      </c>
      <c r="J899" t="str">
        <f>HYPERLINK("http://vk.com/club197114981")</f>
        <v>http://vk.com/club197114981</v>
      </c>
      <c r="K899">
        <v>38</v>
      </c>
      <c r="L899" t="s">
        <v>28</v>
      </c>
      <c r="N899" t="s">
        <v>16</v>
      </c>
      <c r="O899" t="s">
        <v>27</v>
      </c>
      <c r="P899" t="str">
        <f>HYPERLINK("http://vk.com/club197114981")</f>
        <v>http://vk.com/club197114981</v>
      </c>
      <c r="Q899">
        <v>38</v>
      </c>
      <c r="R899" t="s">
        <v>17</v>
      </c>
      <c r="AJ899" t="s">
        <v>10</v>
      </c>
      <c r="AK899" t="s">
        <v>21</v>
      </c>
      <c r="AW899" t="s">
        <v>3248</v>
      </c>
      <c r="AX899" t="s">
        <v>3249</v>
      </c>
      <c r="AY899" t="s">
        <v>3250</v>
      </c>
    </row>
    <row r="900" spans="1:52" x14ac:dyDescent="0.25">
      <c r="A900" t="s">
        <v>414</v>
      </c>
      <c r="B900" t="s">
        <v>580</v>
      </c>
      <c r="C900" t="s">
        <v>581</v>
      </c>
      <c r="D900" t="s">
        <v>24</v>
      </c>
      <c r="E900" t="s">
        <v>564</v>
      </c>
      <c r="F900" t="s">
        <v>26</v>
      </c>
      <c r="G900" t="str">
        <f>HYPERLINK("https://vk.com/wall-197114981_31?reply=1226&amp;thread=1217")</f>
        <v>https://vk.com/wall-197114981_31?reply=1226&amp;thread=1217</v>
      </c>
      <c r="H900" t="s">
        <v>13</v>
      </c>
      <c r="I900" t="s">
        <v>27</v>
      </c>
      <c r="J900" t="str">
        <f>HYPERLINK("http://vk.com/club197114981")</f>
        <v>http://vk.com/club197114981</v>
      </c>
      <c r="K900">
        <v>38</v>
      </c>
      <c r="L900" t="s">
        <v>28</v>
      </c>
      <c r="N900" t="s">
        <v>16</v>
      </c>
      <c r="O900" t="s">
        <v>27</v>
      </c>
      <c r="P900" t="str">
        <f>HYPERLINK("http://vk.com/club197114981")</f>
        <v>http://vk.com/club197114981</v>
      </c>
      <c r="Q900">
        <v>38</v>
      </c>
      <c r="R900" t="s">
        <v>17</v>
      </c>
      <c r="AJ900" t="s">
        <v>10</v>
      </c>
      <c r="AK900" t="s">
        <v>21</v>
      </c>
      <c r="AT900" t="s">
        <v>3245</v>
      </c>
      <c r="AW900" t="s">
        <v>3248</v>
      </c>
      <c r="AY900" t="s">
        <v>3250</v>
      </c>
    </row>
    <row r="901" spans="1:52" x14ac:dyDescent="0.25">
      <c r="A901" t="s">
        <v>1982</v>
      </c>
      <c r="B901" t="s">
        <v>2014</v>
      </c>
      <c r="C901" t="s">
        <v>968</v>
      </c>
      <c r="D901" t="s">
        <v>2007</v>
      </c>
      <c r="E901" t="s">
        <v>2015</v>
      </c>
      <c r="F901" t="s">
        <v>26</v>
      </c>
      <c r="G901" t="str">
        <f>HYPERLINK("https://vk.com/wall-60510194_2879576?reply=2879617&amp;thread=2879609")</f>
        <v>https://vk.com/wall-60510194_2879576?reply=2879617&amp;thread=2879609</v>
      </c>
      <c r="H901" t="s">
        <v>889</v>
      </c>
      <c r="I901" t="s">
        <v>2016</v>
      </c>
      <c r="J901" t="str">
        <f>HYPERLINK("http://vk.com/id553693715")</f>
        <v>http://vk.com/id553693715</v>
      </c>
      <c r="K901">
        <v>32</v>
      </c>
      <c r="L901" t="s">
        <v>80</v>
      </c>
      <c r="M901">
        <v>55</v>
      </c>
      <c r="N901" t="s">
        <v>16</v>
      </c>
      <c r="O901" t="s">
        <v>2010</v>
      </c>
      <c r="P901" t="str">
        <f>HYPERLINK("http://vk.com/club60510194")</f>
        <v>http://vk.com/club60510194</v>
      </c>
      <c r="Q901">
        <v>88096</v>
      </c>
      <c r="R901" t="s">
        <v>17</v>
      </c>
      <c r="AJ901" t="s">
        <v>10</v>
      </c>
      <c r="AK901" t="s">
        <v>21</v>
      </c>
      <c r="AT901" t="s">
        <v>3245</v>
      </c>
      <c r="AW901" t="s">
        <v>3248</v>
      </c>
      <c r="AY901" t="s">
        <v>3250</v>
      </c>
    </row>
    <row r="902" spans="1:52" x14ac:dyDescent="0.25">
      <c r="A902" t="s">
        <v>2057</v>
      </c>
      <c r="B902" t="s">
        <v>2006</v>
      </c>
      <c r="C902" t="s">
        <v>968</v>
      </c>
      <c r="D902" t="s">
        <v>10</v>
      </c>
      <c r="E902" t="s">
        <v>2072</v>
      </c>
      <c r="F902" t="s">
        <v>45</v>
      </c>
      <c r="G902" t="str">
        <f>HYPERLINK("https://vk.com/wall-48669646_10211")</f>
        <v>https://vk.com/wall-48669646_10211</v>
      </c>
      <c r="H902" t="s">
        <v>885</v>
      </c>
      <c r="I902" t="s">
        <v>46</v>
      </c>
      <c r="J902" t="str">
        <f>HYPERLINK("http://vk.com/club48669646")</f>
        <v>http://vk.com/club48669646</v>
      </c>
      <c r="K902">
        <v>5795</v>
      </c>
      <c r="L902" t="s">
        <v>28</v>
      </c>
      <c r="N902" t="s">
        <v>16</v>
      </c>
      <c r="O902" t="s">
        <v>46</v>
      </c>
      <c r="P902" t="str">
        <f>HYPERLINK("http://vk.com/club48669646")</f>
        <v>http://vk.com/club48669646</v>
      </c>
      <c r="Q902">
        <v>5795</v>
      </c>
      <c r="R902" t="s">
        <v>17</v>
      </c>
      <c r="S902" t="s">
        <v>18</v>
      </c>
      <c r="W902">
        <v>0</v>
      </c>
      <c r="X902">
        <v>0</v>
      </c>
      <c r="AE902">
        <v>0</v>
      </c>
      <c r="AF902">
        <v>0</v>
      </c>
      <c r="AG902">
        <v>334</v>
      </c>
      <c r="AI902" t="str">
        <f>HYPERLINK("https://sun9-27.userapi.com/lNeknzUFgGU4K8Z6_5YpByJZuHOLGWP1UIWaDg/rW7_mR1fw_E.jpg")</f>
        <v>https://sun9-27.userapi.com/lNeknzUFgGU4K8Z6_5YpByJZuHOLGWP1UIWaDg/rW7_mR1fw_E.jpg</v>
      </c>
      <c r="AJ902" t="s">
        <v>10</v>
      </c>
      <c r="AK902" t="s">
        <v>21</v>
      </c>
      <c r="AT902" t="s">
        <v>3245</v>
      </c>
      <c r="AX902" t="s">
        <v>3249</v>
      </c>
      <c r="AY902" t="s">
        <v>3250</v>
      </c>
    </row>
    <row r="903" spans="1:52" x14ac:dyDescent="0.25">
      <c r="A903" t="s">
        <v>2057</v>
      </c>
      <c r="B903" t="s">
        <v>559</v>
      </c>
      <c r="C903" t="s">
        <v>968</v>
      </c>
      <c r="D903" t="s">
        <v>10</v>
      </c>
      <c r="E903" t="s">
        <v>2085</v>
      </c>
      <c r="F903" t="s">
        <v>45</v>
      </c>
      <c r="G903" t="str">
        <f>HYPERLINK("https://www.facebook.com/mriexpert/posts/3212646105468511")</f>
        <v>https://www.facebook.com/mriexpert/posts/3212646105468511</v>
      </c>
      <c r="H903" t="s">
        <v>885</v>
      </c>
      <c r="I903" t="s">
        <v>46</v>
      </c>
      <c r="J903" t="str">
        <f>HYPERLINK("https://www.facebook.com/902980129768465")</f>
        <v>https://www.facebook.com/902980129768465</v>
      </c>
      <c r="K903">
        <v>1509</v>
      </c>
      <c r="L903" t="s">
        <v>28</v>
      </c>
      <c r="N903" t="s">
        <v>179</v>
      </c>
      <c r="O903" t="s">
        <v>46</v>
      </c>
      <c r="P903" t="str">
        <f>HYPERLINK("https://www.facebook.com/902980129768465")</f>
        <v>https://www.facebook.com/902980129768465</v>
      </c>
      <c r="Q903">
        <v>1509</v>
      </c>
      <c r="R903" t="s">
        <v>17</v>
      </c>
      <c r="W903">
        <v>3</v>
      </c>
      <c r="X903">
        <v>3</v>
      </c>
      <c r="Y903">
        <v>0</v>
      </c>
      <c r="Z903">
        <v>0</v>
      </c>
      <c r="AA903">
        <v>0</v>
      </c>
      <c r="AB903">
        <v>0</v>
      </c>
      <c r="AC903">
        <v>0</v>
      </c>
      <c r="AE903">
        <v>0</v>
      </c>
      <c r="AI903" t="str">
        <f>HYPERLINK("https://scontent-hel2-1.xx.fbcdn.net/v/t1.0-9/s960x960/116098865_3212645942135194_7981259842176961475_o.jpg?_nc_cat=105&amp;_nc_sid=730e14&amp;_nc_ohc=2ghgjvRJQQcAX-DwjEd&amp;_nc_ht=scontent-hel2-1.xx&amp;_nc_tp=7&amp;oh=2ae1d36da009af84ad5ef177663c0d94&amp;oe=5F4360D4")</f>
        <v>https://scontent-hel2-1.xx.fbcdn.net/v/t1.0-9/s960x960/116098865_3212645942135194_7981259842176961475_o.jpg?_nc_cat=105&amp;_nc_sid=730e14&amp;_nc_ohc=2ghgjvRJQQcAX-DwjEd&amp;_nc_ht=scontent-hel2-1.xx&amp;_nc_tp=7&amp;oh=2ae1d36da009af84ad5ef177663c0d94&amp;oe=5F4360D4</v>
      </c>
      <c r="AJ903" t="s">
        <v>10</v>
      </c>
      <c r="AK903" t="s">
        <v>21</v>
      </c>
      <c r="AV903" t="s">
        <v>3247</v>
      </c>
    </row>
    <row r="904" spans="1:52" x14ac:dyDescent="0.25">
      <c r="A904" t="s">
        <v>2057</v>
      </c>
      <c r="B904" t="s">
        <v>2092</v>
      </c>
      <c r="C904" t="s">
        <v>968</v>
      </c>
      <c r="D904" t="s">
        <v>1341</v>
      </c>
      <c r="E904" t="s">
        <v>2093</v>
      </c>
      <c r="F904" t="s">
        <v>26</v>
      </c>
      <c r="G904" t="str">
        <f>HYPERLINK("https://www.youtube.com/watch?v=bqdhre76Jdo&amp;lc=Ugw1DRrsm7-97ziPnaF4AaABAg")</f>
        <v>https://www.youtube.com/watch?v=bqdhre76Jdo&amp;lc=Ugw1DRrsm7-97ziPnaF4AaABAg</v>
      </c>
      <c r="H904" t="s">
        <v>885</v>
      </c>
      <c r="I904" t="s">
        <v>2094</v>
      </c>
      <c r="J904" t="str">
        <f>HYPERLINK("https://www.youtube.com/channel/UCxzmzzFC0Tu3e-ps7dMg7xg")</f>
        <v>https://www.youtube.com/channel/UCxzmzzFC0Tu3e-ps7dMg7xg</v>
      </c>
      <c r="K904">
        <v>0</v>
      </c>
      <c r="N904" t="s">
        <v>162</v>
      </c>
      <c r="O904" t="s">
        <v>424</v>
      </c>
      <c r="P904" t="str">
        <f>HYPERLINK("https://www.youtube.com/channel/UC8fQzKHIhSoZeSq3bwQx4mw")</f>
        <v>https://www.youtube.com/channel/UC8fQzKHIhSoZeSq3bwQx4mw</v>
      </c>
      <c r="Q904">
        <v>517000</v>
      </c>
      <c r="R904" t="s">
        <v>17</v>
      </c>
      <c r="S904" t="s">
        <v>425</v>
      </c>
      <c r="W904">
        <v>0</v>
      </c>
      <c r="X904">
        <v>0</v>
      </c>
      <c r="AE904">
        <v>0</v>
      </c>
      <c r="AJ904" t="s">
        <v>10</v>
      </c>
      <c r="AK904" t="s">
        <v>21</v>
      </c>
      <c r="AW904" t="s">
        <v>3248</v>
      </c>
      <c r="AX904" t="s">
        <v>3249</v>
      </c>
    </row>
    <row r="905" spans="1:52" x14ac:dyDescent="0.25">
      <c r="A905" t="s">
        <v>2767</v>
      </c>
      <c r="B905" t="s">
        <v>1267</v>
      </c>
      <c r="C905" t="s">
        <v>968</v>
      </c>
      <c r="D905" t="s">
        <v>2843</v>
      </c>
      <c r="E905" t="s">
        <v>2844</v>
      </c>
      <c r="F905" t="s">
        <v>26</v>
      </c>
      <c r="G905" t="str">
        <f>HYPERLINK("https://vk.com/wall-125331076_750537?reply=752291")</f>
        <v>https://vk.com/wall-125331076_750537?reply=752291</v>
      </c>
      <c r="H905" t="s">
        <v>885</v>
      </c>
      <c r="I905" t="s">
        <v>2309</v>
      </c>
      <c r="J905" t="str">
        <f>HYPERLINK("http://vk.com/id14737732")</f>
        <v>http://vk.com/id14737732</v>
      </c>
      <c r="K905">
        <v>1091</v>
      </c>
      <c r="L905" t="s">
        <v>80</v>
      </c>
      <c r="N905" t="s">
        <v>16</v>
      </c>
      <c r="O905" t="s">
        <v>1154</v>
      </c>
      <c r="P905" t="str">
        <f>HYPERLINK("http://vk.com/club125331076")</f>
        <v>http://vk.com/club125331076</v>
      </c>
      <c r="Q905">
        <v>38231</v>
      </c>
      <c r="R905" t="s">
        <v>17</v>
      </c>
      <c r="AJ905" t="s">
        <v>10</v>
      </c>
      <c r="AK905" t="s">
        <v>21</v>
      </c>
      <c r="AM905" t="s">
        <v>3238</v>
      </c>
      <c r="AN905" t="s">
        <v>3239</v>
      </c>
      <c r="AO905" t="s">
        <v>3240</v>
      </c>
    </row>
    <row r="906" spans="1:52" x14ac:dyDescent="0.25">
      <c r="A906" t="s">
        <v>2767</v>
      </c>
      <c r="B906" t="s">
        <v>706</v>
      </c>
      <c r="C906" t="s">
        <v>968</v>
      </c>
      <c r="D906" t="s">
        <v>10</v>
      </c>
      <c r="E906" t="s">
        <v>2857</v>
      </c>
      <c r="F906" t="s">
        <v>45</v>
      </c>
      <c r="G906" t="str">
        <f>HYPERLINK("https://www.facebook.com/mriexpert/photos/a.902990326434112/3180709758662146/?type=3")</f>
        <v>https://www.facebook.com/mriexpert/photos/a.902990326434112/3180709758662146/?type=3</v>
      </c>
      <c r="H906" t="s">
        <v>885</v>
      </c>
      <c r="I906" t="s">
        <v>46</v>
      </c>
      <c r="J906" t="str">
        <f>HYPERLINK("https://www.facebook.com/902980129768465")</f>
        <v>https://www.facebook.com/902980129768465</v>
      </c>
      <c r="K906">
        <v>1509</v>
      </c>
      <c r="L906" t="s">
        <v>28</v>
      </c>
      <c r="N906" t="s">
        <v>179</v>
      </c>
      <c r="O906" t="s">
        <v>46</v>
      </c>
      <c r="P906" t="str">
        <f>HYPERLINK("https://www.facebook.com/902980129768465")</f>
        <v>https://www.facebook.com/902980129768465</v>
      </c>
      <c r="Q906">
        <v>1509</v>
      </c>
      <c r="R906" t="s">
        <v>17</v>
      </c>
      <c r="W906">
        <v>2</v>
      </c>
      <c r="X906">
        <v>2</v>
      </c>
      <c r="Y906">
        <v>0</v>
      </c>
      <c r="Z906">
        <v>0</v>
      </c>
      <c r="AA906">
        <v>0</v>
      </c>
      <c r="AB906">
        <v>0</v>
      </c>
      <c r="AC906">
        <v>0</v>
      </c>
      <c r="AE906">
        <v>0</v>
      </c>
      <c r="AI906" t="str">
        <f>HYPERLINK("https://scontent-hel2-1.xx.fbcdn.net/v/t1.0-9/s960x960/107985881_3180709771995478_3976906434149253970_o.jpg?_nc_cat=105&amp;_nc_sid=9267fe&amp;_nc_ohc=CRdNOZ8f5ToAX8DH4e3&amp;_nc_ht=scontent-hel2-1.xx&amp;_nc_tp=7&amp;oh=e9feffa2c3dbc32a8ef14f73b6820901&amp;oe=5F32B477")</f>
        <v>https://scontent-hel2-1.xx.fbcdn.net/v/t1.0-9/s960x960/107985881_3180709771995478_3976906434149253970_o.jpg?_nc_cat=105&amp;_nc_sid=9267fe&amp;_nc_ohc=CRdNOZ8f5ToAX8DH4e3&amp;_nc_ht=scontent-hel2-1.xx&amp;_nc_tp=7&amp;oh=e9feffa2c3dbc32a8ef14f73b6820901&amp;oe=5F32B477</v>
      </c>
      <c r="AJ906" t="s">
        <v>10</v>
      </c>
      <c r="AK906" t="s">
        <v>21</v>
      </c>
    </row>
    <row r="907" spans="1:52" x14ac:dyDescent="0.25">
      <c r="A907" t="s">
        <v>2865</v>
      </c>
      <c r="B907" t="s">
        <v>1201</v>
      </c>
      <c r="C907" t="s">
        <v>968</v>
      </c>
      <c r="D907" t="s">
        <v>10</v>
      </c>
      <c r="E907" t="s">
        <v>2883</v>
      </c>
      <c r="F907" t="s">
        <v>45</v>
      </c>
      <c r="G907" t="str">
        <f>HYPERLINK("https://www.facebook.com/mriexpert/photos/a.902990326434112/3177681322298323/?type=3")</f>
        <v>https://www.facebook.com/mriexpert/photos/a.902990326434112/3177681322298323/?type=3</v>
      </c>
      <c r="H907" t="s">
        <v>885</v>
      </c>
      <c r="I907" t="s">
        <v>46</v>
      </c>
      <c r="J907" t="str">
        <f>HYPERLINK("https://www.facebook.com/902980129768465")</f>
        <v>https://www.facebook.com/902980129768465</v>
      </c>
      <c r="K907">
        <v>1509</v>
      </c>
      <c r="L907" t="s">
        <v>28</v>
      </c>
      <c r="N907" t="s">
        <v>179</v>
      </c>
      <c r="O907" t="s">
        <v>46</v>
      </c>
      <c r="P907" t="str">
        <f>HYPERLINK("https://www.facebook.com/902980129768465")</f>
        <v>https://www.facebook.com/902980129768465</v>
      </c>
      <c r="Q907">
        <v>1509</v>
      </c>
      <c r="R907" t="s">
        <v>17</v>
      </c>
      <c r="W907">
        <v>4</v>
      </c>
      <c r="X907">
        <v>4</v>
      </c>
      <c r="Y907">
        <v>0</v>
      </c>
      <c r="Z907">
        <v>0</v>
      </c>
      <c r="AA907">
        <v>0</v>
      </c>
      <c r="AB907">
        <v>0</v>
      </c>
      <c r="AC907">
        <v>0</v>
      </c>
      <c r="AE907">
        <v>0</v>
      </c>
      <c r="AI907" t="str">
        <f>HYPERLINK("https://scontent-hel2-1.xx.fbcdn.net/v/t1.0-9/s960x960/107931677_3177681328964989_6215165504143736370_o.jpg?_nc_cat=107&amp;_nc_sid=9267fe&amp;_nc_ohc=dY_eY8DBRmYAX-JH9OT&amp;_nc_ht=scontent-hel2-1.xx&amp;_nc_tp=7&amp;oh=85fbbadf25107006dadcca116aaceef4&amp;oe=5F2E9ABC")</f>
        <v>https://scontent-hel2-1.xx.fbcdn.net/v/t1.0-9/s960x960/107931677_3177681328964989_6215165504143736370_o.jpg?_nc_cat=107&amp;_nc_sid=9267fe&amp;_nc_ohc=dY_eY8DBRmYAX-JH9OT&amp;_nc_ht=scontent-hel2-1.xx&amp;_nc_tp=7&amp;oh=85fbbadf25107006dadcca116aaceef4&amp;oe=5F2E9ABC</v>
      </c>
      <c r="AJ907" t="s">
        <v>10</v>
      </c>
      <c r="AK907" t="s">
        <v>21</v>
      </c>
      <c r="AU907" t="s">
        <v>3246</v>
      </c>
    </row>
    <row r="908" spans="1:52" x14ac:dyDescent="0.25">
      <c r="A908" t="s">
        <v>2978</v>
      </c>
      <c r="B908" t="s">
        <v>1093</v>
      </c>
      <c r="C908" t="s">
        <v>968</v>
      </c>
      <c r="D908" t="s">
        <v>10</v>
      </c>
      <c r="E908" t="s">
        <v>3005</v>
      </c>
      <c r="F908" t="s">
        <v>45</v>
      </c>
      <c r="G908" t="str">
        <f>HYPERLINK("https://vk.com/wall-48669646_10148")</f>
        <v>https://vk.com/wall-48669646_10148</v>
      </c>
      <c r="H908" t="s">
        <v>885</v>
      </c>
      <c r="I908" t="s">
        <v>46</v>
      </c>
      <c r="J908" t="str">
        <f>HYPERLINK("http://vk.com/club48669646")</f>
        <v>http://vk.com/club48669646</v>
      </c>
      <c r="K908">
        <v>5795</v>
      </c>
      <c r="L908" t="s">
        <v>28</v>
      </c>
      <c r="N908" t="s">
        <v>16</v>
      </c>
      <c r="O908" t="s">
        <v>46</v>
      </c>
      <c r="P908" t="str">
        <f>HYPERLINK("http://vk.com/club48669646")</f>
        <v>http://vk.com/club48669646</v>
      </c>
      <c r="Q908">
        <v>5795</v>
      </c>
      <c r="R908" t="s">
        <v>17</v>
      </c>
      <c r="S908" t="s">
        <v>18</v>
      </c>
      <c r="W908">
        <v>1</v>
      </c>
      <c r="X908">
        <v>1</v>
      </c>
      <c r="AE908">
        <v>0</v>
      </c>
      <c r="AF908">
        <v>0</v>
      </c>
      <c r="AG908">
        <v>305</v>
      </c>
      <c r="AI908" t="str">
        <f>HYPERLINK("https://sun1-91.userapi.com/DcwkbSkmWmU0tTD9A-8K1jkvpO4so7ywRhipnw/7lgkRzGNCF0.jpg")</f>
        <v>https://sun1-91.userapi.com/DcwkbSkmWmU0tTD9A-8K1jkvpO4so7ywRhipnw/7lgkRzGNCF0.jpg</v>
      </c>
      <c r="AJ908" t="s">
        <v>10</v>
      </c>
      <c r="AK908" t="s">
        <v>21</v>
      </c>
      <c r="AN908" t="s">
        <v>3239</v>
      </c>
      <c r="AT908" t="s">
        <v>3245</v>
      </c>
      <c r="AU908" t="s">
        <v>3246</v>
      </c>
      <c r="AZ908" t="s">
        <v>3251</v>
      </c>
    </row>
    <row r="909" spans="1:52" x14ac:dyDescent="0.25">
      <c r="A909" t="s">
        <v>2978</v>
      </c>
      <c r="B909" t="s">
        <v>637</v>
      </c>
      <c r="C909" t="s">
        <v>968</v>
      </c>
      <c r="D909" t="s">
        <v>10</v>
      </c>
      <c r="E909" t="s">
        <v>3008</v>
      </c>
      <c r="F909" t="s">
        <v>45</v>
      </c>
      <c r="G909" t="str">
        <f>HYPERLINK("https://www.facebook.com/expert.klinika.stavropol/photos/a.108004590782008/164421828473617/?type=3")</f>
        <v>https://www.facebook.com/expert.klinika.stavropol/photos/a.108004590782008/164421828473617/?type=3</v>
      </c>
      <c r="H909" t="s">
        <v>885</v>
      </c>
      <c r="I909" t="s">
        <v>640</v>
      </c>
      <c r="J909" t="str">
        <f>HYPERLINK("https://www.facebook.com/107325724183228")</f>
        <v>https://www.facebook.com/107325724183228</v>
      </c>
      <c r="K909">
        <v>1</v>
      </c>
      <c r="L909" t="s">
        <v>28</v>
      </c>
      <c r="N909" t="s">
        <v>179</v>
      </c>
      <c r="O909" t="s">
        <v>640</v>
      </c>
      <c r="P909" t="str">
        <f>HYPERLINK("https://www.facebook.com/107325724183228")</f>
        <v>https://www.facebook.com/107325724183228</v>
      </c>
      <c r="Q909">
        <v>1</v>
      </c>
      <c r="R909" t="s">
        <v>17</v>
      </c>
      <c r="S909" t="s">
        <v>18</v>
      </c>
      <c r="T909" t="s">
        <v>641</v>
      </c>
      <c r="U909" t="s">
        <v>642</v>
      </c>
      <c r="W909">
        <v>0</v>
      </c>
      <c r="X909">
        <v>0</v>
      </c>
      <c r="Y909">
        <v>0</v>
      </c>
      <c r="Z909">
        <v>0</v>
      </c>
      <c r="AA909">
        <v>0</v>
      </c>
      <c r="AB909">
        <v>0</v>
      </c>
      <c r="AC909">
        <v>0</v>
      </c>
      <c r="AE909">
        <v>0</v>
      </c>
      <c r="AI909" t="str">
        <f>HYPERLINK("https://scontent-hel2-1.xx.fbcdn.net/v/t1.0-0/p526x296/107511495_164421831806950_2345212929001001263_n.jpg?_nc_cat=106&amp;_nc_sid=9267fe&amp;_nc_ohc=NS8f210zksoAX8uCpEf&amp;_nc_ht=scontent-hel2-1.xx&amp;_nc_tp=6&amp;oh=8ee9df9729e5c352263bc167a856c815&amp;oe=5F2DB49F")</f>
        <v>https://scontent-hel2-1.xx.fbcdn.net/v/t1.0-0/p526x296/107511495_164421831806950_2345212929001001263_n.jpg?_nc_cat=106&amp;_nc_sid=9267fe&amp;_nc_ohc=NS8f210zksoAX8uCpEf&amp;_nc_ht=scontent-hel2-1.xx&amp;_nc_tp=6&amp;oh=8ee9df9729e5c352263bc167a856c815&amp;oe=5F2DB49F</v>
      </c>
      <c r="AJ909" t="s">
        <v>10</v>
      </c>
      <c r="AK909" t="s">
        <v>21</v>
      </c>
      <c r="AN909" t="s">
        <v>3239</v>
      </c>
      <c r="AO909" t="s">
        <v>3240</v>
      </c>
      <c r="AZ909" t="s">
        <v>3251</v>
      </c>
    </row>
    <row r="910" spans="1:52" x14ac:dyDescent="0.25">
      <c r="A910" t="s">
        <v>3100</v>
      </c>
      <c r="B910" t="s">
        <v>2391</v>
      </c>
      <c r="C910" t="s">
        <v>968</v>
      </c>
      <c r="D910" t="s">
        <v>10</v>
      </c>
      <c r="E910" t="s">
        <v>3123</v>
      </c>
      <c r="F910" t="s">
        <v>45</v>
      </c>
      <c r="G910" t="str">
        <f>HYPERLINK("https://www.instagram.com/p/CCYnhEjKYUM")</f>
        <v>https://www.instagram.com/p/CCYnhEjKYUM</v>
      </c>
      <c r="H910" t="s">
        <v>885</v>
      </c>
      <c r="I910" t="s">
        <v>3124</v>
      </c>
      <c r="J910" t="str">
        <f>HYPERLINK("http://instagram.com/gallerybuksir")</f>
        <v>http://instagram.com/gallerybuksir</v>
      </c>
      <c r="K910">
        <v>1716</v>
      </c>
      <c r="N910" t="s">
        <v>69</v>
      </c>
      <c r="O910" t="s">
        <v>3124</v>
      </c>
      <c r="P910" t="str">
        <f>HYPERLINK("http://instagram.com/gallerybuksir")</f>
        <v>http://instagram.com/gallerybuksir</v>
      </c>
      <c r="Q910">
        <v>1716</v>
      </c>
      <c r="R910" t="s">
        <v>17</v>
      </c>
      <c r="S910" t="s">
        <v>18</v>
      </c>
      <c r="T910" t="s">
        <v>1015</v>
      </c>
      <c r="U910" t="s">
        <v>1016</v>
      </c>
      <c r="AI910" t="str">
        <f>HYPERLINK("https://www.instagram.com/p/CCYnhEjKYUM/media/?size=l")</f>
        <v>https://www.instagram.com/p/CCYnhEjKYUM/media/?size=l</v>
      </c>
      <c r="AJ910" t="s">
        <v>10</v>
      </c>
      <c r="AK910" t="s">
        <v>21</v>
      </c>
      <c r="AN910" t="s">
        <v>3239</v>
      </c>
      <c r="AO910" t="s">
        <v>3240</v>
      </c>
      <c r="AW910" t="s">
        <v>3248</v>
      </c>
      <c r="AX910" t="s">
        <v>3249</v>
      </c>
      <c r="AZ910" t="s">
        <v>3251</v>
      </c>
    </row>
    <row r="911" spans="1:52" x14ac:dyDescent="0.25">
      <c r="A911" t="s">
        <v>3100</v>
      </c>
      <c r="B911" t="s">
        <v>3128</v>
      </c>
      <c r="C911" t="s">
        <v>968</v>
      </c>
      <c r="D911" t="s">
        <v>10</v>
      </c>
      <c r="E911" t="s">
        <v>3129</v>
      </c>
      <c r="F911" t="s">
        <v>12</v>
      </c>
      <c r="G911" t="str">
        <f>HYPERLINK("https://www.facebook.com/shatalovadaria/posts/3091028777646343")</f>
        <v>https://www.facebook.com/shatalovadaria/posts/3091028777646343</v>
      </c>
      <c r="H911" t="s">
        <v>885</v>
      </c>
      <c r="I911" t="s">
        <v>731</v>
      </c>
      <c r="J911" t="str">
        <f>HYPERLINK("https://www.facebook.com/100002177524691")</f>
        <v>https://www.facebook.com/100002177524691</v>
      </c>
      <c r="K911">
        <v>0</v>
      </c>
      <c r="L911" t="s">
        <v>80</v>
      </c>
      <c r="N911" t="s">
        <v>179</v>
      </c>
      <c r="O911" t="s">
        <v>731</v>
      </c>
      <c r="P911" t="str">
        <f>HYPERLINK("https://www.facebook.com/100002177524691")</f>
        <v>https://www.facebook.com/100002177524691</v>
      </c>
      <c r="Q911">
        <v>0</v>
      </c>
      <c r="R911" t="s">
        <v>17</v>
      </c>
      <c r="S911" t="s">
        <v>18</v>
      </c>
      <c r="T911" t="s">
        <v>126</v>
      </c>
      <c r="U911" t="s">
        <v>127</v>
      </c>
      <c r="W911">
        <v>1</v>
      </c>
      <c r="X911">
        <v>1</v>
      </c>
      <c r="Y911">
        <v>0</v>
      </c>
      <c r="Z911">
        <v>0</v>
      </c>
      <c r="AA911">
        <v>0</v>
      </c>
      <c r="AB911">
        <v>0</v>
      </c>
      <c r="AC911">
        <v>0</v>
      </c>
      <c r="AE911">
        <v>0</v>
      </c>
      <c r="AI911" t="str">
        <f>HYPERLINK("https://scontent-hel2-1.xx.fbcdn.net/v/t1.0-9/s960x960/107612057_3162224313844024_3495965639254122937_o.jpg?_nc_cat=105&amp;_nc_sid=9267fe&amp;_nc_ohc=7a3Q0c9kPTsAX-MNztW&amp;_nc_ht=scontent-hel2-1.xx&amp;_nc_tp=7&amp;oh=1237b43429e0a2f96325f4f0d3b8de91&amp;oe=5F2D2612")</f>
        <v>https://scontent-hel2-1.xx.fbcdn.net/v/t1.0-9/s960x960/107612057_3162224313844024_3495965639254122937_o.jpg?_nc_cat=105&amp;_nc_sid=9267fe&amp;_nc_ohc=7a3Q0c9kPTsAX-MNztW&amp;_nc_ht=scontent-hel2-1.xx&amp;_nc_tp=7&amp;oh=1237b43429e0a2f96325f4f0d3b8de91&amp;oe=5F2D2612</v>
      </c>
      <c r="AJ911" t="s">
        <v>10</v>
      </c>
      <c r="AK911" t="s">
        <v>21</v>
      </c>
      <c r="AM911" t="s">
        <v>3238</v>
      </c>
      <c r="AT911" t="s">
        <v>3245</v>
      </c>
      <c r="AZ911" t="s">
        <v>3251</v>
      </c>
    </row>
    <row r="912" spans="1:52" x14ac:dyDescent="0.25">
      <c r="A912" t="s">
        <v>3100</v>
      </c>
      <c r="B912" t="s">
        <v>3175</v>
      </c>
      <c r="C912" t="s">
        <v>968</v>
      </c>
      <c r="D912" t="s">
        <v>10</v>
      </c>
      <c r="E912" t="s">
        <v>3176</v>
      </c>
      <c r="F912" t="s">
        <v>45</v>
      </c>
      <c r="G912" t="str">
        <f>HYPERLINK("https://twitter.com/1187554230732754949/status/1280740099815325696")</f>
        <v>https://twitter.com/1187554230732754949/status/1280740099815325696</v>
      </c>
      <c r="H912" t="s">
        <v>885</v>
      </c>
      <c r="I912" t="s">
        <v>3177</v>
      </c>
      <c r="J912" t="str">
        <f>HYPERLINK("http://twitter.com/HurricaneA3")</f>
        <v>http://twitter.com/HurricaneA3</v>
      </c>
      <c r="K912">
        <v>1727</v>
      </c>
      <c r="N912" t="s">
        <v>54</v>
      </c>
      <c r="R912" t="s">
        <v>17</v>
      </c>
      <c r="W912">
        <v>8</v>
      </c>
      <c r="X912">
        <v>8</v>
      </c>
      <c r="AE912">
        <v>4</v>
      </c>
      <c r="AF912">
        <v>2</v>
      </c>
      <c r="AI912" t="str">
        <f>HYPERLINK("https://pbs.twimg.com/media/EcYaOMaX0AAPK40.jpg")</f>
        <v>https://pbs.twimg.com/media/EcYaOMaX0AAPK40.jpg</v>
      </c>
      <c r="AJ912" t="s">
        <v>10</v>
      </c>
      <c r="AK912" t="s">
        <v>21</v>
      </c>
    </row>
    <row r="913" spans="1:52" x14ac:dyDescent="0.25">
      <c r="A913" t="s">
        <v>7</v>
      </c>
      <c r="B913" t="s">
        <v>51</v>
      </c>
      <c r="C913" t="s">
        <v>48</v>
      </c>
      <c r="D913" t="s">
        <v>10</v>
      </c>
      <c r="E913" t="s">
        <v>52</v>
      </c>
      <c r="F913" t="s">
        <v>45</v>
      </c>
      <c r="G913" t="str">
        <f>HYPERLINK("https://twitter.com/2755631844/status/1292790668289609728")</f>
        <v>https://twitter.com/2755631844/status/1292790668289609728</v>
      </c>
      <c r="H913" t="s">
        <v>13</v>
      </c>
      <c r="I913" t="s">
        <v>53</v>
      </c>
      <c r="J913" t="str">
        <f>HYPERLINK("http://twitter.com/DIGITALDECODED1")</f>
        <v>http://twitter.com/DIGITALDECODED1</v>
      </c>
      <c r="K913">
        <v>2398</v>
      </c>
      <c r="N913" t="s">
        <v>54</v>
      </c>
      <c r="R913" t="s">
        <v>17</v>
      </c>
      <c r="S913" t="s">
        <v>55</v>
      </c>
      <c r="T913" t="s">
        <v>56</v>
      </c>
      <c r="U913" t="s">
        <v>57</v>
      </c>
      <c r="W913">
        <v>0</v>
      </c>
      <c r="X913">
        <v>0</v>
      </c>
      <c r="AE913">
        <v>0</v>
      </c>
      <c r="AF913">
        <v>0</v>
      </c>
      <c r="AJ913" t="s">
        <v>10</v>
      </c>
      <c r="AK913" t="s">
        <v>21</v>
      </c>
    </row>
    <row r="914" spans="1:52" x14ac:dyDescent="0.25">
      <c r="A914" t="s">
        <v>7</v>
      </c>
      <c r="B914" t="s">
        <v>147</v>
      </c>
      <c r="C914" t="s">
        <v>154</v>
      </c>
      <c r="D914" t="s">
        <v>10</v>
      </c>
      <c r="E914" t="s">
        <v>155</v>
      </c>
      <c r="F914" t="s">
        <v>45</v>
      </c>
      <c r="G914" t="str">
        <f>HYPERLINK("https://vk.com/wall-7865622_448131")</f>
        <v>https://vk.com/wall-7865622_448131</v>
      </c>
      <c r="H914" t="s">
        <v>13</v>
      </c>
      <c r="I914" t="s">
        <v>156</v>
      </c>
      <c r="J914" t="str">
        <f>HYPERLINK("http://vk.com/club7865622")</f>
        <v>http://vk.com/club7865622</v>
      </c>
      <c r="K914">
        <v>64634</v>
      </c>
      <c r="L914" t="s">
        <v>28</v>
      </c>
      <c r="N914" t="s">
        <v>16</v>
      </c>
      <c r="O914" t="s">
        <v>156</v>
      </c>
      <c r="P914" t="str">
        <f>HYPERLINK("http://vk.com/club7865622")</f>
        <v>http://vk.com/club7865622</v>
      </c>
      <c r="Q914">
        <v>64634</v>
      </c>
      <c r="R914" t="s">
        <v>17</v>
      </c>
      <c r="W914">
        <v>4</v>
      </c>
      <c r="X914">
        <v>4</v>
      </c>
      <c r="AE914">
        <v>0</v>
      </c>
      <c r="AF914">
        <v>0</v>
      </c>
      <c r="AG914">
        <v>1495</v>
      </c>
      <c r="AJ914" t="s">
        <v>10</v>
      </c>
      <c r="AK914" t="s">
        <v>21</v>
      </c>
      <c r="AZ914" t="s">
        <v>3251</v>
      </c>
    </row>
    <row r="915" spans="1:52" x14ac:dyDescent="0.25">
      <c r="A915" t="s">
        <v>7</v>
      </c>
      <c r="B915" t="s">
        <v>250</v>
      </c>
      <c r="C915" t="s">
        <v>251</v>
      </c>
      <c r="D915" t="s">
        <v>24</v>
      </c>
      <c r="E915" t="s">
        <v>246</v>
      </c>
      <c r="F915" t="s">
        <v>26</v>
      </c>
      <c r="G915" t="str">
        <f>HYPERLINK("https://vk.com/wall-197114981_31?reply=1350")</f>
        <v>https://vk.com/wall-197114981_31?reply=1350</v>
      </c>
      <c r="H915" t="s">
        <v>13</v>
      </c>
      <c r="I915" t="s">
        <v>247</v>
      </c>
      <c r="J915" t="str">
        <f>HYPERLINK("http://vk.com/id38095165")</f>
        <v>http://vk.com/id38095165</v>
      </c>
      <c r="K915">
        <v>1193</v>
      </c>
      <c r="L915" t="s">
        <v>80</v>
      </c>
      <c r="N915" t="s">
        <v>16</v>
      </c>
      <c r="O915" t="s">
        <v>27</v>
      </c>
      <c r="P915" t="str">
        <f>HYPERLINK("http://vk.com/club197114981")</f>
        <v>http://vk.com/club197114981</v>
      </c>
      <c r="Q915">
        <v>38</v>
      </c>
      <c r="R915" t="s">
        <v>17</v>
      </c>
      <c r="S915" t="s">
        <v>18</v>
      </c>
      <c r="T915" t="s">
        <v>248</v>
      </c>
      <c r="U915" t="s">
        <v>249</v>
      </c>
      <c r="AJ915" t="s">
        <v>10</v>
      </c>
      <c r="AK915" t="s">
        <v>21</v>
      </c>
      <c r="AZ915" t="s">
        <v>3251</v>
      </c>
    </row>
    <row r="916" spans="1:52" x14ac:dyDescent="0.25">
      <c r="A916" t="s">
        <v>7</v>
      </c>
      <c r="B916" t="s">
        <v>274</v>
      </c>
      <c r="C916" t="s">
        <v>275</v>
      </c>
      <c r="D916" t="s">
        <v>24</v>
      </c>
      <c r="E916" t="s">
        <v>242</v>
      </c>
      <c r="F916" t="s">
        <v>26</v>
      </c>
      <c r="G916" t="str">
        <f>HYPERLINK("https://vk.com/wall-197114981_31?reply=1345&amp;thread=1293")</f>
        <v>https://vk.com/wall-197114981_31?reply=1345&amp;thread=1293</v>
      </c>
      <c r="H916" t="s">
        <v>13</v>
      </c>
      <c r="I916" t="s">
        <v>27</v>
      </c>
      <c r="J916" t="str">
        <f>HYPERLINK("http://vk.com/club197114981")</f>
        <v>http://vk.com/club197114981</v>
      </c>
      <c r="K916">
        <v>38</v>
      </c>
      <c r="L916" t="s">
        <v>28</v>
      </c>
      <c r="N916" t="s">
        <v>16</v>
      </c>
      <c r="O916" t="s">
        <v>27</v>
      </c>
      <c r="P916" t="str">
        <f>HYPERLINK("http://vk.com/club197114981")</f>
        <v>http://vk.com/club197114981</v>
      </c>
      <c r="Q916">
        <v>38</v>
      </c>
      <c r="R916" t="s">
        <v>17</v>
      </c>
      <c r="AJ916" t="s">
        <v>10</v>
      </c>
      <c r="AK916" t="s">
        <v>21</v>
      </c>
      <c r="AV916" t="s">
        <v>3247</v>
      </c>
      <c r="AZ916" t="s">
        <v>3251</v>
      </c>
    </row>
    <row r="917" spans="1:52" x14ac:dyDescent="0.25">
      <c r="A917" t="s">
        <v>7</v>
      </c>
      <c r="B917" t="s">
        <v>277</v>
      </c>
      <c r="C917" t="s">
        <v>278</v>
      </c>
      <c r="D917" t="s">
        <v>10</v>
      </c>
      <c r="E917" t="s">
        <v>279</v>
      </c>
      <c r="F917" t="s">
        <v>12</v>
      </c>
      <c r="G917" t="str">
        <f>HYPERLINK("https://www.facebook.com/568390943273818/posts/3056118407834380")</f>
        <v>https://www.facebook.com/568390943273818/posts/3056118407834380</v>
      </c>
      <c r="H917" t="s">
        <v>13</v>
      </c>
      <c r="I917" t="s">
        <v>280</v>
      </c>
      <c r="J917" t="str">
        <f>HYPERLINK("https://www.facebook.com/568390943273818")</f>
        <v>https://www.facebook.com/568390943273818</v>
      </c>
      <c r="K917">
        <v>18918</v>
      </c>
      <c r="L917" t="s">
        <v>28</v>
      </c>
      <c r="N917" t="s">
        <v>179</v>
      </c>
      <c r="O917" t="s">
        <v>280</v>
      </c>
      <c r="P917" t="str">
        <f>HYPERLINK("https://www.facebook.com/568390943273818")</f>
        <v>https://www.facebook.com/568390943273818</v>
      </c>
      <c r="Q917">
        <v>18918</v>
      </c>
      <c r="R917" t="s">
        <v>17</v>
      </c>
      <c r="S917" t="s">
        <v>281</v>
      </c>
      <c r="T917" t="s">
        <v>282</v>
      </c>
      <c r="U917" t="s">
        <v>282</v>
      </c>
      <c r="W917">
        <v>1</v>
      </c>
      <c r="X917">
        <v>1</v>
      </c>
      <c r="AE917">
        <v>0</v>
      </c>
      <c r="AF917">
        <v>0</v>
      </c>
      <c r="AI917" t="str">
        <f>HYPERLINK("https://scontent-dfw5-1.xx.fbcdn.net/v/t1.0-9/p720x720/116790956_3055839391195615_3810002965574592337_o.jpg?_nc_cat=111&amp;_nc_sid=8024bb&amp;_nc_ohc=rBHOGFsa_3kAX-0kWO2&amp;_nc_ht=scontent-dfw5-1.xx&amp;_nc_tp=6&amp;oh=b1528b62f6a7cfcc69ff5eaa37f068cf&amp;oe=5F56C1AA")</f>
        <v>https://scontent-dfw5-1.xx.fbcdn.net/v/t1.0-9/p720x720/116790956_3055839391195615_3810002965574592337_o.jpg?_nc_cat=111&amp;_nc_sid=8024bb&amp;_nc_ohc=rBHOGFsa_3kAX-0kWO2&amp;_nc_ht=scontent-dfw5-1.xx&amp;_nc_tp=6&amp;oh=b1528b62f6a7cfcc69ff5eaa37f068cf&amp;oe=5F56C1AA</v>
      </c>
      <c r="AJ917" t="s">
        <v>10</v>
      </c>
      <c r="AK917" t="s">
        <v>21</v>
      </c>
      <c r="AV917" t="s">
        <v>3247</v>
      </c>
      <c r="AZ917" t="s">
        <v>3251</v>
      </c>
    </row>
    <row r="918" spans="1:52" x14ac:dyDescent="0.25">
      <c r="A918" t="s">
        <v>7</v>
      </c>
      <c r="B918" t="s">
        <v>367</v>
      </c>
      <c r="C918" t="s">
        <v>368</v>
      </c>
      <c r="D918" t="s">
        <v>24</v>
      </c>
      <c r="E918" t="s">
        <v>370</v>
      </c>
      <c r="F918" t="s">
        <v>26</v>
      </c>
      <c r="G918" t="str">
        <f>HYPERLINK("https://vk.com/wall-197114981_31?reply=1311")</f>
        <v>https://vk.com/wall-197114981_31?reply=1311</v>
      </c>
      <c r="H918" t="s">
        <v>13</v>
      </c>
      <c r="I918" t="s">
        <v>366</v>
      </c>
      <c r="J918" t="str">
        <f>HYPERLINK("http://vk.com/id365459183")</f>
        <v>http://vk.com/id365459183</v>
      </c>
      <c r="K918">
        <v>334</v>
      </c>
      <c r="L918" t="s">
        <v>80</v>
      </c>
      <c r="N918" t="s">
        <v>16</v>
      </c>
      <c r="O918" t="s">
        <v>27</v>
      </c>
      <c r="P918" t="str">
        <f>HYPERLINK("http://vk.com/club197114981")</f>
        <v>http://vk.com/club197114981</v>
      </c>
      <c r="Q918">
        <v>38</v>
      </c>
      <c r="R918" t="s">
        <v>17</v>
      </c>
      <c r="S918" t="s">
        <v>18</v>
      </c>
      <c r="AJ918" t="s">
        <v>10</v>
      </c>
      <c r="AK918" t="s">
        <v>21</v>
      </c>
      <c r="AM918" t="s">
        <v>3238</v>
      </c>
      <c r="AV918" t="s">
        <v>3247</v>
      </c>
      <c r="AZ918" t="s">
        <v>3251</v>
      </c>
    </row>
    <row r="919" spans="1:52" x14ac:dyDescent="0.25">
      <c r="A919" t="s">
        <v>3021</v>
      </c>
      <c r="B919" t="s">
        <v>3082</v>
      </c>
      <c r="C919" t="s">
        <v>968</v>
      </c>
      <c r="D919" t="s">
        <v>10</v>
      </c>
      <c r="E919" t="s">
        <v>3086</v>
      </c>
      <c r="F919" t="s">
        <v>12</v>
      </c>
      <c r="G919" t="str">
        <f>HYPERLINK("https://www.facebook.com/105499154286978/posts/171967750973451")</f>
        <v>https://www.facebook.com/105499154286978/posts/171967750973451</v>
      </c>
      <c r="H919" t="s">
        <v>885</v>
      </c>
      <c r="I919" t="s">
        <v>188</v>
      </c>
      <c r="J919" t="str">
        <f>HYPERLINK("https://www.facebook.com/105499154286978")</f>
        <v>https://www.facebook.com/105499154286978</v>
      </c>
      <c r="K919">
        <v>6</v>
      </c>
      <c r="L919" t="s">
        <v>28</v>
      </c>
      <c r="N919" t="s">
        <v>179</v>
      </c>
      <c r="O919" t="s">
        <v>188</v>
      </c>
      <c r="P919" t="str">
        <f>HYPERLINK("https://www.facebook.com/105499154286978")</f>
        <v>https://www.facebook.com/105499154286978</v>
      </c>
      <c r="Q919">
        <v>6</v>
      </c>
      <c r="R919" t="s">
        <v>17</v>
      </c>
      <c r="S919" t="s">
        <v>18</v>
      </c>
      <c r="T919" t="s">
        <v>189</v>
      </c>
      <c r="U919" t="s">
        <v>190</v>
      </c>
      <c r="AI919" t="str">
        <f>HYPERLINK("https://scontent-ams4-1.xx.fbcdn.net/v/t1.0-9/s720x720/107629870_171967754306784_2685630396525620571_o.jpg?_nc_cat=100&amp;_nc_sid=2d5d41&amp;_nc_ohc=jDkxQrEVRvAAX9bPwQb&amp;_nc_ht=scontent-ams4-1.xx&amp;_nc_tp=7&amp;oh=443b3c61c88e3af906e80bf7f510f84f&amp;oe=5F2D6564")</f>
        <v>https://scontent-ams4-1.xx.fbcdn.net/v/t1.0-9/s720x720/107629870_171967754306784_2685630396525620571_o.jpg?_nc_cat=100&amp;_nc_sid=2d5d41&amp;_nc_ohc=jDkxQrEVRvAAX9bPwQb&amp;_nc_ht=scontent-ams4-1.xx&amp;_nc_tp=7&amp;oh=443b3c61c88e3af906e80bf7f510f84f&amp;oe=5F2D6564</v>
      </c>
      <c r="AJ919" t="s">
        <v>10</v>
      </c>
      <c r="AK919" t="s">
        <v>21</v>
      </c>
      <c r="AZ919" t="s">
        <v>3251</v>
      </c>
    </row>
    <row r="920" spans="1:52" x14ac:dyDescent="0.25">
      <c r="A920" t="s">
        <v>3100</v>
      </c>
      <c r="B920" t="s">
        <v>3101</v>
      </c>
      <c r="C920" t="s">
        <v>968</v>
      </c>
      <c r="D920" t="s">
        <v>421</v>
      </c>
      <c r="E920" t="s">
        <v>3102</v>
      </c>
      <c r="F920" t="s">
        <v>26</v>
      </c>
      <c r="G920" t="str">
        <f>HYPERLINK("https://www.youtube.com/watch?v=gaka1vqYFNs&amp;lc=Ugx74uZeoRtABfm0Cr54AaABAg")</f>
        <v>https://www.youtube.com/watch?v=gaka1vqYFNs&amp;lc=Ugx74uZeoRtABfm0Cr54AaABAg</v>
      </c>
      <c r="H920" t="s">
        <v>1057</v>
      </c>
      <c r="I920" t="s">
        <v>3103</v>
      </c>
      <c r="J920" t="str">
        <f>HYPERLINK("https://www.youtube.com/channel/UCBAuSJFwSRkiO5bXkVR-EmQ")</f>
        <v>https://www.youtube.com/channel/UCBAuSJFwSRkiO5bXkVR-EmQ</v>
      </c>
      <c r="K920">
        <v>3</v>
      </c>
      <c r="L920" t="s">
        <v>15</v>
      </c>
      <c r="N920" t="s">
        <v>162</v>
      </c>
      <c r="O920" t="s">
        <v>424</v>
      </c>
      <c r="P920" t="str">
        <f>HYPERLINK("https://www.youtube.com/channel/UC8fQzKHIhSoZeSq3bwQx4mw")</f>
        <v>https://www.youtube.com/channel/UC8fQzKHIhSoZeSq3bwQx4mw</v>
      </c>
      <c r="Q920">
        <v>517000</v>
      </c>
      <c r="R920" t="s">
        <v>17</v>
      </c>
      <c r="S920" t="s">
        <v>425</v>
      </c>
      <c r="W920">
        <v>1</v>
      </c>
      <c r="X920">
        <v>1</v>
      </c>
      <c r="AE920">
        <v>1</v>
      </c>
      <c r="AJ920" t="s">
        <v>10</v>
      </c>
      <c r="AK920" t="s">
        <v>21</v>
      </c>
    </row>
    <row r="921" spans="1:52" x14ac:dyDescent="0.25">
      <c r="A921" t="s">
        <v>3100</v>
      </c>
      <c r="B921" t="s">
        <v>3108</v>
      </c>
      <c r="C921" t="s">
        <v>968</v>
      </c>
      <c r="D921" t="s">
        <v>3109</v>
      </c>
      <c r="E921" t="s">
        <v>3110</v>
      </c>
      <c r="F921" t="s">
        <v>45</v>
      </c>
      <c r="G921" t="str">
        <f>HYPERLINK("https://worldnews.easybranches.com/travel/food-drink/7137853")</f>
        <v>https://worldnews.easybranches.com/travel/food-drink/7137853</v>
      </c>
      <c r="H921" t="s">
        <v>885</v>
      </c>
      <c r="I921" t="s">
        <v>3111</v>
      </c>
      <c r="J921" t="str">
        <f>HYPERLINK("https://worldnews.easybranches.com")</f>
        <v>https://worldnews.easybranches.com</v>
      </c>
      <c r="N921" t="s">
        <v>3112</v>
      </c>
      <c r="R921" t="s">
        <v>239</v>
      </c>
      <c r="S921" t="s">
        <v>281</v>
      </c>
      <c r="AJ921" t="s">
        <v>10</v>
      </c>
      <c r="AK921" t="s">
        <v>21</v>
      </c>
      <c r="AM921" t="s">
        <v>3238</v>
      </c>
      <c r="AW921" t="s">
        <v>3248</v>
      </c>
      <c r="AX921" t="s">
        <v>3249</v>
      </c>
    </row>
    <row r="922" spans="1:52" x14ac:dyDescent="0.25">
      <c r="A922" t="s">
        <v>3100</v>
      </c>
      <c r="B922" t="s">
        <v>122</v>
      </c>
      <c r="C922" t="s">
        <v>968</v>
      </c>
      <c r="D922" t="s">
        <v>10</v>
      </c>
      <c r="E922" t="s">
        <v>3148</v>
      </c>
      <c r="F922" t="s">
        <v>45</v>
      </c>
      <c r="G922" t="str">
        <f>HYPERLINK("https://vk.com/wall-158633337_911")</f>
        <v>https://vk.com/wall-158633337_911</v>
      </c>
      <c r="H922" t="s">
        <v>885</v>
      </c>
      <c r="I922" t="s">
        <v>125</v>
      </c>
      <c r="J922" t="str">
        <f>HYPERLINK("http://vk.com/club158633337")</f>
        <v>http://vk.com/club158633337</v>
      </c>
      <c r="K922">
        <v>4852</v>
      </c>
      <c r="L922" t="s">
        <v>28</v>
      </c>
      <c r="N922" t="s">
        <v>16</v>
      </c>
      <c r="O922" t="s">
        <v>125</v>
      </c>
      <c r="P922" t="str">
        <f>HYPERLINK("http://vk.com/club158633337")</f>
        <v>http://vk.com/club158633337</v>
      </c>
      <c r="Q922">
        <v>4852</v>
      </c>
      <c r="R922" t="s">
        <v>17</v>
      </c>
      <c r="S922" t="s">
        <v>18</v>
      </c>
      <c r="T922" t="s">
        <v>126</v>
      </c>
      <c r="U922" t="s">
        <v>127</v>
      </c>
      <c r="W922">
        <v>0</v>
      </c>
      <c r="X922">
        <v>0</v>
      </c>
      <c r="AE922">
        <v>0</v>
      </c>
      <c r="AF922">
        <v>0</v>
      </c>
      <c r="AG922">
        <v>104</v>
      </c>
      <c r="AI922" t="str">
        <f>HYPERLINK("https://sun1-23.userapi.com/QfdKjA6ApMpq1ZteHwELyZzAKy-l2T4SNH5nXw/d3qcPcp0wcs.jpg")</f>
        <v>https://sun1-23.userapi.com/QfdKjA6ApMpq1ZteHwELyZzAKy-l2T4SNH5nXw/d3qcPcp0wcs.jpg</v>
      </c>
      <c r="AJ922" t="s">
        <v>10</v>
      </c>
      <c r="AK922" t="s">
        <v>21</v>
      </c>
      <c r="AL922" t="s">
        <v>3237</v>
      </c>
    </row>
    <row r="923" spans="1:52" x14ac:dyDescent="0.25">
      <c r="A923" t="s">
        <v>3100</v>
      </c>
      <c r="B923" t="s">
        <v>3185</v>
      </c>
      <c r="C923" t="s">
        <v>968</v>
      </c>
      <c r="D923" t="s">
        <v>3186</v>
      </c>
      <c r="E923" t="s">
        <v>3187</v>
      </c>
      <c r="F923" t="s">
        <v>45</v>
      </c>
      <c r="G923" t="str">
        <f>HYPERLINK("http://khabarovsk.flamp.ru/firm/klinika_ehkspert_khabarovsk_ooo-70000001006468622/otzyv-6256331")</f>
        <v>http://khabarovsk.flamp.ru/firm/klinika_ehkspert_khabarovsk_ooo-70000001006468622/otzyv-6256331</v>
      </c>
      <c r="H923" t="s">
        <v>1057</v>
      </c>
      <c r="I923" t="s">
        <v>3182</v>
      </c>
      <c r="J923" t="str">
        <f>HYPERLINK("https://flamp.ru/user116011")</f>
        <v>https://flamp.ru/user116011</v>
      </c>
      <c r="K923">
        <v>74</v>
      </c>
      <c r="L923" t="s">
        <v>80</v>
      </c>
      <c r="N923" t="s">
        <v>1752</v>
      </c>
      <c r="O923" t="s">
        <v>3186</v>
      </c>
      <c r="P923" t="str">
        <f>HYPERLINK("https://khabarovsk.flamp.ru/firm/klinika_ehkspert_khabarovsk_ooo-70000001006468622")</f>
        <v>https://khabarovsk.flamp.ru/firm/klinika_ehkspert_khabarovsk_ooo-70000001006468622</v>
      </c>
      <c r="R923" t="s">
        <v>616</v>
      </c>
      <c r="S923" t="s">
        <v>18</v>
      </c>
      <c r="T923" t="s">
        <v>3183</v>
      </c>
      <c r="U923" t="s">
        <v>3184</v>
      </c>
      <c r="AH923">
        <v>3</v>
      </c>
      <c r="AJ923" t="s">
        <v>10</v>
      </c>
      <c r="AK923" t="s">
        <v>21</v>
      </c>
      <c r="AL923" t="s">
        <v>3237</v>
      </c>
      <c r="AW923" t="s">
        <v>3248</v>
      </c>
    </row>
    <row r="924" spans="1:52" x14ac:dyDescent="0.25">
      <c r="A924" t="s">
        <v>7</v>
      </c>
      <c r="B924" t="s">
        <v>81</v>
      </c>
      <c r="C924" t="s">
        <v>76</v>
      </c>
      <c r="D924" t="s">
        <v>10</v>
      </c>
      <c r="E924" t="s">
        <v>82</v>
      </c>
      <c r="F924" t="s">
        <v>45</v>
      </c>
      <c r="G924" t="str">
        <f>HYPERLINK("https://vk.com/wall-48669646_10277")</f>
        <v>https://vk.com/wall-48669646_10277</v>
      </c>
      <c r="H924" t="s">
        <v>13</v>
      </c>
      <c r="I924" t="s">
        <v>46</v>
      </c>
      <c r="J924" t="str">
        <f>HYPERLINK("http://vk.com/club48669646")</f>
        <v>http://vk.com/club48669646</v>
      </c>
      <c r="K924">
        <v>5795</v>
      </c>
      <c r="L924" t="s">
        <v>28</v>
      </c>
      <c r="N924" t="s">
        <v>16</v>
      </c>
      <c r="O924" t="s">
        <v>46</v>
      </c>
      <c r="P924" t="str">
        <f>HYPERLINK("http://vk.com/club48669646")</f>
        <v>http://vk.com/club48669646</v>
      </c>
      <c r="Q924">
        <v>5795</v>
      </c>
      <c r="R924" t="s">
        <v>17</v>
      </c>
      <c r="S924" t="s">
        <v>18</v>
      </c>
      <c r="W924">
        <v>0</v>
      </c>
      <c r="X924">
        <v>0</v>
      </c>
      <c r="AE924">
        <v>0</v>
      </c>
      <c r="AF924">
        <v>0</v>
      </c>
      <c r="AG924">
        <v>103</v>
      </c>
      <c r="AI924" t="str">
        <f>HYPERLINK("https://sun9-33.userapi.com/c813024/v813024930/11dfd1/KCzdF5h4COU.jpg")</f>
        <v>https://sun9-33.userapi.com/c813024/v813024930/11dfd1/KCzdF5h4COU.jpg</v>
      </c>
      <c r="AJ924" t="s">
        <v>10</v>
      </c>
      <c r="AK924" t="s">
        <v>21</v>
      </c>
      <c r="AL924" t="s">
        <v>3237</v>
      </c>
      <c r="AX924" t="s">
        <v>3249</v>
      </c>
      <c r="AZ924" t="s">
        <v>3251</v>
      </c>
    </row>
    <row r="925" spans="1:52" x14ac:dyDescent="0.25">
      <c r="A925" t="s">
        <v>7</v>
      </c>
      <c r="B925" t="s">
        <v>143</v>
      </c>
      <c r="C925" t="s">
        <v>144</v>
      </c>
      <c r="D925" t="s">
        <v>10</v>
      </c>
      <c r="E925" t="s">
        <v>145</v>
      </c>
      <c r="F925" t="s">
        <v>45</v>
      </c>
      <c r="G925" t="str">
        <f>HYPERLINK("https://www.instagram.com/p/CDs7gk7KaOC")</f>
        <v>https://www.instagram.com/p/CDs7gk7KaOC</v>
      </c>
      <c r="H925" t="s">
        <v>13</v>
      </c>
      <c r="I925" t="s">
        <v>146</v>
      </c>
      <c r="J925" t="str">
        <f>HYPERLINK("http://instagram.com/clinic_expert_")</f>
        <v>http://instagram.com/clinic_expert_</v>
      </c>
      <c r="K925">
        <v>4164</v>
      </c>
      <c r="N925" t="s">
        <v>69</v>
      </c>
      <c r="O925" t="s">
        <v>146</v>
      </c>
      <c r="P925" t="str">
        <f>HYPERLINK("http://instagram.com/clinic_expert_")</f>
        <v>http://instagram.com/clinic_expert_</v>
      </c>
      <c r="Q925">
        <v>4164</v>
      </c>
      <c r="R925" t="s">
        <v>17</v>
      </c>
      <c r="W925">
        <v>4</v>
      </c>
      <c r="X925">
        <v>4</v>
      </c>
      <c r="AE925">
        <v>1</v>
      </c>
      <c r="AI925" t="str">
        <f>HYPERLINK("https://www.instagram.com/p/CDs7gk7KaOC/media/?size=l")</f>
        <v>https://www.instagram.com/p/CDs7gk7KaOC/media/?size=l</v>
      </c>
      <c r="AJ925" t="s">
        <v>10</v>
      </c>
      <c r="AK925" t="s">
        <v>21</v>
      </c>
      <c r="AZ925" t="s">
        <v>3251</v>
      </c>
    </row>
    <row r="926" spans="1:52" x14ac:dyDescent="0.25">
      <c r="A926" t="s">
        <v>7</v>
      </c>
      <c r="B926" t="s">
        <v>171</v>
      </c>
      <c r="C926" t="s">
        <v>172</v>
      </c>
      <c r="D926" t="s">
        <v>10</v>
      </c>
      <c r="E926" t="s">
        <v>173</v>
      </c>
      <c r="F926" t="s">
        <v>45</v>
      </c>
      <c r="G926" t="str">
        <f>HYPERLINK("https://vk.com/wall-166754586_800")</f>
        <v>https://vk.com/wall-166754586_800</v>
      </c>
      <c r="H926" t="s">
        <v>13</v>
      </c>
      <c r="I926" t="s">
        <v>174</v>
      </c>
      <c r="J926" t="str">
        <f>HYPERLINK("http://vk.com/club166754586")</f>
        <v>http://vk.com/club166754586</v>
      </c>
      <c r="K926">
        <v>896</v>
      </c>
      <c r="L926" t="s">
        <v>28</v>
      </c>
      <c r="N926" t="s">
        <v>16</v>
      </c>
      <c r="O926" t="s">
        <v>174</v>
      </c>
      <c r="P926" t="str">
        <f>HYPERLINK("http://vk.com/club166754586")</f>
        <v>http://vk.com/club166754586</v>
      </c>
      <c r="Q926">
        <v>896</v>
      </c>
      <c r="R926" t="s">
        <v>17</v>
      </c>
      <c r="W926">
        <v>0</v>
      </c>
      <c r="X926">
        <v>0</v>
      </c>
      <c r="AE926">
        <v>0</v>
      </c>
      <c r="AF926">
        <v>0</v>
      </c>
      <c r="AG926">
        <v>63</v>
      </c>
      <c r="AI926" t="str">
        <f>HYPERLINK("https://sun9-30.userapi.com/c206828/v206828235/17b568/vsCebCzrqGM.jpg")</f>
        <v>https://sun9-30.userapi.com/c206828/v206828235/17b568/vsCebCzrqGM.jpg</v>
      </c>
      <c r="AJ926" t="s">
        <v>10</v>
      </c>
      <c r="AK926" t="s">
        <v>21</v>
      </c>
      <c r="AW926" t="s">
        <v>3248</v>
      </c>
      <c r="AX926" t="s">
        <v>3249</v>
      </c>
      <c r="AZ926" t="s">
        <v>3251</v>
      </c>
    </row>
    <row r="927" spans="1:52" x14ac:dyDescent="0.25">
      <c r="A927" t="s">
        <v>7</v>
      </c>
      <c r="B927" t="s">
        <v>220</v>
      </c>
      <c r="C927" t="s">
        <v>223</v>
      </c>
      <c r="D927" t="s">
        <v>10</v>
      </c>
      <c r="E927" t="s">
        <v>224</v>
      </c>
      <c r="F927" t="s">
        <v>45</v>
      </c>
      <c r="G927" t="str">
        <f>HYPERLINK("https://vk.com/wall-196360588_1651")</f>
        <v>https://vk.com/wall-196360588_1651</v>
      </c>
      <c r="H927" t="s">
        <v>13</v>
      </c>
      <c r="I927" t="s">
        <v>225</v>
      </c>
      <c r="J927" t="str">
        <f>HYPERLINK("http://vk.com/club196360588")</f>
        <v>http://vk.com/club196360588</v>
      </c>
      <c r="K927">
        <v>41</v>
      </c>
      <c r="L927" t="s">
        <v>28</v>
      </c>
      <c r="N927" t="s">
        <v>16</v>
      </c>
      <c r="O927" t="s">
        <v>225</v>
      </c>
      <c r="P927" t="str">
        <f>HYPERLINK("http://vk.com/club196360588")</f>
        <v>http://vk.com/club196360588</v>
      </c>
      <c r="Q927">
        <v>41</v>
      </c>
      <c r="R927" t="s">
        <v>17</v>
      </c>
      <c r="AI927" t="str">
        <f>HYPERLINK("https://sun9-48.userapi.com/c855132/v855132610/259768/1q0a4SXw4lc.jpg")</f>
        <v>https://sun9-48.userapi.com/c855132/v855132610/259768/1q0a4SXw4lc.jpg</v>
      </c>
      <c r="AJ927" t="s">
        <v>10</v>
      </c>
      <c r="AK927" t="s">
        <v>21</v>
      </c>
      <c r="AT927" t="s">
        <v>3245</v>
      </c>
    </row>
    <row r="928" spans="1:52" x14ac:dyDescent="0.25">
      <c r="A928" t="s">
        <v>7</v>
      </c>
      <c r="B928" t="s">
        <v>317</v>
      </c>
      <c r="C928" t="s">
        <v>318</v>
      </c>
      <c r="D928" t="s">
        <v>24</v>
      </c>
      <c r="E928" t="s">
        <v>319</v>
      </c>
      <c r="F928" t="s">
        <v>26</v>
      </c>
      <c r="G928" t="str">
        <f>HYPERLINK("https://vk.com/wall-197114981_31?reply=1334&amp;thread=1333")</f>
        <v>https://vk.com/wall-197114981_31?reply=1334&amp;thread=1333</v>
      </c>
      <c r="H928" t="s">
        <v>13</v>
      </c>
      <c r="I928" t="s">
        <v>27</v>
      </c>
      <c r="J928" t="str">
        <f>HYPERLINK("http://vk.com/club197114981")</f>
        <v>http://vk.com/club197114981</v>
      </c>
      <c r="K928">
        <v>38</v>
      </c>
      <c r="L928" t="s">
        <v>28</v>
      </c>
      <c r="N928" t="s">
        <v>16</v>
      </c>
      <c r="O928" t="s">
        <v>27</v>
      </c>
      <c r="P928" t="str">
        <f>HYPERLINK("http://vk.com/club197114981")</f>
        <v>http://vk.com/club197114981</v>
      </c>
      <c r="Q928">
        <v>38</v>
      </c>
      <c r="R928" t="s">
        <v>17</v>
      </c>
      <c r="AJ928" t="s">
        <v>10</v>
      </c>
      <c r="AK928" t="s">
        <v>21</v>
      </c>
      <c r="AU928" t="s">
        <v>3246</v>
      </c>
      <c r="AV928" t="s">
        <v>3247</v>
      </c>
    </row>
    <row r="929" spans="1:52" x14ac:dyDescent="0.25">
      <c r="A929" t="s">
        <v>7</v>
      </c>
      <c r="B929" t="s">
        <v>327</v>
      </c>
      <c r="C929" t="s">
        <v>328</v>
      </c>
      <c r="D929" t="s">
        <v>24</v>
      </c>
      <c r="E929" t="s">
        <v>329</v>
      </c>
      <c r="F929" t="s">
        <v>26</v>
      </c>
      <c r="G929" t="str">
        <f>HYPERLINK("https://vk.com/wall-197114981_31?reply=1328&amp;thread=1327")</f>
        <v>https://vk.com/wall-197114981_31?reply=1328&amp;thread=1327</v>
      </c>
      <c r="H929" t="s">
        <v>13</v>
      </c>
      <c r="I929" t="s">
        <v>27</v>
      </c>
      <c r="J929" t="str">
        <f>HYPERLINK("http://vk.com/club197114981")</f>
        <v>http://vk.com/club197114981</v>
      </c>
      <c r="K929">
        <v>38</v>
      </c>
      <c r="L929" t="s">
        <v>28</v>
      </c>
      <c r="N929" t="s">
        <v>16</v>
      </c>
      <c r="O929" t="s">
        <v>27</v>
      </c>
      <c r="P929" t="str">
        <f>HYPERLINK("http://vk.com/club197114981")</f>
        <v>http://vk.com/club197114981</v>
      </c>
      <c r="Q929">
        <v>38</v>
      </c>
      <c r="R929" t="s">
        <v>17</v>
      </c>
      <c r="AJ929" t="s">
        <v>10</v>
      </c>
      <c r="AK929" t="s">
        <v>21</v>
      </c>
      <c r="AT929" t="s">
        <v>3245</v>
      </c>
      <c r="AV929" t="s">
        <v>3247</v>
      </c>
    </row>
    <row r="930" spans="1:52" x14ac:dyDescent="0.25">
      <c r="A930" t="s">
        <v>7</v>
      </c>
      <c r="B930" t="s">
        <v>377</v>
      </c>
      <c r="C930" t="s">
        <v>378</v>
      </c>
      <c r="D930" t="s">
        <v>24</v>
      </c>
      <c r="E930" t="s">
        <v>25</v>
      </c>
      <c r="F930" t="s">
        <v>26</v>
      </c>
      <c r="G930" t="str">
        <f>HYPERLINK("https://vk.com/wall-197114981_31?reply=1308&amp;thread=1243")</f>
        <v>https://vk.com/wall-197114981_31?reply=1308&amp;thread=1243</v>
      </c>
      <c r="H930" t="s">
        <v>13</v>
      </c>
      <c r="I930" t="s">
        <v>27</v>
      </c>
      <c r="J930" t="str">
        <f>HYPERLINK("http://vk.com/club197114981")</f>
        <v>http://vk.com/club197114981</v>
      </c>
      <c r="K930">
        <v>38</v>
      </c>
      <c r="L930" t="s">
        <v>28</v>
      </c>
      <c r="N930" t="s">
        <v>16</v>
      </c>
      <c r="O930" t="s">
        <v>27</v>
      </c>
      <c r="P930" t="str">
        <f>HYPERLINK("http://vk.com/club197114981")</f>
        <v>http://vk.com/club197114981</v>
      </c>
      <c r="Q930">
        <v>38</v>
      </c>
      <c r="R930" t="s">
        <v>17</v>
      </c>
      <c r="AJ930" t="s">
        <v>10</v>
      </c>
      <c r="AK930" t="s">
        <v>21</v>
      </c>
      <c r="AT930" t="s">
        <v>3245</v>
      </c>
    </row>
    <row r="931" spans="1:52" x14ac:dyDescent="0.25">
      <c r="A931" t="s">
        <v>7</v>
      </c>
      <c r="B931" t="s">
        <v>406</v>
      </c>
      <c r="C931" t="s">
        <v>403</v>
      </c>
      <c r="D931" t="s">
        <v>24</v>
      </c>
      <c r="E931" t="s">
        <v>389</v>
      </c>
      <c r="F931" t="s">
        <v>26</v>
      </c>
      <c r="G931" t="str">
        <f>HYPERLINK("https://vk.com/wall-197114981_31?reply=1286&amp;thread=1285")</f>
        <v>https://vk.com/wall-197114981_31?reply=1286&amp;thread=1285</v>
      </c>
      <c r="H931" t="s">
        <v>13</v>
      </c>
      <c r="I931" t="s">
        <v>27</v>
      </c>
      <c r="J931" t="str">
        <f>HYPERLINK("http://vk.com/club197114981")</f>
        <v>http://vk.com/club197114981</v>
      </c>
      <c r="K931">
        <v>38</v>
      </c>
      <c r="L931" t="s">
        <v>28</v>
      </c>
      <c r="N931" t="s">
        <v>16</v>
      </c>
      <c r="O931" t="s">
        <v>27</v>
      </c>
      <c r="P931" t="str">
        <f>HYPERLINK("http://vk.com/club197114981")</f>
        <v>http://vk.com/club197114981</v>
      </c>
      <c r="Q931">
        <v>38</v>
      </c>
      <c r="R931" t="s">
        <v>17</v>
      </c>
      <c r="AJ931" t="s">
        <v>10</v>
      </c>
      <c r="AK931" t="s">
        <v>21</v>
      </c>
      <c r="AT931" t="s">
        <v>3245</v>
      </c>
    </row>
    <row r="932" spans="1:52" x14ac:dyDescent="0.25">
      <c r="A932" t="s">
        <v>414</v>
      </c>
      <c r="B932" t="s">
        <v>432</v>
      </c>
      <c r="C932" t="s">
        <v>433</v>
      </c>
      <c r="D932" t="s">
        <v>24</v>
      </c>
      <c r="E932" t="s">
        <v>376</v>
      </c>
      <c r="F932" t="s">
        <v>26</v>
      </c>
      <c r="G932" t="str">
        <f>HYPERLINK("https://vk.com/wall-197114981_31?reply=1275&amp;thread=1266")</f>
        <v>https://vk.com/wall-197114981_31?reply=1275&amp;thread=1266</v>
      </c>
      <c r="H932" t="s">
        <v>13</v>
      </c>
      <c r="I932" t="s">
        <v>27</v>
      </c>
      <c r="J932" t="str">
        <f>HYPERLINK("http://vk.com/club197114981")</f>
        <v>http://vk.com/club197114981</v>
      </c>
      <c r="K932">
        <v>38</v>
      </c>
      <c r="L932" t="s">
        <v>28</v>
      </c>
      <c r="N932" t="s">
        <v>16</v>
      </c>
      <c r="O932" t="s">
        <v>27</v>
      </c>
      <c r="P932" t="str">
        <f>HYPERLINK("http://vk.com/club197114981")</f>
        <v>http://vk.com/club197114981</v>
      </c>
      <c r="Q932">
        <v>38</v>
      </c>
      <c r="R932" t="s">
        <v>17</v>
      </c>
      <c r="AJ932" t="s">
        <v>10</v>
      </c>
      <c r="AK932" t="s">
        <v>21</v>
      </c>
      <c r="AT932" t="s">
        <v>3245</v>
      </c>
    </row>
    <row r="933" spans="1:52" x14ac:dyDescent="0.25">
      <c r="A933" t="s">
        <v>414</v>
      </c>
      <c r="B933" t="s">
        <v>466</v>
      </c>
      <c r="C933" t="s">
        <v>467</v>
      </c>
      <c r="D933" t="s">
        <v>24</v>
      </c>
      <c r="E933" t="s">
        <v>468</v>
      </c>
      <c r="F933" t="s">
        <v>26</v>
      </c>
      <c r="G933" t="str">
        <f>HYPERLINK("https://vk.com/wall-197114981_31?reply=1260&amp;thread=1259")</f>
        <v>https://vk.com/wall-197114981_31?reply=1260&amp;thread=1259</v>
      </c>
      <c r="H933" t="s">
        <v>13</v>
      </c>
      <c r="I933" t="s">
        <v>27</v>
      </c>
      <c r="J933" t="str">
        <f>HYPERLINK("http://vk.com/club197114981")</f>
        <v>http://vk.com/club197114981</v>
      </c>
      <c r="K933">
        <v>38</v>
      </c>
      <c r="L933" t="s">
        <v>28</v>
      </c>
      <c r="N933" t="s">
        <v>16</v>
      </c>
      <c r="O933" t="s">
        <v>27</v>
      </c>
      <c r="P933" t="str">
        <f>HYPERLINK("http://vk.com/club197114981")</f>
        <v>http://vk.com/club197114981</v>
      </c>
      <c r="Q933">
        <v>38</v>
      </c>
      <c r="R933" t="s">
        <v>17</v>
      </c>
      <c r="AJ933" t="s">
        <v>10</v>
      </c>
      <c r="AK933" t="s">
        <v>21</v>
      </c>
      <c r="AT933" t="s">
        <v>3245</v>
      </c>
    </row>
    <row r="934" spans="1:52" x14ac:dyDescent="0.25">
      <c r="A934" t="s">
        <v>414</v>
      </c>
      <c r="B934" t="s">
        <v>470</v>
      </c>
      <c r="C934" t="s">
        <v>471</v>
      </c>
      <c r="D934" t="s">
        <v>24</v>
      </c>
      <c r="E934" t="s">
        <v>474</v>
      </c>
      <c r="F934" t="s">
        <v>26</v>
      </c>
      <c r="G934" t="str">
        <f>HYPERLINK("https://vk.com/wall-197114981_31?reply=1256&amp;thread=1255")</f>
        <v>https://vk.com/wall-197114981_31?reply=1256&amp;thread=1255</v>
      </c>
      <c r="H934" t="s">
        <v>13</v>
      </c>
      <c r="I934" t="s">
        <v>27</v>
      </c>
      <c r="J934" t="str">
        <f>HYPERLINK("http://vk.com/club197114981")</f>
        <v>http://vk.com/club197114981</v>
      </c>
      <c r="K934">
        <v>38</v>
      </c>
      <c r="L934" t="s">
        <v>28</v>
      </c>
      <c r="N934" t="s">
        <v>16</v>
      </c>
      <c r="O934" t="s">
        <v>27</v>
      </c>
      <c r="P934" t="str">
        <f>HYPERLINK("http://vk.com/club197114981")</f>
        <v>http://vk.com/club197114981</v>
      </c>
      <c r="Q934">
        <v>38</v>
      </c>
      <c r="R934" t="s">
        <v>17</v>
      </c>
      <c r="AJ934" t="s">
        <v>10</v>
      </c>
      <c r="AK934" t="s">
        <v>21</v>
      </c>
      <c r="AZ934" t="s">
        <v>3251</v>
      </c>
    </row>
    <row r="935" spans="1:52" x14ac:dyDescent="0.25">
      <c r="A935" t="s">
        <v>414</v>
      </c>
      <c r="B935" t="s">
        <v>475</v>
      </c>
      <c r="C935" t="s">
        <v>471</v>
      </c>
      <c r="D935" t="s">
        <v>24</v>
      </c>
      <c r="E935" t="s">
        <v>476</v>
      </c>
      <c r="F935" t="s">
        <v>26</v>
      </c>
      <c r="G935" t="str">
        <f>HYPERLINK("https://vk.com/wall-197114981_31?reply=1255")</f>
        <v>https://vk.com/wall-197114981_31?reply=1255</v>
      </c>
      <c r="H935" t="s">
        <v>13</v>
      </c>
      <c r="I935" t="s">
        <v>461</v>
      </c>
      <c r="J935" t="str">
        <f>HYPERLINK("http://vk.com/id17469829")</f>
        <v>http://vk.com/id17469829</v>
      </c>
      <c r="K935">
        <v>374</v>
      </c>
      <c r="L935" t="s">
        <v>80</v>
      </c>
      <c r="M935">
        <v>28</v>
      </c>
      <c r="N935" t="s">
        <v>16</v>
      </c>
      <c r="O935" t="s">
        <v>27</v>
      </c>
      <c r="P935" t="str">
        <f>HYPERLINK("http://vk.com/club197114981")</f>
        <v>http://vk.com/club197114981</v>
      </c>
      <c r="Q935">
        <v>38</v>
      </c>
      <c r="R935" t="s">
        <v>17</v>
      </c>
      <c r="S935" t="s">
        <v>18</v>
      </c>
      <c r="AJ935" t="s">
        <v>10</v>
      </c>
      <c r="AK935" t="s">
        <v>21</v>
      </c>
      <c r="AT935" t="s">
        <v>3245</v>
      </c>
      <c r="AZ935" t="s">
        <v>3251</v>
      </c>
    </row>
    <row r="936" spans="1:52" x14ac:dyDescent="0.25">
      <c r="A936" t="s">
        <v>414</v>
      </c>
      <c r="B936" t="s">
        <v>477</v>
      </c>
      <c r="C936" t="s">
        <v>478</v>
      </c>
      <c r="D936" t="s">
        <v>24</v>
      </c>
      <c r="E936" t="s">
        <v>480</v>
      </c>
      <c r="F936" t="s">
        <v>26</v>
      </c>
      <c r="G936" t="str">
        <f>HYPERLINK("https://vk.com/wall-197114981_31?reply=1253")</f>
        <v>https://vk.com/wall-197114981_31?reply=1253</v>
      </c>
      <c r="H936" t="s">
        <v>13</v>
      </c>
      <c r="I936" t="s">
        <v>461</v>
      </c>
      <c r="J936" t="str">
        <f>HYPERLINK("http://vk.com/id17469829")</f>
        <v>http://vk.com/id17469829</v>
      </c>
      <c r="K936">
        <v>374</v>
      </c>
      <c r="L936" t="s">
        <v>80</v>
      </c>
      <c r="M936">
        <v>28</v>
      </c>
      <c r="N936" t="s">
        <v>16</v>
      </c>
      <c r="O936" t="s">
        <v>27</v>
      </c>
      <c r="P936" t="str">
        <f>HYPERLINK("http://vk.com/club197114981")</f>
        <v>http://vk.com/club197114981</v>
      </c>
      <c r="Q936">
        <v>38</v>
      </c>
      <c r="R936" t="s">
        <v>17</v>
      </c>
      <c r="S936" t="s">
        <v>18</v>
      </c>
      <c r="AJ936" t="s">
        <v>10</v>
      </c>
      <c r="AK936" t="s">
        <v>21</v>
      </c>
      <c r="AZ936" t="s">
        <v>3251</v>
      </c>
    </row>
    <row r="937" spans="1:52" x14ac:dyDescent="0.25">
      <c r="A937" t="s">
        <v>414</v>
      </c>
      <c r="B937" t="s">
        <v>548</v>
      </c>
      <c r="C937" t="s">
        <v>549</v>
      </c>
      <c r="D937" t="s">
        <v>24</v>
      </c>
      <c r="E937" t="s">
        <v>502</v>
      </c>
      <c r="F937" t="s">
        <v>26</v>
      </c>
      <c r="G937" t="str">
        <f>HYPERLINK("https://vk.com/wall-197114981_31?reply=1234&amp;thread=1098")</f>
        <v>https://vk.com/wall-197114981_31?reply=1234&amp;thread=1098</v>
      </c>
      <c r="H937" t="s">
        <v>13</v>
      </c>
      <c r="I937" t="s">
        <v>27</v>
      </c>
      <c r="J937" t="str">
        <f>HYPERLINK("http://vk.com/club197114981")</f>
        <v>http://vk.com/club197114981</v>
      </c>
      <c r="K937">
        <v>38</v>
      </c>
      <c r="L937" t="s">
        <v>28</v>
      </c>
      <c r="N937" t="s">
        <v>16</v>
      </c>
      <c r="O937" t="s">
        <v>27</v>
      </c>
      <c r="P937" t="str">
        <f>HYPERLINK("http://vk.com/club197114981")</f>
        <v>http://vk.com/club197114981</v>
      </c>
      <c r="Q937">
        <v>38</v>
      </c>
      <c r="R937" t="s">
        <v>17</v>
      </c>
      <c r="AJ937" t="s">
        <v>10</v>
      </c>
      <c r="AK937" t="s">
        <v>21</v>
      </c>
      <c r="AO937" t="s">
        <v>3240</v>
      </c>
      <c r="AU937" t="s">
        <v>3246</v>
      </c>
      <c r="AV937" t="s">
        <v>3247</v>
      </c>
      <c r="AZ937" t="s">
        <v>3251</v>
      </c>
    </row>
    <row r="938" spans="1:52" x14ac:dyDescent="0.25">
      <c r="A938" t="s">
        <v>414</v>
      </c>
      <c r="B938" t="s">
        <v>590</v>
      </c>
      <c r="C938" t="s">
        <v>591</v>
      </c>
      <c r="D938" t="s">
        <v>24</v>
      </c>
      <c r="E938" t="s">
        <v>592</v>
      </c>
      <c r="F938" t="s">
        <v>26</v>
      </c>
      <c r="G938" t="str">
        <f>HYPERLINK("https://vk.com/wall-197114981_31?reply=1221&amp;thread=1215")</f>
        <v>https://vk.com/wall-197114981_31?reply=1221&amp;thread=1215</v>
      </c>
      <c r="H938" t="s">
        <v>13</v>
      </c>
      <c r="I938" t="s">
        <v>27</v>
      </c>
      <c r="J938" t="str">
        <f>HYPERLINK("http://vk.com/club197114981")</f>
        <v>http://vk.com/club197114981</v>
      </c>
      <c r="K938">
        <v>38</v>
      </c>
      <c r="L938" t="s">
        <v>28</v>
      </c>
      <c r="N938" t="s">
        <v>16</v>
      </c>
      <c r="O938" t="s">
        <v>27</v>
      </c>
      <c r="P938" t="str">
        <f>HYPERLINK("http://vk.com/club197114981")</f>
        <v>http://vk.com/club197114981</v>
      </c>
      <c r="Q938">
        <v>38</v>
      </c>
      <c r="R938" t="s">
        <v>17</v>
      </c>
      <c r="AJ938" t="s">
        <v>10</v>
      </c>
      <c r="AK938" t="s">
        <v>21</v>
      </c>
      <c r="AN938" t="s">
        <v>3239</v>
      </c>
      <c r="AT938" t="s">
        <v>3245</v>
      </c>
      <c r="AU938" t="s">
        <v>3246</v>
      </c>
      <c r="AV938" t="s">
        <v>3247</v>
      </c>
      <c r="AZ938" t="s">
        <v>3251</v>
      </c>
    </row>
    <row r="939" spans="1:52" x14ac:dyDescent="0.25">
      <c r="A939" t="s">
        <v>414</v>
      </c>
      <c r="B939" t="s">
        <v>599</v>
      </c>
      <c r="C939" t="s">
        <v>600</v>
      </c>
      <c r="D939" t="s">
        <v>24</v>
      </c>
      <c r="E939" t="s">
        <v>602</v>
      </c>
      <c r="F939" t="s">
        <v>26</v>
      </c>
      <c r="G939" t="str">
        <f>HYPERLINK("https://vk.com/wall-197114981_31?reply=1215")</f>
        <v>https://vk.com/wall-197114981_31?reply=1215</v>
      </c>
      <c r="H939" t="s">
        <v>13</v>
      </c>
      <c r="I939" t="s">
        <v>230</v>
      </c>
      <c r="J939" t="str">
        <f>HYPERLINK("http://vk.com/id556936861")</f>
        <v>http://vk.com/id556936861</v>
      </c>
      <c r="K939">
        <v>165</v>
      </c>
      <c r="L939" t="s">
        <v>80</v>
      </c>
      <c r="N939" t="s">
        <v>16</v>
      </c>
      <c r="O939" t="s">
        <v>27</v>
      </c>
      <c r="P939" t="str">
        <f>HYPERLINK("http://vk.com/club197114981")</f>
        <v>http://vk.com/club197114981</v>
      </c>
      <c r="Q939">
        <v>38</v>
      </c>
      <c r="R939" t="s">
        <v>17</v>
      </c>
      <c r="S939" t="s">
        <v>18</v>
      </c>
      <c r="T939" t="s">
        <v>231</v>
      </c>
      <c r="U939" t="s">
        <v>232</v>
      </c>
      <c r="AJ939" t="s">
        <v>10</v>
      </c>
      <c r="AK939" t="s">
        <v>21</v>
      </c>
      <c r="AN939" t="s">
        <v>3239</v>
      </c>
    </row>
    <row r="940" spans="1:52" x14ac:dyDescent="0.25">
      <c r="A940" t="s">
        <v>414</v>
      </c>
      <c r="B940" t="s">
        <v>621</v>
      </c>
      <c r="C940" t="s">
        <v>611</v>
      </c>
      <c r="D940" t="s">
        <v>612</v>
      </c>
      <c r="E940" t="s">
        <v>622</v>
      </c>
      <c r="F940" t="s">
        <v>45</v>
      </c>
      <c r="G940" t="str">
        <f>HYPERLINK("https://www.google.com/maps/reviews/data=!4m5!14m4!1m3!1m2!1s111003539056729948273!2s0x0:0x29d0d4ba3bf3bc31?hl=en-NL")</f>
        <v>https://www.google.com/maps/reviews/data=!4m5!14m4!1m3!1m2!1s111003539056729948273!2s0x0:0x29d0d4ba3bf3bc31?hl=en-NL</v>
      </c>
      <c r="H940" t="s">
        <v>13</v>
      </c>
      <c r="I940" t="s">
        <v>623</v>
      </c>
      <c r="J940" t="str">
        <f>HYPERLINK("https://maps.google.com/maps/contrib/111003539056729948273")</f>
        <v>https://maps.google.com/maps/contrib/111003539056729948273</v>
      </c>
      <c r="L940" t="s">
        <v>15</v>
      </c>
      <c r="N940" t="s">
        <v>615</v>
      </c>
      <c r="O940" t="s">
        <v>612</v>
      </c>
      <c r="P940" t="str">
        <f>HYPERLINK("https://maps.google.com/maps/place/data=!3m1!4b1!4m5!3m4!1s0x0:0x29d0d4ba3bf3bc31!8m2!3d45.062110!4d38.972250")</f>
        <v>https://maps.google.com/maps/place/data=!3m1!4b1!4m5!3m4!1s0x0:0x29d0d4ba3bf3bc31!8m2!3d45.062110!4d38.972250</v>
      </c>
      <c r="R940" t="s">
        <v>616</v>
      </c>
      <c r="S940" t="s">
        <v>18</v>
      </c>
      <c r="T940" t="s">
        <v>617</v>
      </c>
      <c r="U940" t="s">
        <v>618</v>
      </c>
      <c r="W940">
        <v>0</v>
      </c>
      <c r="X940">
        <v>0</v>
      </c>
      <c r="AH940">
        <v>5</v>
      </c>
      <c r="AJ940" t="s">
        <v>10</v>
      </c>
      <c r="AK940" t="s">
        <v>21</v>
      </c>
      <c r="AN940" t="s">
        <v>3239</v>
      </c>
    </row>
    <row r="941" spans="1:52" x14ac:dyDescent="0.25">
      <c r="A941" t="s">
        <v>414</v>
      </c>
      <c r="B941" t="s">
        <v>712</v>
      </c>
      <c r="C941" t="s">
        <v>713</v>
      </c>
      <c r="D941" t="s">
        <v>24</v>
      </c>
      <c r="E941" t="s">
        <v>715</v>
      </c>
      <c r="F941" t="s">
        <v>26</v>
      </c>
      <c r="G941" t="str">
        <f>HYPERLINK("https://vk.com/wall-197114981_31?reply=1180")</f>
        <v>https://vk.com/wall-197114981_31?reply=1180</v>
      </c>
      <c r="H941" t="s">
        <v>13</v>
      </c>
      <c r="I941" t="s">
        <v>596</v>
      </c>
      <c r="J941" t="str">
        <f>HYPERLINK("http://vk.com/id229177703")</f>
        <v>http://vk.com/id229177703</v>
      </c>
      <c r="K941">
        <v>686</v>
      </c>
      <c r="L941" t="s">
        <v>80</v>
      </c>
      <c r="N941" t="s">
        <v>16</v>
      </c>
      <c r="O941" t="s">
        <v>27</v>
      </c>
      <c r="P941" t="str">
        <f>HYPERLINK("http://vk.com/club197114981")</f>
        <v>http://vk.com/club197114981</v>
      </c>
      <c r="Q941">
        <v>38</v>
      </c>
      <c r="R941" t="s">
        <v>17</v>
      </c>
      <c r="S941" t="s">
        <v>18</v>
      </c>
      <c r="T941" t="s">
        <v>231</v>
      </c>
      <c r="U941" t="s">
        <v>232</v>
      </c>
      <c r="AJ941" t="s">
        <v>10</v>
      </c>
      <c r="AK941" t="s">
        <v>21</v>
      </c>
      <c r="AN941" t="s">
        <v>3239</v>
      </c>
    </row>
    <row r="942" spans="1:52" x14ac:dyDescent="0.25">
      <c r="A942" t="s">
        <v>414</v>
      </c>
      <c r="B942" t="s">
        <v>748</v>
      </c>
      <c r="C942" t="s">
        <v>749</v>
      </c>
      <c r="D942" t="s">
        <v>24</v>
      </c>
      <c r="E942" t="s">
        <v>734</v>
      </c>
      <c r="F942" t="s">
        <v>26</v>
      </c>
      <c r="G942" t="str">
        <f>HYPERLINK("https://vk.com/wall-197114981_31?reply=1173&amp;thread=1139")</f>
        <v>https://vk.com/wall-197114981_31?reply=1173&amp;thread=1139</v>
      </c>
      <c r="H942" t="s">
        <v>13</v>
      </c>
      <c r="I942" t="s">
        <v>27</v>
      </c>
      <c r="J942" t="str">
        <f>HYPERLINK("http://vk.com/club197114981")</f>
        <v>http://vk.com/club197114981</v>
      </c>
      <c r="K942">
        <v>38</v>
      </c>
      <c r="L942" t="s">
        <v>28</v>
      </c>
      <c r="N942" t="s">
        <v>16</v>
      </c>
      <c r="O942" t="s">
        <v>27</v>
      </c>
      <c r="P942" t="str">
        <f>HYPERLINK("http://vk.com/club197114981")</f>
        <v>http://vk.com/club197114981</v>
      </c>
      <c r="Q942">
        <v>38</v>
      </c>
      <c r="R942" t="s">
        <v>17</v>
      </c>
      <c r="AJ942" t="s">
        <v>10</v>
      </c>
      <c r="AK942" t="s">
        <v>21</v>
      </c>
      <c r="AN942" t="s">
        <v>3239</v>
      </c>
      <c r="AT942" t="s">
        <v>3245</v>
      </c>
      <c r="AU942" t="s">
        <v>3246</v>
      </c>
      <c r="AW942" t="s">
        <v>3248</v>
      </c>
      <c r="AX942" t="s">
        <v>3249</v>
      </c>
      <c r="AZ942" t="s">
        <v>3251</v>
      </c>
    </row>
    <row r="943" spans="1:52" x14ac:dyDescent="0.25">
      <c r="A943" t="s">
        <v>772</v>
      </c>
      <c r="B943" t="s">
        <v>791</v>
      </c>
      <c r="C943" t="s">
        <v>792</v>
      </c>
      <c r="D943" t="s">
        <v>24</v>
      </c>
      <c r="E943" t="s">
        <v>794</v>
      </c>
      <c r="F943" t="s">
        <v>26</v>
      </c>
      <c r="G943" t="str">
        <f>HYPERLINK("https://vk.com/wall-197114981_31?reply=1154")</f>
        <v>https://vk.com/wall-197114981_31?reply=1154</v>
      </c>
      <c r="H943" t="s">
        <v>13</v>
      </c>
      <c r="I943" t="s">
        <v>679</v>
      </c>
      <c r="J943" t="str">
        <f>HYPERLINK("http://vk.com/id12541741")</f>
        <v>http://vk.com/id12541741</v>
      </c>
      <c r="K943">
        <v>5833</v>
      </c>
      <c r="L943" t="s">
        <v>80</v>
      </c>
      <c r="M943">
        <v>37</v>
      </c>
      <c r="N943" t="s">
        <v>16</v>
      </c>
      <c r="O943" t="s">
        <v>27</v>
      </c>
      <c r="P943" t="str">
        <f>HYPERLINK("http://vk.com/club197114981")</f>
        <v>http://vk.com/club197114981</v>
      </c>
      <c r="Q943">
        <v>38</v>
      </c>
      <c r="R943" t="s">
        <v>17</v>
      </c>
      <c r="S943" t="s">
        <v>18</v>
      </c>
      <c r="T943" t="s">
        <v>231</v>
      </c>
      <c r="U943" t="s">
        <v>232</v>
      </c>
      <c r="AJ943" t="s">
        <v>10</v>
      </c>
      <c r="AK943" t="s">
        <v>21</v>
      </c>
      <c r="AN943" t="s">
        <v>3239</v>
      </c>
      <c r="AZ943" t="s">
        <v>3251</v>
      </c>
    </row>
    <row r="944" spans="1:52" x14ac:dyDescent="0.25">
      <c r="A944" t="s">
        <v>772</v>
      </c>
      <c r="B944" t="s">
        <v>873</v>
      </c>
      <c r="C944" t="s">
        <v>874</v>
      </c>
      <c r="D944" t="s">
        <v>10</v>
      </c>
      <c r="E944" t="s">
        <v>875</v>
      </c>
      <c r="F944" t="s">
        <v>45</v>
      </c>
      <c r="G944" t="str">
        <f>HYPERLINK("https://telegram.me/dealsma/1350")</f>
        <v>https://telegram.me/dealsma/1350</v>
      </c>
      <c r="H944" t="s">
        <v>13</v>
      </c>
      <c r="I944" t="s">
        <v>876</v>
      </c>
      <c r="J944" t="str">
        <f>HYPERLINK("https://telegram.me/dealsma")</f>
        <v>https://telegram.me/dealsma</v>
      </c>
      <c r="K944">
        <v>277</v>
      </c>
      <c r="L944" t="s">
        <v>28</v>
      </c>
      <c r="N944" t="s">
        <v>877</v>
      </c>
      <c r="O944" t="s">
        <v>876</v>
      </c>
      <c r="P944" t="str">
        <f>HYPERLINK("https://telegram.me/dealsma")</f>
        <v>https://telegram.me/dealsma</v>
      </c>
      <c r="Q944">
        <v>277</v>
      </c>
      <c r="R944" t="s">
        <v>878</v>
      </c>
      <c r="AG944">
        <v>88</v>
      </c>
      <c r="AJ944" t="s">
        <v>10</v>
      </c>
      <c r="AK944" t="s">
        <v>21</v>
      </c>
      <c r="AZ944" t="s">
        <v>3251</v>
      </c>
    </row>
    <row r="945" spans="1:52" x14ac:dyDescent="0.25">
      <c r="A945" t="s">
        <v>772</v>
      </c>
      <c r="B945" t="s">
        <v>911</v>
      </c>
      <c r="C945" t="s">
        <v>912</v>
      </c>
      <c r="D945" t="s">
        <v>24</v>
      </c>
      <c r="E945" t="s">
        <v>656</v>
      </c>
      <c r="F945" t="s">
        <v>26</v>
      </c>
      <c r="G945" t="str">
        <f>HYPERLINK("https://vk.com/wall-197114981_31?reply=1115&amp;thread=1098")</f>
        <v>https://vk.com/wall-197114981_31?reply=1115&amp;thread=1098</v>
      </c>
      <c r="H945" t="s">
        <v>889</v>
      </c>
      <c r="I945" t="s">
        <v>27</v>
      </c>
      <c r="J945" t="str">
        <f>HYPERLINK("http://vk.com/club197114981")</f>
        <v>http://vk.com/club197114981</v>
      </c>
      <c r="K945">
        <v>38</v>
      </c>
      <c r="L945" t="s">
        <v>28</v>
      </c>
      <c r="N945" t="s">
        <v>16</v>
      </c>
      <c r="O945" t="s">
        <v>27</v>
      </c>
      <c r="P945" t="str">
        <f>HYPERLINK("http://vk.com/club197114981")</f>
        <v>http://vk.com/club197114981</v>
      </c>
      <c r="Q945">
        <v>38</v>
      </c>
      <c r="R945" t="s">
        <v>17</v>
      </c>
      <c r="AJ945" t="s">
        <v>10</v>
      </c>
      <c r="AK945" t="s">
        <v>21</v>
      </c>
      <c r="AV945" t="s">
        <v>3247</v>
      </c>
      <c r="AZ945" t="s">
        <v>3251</v>
      </c>
    </row>
    <row r="946" spans="1:52" x14ac:dyDescent="0.25">
      <c r="A946" t="s">
        <v>772</v>
      </c>
      <c r="B946" t="s">
        <v>934</v>
      </c>
      <c r="C946" t="s">
        <v>935</v>
      </c>
      <c r="D946" t="s">
        <v>24</v>
      </c>
      <c r="E946" t="s">
        <v>656</v>
      </c>
      <c r="F946" t="s">
        <v>26</v>
      </c>
      <c r="G946" t="str">
        <f>HYPERLINK("https://vk.com/wall-197114981_31?reply=1105&amp;thread=1098")</f>
        <v>https://vk.com/wall-197114981_31?reply=1105&amp;thread=1098</v>
      </c>
      <c r="H946" t="s">
        <v>889</v>
      </c>
      <c r="I946" t="s">
        <v>27</v>
      </c>
      <c r="J946" t="str">
        <f>HYPERLINK("http://vk.com/club197114981")</f>
        <v>http://vk.com/club197114981</v>
      </c>
      <c r="K946">
        <v>38</v>
      </c>
      <c r="L946" t="s">
        <v>28</v>
      </c>
      <c r="N946" t="s">
        <v>16</v>
      </c>
      <c r="O946" t="s">
        <v>27</v>
      </c>
      <c r="P946" t="str">
        <f>HYPERLINK("http://vk.com/club197114981")</f>
        <v>http://vk.com/club197114981</v>
      </c>
      <c r="Q946">
        <v>38</v>
      </c>
      <c r="R946" t="s">
        <v>17</v>
      </c>
      <c r="AJ946" t="s">
        <v>10</v>
      </c>
      <c r="AK946" t="s">
        <v>21</v>
      </c>
      <c r="AN946" t="s">
        <v>3239</v>
      </c>
      <c r="AW946" t="s">
        <v>3248</v>
      </c>
      <c r="AZ946" t="s">
        <v>3251</v>
      </c>
    </row>
    <row r="947" spans="1:52" x14ac:dyDescent="0.25">
      <c r="A947" t="s">
        <v>772</v>
      </c>
      <c r="B947" t="s">
        <v>565</v>
      </c>
      <c r="C947" t="s">
        <v>941</v>
      </c>
      <c r="D947" t="s">
        <v>24</v>
      </c>
      <c r="E947" t="s">
        <v>943</v>
      </c>
      <c r="F947" t="s">
        <v>26</v>
      </c>
      <c r="G947" t="str">
        <f>HYPERLINK("https://vk.com/wall-197114981_31?reply=1100&amp;thread=1098")</f>
        <v>https://vk.com/wall-197114981_31?reply=1100&amp;thread=1098</v>
      </c>
      <c r="H947" t="s">
        <v>885</v>
      </c>
      <c r="I947" t="s">
        <v>489</v>
      </c>
      <c r="J947" t="str">
        <f>HYPERLINK("http://vk.com/id565363508")</f>
        <v>http://vk.com/id565363508</v>
      </c>
      <c r="K947">
        <v>140</v>
      </c>
      <c r="L947" t="s">
        <v>80</v>
      </c>
      <c r="N947" t="s">
        <v>16</v>
      </c>
      <c r="O947" t="s">
        <v>27</v>
      </c>
      <c r="P947" t="str">
        <f>HYPERLINK("http://vk.com/club197114981")</f>
        <v>http://vk.com/club197114981</v>
      </c>
      <c r="Q947">
        <v>38</v>
      </c>
      <c r="R947" t="s">
        <v>17</v>
      </c>
      <c r="S947" t="s">
        <v>18</v>
      </c>
      <c r="T947" t="s">
        <v>231</v>
      </c>
      <c r="U947" t="s">
        <v>232</v>
      </c>
      <c r="AJ947" t="s">
        <v>10</v>
      </c>
      <c r="AK947" t="s">
        <v>21</v>
      </c>
      <c r="AN947" t="s">
        <v>3239</v>
      </c>
      <c r="AV947" t="s">
        <v>3247</v>
      </c>
      <c r="AW947" t="s">
        <v>3248</v>
      </c>
      <c r="AX947" t="s">
        <v>3249</v>
      </c>
      <c r="AZ947" t="s">
        <v>3251</v>
      </c>
    </row>
    <row r="948" spans="1:52" x14ac:dyDescent="0.25">
      <c r="A948" t="s">
        <v>772</v>
      </c>
      <c r="B948" t="s">
        <v>944</v>
      </c>
      <c r="C948" t="s">
        <v>945</v>
      </c>
      <c r="D948" t="s">
        <v>24</v>
      </c>
      <c r="E948" t="s">
        <v>946</v>
      </c>
      <c r="F948" t="s">
        <v>26</v>
      </c>
      <c r="G948" t="str">
        <f>HYPERLINK("https://vk.com/wall-197114981_31?reply=1099&amp;thread=1098")</f>
        <v>https://vk.com/wall-197114981_31?reply=1099&amp;thread=1098</v>
      </c>
      <c r="H948" t="s">
        <v>885</v>
      </c>
      <c r="I948" t="s">
        <v>27</v>
      </c>
      <c r="J948" t="str">
        <f>HYPERLINK("http://vk.com/club197114981")</f>
        <v>http://vk.com/club197114981</v>
      </c>
      <c r="K948">
        <v>38</v>
      </c>
      <c r="L948" t="s">
        <v>28</v>
      </c>
      <c r="N948" t="s">
        <v>16</v>
      </c>
      <c r="O948" t="s">
        <v>27</v>
      </c>
      <c r="P948" t="str">
        <f>HYPERLINK("http://vk.com/club197114981")</f>
        <v>http://vk.com/club197114981</v>
      </c>
      <c r="Q948">
        <v>38</v>
      </c>
      <c r="R948" t="s">
        <v>17</v>
      </c>
      <c r="AJ948" t="s">
        <v>10</v>
      </c>
      <c r="AK948" t="s">
        <v>21</v>
      </c>
      <c r="AN948" t="s">
        <v>3239</v>
      </c>
      <c r="AW948" t="s">
        <v>3248</v>
      </c>
      <c r="AZ948" t="s">
        <v>3251</v>
      </c>
    </row>
    <row r="949" spans="1:52" x14ac:dyDescent="0.25">
      <c r="A949" t="s">
        <v>772</v>
      </c>
      <c r="B949" t="s">
        <v>954</v>
      </c>
      <c r="C949" t="s">
        <v>955</v>
      </c>
      <c r="D949" t="s">
        <v>24</v>
      </c>
      <c r="E949" t="s">
        <v>957</v>
      </c>
      <c r="F949" t="s">
        <v>26</v>
      </c>
      <c r="G949" t="str">
        <f>HYPERLINK("https://vk.com/wall-197114981_31?reply=1095")</f>
        <v>https://vk.com/wall-197114981_31?reply=1095</v>
      </c>
      <c r="H949" t="s">
        <v>885</v>
      </c>
      <c r="I949" t="s">
        <v>953</v>
      </c>
      <c r="J949" t="str">
        <f>HYPERLINK("http://vk.com/id376985409")</f>
        <v>http://vk.com/id376985409</v>
      </c>
      <c r="K949">
        <v>4</v>
      </c>
      <c r="L949" t="s">
        <v>80</v>
      </c>
      <c r="N949" t="s">
        <v>16</v>
      </c>
      <c r="O949" t="s">
        <v>27</v>
      </c>
      <c r="P949" t="str">
        <f>HYPERLINK("http://vk.com/club197114981")</f>
        <v>http://vk.com/club197114981</v>
      </c>
      <c r="Q949">
        <v>38</v>
      </c>
      <c r="R949" t="s">
        <v>17</v>
      </c>
      <c r="AJ949" t="s">
        <v>10</v>
      </c>
      <c r="AK949" t="s">
        <v>21</v>
      </c>
      <c r="AN949" t="s">
        <v>3239</v>
      </c>
      <c r="AV949" t="s">
        <v>3247</v>
      </c>
      <c r="AZ949" t="s">
        <v>3251</v>
      </c>
    </row>
    <row r="950" spans="1:52" x14ac:dyDescent="0.25">
      <c r="A950" t="s">
        <v>1982</v>
      </c>
      <c r="B950" t="s">
        <v>1999</v>
      </c>
      <c r="C950" t="s">
        <v>968</v>
      </c>
      <c r="D950" t="s">
        <v>10</v>
      </c>
      <c r="E950" t="s">
        <v>1701</v>
      </c>
      <c r="F950" t="s">
        <v>12</v>
      </c>
      <c r="G950" t="str">
        <f>HYPERLINK("https://twitter.com/185289682/status/1287073257120649216")</f>
        <v>https://twitter.com/185289682/status/1287073257120649216</v>
      </c>
      <c r="H950" t="s">
        <v>885</v>
      </c>
      <c r="I950" t="s">
        <v>2000</v>
      </c>
      <c r="J950" t="str">
        <f>HYPERLINK("http://twitter.com/Srispeks")</f>
        <v>http://twitter.com/Srispeks</v>
      </c>
      <c r="K950">
        <v>1303</v>
      </c>
      <c r="N950" t="s">
        <v>54</v>
      </c>
      <c r="R950" t="s">
        <v>17</v>
      </c>
      <c r="S950" t="s">
        <v>1206</v>
      </c>
      <c r="T950" t="s">
        <v>2001</v>
      </c>
      <c r="U950" t="s">
        <v>2002</v>
      </c>
      <c r="W950">
        <v>0</v>
      </c>
      <c r="X950">
        <v>0</v>
      </c>
      <c r="AJ950" t="s">
        <v>10</v>
      </c>
      <c r="AK950" t="s">
        <v>21</v>
      </c>
      <c r="AU950" t="s">
        <v>3246</v>
      </c>
      <c r="AW950" t="s">
        <v>3248</v>
      </c>
      <c r="AX950" t="s">
        <v>3249</v>
      </c>
      <c r="AZ950" t="s">
        <v>3251</v>
      </c>
    </row>
    <row r="951" spans="1:52" x14ac:dyDescent="0.25">
      <c r="A951" t="s">
        <v>2541</v>
      </c>
      <c r="B951" t="s">
        <v>42</v>
      </c>
      <c r="C951" t="s">
        <v>968</v>
      </c>
      <c r="D951" t="s">
        <v>10</v>
      </c>
      <c r="E951" t="s">
        <v>2563</v>
      </c>
      <c r="F951" t="s">
        <v>12</v>
      </c>
      <c r="G951" t="str">
        <f>HYPERLINK("https://www.facebook.com/568390943273818/posts/2989646757814879")</f>
        <v>https://www.facebook.com/568390943273818/posts/2989646757814879</v>
      </c>
      <c r="H951" t="s">
        <v>885</v>
      </c>
      <c r="I951" t="s">
        <v>280</v>
      </c>
      <c r="J951" t="str">
        <f>HYPERLINK("https://www.facebook.com/568390943273818")</f>
        <v>https://www.facebook.com/568390943273818</v>
      </c>
      <c r="K951">
        <v>18918</v>
      </c>
      <c r="L951" t="s">
        <v>28</v>
      </c>
      <c r="N951" t="s">
        <v>179</v>
      </c>
      <c r="O951" t="s">
        <v>280</v>
      </c>
      <c r="P951" t="str">
        <f>HYPERLINK("https://www.facebook.com/568390943273818")</f>
        <v>https://www.facebook.com/568390943273818</v>
      </c>
      <c r="Q951">
        <v>18918</v>
      </c>
      <c r="R951" t="s">
        <v>17</v>
      </c>
      <c r="S951" t="s">
        <v>281</v>
      </c>
      <c r="T951" t="s">
        <v>282</v>
      </c>
      <c r="U951" t="s">
        <v>282</v>
      </c>
      <c r="AI951" t="str">
        <f>HYPERLINK("https://scontent-frx5-1.xx.fbcdn.net/v/t1.0-9/s720x720/107846578_2991776727601882_5684747262143902235_o.jpg?_nc_cat=100&amp;_nc_sid=8024bb&amp;_nc_ohc=vilT4IMjqLAAX8LUgOw&amp;_nc_ht=scontent-frx5-1.xx&amp;_nc_tp=7&amp;oh=58fded8f071fc272bda33bf543216e79&amp;oe=5F34CAFA")</f>
        <v>https://scontent-frx5-1.xx.fbcdn.net/v/t1.0-9/s720x720/107846578_2991776727601882_5684747262143902235_o.jpg?_nc_cat=100&amp;_nc_sid=8024bb&amp;_nc_ohc=vilT4IMjqLAAX8LUgOw&amp;_nc_ht=scontent-frx5-1.xx&amp;_nc_tp=7&amp;oh=58fded8f071fc272bda33bf543216e79&amp;oe=5F34CAFA</v>
      </c>
      <c r="AJ951" t="s">
        <v>10</v>
      </c>
      <c r="AK951" t="s">
        <v>21</v>
      </c>
      <c r="AV951" t="s">
        <v>3247</v>
      </c>
      <c r="AW951" t="s">
        <v>3248</v>
      </c>
    </row>
    <row r="952" spans="1:52" x14ac:dyDescent="0.25">
      <c r="A952" t="s">
        <v>2589</v>
      </c>
      <c r="B952" t="s">
        <v>2660</v>
      </c>
      <c r="C952" t="s">
        <v>968</v>
      </c>
      <c r="D952" t="s">
        <v>421</v>
      </c>
      <c r="E952" t="s">
        <v>2661</v>
      </c>
      <c r="F952" t="s">
        <v>26</v>
      </c>
      <c r="G952" t="str">
        <f>HYPERLINK("https://www.youtube.com/watch?v=gaka1vqYFNs&amp;lc=UgzI-TwmVTPHxCmmhmd4AaABAg")</f>
        <v>https://www.youtube.com/watch?v=gaka1vqYFNs&amp;lc=UgzI-TwmVTPHxCmmhmd4AaABAg</v>
      </c>
      <c r="H952" t="s">
        <v>885</v>
      </c>
      <c r="I952" t="s">
        <v>2662</v>
      </c>
      <c r="J952" t="str">
        <f>HYPERLINK("https://www.youtube.com/channel/UC3yeasTqUgv1q6qHH171_6g")</f>
        <v>https://www.youtube.com/channel/UC3yeasTqUgv1q6qHH171_6g</v>
      </c>
      <c r="K952">
        <v>1870</v>
      </c>
      <c r="N952" t="s">
        <v>162</v>
      </c>
      <c r="O952" t="s">
        <v>424</v>
      </c>
      <c r="P952" t="str">
        <f>HYPERLINK("https://www.youtube.com/channel/UC8fQzKHIhSoZeSq3bwQx4mw")</f>
        <v>https://www.youtube.com/channel/UC8fQzKHIhSoZeSq3bwQx4mw</v>
      </c>
      <c r="Q952">
        <v>517000</v>
      </c>
      <c r="R952" t="s">
        <v>17</v>
      </c>
      <c r="S952" t="s">
        <v>425</v>
      </c>
      <c r="W952">
        <v>0</v>
      </c>
      <c r="X952">
        <v>0</v>
      </c>
      <c r="AE952">
        <v>1</v>
      </c>
      <c r="AJ952" t="s">
        <v>10</v>
      </c>
      <c r="AK952" t="s">
        <v>21</v>
      </c>
      <c r="AT952" t="s">
        <v>3245</v>
      </c>
      <c r="AU952" t="s">
        <v>3246</v>
      </c>
    </row>
    <row r="953" spans="1:52" x14ac:dyDescent="0.25">
      <c r="A953" t="s">
        <v>2684</v>
      </c>
      <c r="B953" t="s">
        <v>2695</v>
      </c>
      <c r="C953" t="s">
        <v>968</v>
      </c>
      <c r="D953" t="s">
        <v>2696</v>
      </c>
      <c r="E953" t="s">
        <v>2697</v>
      </c>
      <c r="F953" t="s">
        <v>26</v>
      </c>
      <c r="G953" t="str">
        <f>HYPERLINK("https://vk.com/wall-146414683_1100277?reply=1100367&amp;thread=1100296")</f>
        <v>https://vk.com/wall-146414683_1100277?reply=1100367&amp;thread=1100296</v>
      </c>
      <c r="H953" t="s">
        <v>885</v>
      </c>
      <c r="I953" t="s">
        <v>1179</v>
      </c>
      <c r="J953" t="str">
        <f>HYPERLINK("http://vk.com/id43531499")</f>
        <v>http://vk.com/id43531499</v>
      </c>
      <c r="K953">
        <v>535</v>
      </c>
      <c r="L953" t="s">
        <v>80</v>
      </c>
      <c r="N953" t="s">
        <v>16</v>
      </c>
      <c r="O953" t="s">
        <v>1180</v>
      </c>
      <c r="P953" t="str">
        <f>HYPERLINK("http://vk.com/club146414683")</f>
        <v>http://vk.com/club146414683</v>
      </c>
      <c r="Q953">
        <v>42361</v>
      </c>
      <c r="R953" t="s">
        <v>17</v>
      </c>
      <c r="S953" t="s">
        <v>18</v>
      </c>
      <c r="T953" t="s">
        <v>1181</v>
      </c>
      <c r="U953" t="s">
        <v>1182</v>
      </c>
      <c r="AJ953" t="s">
        <v>10</v>
      </c>
      <c r="AK953" t="s">
        <v>21</v>
      </c>
      <c r="AU953" t="s">
        <v>3246</v>
      </c>
      <c r="AW953" t="s">
        <v>3248</v>
      </c>
    </row>
    <row r="954" spans="1:52" x14ac:dyDescent="0.25">
      <c r="A954" t="s">
        <v>2767</v>
      </c>
      <c r="B954" t="s">
        <v>1093</v>
      </c>
      <c r="C954" t="s">
        <v>968</v>
      </c>
      <c r="D954" t="s">
        <v>10</v>
      </c>
      <c r="E954" t="s">
        <v>2554</v>
      </c>
      <c r="F954" t="s">
        <v>45</v>
      </c>
      <c r="G954" t="str">
        <f>HYPERLINK("https://vk.com/wall-158633337_922")</f>
        <v>https://vk.com/wall-158633337_922</v>
      </c>
      <c r="H954" t="s">
        <v>889</v>
      </c>
      <c r="I954" t="s">
        <v>125</v>
      </c>
      <c r="J954" t="str">
        <f>HYPERLINK("http://vk.com/club158633337")</f>
        <v>http://vk.com/club158633337</v>
      </c>
      <c r="K954">
        <v>4852</v>
      </c>
      <c r="L954" t="s">
        <v>28</v>
      </c>
      <c r="N954" t="s">
        <v>16</v>
      </c>
      <c r="O954" t="s">
        <v>125</v>
      </c>
      <c r="P954" t="str">
        <f>HYPERLINK("http://vk.com/club158633337")</f>
        <v>http://vk.com/club158633337</v>
      </c>
      <c r="Q954">
        <v>4852</v>
      </c>
      <c r="R954" t="s">
        <v>17</v>
      </c>
      <c r="S954" t="s">
        <v>18</v>
      </c>
      <c r="T954" t="s">
        <v>126</v>
      </c>
      <c r="U954" t="s">
        <v>127</v>
      </c>
      <c r="W954">
        <v>0</v>
      </c>
      <c r="X954">
        <v>0</v>
      </c>
      <c r="AE954">
        <v>0</v>
      </c>
      <c r="AF954">
        <v>0</v>
      </c>
      <c r="AG954">
        <v>106</v>
      </c>
      <c r="AI954" t="str">
        <f>HYPERLINK("https://sun1-96.userapi.com/YSXpPvo22Djl1zwIZsAjDr6jyJK_CCGm-hUmcQ/EE2ugggxPxE.jpg")</f>
        <v>https://sun1-96.userapi.com/YSXpPvo22Djl1zwIZsAjDr6jyJK_CCGm-hUmcQ/EE2ugggxPxE.jpg</v>
      </c>
      <c r="AJ954" t="s">
        <v>10</v>
      </c>
      <c r="AK954" t="s">
        <v>21</v>
      </c>
      <c r="AM954" t="s">
        <v>3238</v>
      </c>
      <c r="AW954" t="s">
        <v>3248</v>
      </c>
    </row>
    <row r="955" spans="1:52" x14ac:dyDescent="0.25">
      <c r="A955" t="s">
        <v>2865</v>
      </c>
      <c r="B955" t="s">
        <v>2888</v>
      </c>
      <c r="C955" t="s">
        <v>968</v>
      </c>
      <c r="D955" t="s">
        <v>10</v>
      </c>
      <c r="E955" t="s">
        <v>2889</v>
      </c>
      <c r="F955" t="s">
        <v>26</v>
      </c>
      <c r="G955" t="str">
        <f>HYPERLINK("https://twitter.com/74983077/status/1282132259513020416")</f>
        <v>https://twitter.com/74983077/status/1282132259513020416</v>
      </c>
      <c r="H955" t="s">
        <v>885</v>
      </c>
      <c r="I955" t="s">
        <v>2887</v>
      </c>
      <c r="J955" t="str">
        <f>HYPERLINK("http://twitter.com/cpuuri")</f>
        <v>http://twitter.com/cpuuri</v>
      </c>
      <c r="K955">
        <v>18</v>
      </c>
      <c r="N955" t="s">
        <v>54</v>
      </c>
      <c r="R955" t="s">
        <v>17</v>
      </c>
      <c r="W955">
        <v>0</v>
      </c>
      <c r="X955">
        <v>0</v>
      </c>
      <c r="AE955">
        <v>2</v>
      </c>
      <c r="AF955">
        <v>0</v>
      </c>
      <c r="AJ955" t="s">
        <v>10</v>
      </c>
      <c r="AK955" t="s">
        <v>21</v>
      </c>
      <c r="AL955" t="s">
        <v>3237</v>
      </c>
      <c r="AW955" t="s">
        <v>3248</v>
      </c>
    </row>
    <row r="956" spans="1:52" x14ac:dyDescent="0.25">
      <c r="A956" t="s">
        <v>7</v>
      </c>
      <c r="B956" t="s">
        <v>75</v>
      </c>
      <c r="C956" t="s">
        <v>76</v>
      </c>
      <c r="D956" t="s">
        <v>24</v>
      </c>
      <c r="E956" t="s">
        <v>77</v>
      </c>
      <c r="F956" t="s">
        <v>26</v>
      </c>
      <c r="G956" t="str">
        <f>HYPERLINK("https://vk.com/wall-197114981_31?reply=1374&amp;thread=1373")</f>
        <v>https://vk.com/wall-197114981_31?reply=1374&amp;thread=1373</v>
      </c>
      <c r="H956" t="s">
        <v>13</v>
      </c>
      <c r="I956" t="s">
        <v>27</v>
      </c>
      <c r="J956" t="str">
        <f>HYPERLINK("http://vk.com/club197114981")</f>
        <v>http://vk.com/club197114981</v>
      </c>
      <c r="K956">
        <v>38</v>
      </c>
      <c r="L956" t="s">
        <v>28</v>
      </c>
      <c r="N956" t="s">
        <v>16</v>
      </c>
      <c r="O956" t="s">
        <v>27</v>
      </c>
      <c r="P956" t="str">
        <f>HYPERLINK("http://vk.com/club197114981")</f>
        <v>http://vk.com/club197114981</v>
      </c>
      <c r="Q956">
        <v>38</v>
      </c>
      <c r="R956" t="s">
        <v>17</v>
      </c>
      <c r="AJ956" t="s">
        <v>10</v>
      </c>
      <c r="AK956" t="s">
        <v>21</v>
      </c>
    </row>
    <row r="957" spans="1:52" x14ac:dyDescent="0.25">
      <c r="A957" t="s">
        <v>7</v>
      </c>
      <c r="B957" t="s">
        <v>86</v>
      </c>
      <c r="C957" t="s">
        <v>87</v>
      </c>
      <c r="D957" t="s">
        <v>24</v>
      </c>
      <c r="E957" t="s">
        <v>89</v>
      </c>
      <c r="F957" t="s">
        <v>26</v>
      </c>
      <c r="G957" t="str">
        <f>HYPERLINK("https://vk.com/wall-197114981_31?reply=1370")</f>
        <v>https://vk.com/wall-197114981_31?reply=1370</v>
      </c>
      <c r="H957" t="s">
        <v>13</v>
      </c>
      <c r="I957" t="s">
        <v>79</v>
      </c>
      <c r="J957" t="str">
        <f>HYPERLINK("http://vk.com/id95456096")</f>
        <v>http://vk.com/id95456096</v>
      </c>
      <c r="K957">
        <v>1176</v>
      </c>
      <c r="L957" t="s">
        <v>80</v>
      </c>
      <c r="N957" t="s">
        <v>16</v>
      </c>
      <c r="O957" t="s">
        <v>27</v>
      </c>
      <c r="P957" t="str">
        <f>HYPERLINK("http://vk.com/club197114981")</f>
        <v>http://vk.com/club197114981</v>
      </c>
      <c r="Q957">
        <v>38</v>
      </c>
      <c r="R957" t="s">
        <v>17</v>
      </c>
      <c r="S957" t="s">
        <v>18</v>
      </c>
      <c r="AJ957" t="s">
        <v>10</v>
      </c>
      <c r="AK957" t="s">
        <v>21</v>
      </c>
      <c r="AL957" t="s">
        <v>3237</v>
      </c>
      <c r="AW957" t="s">
        <v>3248</v>
      </c>
    </row>
    <row r="958" spans="1:52" x14ac:dyDescent="0.25">
      <c r="A958" t="s">
        <v>7</v>
      </c>
      <c r="B958" t="s">
        <v>195</v>
      </c>
      <c r="C958" t="s">
        <v>196</v>
      </c>
      <c r="D958" t="s">
        <v>10</v>
      </c>
      <c r="E958" t="s">
        <v>60</v>
      </c>
      <c r="F958" t="s">
        <v>45</v>
      </c>
      <c r="G958" t="str">
        <f>HYPERLINK("https://vk.com/wall-161208565_5870")</f>
        <v>https://vk.com/wall-161208565_5870</v>
      </c>
      <c r="H958" t="s">
        <v>13</v>
      </c>
      <c r="I958" t="s">
        <v>197</v>
      </c>
      <c r="J958" t="str">
        <f>HYPERLINK("http://vk.com/club161208565")</f>
        <v>http://vk.com/club161208565</v>
      </c>
      <c r="K958">
        <v>741</v>
      </c>
      <c r="L958" t="s">
        <v>28</v>
      </c>
      <c r="N958" t="s">
        <v>16</v>
      </c>
      <c r="O958" t="s">
        <v>197</v>
      </c>
      <c r="P958" t="str">
        <f>HYPERLINK("http://vk.com/club161208565")</f>
        <v>http://vk.com/club161208565</v>
      </c>
      <c r="Q958">
        <v>741</v>
      </c>
      <c r="R958" t="s">
        <v>17</v>
      </c>
      <c r="S958" t="s">
        <v>18</v>
      </c>
      <c r="T958" t="s">
        <v>19</v>
      </c>
      <c r="U958" t="s">
        <v>20</v>
      </c>
      <c r="W958">
        <v>1</v>
      </c>
      <c r="X958">
        <v>1</v>
      </c>
      <c r="AE958">
        <v>0</v>
      </c>
      <c r="AF958">
        <v>0</v>
      </c>
      <c r="AG958">
        <v>105</v>
      </c>
      <c r="AI958" t="str">
        <f>HYPERLINK("https://sun9-27.userapi.com/c206828/v206828022/17abeb/V44qE12JCLc.jpg")</f>
        <v>https://sun9-27.userapi.com/c206828/v206828022/17abeb/V44qE12JCLc.jpg</v>
      </c>
      <c r="AJ958" t="s">
        <v>10</v>
      </c>
      <c r="AK958" t="s">
        <v>21</v>
      </c>
      <c r="AL958" t="s">
        <v>3237</v>
      </c>
    </row>
    <row r="959" spans="1:52" x14ac:dyDescent="0.25">
      <c r="A959" t="s">
        <v>7</v>
      </c>
      <c r="B959" t="s">
        <v>253</v>
      </c>
      <c r="C959" t="s">
        <v>254</v>
      </c>
      <c r="D959" t="s">
        <v>24</v>
      </c>
      <c r="E959" t="s">
        <v>255</v>
      </c>
      <c r="F959" t="s">
        <v>26</v>
      </c>
      <c r="G959" t="str">
        <f>HYPERLINK("https://vk.com/wall-197114981_31?reply=1349&amp;thread=1348")</f>
        <v>https://vk.com/wall-197114981_31?reply=1349&amp;thread=1348</v>
      </c>
      <c r="H959" t="s">
        <v>13</v>
      </c>
      <c r="I959" t="s">
        <v>27</v>
      </c>
      <c r="J959" t="str">
        <f>HYPERLINK("http://vk.com/club197114981")</f>
        <v>http://vk.com/club197114981</v>
      </c>
      <c r="K959">
        <v>38</v>
      </c>
      <c r="L959" t="s">
        <v>28</v>
      </c>
      <c r="N959" t="s">
        <v>16</v>
      </c>
      <c r="O959" t="s">
        <v>27</v>
      </c>
      <c r="P959" t="str">
        <f>HYPERLINK("http://vk.com/club197114981")</f>
        <v>http://vk.com/club197114981</v>
      </c>
      <c r="Q959">
        <v>38</v>
      </c>
      <c r="R959" t="s">
        <v>17</v>
      </c>
      <c r="AJ959" t="s">
        <v>10</v>
      </c>
      <c r="AK959" t="s">
        <v>21</v>
      </c>
      <c r="AL959" t="s">
        <v>3237</v>
      </c>
    </row>
    <row r="960" spans="1:52" x14ac:dyDescent="0.25">
      <c r="A960" t="s">
        <v>7</v>
      </c>
      <c r="B960" t="s">
        <v>384</v>
      </c>
      <c r="C960" t="s">
        <v>385</v>
      </c>
      <c r="D960" t="s">
        <v>24</v>
      </c>
      <c r="E960" t="s">
        <v>392</v>
      </c>
      <c r="F960" t="s">
        <v>26</v>
      </c>
      <c r="G960" t="str">
        <f>HYPERLINK("https://vk.com/wall-197114981_31?reply=1298&amp;thread=1293")</f>
        <v>https://vk.com/wall-197114981_31?reply=1298&amp;thread=1293</v>
      </c>
      <c r="H960" t="s">
        <v>13</v>
      </c>
      <c r="I960" t="s">
        <v>27</v>
      </c>
      <c r="J960" t="str">
        <f>HYPERLINK("http://vk.com/club197114981")</f>
        <v>http://vk.com/club197114981</v>
      </c>
      <c r="K960">
        <v>38</v>
      </c>
      <c r="L960" t="s">
        <v>28</v>
      </c>
      <c r="N960" t="s">
        <v>16</v>
      </c>
      <c r="O960" t="s">
        <v>27</v>
      </c>
      <c r="P960" t="str">
        <f>HYPERLINK("http://vk.com/club197114981")</f>
        <v>http://vk.com/club197114981</v>
      </c>
      <c r="Q960">
        <v>38</v>
      </c>
      <c r="R960" t="s">
        <v>17</v>
      </c>
      <c r="AJ960" t="s">
        <v>10</v>
      </c>
      <c r="AK960" t="s">
        <v>21</v>
      </c>
      <c r="AM960" t="s">
        <v>3238</v>
      </c>
      <c r="AW960" t="s">
        <v>3248</v>
      </c>
    </row>
    <row r="961" spans="1:52" x14ac:dyDescent="0.25">
      <c r="A961" t="s">
        <v>1352</v>
      </c>
      <c r="B961" t="s">
        <v>1358</v>
      </c>
      <c r="C961" t="s">
        <v>984</v>
      </c>
      <c r="D961" t="s">
        <v>10</v>
      </c>
      <c r="E961" t="s">
        <v>1359</v>
      </c>
      <c r="F961" t="s">
        <v>45</v>
      </c>
      <c r="G961" t="str">
        <f>HYPERLINK("https://www.instagram.com/p/CDZQ2OvAUwq")</f>
        <v>https://www.instagram.com/p/CDZQ2OvAUwq</v>
      </c>
      <c r="H961" t="s">
        <v>889</v>
      </c>
      <c r="I961" t="s">
        <v>1360</v>
      </c>
      <c r="J961" t="str">
        <f>HYPERLINK("http://instagram.com/marina_iliana_petrovna")</f>
        <v>http://instagram.com/marina_iliana_petrovna</v>
      </c>
      <c r="K961">
        <v>476</v>
      </c>
      <c r="L961" t="s">
        <v>80</v>
      </c>
      <c r="N961" t="s">
        <v>69</v>
      </c>
      <c r="O961" t="s">
        <v>1360</v>
      </c>
      <c r="P961" t="str">
        <f>HYPERLINK("http://instagram.com/marina_iliana_petrovna")</f>
        <v>http://instagram.com/marina_iliana_petrovna</v>
      </c>
      <c r="Q961">
        <v>476</v>
      </c>
      <c r="R961" t="s">
        <v>17</v>
      </c>
      <c r="S961" t="s">
        <v>18</v>
      </c>
      <c r="T961" t="s">
        <v>152</v>
      </c>
      <c r="U961" t="s">
        <v>153</v>
      </c>
      <c r="AI961" t="str">
        <f>HYPERLINK("https://www.instagram.com/p/CDZQ2OvAUwq/media/?size=l")</f>
        <v>https://www.instagram.com/p/CDZQ2OvAUwq/media/?size=l</v>
      </c>
      <c r="AJ961" t="s">
        <v>10</v>
      </c>
      <c r="AK961" t="s">
        <v>21</v>
      </c>
      <c r="AX961" t="s">
        <v>3249</v>
      </c>
    </row>
    <row r="962" spans="1:52" x14ac:dyDescent="0.25">
      <c r="A962" t="s">
        <v>1462</v>
      </c>
      <c r="B962" t="s">
        <v>1489</v>
      </c>
      <c r="C962" t="s">
        <v>984</v>
      </c>
      <c r="D962" t="s">
        <v>1490</v>
      </c>
      <c r="E962" t="s">
        <v>1491</v>
      </c>
      <c r="F962" t="s">
        <v>26</v>
      </c>
      <c r="G962" t="str">
        <f>HYPERLINK("https://vk.com/wall-55131656_184348?reply=184370")</f>
        <v>https://vk.com/wall-55131656_184348?reply=184370</v>
      </c>
      <c r="H962" t="s">
        <v>885</v>
      </c>
      <c r="I962" t="s">
        <v>1492</v>
      </c>
      <c r="J962" t="str">
        <f>HYPERLINK("http://vk.com/id258292937")</f>
        <v>http://vk.com/id258292937</v>
      </c>
      <c r="K962">
        <v>154</v>
      </c>
      <c r="L962" t="s">
        <v>15</v>
      </c>
      <c r="N962" t="s">
        <v>16</v>
      </c>
      <c r="O962" t="s">
        <v>1493</v>
      </c>
      <c r="P962" t="str">
        <f>HYPERLINK("http://vk.com/club55131656")</f>
        <v>http://vk.com/club55131656</v>
      </c>
      <c r="Q962">
        <v>33584</v>
      </c>
      <c r="R962" t="s">
        <v>17</v>
      </c>
      <c r="S962" t="s">
        <v>18</v>
      </c>
      <c r="T962" t="s">
        <v>272</v>
      </c>
      <c r="U962" t="s">
        <v>1300</v>
      </c>
      <c r="AJ962" t="s">
        <v>10</v>
      </c>
      <c r="AK962" t="s">
        <v>21</v>
      </c>
      <c r="AL962" t="s">
        <v>3237</v>
      </c>
      <c r="AW962" t="s">
        <v>3248</v>
      </c>
    </row>
    <row r="963" spans="1:52" x14ac:dyDescent="0.25">
      <c r="A963" t="s">
        <v>2589</v>
      </c>
      <c r="B963" t="s">
        <v>2632</v>
      </c>
      <c r="C963" t="s">
        <v>968</v>
      </c>
      <c r="D963" t="s">
        <v>10</v>
      </c>
      <c r="E963" t="s">
        <v>2461</v>
      </c>
      <c r="F963" t="s">
        <v>45</v>
      </c>
      <c r="G963" t="str">
        <f>HYPERLINK("https://twitter.com/2962941264/status/1283345414595457024")</f>
        <v>https://twitter.com/2962941264/status/1283345414595457024</v>
      </c>
      <c r="H963" t="s">
        <v>885</v>
      </c>
      <c r="I963" t="s">
        <v>2633</v>
      </c>
      <c r="J963" t="str">
        <f>HYPERLINK("http://twitter.com/rasyog_ayurveda")</f>
        <v>http://twitter.com/rasyog_ayurveda</v>
      </c>
      <c r="K963">
        <v>273</v>
      </c>
      <c r="N963" t="s">
        <v>54</v>
      </c>
      <c r="R963" t="s">
        <v>17</v>
      </c>
      <c r="S963" t="s">
        <v>1206</v>
      </c>
      <c r="T963" t="s">
        <v>1250</v>
      </c>
      <c r="U963" t="s">
        <v>2634</v>
      </c>
      <c r="W963">
        <v>0</v>
      </c>
      <c r="X963">
        <v>0</v>
      </c>
      <c r="AF963">
        <v>0</v>
      </c>
      <c r="AI963" t="str">
        <f>HYPERLINK("https://pbs.twimg.com/media/EcDHoyPWsAAiwRk.jpg")</f>
        <v>https://pbs.twimg.com/media/EcDHoyPWsAAiwRk.jpg</v>
      </c>
      <c r="AJ963" t="s">
        <v>10</v>
      </c>
      <c r="AK963" t="s">
        <v>21</v>
      </c>
      <c r="AL963" t="s">
        <v>3237</v>
      </c>
      <c r="AX963" t="s">
        <v>3249</v>
      </c>
    </row>
    <row r="964" spans="1:52" x14ac:dyDescent="0.25">
      <c r="A964" t="s">
        <v>2684</v>
      </c>
      <c r="B964" t="s">
        <v>2161</v>
      </c>
      <c r="C964" t="s">
        <v>968</v>
      </c>
      <c r="D964" t="s">
        <v>2747</v>
      </c>
      <c r="E964" t="s">
        <v>2748</v>
      </c>
      <c r="F964" t="s">
        <v>45</v>
      </c>
      <c r="G964" t="str">
        <f>HYPERLINK("http://martiniwjwk.fitnell.com/32538206/new-step-by-step-map-for-1-mg-xanax")</f>
        <v>http://martiniwjwk.fitnell.com/32538206/new-step-by-step-map-for-1-mg-xanax</v>
      </c>
      <c r="H964" t="s">
        <v>885</v>
      </c>
      <c r="N964" t="s">
        <v>2749</v>
      </c>
      <c r="R964" t="s">
        <v>966</v>
      </c>
      <c r="AJ964" t="s">
        <v>10</v>
      </c>
      <c r="AK964" t="s">
        <v>21</v>
      </c>
      <c r="AM964" t="s">
        <v>3238</v>
      </c>
      <c r="AW964" t="s">
        <v>3248</v>
      </c>
      <c r="AZ964" t="s">
        <v>3251</v>
      </c>
    </row>
    <row r="965" spans="1:52" x14ac:dyDescent="0.25">
      <c r="A965" t="s">
        <v>7</v>
      </c>
      <c r="B965" t="s">
        <v>267</v>
      </c>
      <c r="C965" t="s">
        <v>268</v>
      </c>
      <c r="D965" t="s">
        <v>269</v>
      </c>
      <c r="E965" t="s">
        <v>270</v>
      </c>
      <c r="F965" t="s">
        <v>45</v>
      </c>
      <c r="G965" t="str">
        <f>HYPERLINK("https://ok.ru/group/51748710776984/topic/151937209675160")</f>
        <v>https://ok.ru/group/51748710776984/topic/151937209675160</v>
      </c>
      <c r="H965" t="s">
        <v>13</v>
      </c>
      <c r="I965" t="s">
        <v>271</v>
      </c>
      <c r="J965" t="str">
        <f>HYPERLINK("https://ok.ru/group/51748710776984")</f>
        <v>https://ok.ru/group/51748710776984</v>
      </c>
      <c r="K965">
        <v>1038</v>
      </c>
      <c r="L965" t="s">
        <v>28</v>
      </c>
      <c r="N965" t="s">
        <v>135</v>
      </c>
      <c r="O965" t="s">
        <v>271</v>
      </c>
      <c r="P965" t="str">
        <f>HYPERLINK("https://ok.ru/group/51748710776984")</f>
        <v>https://ok.ru/group/51748710776984</v>
      </c>
      <c r="Q965">
        <v>1038</v>
      </c>
      <c r="R965" t="s">
        <v>17</v>
      </c>
      <c r="S965" t="s">
        <v>18</v>
      </c>
      <c r="T965" t="s">
        <v>272</v>
      </c>
      <c r="U965" t="s">
        <v>273</v>
      </c>
      <c r="W965">
        <v>1</v>
      </c>
      <c r="X965">
        <v>1</v>
      </c>
      <c r="Y965">
        <v>0</v>
      </c>
      <c r="Z965">
        <v>0</v>
      </c>
      <c r="AA965">
        <v>0</v>
      </c>
      <c r="AB965">
        <v>0</v>
      </c>
      <c r="AE965">
        <v>0</v>
      </c>
      <c r="AF965">
        <v>1</v>
      </c>
      <c r="AI965" t="str">
        <f>HYPERLINK("https://i.mycdn.me/image?id=896534905496&amp;t=20&amp;plc=API&amp;aid=1131601408&amp;tkn=*4_TXE7WzAMX--XPM4kVQfi57xag")</f>
        <v>https://i.mycdn.me/image?id=896534905496&amp;t=20&amp;plc=API&amp;aid=1131601408&amp;tkn=*4_TXE7WzAMX--XPM4kVQfi57xag</v>
      </c>
      <c r="AJ965" t="s">
        <v>10</v>
      </c>
      <c r="AK965" t="s">
        <v>21</v>
      </c>
      <c r="AT965" t="s">
        <v>3245</v>
      </c>
      <c r="AV965" t="s">
        <v>3247</v>
      </c>
      <c r="AW965" t="s">
        <v>3248</v>
      </c>
      <c r="AZ965" t="s">
        <v>3251</v>
      </c>
    </row>
    <row r="966" spans="1:52" x14ac:dyDescent="0.25">
      <c r="A966" t="s">
        <v>414</v>
      </c>
      <c r="B966" t="s">
        <v>519</v>
      </c>
      <c r="C966" t="s">
        <v>520</v>
      </c>
      <c r="D966" t="s">
        <v>24</v>
      </c>
      <c r="E966" t="s">
        <v>502</v>
      </c>
      <c r="F966" t="s">
        <v>26</v>
      </c>
      <c r="G966" t="str">
        <f>HYPERLINK("https://vk.com/wall-197114981_31?reply=1238&amp;thread=1098")</f>
        <v>https://vk.com/wall-197114981_31?reply=1238&amp;thread=1098</v>
      </c>
      <c r="H966" t="s">
        <v>13</v>
      </c>
      <c r="I966" t="s">
        <v>27</v>
      </c>
      <c r="J966" t="str">
        <f>HYPERLINK("http://vk.com/club197114981")</f>
        <v>http://vk.com/club197114981</v>
      </c>
      <c r="K966">
        <v>38</v>
      </c>
      <c r="L966" t="s">
        <v>28</v>
      </c>
      <c r="N966" t="s">
        <v>16</v>
      </c>
      <c r="O966" t="s">
        <v>27</v>
      </c>
      <c r="P966" t="str">
        <f>HYPERLINK("http://vk.com/club197114981")</f>
        <v>http://vk.com/club197114981</v>
      </c>
      <c r="Q966">
        <v>38</v>
      </c>
      <c r="R966" t="s">
        <v>17</v>
      </c>
      <c r="AJ966" t="s">
        <v>10</v>
      </c>
      <c r="AK966" t="s">
        <v>21</v>
      </c>
      <c r="AM966" t="s">
        <v>3238</v>
      </c>
    </row>
    <row r="967" spans="1:52" x14ac:dyDescent="0.25">
      <c r="A967" t="s">
        <v>1122</v>
      </c>
      <c r="B967" t="s">
        <v>1131</v>
      </c>
      <c r="C967" t="s">
        <v>984</v>
      </c>
      <c r="D967" t="s">
        <v>10</v>
      </c>
      <c r="E967" t="s">
        <v>1132</v>
      </c>
      <c r="F967" t="s">
        <v>1020</v>
      </c>
      <c r="G967" t="str">
        <f>HYPERLINK("https://vk.com/wall-197114981_145")</f>
        <v>https://vk.com/wall-197114981_145</v>
      </c>
      <c r="H967" t="s">
        <v>885</v>
      </c>
      <c r="I967" t="s">
        <v>27</v>
      </c>
      <c r="J967" t="str">
        <f>HYPERLINK("http://vk.com/club197114981")</f>
        <v>http://vk.com/club197114981</v>
      </c>
      <c r="K967">
        <v>38</v>
      </c>
      <c r="L967" t="s">
        <v>28</v>
      </c>
      <c r="N967" t="s">
        <v>16</v>
      </c>
      <c r="O967" t="s">
        <v>27</v>
      </c>
      <c r="P967" t="str">
        <f>HYPERLINK("http://vk.com/club197114981")</f>
        <v>http://vk.com/club197114981</v>
      </c>
      <c r="Q967">
        <v>38</v>
      </c>
      <c r="R967" t="s">
        <v>17</v>
      </c>
      <c r="W967">
        <v>4</v>
      </c>
      <c r="X967">
        <v>4</v>
      </c>
      <c r="AE967">
        <v>0</v>
      </c>
      <c r="AF967">
        <v>0</v>
      </c>
      <c r="AG967">
        <v>112</v>
      </c>
      <c r="AI967" t="str">
        <f>HYPERLINK("https://sun1-30.userapi.com/WQuK-Yb5q0q6qMWuTKsEB5zp79fqF_SV8b3Q6w/MI3TczarKOc.jpg")</f>
        <v>https://sun1-30.userapi.com/WQuK-Yb5q0q6qMWuTKsEB5zp79fqF_SV8b3Q6w/MI3TczarKOc.jpg</v>
      </c>
      <c r="AJ967" t="s">
        <v>10</v>
      </c>
      <c r="AK967" t="s">
        <v>21</v>
      </c>
      <c r="AL967" t="s">
        <v>3237</v>
      </c>
    </row>
    <row r="968" spans="1:52" x14ac:dyDescent="0.25">
      <c r="A968" t="s">
        <v>1597</v>
      </c>
      <c r="B968" t="s">
        <v>1620</v>
      </c>
      <c r="C968" t="s">
        <v>984</v>
      </c>
      <c r="D968" t="s">
        <v>10</v>
      </c>
      <c r="E968" t="s">
        <v>1598</v>
      </c>
      <c r="F968" t="s">
        <v>12</v>
      </c>
      <c r="G968" t="str">
        <f>HYPERLINK("https://vk.com/wall36826918_12330")</f>
        <v>https://vk.com/wall36826918_12330</v>
      </c>
      <c r="H968" t="s">
        <v>885</v>
      </c>
      <c r="I968" t="s">
        <v>1621</v>
      </c>
      <c r="J968" t="str">
        <f>HYPERLINK("http://vk.com/id36826918")</f>
        <v>http://vk.com/id36826918</v>
      </c>
      <c r="K968">
        <v>6842</v>
      </c>
      <c r="L968" t="s">
        <v>80</v>
      </c>
      <c r="M968">
        <v>32</v>
      </c>
      <c r="N968" t="s">
        <v>16</v>
      </c>
      <c r="O968" t="s">
        <v>1621</v>
      </c>
      <c r="P968" t="str">
        <f>HYPERLINK("http://vk.com/id36826918")</f>
        <v>http://vk.com/id36826918</v>
      </c>
      <c r="Q968">
        <v>6842</v>
      </c>
      <c r="R968" t="s">
        <v>17</v>
      </c>
      <c r="S968" t="s">
        <v>18</v>
      </c>
      <c r="T968" t="s">
        <v>231</v>
      </c>
      <c r="U968" t="s">
        <v>232</v>
      </c>
      <c r="AI968" t="str">
        <f>HYPERLINK("https://sun1-87.userapi.com/c857624/v857624545/22e882/Vf5OaH3C2oc.jpg")</f>
        <v>https://sun1-87.userapi.com/c857624/v857624545/22e882/Vf5OaH3C2oc.jpg</v>
      </c>
      <c r="AJ968" t="s">
        <v>10</v>
      </c>
      <c r="AK968" t="s">
        <v>21</v>
      </c>
      <c r="AL968" t="s">
        <v>3237</v>
      </c>
    </row>
    <row r="969" spans="1:52" x14ac:dyDescent="0.25">
      <c r="A969" t="s">
        <v>1462</v>
      </c>
      <c r="B969" t="s">
        <v>1501</v>
      </c>
      <c r="C969" t="s">
        <v>984</v>
      </c>
      <c r="D969" t="s">
        <v>1490</v>
      </c>
      <c r="E969" t="s">
        <v>1502</v>
      </c>
      <c r="F969" t="s">
        <v>26</v>
      </c>
      <c r="G969" t="str">
        <f>HYPERLINK("https://vk.com/wall-55131656_184348?reply=184355")</f>
        <v>https://vk.com/wall-55131656_184348?reply=184355</v>
      </c>
      <c r="H969" t="s">
        <v>885</v>
      </c>
      <c r="I969" t="s">
        <v>1503</v>
      </c>
      <c r="J969" t="str">
        <f>HYPERLINK("http://vk.com/id600664769")</f>
        <v>http://vk.com/id600664769</v>
      </c>
      <c r="K969">
        <v>55</v>
      </c>
      <c r="L969" t="s">
        <v>80</v>
      </c>
      <c r="M969">
        <v>69</v>
      </c>
      <c r="N969" t="s">
        <v>16</v>
      </c>
      <c r="O969" t="s">
        <v>1493</v>
      </c>
      <c r="P969" t="str">
        <f>HYPERLINK("http://vk.com/club55131656")</f>
        <v>http://vk.com/club55131656</v>
      </c>
      <c r="Q969">
        <v>33584</v>
      </c>
      <c r="R969" t="s">
        <v>17</v>
      </c>
      <c r="S969" t="s">
        <v>18</v>
      </c>
      <c r="T969" t="s">
        <v>272</v>
      </c>
      <c r="U969" t="s">
        <v>1300</v>
      </c>
      <c r="AJ969" t="s">
        <v>10</v>
      </c>
      <c r="AK969" t="s">
        <v>21</v>
      </c>
      <c r="AL969" t="s">
        <v>3237</v>
      </c>
    </row>
    <row r="970" spans="1:52" x14ac:dyDescent="0.25">
      <c r="A970" t="s">
        <v>2193</v>
      </c>
      <c r="B970" t="s">
        <v>1762</v>
      </c>
      <c r="C970" t="s">
        <v>968</v>
      </c>
      <c r="D970" t="s">
        <v>10</v>
      </c>
      <c r="E970" t="s">
        <v>2219</v>
      </c>
      <c r="F970" t="s">
        <v>45</v>
      </c>
      <c r="G970" t="str">
        <f>HYPERLINK("https://www.facebook.com/mriexpert/photos/a.902990326434112/3206864706046651/?type=3")</f>
        <v>https://www.facebook.com/mriexpert/photos/a.902990326434112/3206864706046651/?type=3</v>
      </c>
      <c r="H970" t="s">
        <v>885</v>
      </c>
      <c r="I970" t="s">
        <v>46</v>
      </c>
      <c r="J970" t="str">
        <f>HYPERLINK("https://www.facebook.com/902980129768465")</f>
        <v>https://www.facebook.com/902980129768465</v>
      </c>
      <c r="K970">
        <v>1509</v>
      </c>
      <c r="L970" t="s">
        <v>28</v>
      </c>
      <c r="N970" t="s">
        <v>179</v>
      </c>
      <c r="O970" t="s">
        <v>46</v>
      </c>
      <c r="P970" t="str">
        <f>HYPERLINK("https://www.facebook.com/902980129768465")</f>
        <v>https://www.facebook.com/902980129768465</v>
      </c>
      <c r="Q970">
        <v>1509</v>
      </c>
      <c r="R970" t="s">
        <v>17</v>
      </c>
      <c r="W970">
        <v>1</v>
      </c>
      <c r="X970">
        <v>1</v>
      </c>
      <c r="Y970">
        <v>0</v>
      </c>
      <c r="Z970">
        <v>0</v>
      </c>
      <c r="AA970">
        <v>0</v>
      </c>
      <c r="AB970">
        <v>0</v>
      </c>
      <c r="AC970">
        <v>0</v>
      </c>
      <c r="AE970">
        <v>0</v>
      </c>
      <c r="AF970">
        <v>1</v>
      </c>
      <c r="AI970" t="s">
        <v>2220</v>
      </c>
      <c r="AJ970" t="s">
        <v>10</v>
      </c>
      <c r="AK970" t="s">
        <v>21</v>
      </c>
      <c r="AL970" t="s">
        <v>3237</v>
      </c>
    </row>
    <row r="971" spans="1:52" x14ac:dyDescent="0.25">
      <c r="A971" t="s">
        <v>2472</v>
      </c>
      <c r="B971" t="s">
        <v>1564</v>
      </c>
      <c r="C971" t="s">
        <v>968</v>
      </c>
      <c r="D971" t="s">
        <v>10</v>
      </c>
      <c r="E971" t="s">
        <v>2505</v>
      </c>
      <c r="F971" t="s">
        <v>45</v>
      </c>
      <c r="G971" t="str">
        <f>HYPERLINK("https://www.facebook.com/expert.klinika.stavropol/photos/a.108004590782008/166340414948425/?type=3")</f>
        <v>https://www.facebook.com/expert.klinika.stavropol/photos/a.108004590782008/166340414948425/?type=3</v>
      </c>
      <c r="H971" t="s">
        <v>889</v>
      </c>
      <c r="I971" t="s">
        <v>640</v>
      </c>
      <c r="J971" t="str">
        <f>HYPERLINK("https://www.facebook.com/107325724183228")</f>
        <v>https://www.facebook.com/107325724183228</v>
      </c>
      <c r="K971">
        <v>1</v>
      </c>
      <c r="L971" t="s">
        <v>28</v>
      </c>
      <c r="N971" t="s">
        <v>179</v>
      </c>
      <c r="O971" t="s">
        <v>640</v>
      </c>
      <c r="P971" t="str">
        <f>HYPERLINK("https://www.facebook.com/107325724183228")</f>
        <v>https://www.facebook.com/107325724183228</v>
      </c>
      <c r="Q971">
        <v>1</v>
      </c>
      <c r="R971" t="s">
        <v>17</v>
      </c>
      <c r="S971" t="s">
        <v>18</v>
      </c>
      <c r="T971" t="s">
        <v>641</v>
      </c>
      <c r="U971" t="s">
        <v>642</v>
      </c>
      <c r="W971">
        <v>0</v>
      </c>
      <c r="X971">
        <v>0</v>
      </c>
      <c r="Y971">
        <v>0</v>
      </c>
      <c r="Z971">
        <v>0</v>
      </c>
      <c r="AA971">
        <v>0</v>
      </c>
      <c r="AB971">
        <v>0</v>
      </c>
      <c r="AC971">
        <v>0</v>
      </c>
      <c r="AE971">
        <v>0</v>
      </c>
      <c r="AI971" t="str">
        <f>HYPERLINK("https://scontent-hel2-1.xx.fbcdn.net/v/t1.0-0/p180x540/110981135_166340418281758_8155540312613733056_n.jpg?_nc_cat=103&amp;_nc_sid=9267fe&amp;_nc_ohc=oI5EpjEQDrUAX9qH0bl&amp;_nc_ht=scontent-hel2-1.xx&amp;_nc_tp=6&amp;oh=a58576a2f394fedcc61404cdc6747d93&amp;oe=5F370EED")</f>
        <v>https://scontent-hel2-1.xx.fbcdn.net/v/t1.0-0/p180x540/110981135_166340418281758_8155540312613733056_n.jpg?_nc_cat=103&amp;_nc_sid=9267fe&amp;_nc_ohc=oI5EpjEQDrUAX9qH0bl&amp;_nc_ht=scontent-hel2-1.xx&amp;_nc_tp=6&amp;oh=a58576a2f394fedcc61404cdc6747d93&amp;oe=5F370EED</v>
      </c>
      <c r="AJ971" t="s">
        <v>10</v>
      </c>
      <c r="AK971" t="s">
        <v>21</v>
      </c>
    </row>
    <row r="972" spans="1:52" x14ac:dyDescent="0.25">
      <c r="A972" t="s">
        <v>2767</v>
      </c>
      <c r="B972" t="s">
        <v>2354</v>
      </c>
      <c r="C972" t="s">
        <v>968</v>
      </c>
      <c r="D972" t="s">
        <v>2849</v>
      </c>
      <c r="E972" t="s">
        <v>2850</v>
      </c>
      <c r="F972" t="s">
        <v>26</v>
      </c>
      <c r="G972" t="str">
        <f>HYPERLINK("https://vk.com/wall-121026450_24518?reply=24537")</f>
        <v>https://vk.com/wall-121026450_24518?reply=24537</v>
      </c>
      <c r="H972" t="s">
        <v>889</v>
      </c>
      <c r="I972" t="s">
        <v>2309</v>
      </c>
      <c r="J972" t="str">
        <f>HYPERLINK("http://vk.com/id14737732")</f>
        <v>http://vk.com/id14737732</v>
      </c>
      <c r="K972">
        <v>1091</v>
      </c>
      <c r="L972" t="s">
        <v>80</v>
      </c>
      <c r="N972" t="s">
        <v>16</v>
      </c>
      <c r="O972" t="s">
        <v>1822</v>
      </c>
      <c r="P972" t="str">
        <f>HYPERLINK("http://vk.com/club121026450")</f>
        <v>http://vk.com/club121026450</v>
      </c>
      <c r="Q972">
        <v>11822</v>
      </c>
      <c r="R972" t="s">
        <v>17</v>
      </c>
      <c r="AJ972" t="s">
        <v>10</v>
      </c>
      <c r="AK972" t="s">
        <v>21</v>
      </c>
      <c r="AZ972" t="s">
        <v>3251</v>
      </c>
    </row>
    <row r="973" spans="1:52" x14ac:dyDescent="0.25">
      <c r="A973" t="s">
        <v>3021</v>
      </c>
      <c r="B973" t="s">
        <v>2943</v>
      </c>
      <c r="C973" t="s">
        <v>968</v>
      </c>
      <c r="D973" t="s">
        <v>10</v>
      </c>
      <c r="E973" t="s">
        <v>3054</v>
      </c>
      <c r="F973" t="s">
        <v>45</v>
      </c>
      <c r="G973" t="str">
        <f>HYPERLINK("https://www.instagram.com/p/CCa4TN-jelP")</f>
        <v>https://www.instagram.com/p/CCa4TN-jelP</v>
      </c>
      <c r="H973" t="s">
        <v>885</v>
      </c>
      <c r="I973" t="s">
        <v>3055</v>
      </c>
      <c r="J973" t="str">
        <f>HYPERLINK("http://instagram.com/celesteeskinlaserhairclinic")</f>
        <v>http://instagram.com/celesteeskinlaserhairclinic</v>
      </c>
      <c r="K973">
        <v>96</v>
      </c>
      <c r="L973" t="s">
        <v>28</v>
      </c>
      <c r="N973" t="s">
        <v>69</v>
      </c>
      <c r="O973" t="s">
        <v>3055</v>
      </c>
      <c r="P973" t="str">
        <f>HYPERLINK("http://instagram.com/celesteeskinlaserhairclinic")</f>
        <v>http://instagram.com/celesteeskinlaserhairclinic</v>
      </c>
      <c r="Q973">
        <v>96</v>
      </c>
      <c r="R973" t="s">
        <v>17</v>
      </c>
      <c r="S973" t="s">
        <v>1206</v>
      </c>
      <c r="T973" t="s">
        <v>2001</v>
      </c>
      <c r="U973" t="s">
        <v>3056</v>
      </c>
      <c r="AI973" t="str">
        <f>HYPERLINK("https://www.instagram.com/p/CCa4TN-jelP/media/?size=l")</f>
        <v>https://www.instagram.com/p/CCa4TN-jelP/media/?size=l</v>
      </c>
      <c r="AJ973" t="s">
        <v>10</v>
      </c>
      <c r="AK973" t="s">
        <v>21</v>
      </c>
      <c r="AM973" t="s">
        <v>3238</v>
      </c>
    </row>
    <row r="974" spans="1:52" x14ac:dyDescent="0.25">
      <c r="A974" t="s">
        <v>7</v>
      </c>
      <c r="B974" t="s">
        <v>216</v>
      </c>
      <c r="C974" t="s">
        <v>217</v>
      </c>
      <c r="D974" t="s">
        <v>10</v>
      </c>
      <c r="E974" t="s">
        <v>218</v>
      </c>
      <c r="F974" t="s">
        <v>45</v>
      </c>
      <c r="G974" t="str">
        <f>HYPERLINK("https://vk.com/wall-196360759_1647")</f>
        <v>https://vk.com/wall-196360759_1647</v>
      </c>
      <c r="H974" t="s">
        <v>13</v>
      </c>
      <c r="I974" t="s">
        <v>219</v>
      </c>
      <c r="J974" t="str">
        <f>HYPERLINK("http://vk.com/club196360759")</f>
        <v>http://vk.com/club196360759</v>
      </c>
      <c r="K974">
        <v>36</v>
      </c>
      <c r="L974" t="s">
        <v>28</v>
      </c>
      <c r="N974" t="s">
        <v>16</v>
      </c>
      <c r="O974" t="s">
        <v>219</v>
      </c>
      <c r="P974" t="str">
        <f>HYPERLINK("http://vk.com/club196360759")</f>
        <v>http://vk.com/club196360759</v>
      </c>
      <c r="Q974">
        <v>36</v>
      </c>
      <c r="R974" t="s">
        <v>17</v>
      </c>
      <c r="AI974" t="str">
        <f>HYPERLINK("https://sun9-30.userapi.com/c857436/v857436583/230169/EvJ-_8IqTF4.jpg")</f>
        <v>https://sun9-30.userapi.com/c857436/v857436583/230169/EvJ-_8IqTF4.jpg</v>
      </c>
      <c r="AJ974" t="s">
        <v>10</v>
      </c>
      <c r="AK974" t="s">
        <v>21</v>
      </c>
    </row>
    <row r="975" spans="1:52" x14ac:dyDescent="0.25">
      <c r="A975" t="s">
        <v>7</v>
      </c>
      <c r="B975" t="s">
        <v>384</v>
      </c>
      <c r="C975" t="s">
        <v>385</v>
      </c>
      <c r="D975" t="s">
        <v>24</v>
      </c>
      <c r="E975" t="s">
        <v>387</v>
      </c>
      <c r="F975" t="s">
        <v>26</v>
      </c>
      <c r="G975" t="str">
        <f>HYPERLINK("https://vk.com/wall-197114981_31?reply=1305&amp;thread=1293")</f>
        <v>https://vk.com/wall-197114981_31?reply=1305&amp;thread=1293</v>
      </c>
      <c r="H975" t="s">
        <v>13</v>
      </c>
      <c r="I975" t="s">
        <v>388</v>
      </c>
      <c r="J975" t="str">
        <f>HYPERLINK("http://vk.com/id169523743")</f>
        <v>http://vk.com/id169523743</v>
      </c>
      <c r="K975">
        <v>50</v>
      </c>
      <c r="L975" t="s">
        <v>80</v>
      </c>
      <c r="M975">
        <v>24</v>
      </c>
      <c r="N975" t="s">
        <v>16</v>
      </c>
      <c r="O975" t="s">
        <v>27</v>
      </c>
      <c r="P975" t="str">
        <f>HYPERLINK("http://vk.com/club197114981")</f>
        <v>http://vk.com/club197114981</v>
      </c>
      <c r="Q975">
        <v>38</v>
      </c>
      <c r="R975" t="s">
        <v>17</v>
      </c>
      <c r="S975" t="s">
        <v>18</v>
      </c>
      <c r="T975" t="s">
        <v>231</v>
      </c>
      <c r="U975" t="s">
        <v>232</v>
      </c>
      <c r="AJ975" t="s">
        <v>10</v>
      </c>
      <c r="AK975" t="s">
        <v>21</v>
      </c>
      <c r="AL975" t="s">
        <v>3237</v>
      </c>
      <c r="AT975" t="s">
        <v>3245</v>
      </c>
      <c r="AV975" t="s">
        <v>3247</v>
      </c>
      <c r="AW975" t="s">
        <v>3248</v>
      </c>
      <c r="AX975" t="s">
        <v>3249</v>
      </c>
    </row>
    <row r="976" spans="1:52" x14ac:dyDescent="0.25">
      <c r="A976" t="s">
        <v>7</v>
      </c>
      <c r="B976" t="s">
        <v>408</v>
      </c>
      <c r="C976" t="s">
        <v>409</v>
      </c>
      <c r="D976" t="s">
        <v>24</v>
      </c>
      <c r="E976" t="s">
        <v>410</v>
      </c>
      <c r="F976" t="s">
        <v>26</v>
      </c>
      <c r="G976" t="str">
        <f>HYPERLINK("https://vk.com/wall-197114981_31?reply=1284&amp;thread=1283")</f>
        <v>https://vk.com/wall-197114981_31?reply=1284&amp;thread=1283</v>
      </c>
      <c r="H976" t="s">
        <v>13</v>
      </c>
      <c r="I976" t="s">
        <v>27</v>
      </c>
      <c r="J976" t="str">
        <f>HYPERLINK("http://vk.com/club197114981")</f>
        <v>http://vk.com/club197114981</v>
      </c>
      <c r="K976">
        <v>38</v>
      </c>
      <c r="L976" t="s">
        <v>28</v>
      </c>
      <c r="N976" t="s">
        <v>16</v>
      </c>
      <c r="O976" t="s">
        <v>27</v>
      </c>
      <c r="P976" t="str">
        <f>HYPERLINK("http://vk.com/club197114981")</f>
        <v>http://vk.com/club197114981</v>
      </c>
      <c r="Q976">
        <v>38</v>
      </c>
      <c r="R976" t="s">
        <v>17</v>
      </c>
      <c r="AJ976" t="s">
        <v>10</v>
      </c>
      <c r="AK976" t="s">
        <v>21</v>
      </c>
      <c r="AL976" t="s">
        <v>3237</v>
      </c>
      <c r="AU976" t="s">
        <v>3246</v>
      </c>
      <c r="AV976" t="s">
        <v>3247</v>
      </c>
    </row>
    <row r="977" spans="1:52" x14ac:dyDescent="0.25">
      <c r="A977" t="s">
        <v>414</v>
      </c>
      <c r="B977" t="s">
        <v>429</v>
      </c>
      <c r="C977" t="s">
        <v>430</v>
      </c>
      <c r="D977" t="s">
        <v>24</v>
      </c>
      <c r="E977" t="s">
        <v>431</v>
      </c>
      <c r="F977" t="s">
        <v>26</v>
      </c>
      <c r="G977" t="str">
        <f>HYPERLINK("https://vk.com/wall-197114981_31?reply=1277&amp;thread=1276")</f>
        <v>https://vk.com/wall-197114981_31?reply=1277&amp;thread=1276</v>
      </c>
      <c r="H977" t="s">
        <v>13</v>
      </c>
      <c r="I977" t="s">
        <v>27</v>
      </c>
      <c r="J977" t="str">
        <f>HYPERLINK("http://vk.com/club197114981")</f>
        <v>http://vk.com/club197114981</v>
      </c>
      <c r="K977">
        <v>38</v>
      </c>
      <c r="L977" t="s">
        <v>28</v>
      </c>
      <c r="N977" t="s">
        <v>16</v>
      </c>
      <c r="O977" t="s">
        <v>27</v>
      </c>
      <c r="P977" t="str">
        <f>HYPERLINK("http://vk.com/club197114981")</f>
        <v>http://vk.com/club197114981</v>
      </c>
      <c r="Q977">
        <v>38</v>
      </c>
      <c r="R977" t="s">
        <v>17</v>
      </c>
      <c r="AJ977" t="s">
        <v>10</v>
      </c>
      <c r="AK977" t="s">
        <v>21</v>
      </c>
      <c r="AT977" t="s">
        <v>3245</v>
      </c>
      <c r="AV977" t="s">
        <v>3247</v>
      </c>
    </row>
    <row r="978" spans="1:52" x14ac:dyDescent="0.25">
      <c r="A978" t="s">
        <v>414</v>
      </c>
      <c r="B978" t="s">
        <v>444</v>
      </c>
      <c r="C978" t="s">
        <v>445</v>
      </c>
      <c r="D978" t="s">
        <v>24</v>
      </c>
      <c r="E978" t="s">
        <v>447</v>
      </c>
      <c r="F978" t="s">
        <v>26</v>
      </c>
      <c r="G978" t="str">
        <f>HYPERLINK("https://vk.com/wall-197114981_31?reply=1269")</f>
        <v>https://vk.com/wall-197114981_31?reply=1269</v>
      </c>
      <c r="H978" t="s">
        <v>13</v>
      </c>
      <c r="I978" t="s">
        <v>438</v>
      </c>
      <c r="J978" t="str">
        <f>HYPERLINK("http://vk.com/id321391081")</f>
        <v>http://vk.com/id321391081</v>
      </c>
      <c r="K978">
        <v>418</v>
      </c>
      <c r="L978" t="s">
        <v>80</v>
      </c>
      <c r="N978" t="s">
        <v>16</v>
      </c>
      <c r="O978" t="s">
        <v>27</v>
      </c>
      <c r="P978" t="str">
        <f>HYPERLINK("http://vk.com/club197114981")</f>
        <v>http://vk.com/club197114981</v>
      </c>
      <c r="Q978">
        <v>38</v>
      </c>
      <c r="R978" t="s">
        <v>17</v>
      </c>
      <c r="S978" t="s">
        <v>18</v>
      </c>
      <c r="T978" t="s">
        <v>231</v>
      </c>
      <c r="U978" t="s">
        <v>232</v>
      </c>
      <c r="AJ978" t="s">
        <v>10</v>
      </c>
      <c r="AK978" t="s">
        <v>21</v>
      </c>
      <c r="AL978" t="s">
        <v>3237</v>
      </c>
      <c r="AT978" t="s">
        <v>3245</v>
      </c>
      <c r="AU978" t="s">
        <v>3246</v>
      </c>
      <c r="AV978" t="s">
        <v>3247</v>
      </c>
    </row>
    <row r="979" spans="1:52" x14ac:dyDescent="0.25">
      <c r="A979" t="s">
        <v>2472</v>
      </c>
      <c r="B979" t="s">
        <v>860</v>
      </c>
      <c r="C979" t="s">
        <v>968</v>
      </c>
      <c r="D979" t="s">
        <v>10</v>
      </c>
      <c r="E979" t="s">
        <v>1947</v>
      </c>
      <c r="F979" t="s">
        <v>45</v>
      </c>
      <c r="G979" t="str">
        <f>HYPERLINK("https://www.facebook.com/mrtexpertrnd/photos/a.565935020817465/775887379822227/?type=3")</f>
        <v>https://www.facebook.com/mrtexpertrnd/photos/a.565935020817465/775887379822227/?type=3</v>
      </c>
      <c r="H979" t="s">
        <v>889</v>
      </c>
      <c r="I979" t="s">
        <v>125</v>
      </c>
      <c r="J979" t="str">
        <f>HYPERLINK("https://www.facebook.com/156600068417631")</f>
        <v>https://www.facebook.com/156600068417631</v>
      </c>
      <c r="K979">
        <v>236</v>
      </c>
      <c r="L979" t="s">
        <v>28</v>
      </c>
      <c r="N979" t="s">
        <v>179</v>
      </c>
      <c r="O979" t="s">
        <v>125</v>
      </c>
      <c r="P979" t="str">
        <f>HYPERLINK("https://www.facebook.com/156600068417631")</f>
        <v>https://www.facebook.com/156600068417631</v>
      </c>
      <c r="Q979">
        <v>236</v>
      </c>
      <c r="R979" t="s">
        <v>17</v>
      </c>
      <c r="S979" t="s">
        <v>18</v>
      </c>
      <c r="T979" t="s">
        <v>126</v>
      </c>
      <c r="U979" t="s">
        <v>127</v>
      </c>
      <c r="W979">
        <v>0</v>
      </c>
      <c r="X979">
        <v>0</v>
      </c>
      <c r="Y979">
        <v>0</v>
      </c>
      <c r="Z979">
        <v>0</v>
      </c>
      <c r="AA979">
        <v>0</v>
      </c>
      <c r="AB979">
        <v>0</v>
      </c>
      <c r="AC979">
        <v>0</v>
      </c>
      <c r="AE979">
        <v>0</v>
      </c>
      <c r="AI979" t="str">
        <f>HYPERLINK("https://scontent-hel2-1.xx.fbcdn.net/v/t1.0-0/p526x296/109120215_775887383155560_3988529187228635779_o.jpg?_nc_cat=110&amp;_nc_sid=9267fe&amp;_nc_ohc=JUe93n-PGUMAX8K18-F&amp;_nc_ht=scontent-hel2-1.xx&amp;_nc_tp=6&amp;oh=e51efd47d5b003b86673e6c339c95e61&amp;oe=5F368589")</f>
        <v>https://scontent-hel2-1.xx.fbcdn.net/v/t1.0-0/p526x296/109120215_775887383155560_3988529187228635779_o.jpg?_nc_cat=110&amp;_nc_sid=9267fe&amp;_nc_ohc=JUe93n-PGUMAX8K18-F&amp;_nc_ht=scontent-hel2-1.xx&amp;_nc_tp=6&amp;oh=e51efd47d5b003b86673e6c339c95e61&amp;oe=5F368589</v>
      </c>
      <c r="AJ979" t="s">
        <v>10</v>
      </c>
      <c r="AK979" t="s">
        <v>21</v>
      </c>
      <c r="AT979" t="s">
        <v>3245</v>
      </c>
      <c r="AU979" t="s">
        <v>3246</v>
      </c>
    </row>
    <row r="980" spans="1:52" x14ac:dyDescent="0.25">
      <c r="A980" t="s">
        <v>1425</v>
      </c>
      <c r="B980" t="s">
        <v>1453</v>
      </c>
      <c r="C980" t="s">
        <v>984</v>
      </c>
      <c r="D980" t="s">
        <v>10</v>
      </c>
      <c r="E980" t="s">
        <v>1454</v>
      </c>
      <c r="F980" t="s">
        <v>26</v>
      </c>
      <c r="G980" t="str">
        <f>HYPERLINK("https://twitter.com/326602747/status/1289339129856131072")</f>
        <v>https://twitter.com/326602747/status/1289339129856131072</v>
      </c>
      <c r="H980" t="s">
        <v>885</v>
      </c>
      <c r="I980" t="s">
        <v>1452</v>
      </c>
      <c r="J980" t="str">
        <f>HYPERLINK("http://twitter.com/Jules_In_Love")</f>
        <v>http://twitter.com/Jules_In_Love</v>
      </c>
      <c r="K980">
        <v>1923</v>
      </c>
      <c r="N980" t="s">
        <v>54</v>
      </c>
      <c r="R980" t="s">
        <v>17</v>
      </c>
      <c r="S980" t="s">
        <v>425</v>
      </c>
      <c r="W980">
        <v>0</v>
      </c>
      <c r="X980">
        <v>0</v>
      </c>
      <c r="AF980">
        <v>0</v>
      </c>
      <c r="AJ980" t="s">
        <v>10</v>
      </c>
      <c r="AK980" t="s">
        <v>21</v>
      </c>
      <c r="AT980" t="s">
        <v>3245</v>
      </c>
      <c r="AU980" t="s">
        <v>3246</v>
      </c>
    </row>
    <row r="981" spans="1:52" x14ac:dyDescent="0.25">
      <c r="A981" t="s">
        <v>2122</v>
      </c>
      <c r="B981" t="s">
        <v>637</v>
      </c>
      <c r="C981" t="s">
        <v>968</v>
      </c>
      <c r="D981" t="s">
        <v>10</v>
      </c>
      <c r="E981" t="s">
        <v>2168</v>
      </c>
      <c r="F981" t="s">
        <v>45</v>
      </c>
      <c r="G981" t="str">
        <f>HYPERLINK("https://vk.com/wall-48669646_10205")</f>
        <v>https://vk.com/wall-48669646_10205</v>
      </c>
      <c r="H981" t="s">
        <v>885</v>
      </c>
      <c r="I981" t="s">
        <v>46</v>
      </c>
      <c r="J981" t="str">
        <f>HYPERLINK("http://vk.com/club48669646")</f>
        <v>http://vk.com/club48669646</v>
      </c>
      <c r="K981">
        <v>5795</v>
      </c>
      <c r="L981" t="s">
        <v>28</v>
      </c>
      <c r="N981" t="s">
        <v>16</v>
      </c>
      <c r="O981" t="s">
        <v>46</v>
      </c>
      <c r="P981" t="str">
        <f>HYPERLINK("http://vk.com/club48669646")</f>
        <v>http://vk.com/club48669646</v>
      </c>
      <c r="Q981">
        <v>5795</v>
      </c>
      <c r="R981" t="s">
        <v>17</v>
      </c>
      <c r="S981" t="s">
        <v>18</v>
      </c>
      <c r="W981">
        <v>0</v>
      </c>
      <c r="X981">
        <v>0</v>
      </c>
      <c r="AE981">
        <v>0</v>
      </c>
      <c r="AF981">
        <v>0</v>
      </c>
      <c r="AG981">
        <v>323</v>
      </c>
      <c r="AI981" t="str">
        <f>HYPERLINK("https://sun9-8.userapi.com/ZxM2o8rgg8k857mCrsyudY_vpbLLoJDPZgdr6g/19_e7YmTYWo.jpg")</f>
        <v>https://sun9-8.userapi.com/ZxM2o8rgg8k857mCrsyudY_vpbLLoJDPZgdr6g/19_e7YmTYWo.jpg</v>
      </c>
      <c r="AJ981" t="s">
        <v>10</v>
      </c>
      <c r="AK981" t="s">
        <v>21</v>
      </c>
      <c r="AT981" t="s">
        <v>3245</v>
      </c>
      <c r="AU981" t="s">
        <v>3246</v>
      </c>
      <c r="AX981" t="s">
        <v>3249</v>
      </c>
      <c r="AZ981" t="s">
        <v>3251</v>
      </c>
    </row>
    <row r="982" spans="1:52" x14ac:dyDescent="0.25">
      <c r="A982" t="s">
        <v>2260</v>
      </c>
      <c r="B982" t="s">
        <v>1510</v>
      </c>
      <c r="C982" t="s">
        <v>968</v>
      </c>
      <c r="D982" t="s">
        <v>421</v>
      </c>
      <c r="E982" t="s">
        <v>2285</v>
      </c>
      <c r="F982" t="s">
        <v>26</v>
      </c>
      <c r="G982" t="str">
        <f>HYPERLINK("https://www.youtube.com/watch?v=gaka1vqYFNs&amp;lc=UgzUntCKk--ZO9zBu6V4AaABAg")</f>
        <v>https://www.youtube.com/watch?v=gaka1vqYFNs&amp;lc=UgzUntCKk--ZO9zBu6V4AaABAg</v>
      </c>
      <c r="H982" t="s">
        <v>885</v>
      </c>
      <c r="I982" t="s">
        <v>2286</v>
      </c>
      <c r="J982" t="str">
        <f>HYPERLINK("https://www.youtube.com/channel/UCSg2sbOezknyBg3nwfhd2oQ")</f>
        <v>https://www.youtube.com/channel/UCSg2sbOezknyBg3nwfhd2oQ</v>
      </c>
      <c r="K982">
        <v>5</v>
      </c>
      <c r="N982" t="s">
        <v>162</v>
      </c>
      <c r="O982" t="s">
        <v>424</v>
      </c>
      <c r="P982" t="str">
        <f>HYPERLINK("https://www.youtube.com/channel/UC8fQzKHIhSoZeSq3bwQx4mw")</f>
        <v>https://www.youtube.com/channel/UC8fQzKHIhSoZeSq3bwQx4mw</v>
      </c>
      <c r="Q982">
        <v>517000</v>
      </c>
      <c r="R982" t="s">
        <v>17</v>
      </c>
      <c r="S982" t="s">
        <v>425</v>
      </c>
      <c r="AJ982" t="s">
        <v>10</v>
      </c>
      <c r="AK982" t="s">
        <v>21</v>
      </c>
      <c r="AT982" t="s">
        <v>3245</v>
      </c>
      <c r="AV982" t="s">
        <v>3247</v>
      </c>
    </row>
    <row r="983" spans="1:52" x14ac:dyDescent="0.25">
      <c r="A983" t="s">
        <v>2290</v>
      </c>
      <c r="B983" t="s">
        <v>2341</v>
      </c>
      <c r="C983" t="s">
        <v>968</v>
      </c>
      <c r="D983" t="s">
        <v>10</v>
      </c>
      <c r="E983" t="s">
        <v>1508</v>
      </c>
      <c r="F983" t="s">
        <v>45</v>
      </c>
      <c r="G983" t="str">
        <f>HYPERLINK("https://vk.com/wall-87725158_237504")</f>
        <v>https://vk.com/wall-87725158_237504</v>
      </c>
      <c r="H983" t="s">
        <v>885</v>
      </c>
      <c r="I983" t="s">
        <v>2342</v>
      </c>
      <c r="J983" t="str">
        <f>HYPERLINK("http://vk.com/club87725158")</f>
        <v>http://vk.com/club87725158</v>
      </c>
      <c r="K983">
        <v>63510</v>
      </c>
      <c r="L983" t="s">
        <v>28</v>
      </c>
      <c r="N983" t="s">
        <v>16</v>
      </c>
      <c r="O983" t="s">
        <v>2342</v>
      </c>
      <c r="P983" t="str">
        <f>HYPERLINK("http://vk.com/club87725158")</f>
        <v>http://vk.com/club87725158</v>
      </c>
      <c r="Q983">
        <v>63510</v>
      </c>
      <c r="R983" t="s">
        <v>17</v>
      </c>
      <c r="S983" t="s">
        <v>18</v>
      </c>
      <c r="T983" t="s">
        <v>272</v>
      </c>
      <c r="U983" t="s">
        <v>1300</v>
      </c>
      <c r="W983">
        <v>32</v>
      </c>
      <c r="X983">
        <v>32</v>
      </c>
      <c r="AE983">
        <v>0</v>
      </c>
      <c r="AF983">
        <v>14</v>
      </c>
      <c r="AG983">
        <v>5673</v>
      </c>
      <c r="AI983" t="str">
        <f>HYPERLINK("https://sun9-21.userapi.com/3CxntEX446taLw8Wq523-U72FnEsypIoiB36aA/vb0dh1lZOxg.jpg")</f>
        <v>https://sun9-21.userapi.com/3CxntEX446taLw8Wq523-U72FnEsypIoiB36aA/vb0dh1lZOxg.jpg</v>
      </c>
      <c r="AJ983" t="s">
        <v>10</v>
      </c>
      <c r="AK983" t="s">
        <v>21</v>
      </c>
      <c r="AT983" t="s">
        <v>3245</v>
      </c>
      <c r="AU983" t="s">
        <v>3246</v>
      </c>
      <c r="AW983" t="s">
        <v>3248</v>
      </c>
      <c r="AZ983" t="s">
        <v>3251</v>
      </c>
    </row>
    <row r="984" spans="1:52" x14ac:dyDescent="0.25">
      <c r="A984" t="s">
        <v>414</v>
      </c>
      <c r="B984" t="s">
        <v>509</v>
      </c>
      <c r="C984" t="s">
        <v>510</v>
      </c>
      <c r="D984" t="s">
        <v>24</v>
      </c>
      <c r="E984" t="s">
        <v>511</v>
      </c>
      <c r="F984" t="s">
        <v>26</v>
      </c>
      <c r="G984" t="str">
        <f>HYPERLINK("https://vk.com/wall-197114981_31?reply=1241&amp;thread=1240")</f>
        <v>https://vk.com/wall-197114981_31?reply=1241&amp;thread=1240</v>
      </c>
      <c r="H984" t="s">
        <v>13</v>
      </c>
      <c r="I984" t="s">
        <v>27</v>
      </c>
      <c r="J984" t="str">
        <f>HYPERLINK("http://vk.com/club197114981")</f>
        <v>http://vk.com/club197114981</v>
      </c>
      <c r="K984">
        <v>38</v>
      </c>
      <c r="L984" t="s">
        <v>28</v>
      </c>
      <c r="N984" t="s">
        <v>16</v>
      </c>
      <c r="O984" t="s">
        <v>27</v>
      </c>
      <c r="P984" t="str">
        <f>HYPERLINK("http://vk.com/club197114981")</f>
        <v>http://vk.com/club197114981</v>
      </c>
      <c r="Q984">
        <v>38</v>
      </c>
      <c r="R984" t="s">
        <v>17</v>
      </c>
      <c r="AJ984" t="s">
        <v>10</v>
      </c>
      <c r="AK984" t="s">
        <v>21</v>
      </c>
      <c r="AT984" t="s">
        <v>3245</v>
      </c>
      <c r="AX984" t="s">
        <v>3249</v>
      </c>
      <c r="AZ984" t="s">
        <v>3251</v>
      </c>
    </row>
    <row r="985" spans="1:52" x14ac:dyDescent="0.25">
      <c r="A985" t="s">
        <v>414</v>
      </c>
      <c r="B985" t="s">
        <v>637</v>
      </c>
      <c r="C985" t="s">
        <v>638</v>
      </c>
      <c r="D985" t="s">
        <v>10</v>
      </c>
      <c r="E985" t="s">
        <v>639</v>
      </c>
      <c r="F985" t="s">
        <v>45</v>
      </c>
      <c r="G985" t="str">
        <f>HYPERLINK("https://www.facebook.com/expert.klinika.stavropol/photos/a.108004590782008/172953900953743/?type=3")</f>
        <v>https://www.facebook.com/expert.klinika.stavropol/photos/a.108004590782008/172953900953743/?type=3</v>
      </c>
      <c r="H985" t="s">
        <v>13</v>
      </c>
      <c r="I985" t="s">
        <v>640</v>
      </c>
      <c r="J985" t="str">
        <f>HYPERLINK("https://www.facebook.com/107325724183228")</f>
        <v>https://www.facebook.com/107325724183228</v>
      </c>
      <c r="K985">
        <v>1</v>
      </c>
      <c r="L985" t="s">
        <v>28</v>
      </c>
      <c r="N985" t="s">
        <v>179</v>
      </c>
      <c r="O985" t="s">
        <v>640</v>
      </c>
      <c r="P985" t="str">
        <f>HYPERLINK("https://www.facebook.com/107325724183228")</f>
        <v>https://www.facebook.com/107325724183228</v>
      </c>
      <c r="Q985">
        <v>1</v>
      </c>
      <c r="R985" t="s">
        <v>17</v>
      </c>
      <c r="S985" t="s">
        <v>18</v>
      </c>
      <c r="T985" t="s">
        <v>641</v>
      </c>
      <c r="U985" t="s">
        <v>642</v>
      </c>
      <c r="W985">
        <v>0</v>
      </c>
      <c r="X985">
        <v>0</v>
      </c>
      <c r="Y985">
        <v>0</v>
      </c>
      <c r="Z985">
        <v>0</v>
      </c>
      <c r="AA985">
        <v>0</v>
      </c>
      <c r="AB985">
        <v>0</v>
      </c>
      <c r="AC985">
        <v>0</v>
      </c>
      <c r="AE985">
        <v>0</v>
      </c>
      <c r="AF985">
        <v>0</v>
      </c>
      <c r="AI985" t="str">
        <f>HYPERLINK("https://scontent-hel2-1.xx.fbcdn.net/v/t1.0-0/p526x296/117389832_172953904287076_8209448803630154535_o.jpg?_nc_cat=106&amp;_nc_sid=9267fe&amp;_nc_ohc=H3wdkPR6YMsAX9lBtbQ&amp;_nc_ht=scontent-hel2-1.xx&amp;_nc_tp=6&amp;oh=4dc8296efbb723759c7cadf910c168b4&amp;oe=5F551DE5")</f>
        <v>https://scontent-hel2-1.xx.fbcdn.net/v/t1.0-0/p526x296/117389832_172953904287076_8209448803630154535_o.jpg?_nc_cat=106&amp;_nc_sid=9267fe&amp;_nc_ohc=H3wdkPR6YMsAX9lBtbQ&amp;_nc_ht=scontent-hel2-1.xx&amp;_nc_tp=6&amp;oh=4dc8296efbb723759c7cadf910c168b4&amp;oe=5F551DE5</v>
      </c>
      <c r="AJ985" t="s">
        <v>10</v>
      </c>
      <c r="AK985" t="s">
        <v>21</v>
      </c>
      <c r="AM985" t="s">
        <v>3238</v>
      </c>
      <c r="AW985" t="s">
        <v>3248</v>
      </c>
    </row>
    <row r="986" spans="1:52" x14ac:dyDescent="0.25">
      <c r="A986" t="s">
        <v>414</v>
      </c>
      <c r="B986" t="s">
        <v>163</v>
      </c>
      <c r="C986" t="s">
        <v>657</v>
      </c>
      <c r="D986" t="s">
        <v>24</v>
      </c>
      <c r="E986" t="s">
        <v>659</v>
      </c>
      <c r="F986" t="s">
        <v>26</v>
      </c>
      <c r="G986" t="str">
        <f>HYPERLINK("https://vk.com/wall-197114981_31?reply=1195")</f>
        <v>https://vk.com/wall-197114981_31?reply=1195</v>
      </c>
      <c r="H986" t="s">
        <v>13</v>
      </c>
      <c r="I986" t="s">
        <v>438</v>
      </c>
      <c r="J986" t="str">
        <f>HYPERLINK("http://vk.com/id321391081")</f>
        <v>http://vk.com/id321391081</v>
      </c>
      <c r="K986">
        <v>418</v>
      </c>
      <c r="L986" t="s">
        <v>80</v>
      </c>
      <c r="N986" t="s">
        <v>16</v>
      </c>
      <c r="O986" t="s">
        <v>27</v>
      </c>
      <c r="P986" t="str">
        <f>HYPERLINK("http://vk.com/club197114981")</f>
        <v>http://vk.com/club197114981</v>
      </c>
      <c r="Q986">
        <v>38</v>
      </c>
      <c r="R986" t="s">
        <v>17</v>
      </c>
      <c r="S986" t="s">
        <v>18</v>
      </c>
      <c r="T986" t="s">
        <v>231</v>
      </c>
      <c r="U986" t="s">
        <v>232</v>
      </c>
      <c r="AJ986" t="s">
        <v>10</v>
      </c>
      <c r="AK986" t="s">
        <v>21</v>
      </c>
      <c r="AZ986" t="s">
        <v>3251</v>
      </c>
    </row>
    <row r="987" spans="1:52" x14ac:dyDescent="0.25">
      <c r="A987" t="s">
        <v>414</v>
      </c>
      <c r="B987" t="s">
        <v>768</v>
      </c>
      <c r="C987" t="s">
        <v>769</v>
      </c>
      <c r="D987" t="s">
        <v>24</v>
      </c>
      <c r="E987" t="s">
        <v>25</v>
      </c>
      <c r="F987" t="s">
        <v>26</v>
      </c>
      <c r="G987" t="str">
        <f>HYPERLINK("https://vk.com/wall-197114981_31?reply=1166&amp;thread=1128")</f>
        <v>https://vk.com/wall-197114981_31?reply=1166&amp;thread=1128</v>
      </c>
      <c r="H987" t="s">
        <v>13</v>
      </c>
      <c r="I987" t="s">
        <v>27</v>
      </c>
      <c r="J987" t="str">
        <f>HYPERLINK("http://vk.com/club197114981")</f>
        <v>http://vk.com/club197114981</v>
      </c>
      <c r="K987">
        <v>38</v>
      </c>
      <c r="L987" t="s">
        <v>28</v>
      </c>
      <c r="N987" t="s">
        <v>16</v>
      </c>
      <c r="O987" t="s">
        <v>27</v>
      </c>
      <c r="P987" t="str">
        <f>HYPERLINK("http://vk.com/club197114981")</f>
        <v>http://vk.com/club197114981</v>
      </c>
      <c r="Q987">
        <v>38</v>
      </c>
      <c r="R987" t="s">
        <v>17</v>
      </c>
      <c r="AJ987" t="s">
        <v>10</v>
      </c>
      <c r="AK987" t="s">
        <v>21</v>
      </c>
      <c r="AZ987" t="s">
        <v>3251</v>
      </c>
    </row>
    <row r="988" spans="1:52" x14ac:dyDescent="0.25">
      <c r="A988" t="s">
        <v>414</v>
      </c>
      <c r="B988" t="s">
        <v>770</v>
      </c>
      <c r="C988" t="s">
        <v>771</v>
      </c>
      <c r="D988" t="s">
        <v>24</v>
      </c>
      <c r="E988" t="s">
        <v>74</v>
      </c>
      <c r="F988" t="s">
        <v>26</v>
      </c>
      <c r="G988" t="str">
        <f>HYPERLINK("https://vk.com/wall-197114981_31?reply=1165&amp;thread=1131")</f>
        <v>https://vk.com/wall-197114981_31?reply=1165&amp;thread=1131</v>
      </c>
      <c r="H988" t="s">
        <v>13</v>
      </c>
      <c r="I988" t="s">
        <v>27</v>
      </c>
      <c r="J988" t="str">
        <f>HYPERLINK("http://vk.com/club197114981")</f>
        <v>http://vk.com/club197114981</v>
      </c>
      <c r="K988">
        <v>38</v>
      </c>
      <c r="L988" t="s">
        <v>28</v>
      </c>
      <c r="N988" t="s">
        <v>16</v>
      </c>
      <c r="O988" t="s">
        <v>27</v>
      </c>
      <c r="P988" t="str">
        <f>HYPERLINK("http://vk.com/club197114981")</f>
        <v>http://vk.com/club197114981</v>
      </c>
      <c r="Q988">
        <v>38</v>
      </c>
      <c r="R988" t="s">
        <v>17</v>
      </c>
      <c r="AJ988" t="s">
        <v>10</v>
      </c>
      <c r="AK988" t="s">
        <v>21</v>
      </c>
      <c r="AM988" t="s">
        <v>3238</v>
      </c>
      <c r="AN988" t="s">
        <v>3239</v>
      </c>
      <c r="AO988" t="s">
        <v>3240</v>
      </c>
      <c r="AZ988" t="s">
        <v>3251</v>
      </c>
    </row>
    <row r="989" spans="1:52" x14ac:dyDescent="0.25">
      <c r="A989" t="s">
        <v>1017</v>
      </c>
      <c r="B989" t="s">
        <v>851</v>
      </c>
      <c r="C989" t="s">
        <v>984</v>
      </c>
      <c r="D989" t="s">
        <v>10</v>
      </c>
      <c r="E989" t="s">
        <v>1045</v>
      </c>
      <c r="F989" t="s">
        <v>45</v>
      </c>
      <c r="G989" t="str">
        <f>HYPERLINK("https://vk.com/wall-20907498_68994")</f>
        <v>https://vk.com/wall-20907498_68994</v>
      </c>
      <c r="H989" t="s">
        <v>885</v>
      </c>
      <c r="I989" t="s">
        <v>1046</v>
      </c>
      <c r="J989" t="str">
        <f>HYPERLINK("http://vk.com/club20907498")</f>
        <v>http://vk.com/club20907498</v>
      </c>
      <c r="K989">
        <v>16745</v>
      </c>
      <c r="L989" t="s">
        <v>28</v>
      </c>
      <c r="N989" t="s">
        <v>16</v>
      </c>
      <c r="O989" t="s">
        <v>1046</v>
      </c>
      <c r="P989" t="str">
        <f>HYPERLINK("http://vk.com/club20907498")</f>
        <v>http://vk.com/club20907498</v>
      </c>
      <c r="Q989">
        <v>16745</v>
      </c>
      <c r="R989" t="s">
        <v>17</v>
      </c>
      <c r="S989" t="s">
        <v>18</v>
      </c>
      <c r="T989" t="s">
        <v>617</v>
      </c>
      <c r="U989" t="s">
        <v>1034</v>
      </c>
      <c r="W989">
        <v>4</v>
      </c>
      <c r="X989">
        <v>4</v>
      </c>
      <c r="AE989">
        <v>0</v>
      </c>
      <c r="AF989">
        <v>1</v>
      </c>
      <c r="AG989">
        <v>685</v>
      </c>
      <c r="AI989" t="str">
        <f>HYPERLINK("https://sun1-88.userapi.com/yM4-Ekr8zVyT9QZnDw_QcWGvZ7r6Yyf50DlG6Q/syUM5LqdT78.jpg")</f>
        <v>https://sun1-88.userapi.com/yM4-Ekr8zVyT9QZnDw_QcWGvZ7r6Yyf50DlG6Q/syUM5LqdT78.jpg</v>
      </c>
      <c r="AJ989" t="s">
        <v>10</v>
      </c>
      <c r="AK989" t="s">
        <v>21</v>
      </c>
      <c r="AT989" t="s">
        <v>3245</v>
      </c>
      <c r="AU989" t="s">
        <v>3246</v>
      </c>
      <c r="AV989" t="s">
        <v>3247</v>
      </c>
      <c r="AW989" t="s">
        <v>3248</v>
      </c>
      <c r="AZ989" t="s">
        <v>3251</v>
      </c>
    </row>
    <row r="990" spans="1:52" x14ac:dyDescent="0.25">
      <c r="A990" t="s">
        <v>2472</v>
      </c>
      <c r="B990" t="s">
        <v>637</v>
      </c>
      <c r="C990" t="s">
        <v>968</v>
      </c>
      <c r="D990" t="s">
        <v>10</v>
      </c>
      <c r="E990" t="s">
        <v>2506</v>
      </c>
      <c r="F990" t="s">
        <v>45</v>
      </c>
      <c r="G990" t="str">
        <f>HYPERLINK("https://www.facebook.com/mriexpert/photos/a.902990326434112/3192584367474685/?type=3")</f>
        <v>https://www.facebook.com/mriexpert/photos/a.902990326434112/3192584367474685/?type=3</v>
      </c>
      <c r="H990" t="s">
        <v>885</v>
      </c>
      <c r="I990" t="s">
        <v>46</v>
      </c>
      <c r="J990" t="str">
        <f>HYPERLINK("https://www.facebook.com/902980129768465")</f>
        <v>https://www.facebook.com/902980129768465</v>
      </c>
      <c r="K990">
        <v>1509</v>
      </c>
      <c r="L990" t="s">
        <v>28</v>
      </c>
      <c r="N990" t="s">
        <v>179</v>
      </c>
      <c r="O990" t="s">
        <v>46</v>
      </c>
      <c r="P990" t="str">
        <f>HYPERLINK("https://www.facebook.com/902980129768465")</f>
        <v>https://www.facebook.com/902980129768465</v>
      </c>
      <c r="Q990">
        <v>1509</v>
      </c>
      <c r="R990" t="s">
        <v>17</v>
      </c>
      <c r="W990">
        <v>2</v>
      </c>
      <c r="X990">
        <v>2</v>
      </c>
      <c r="Y990">
        <v>0</v>
      </c>
      <c r="Z990">
        <v>0</v>
      </c>
      <c r="AA990">
        <v>0</v>
      </c>
      <c r="AB990">
        <v>0</v>
      </c>
      <c r="AC990">
        <v>0</v>
      </c>
      <c r="AE990">
        <v>0</v>
      </c>
      <c r="AI990" t="str">
        <f>HYPERLINK("https://scontent-hel2-1.xx.fbcdn.net/v/t1.0-0/p180x540/109714144_3192584374141351_704572638709052262_n.jpg?_nc_cat=110&amp;_nc_sid=9267fe&amp;_nc_ohc=A8hGHpF24NMAX9wUQUf&amp;_nc_ht=scontent-hel2-1.xx&amp;_nc_tp=6&amp;oh=749077a857819d51e304a2a3d9afc8c8&amp;oe=5F386B5B")</f>
        <v>https://scontent-hel2-1.xx.fbcdn.net/v/t1.0-0/p180x540/109714144_3192584374141351_704572638709052262_n.jpg?_nc_cat=110&amp;_nc_sid=9267fe&amp;_nc_ohc=A8hGHpF24NMAX9wUQUf&amp;_nc_ht=scontent-hel2-1.xx&amp;_nc_tp=6&amp;oh=749077a857819d51e304a2a3d9afc8c8&amp;oe=5F386B5B</v>
      </c>
      <c r="AJ990" t="s">
        <v>10</v>
      </c>
      <c r="AK990" t="s">
        <v>21</v>
      </c>
      <c r="AW990" t="s">
        <v>3248</v>
      </c>
      <c r="AX990" t="s">
        <v>3249</v>
      </c>
      <c r="AZ990" t="s">
        <v>3251</v>
      </c>
    </row>
    <row r="991" spans="1:52" x14ac:dyDescent="0.25">
      <c r="A991" t="s">
        <v>2541</v>
      </c>
      <c r="B991" t="s">
        <v>277</v>
      </c>
      <c r="C991" t="s">
        <v>968</v>
      </c>
      <c r="D991" t="s">
        <v>10</v>
      </c>
      <c r="E991" t="s">
        <v>2584</v>
      </c>
      <c r="F991" t="s">
        <v>12</v>
      </c>
      <c r="G991" t="str">
        <f>HYPERLINK("https://www.facebook.com/568390943273818/posts/2989640977815457")</f>
        <v>https://www.facebook.com/568390943273818/posts/2989640977815457</v>
      </c>
      <c r="H991" t="s">
        <v>885</v>
      </c>
      <c r="I991" t="s">
        <v>280</v>
      </c>
      <c r="J991" t="str">
        <f>HYPERLINK("https://www.facebook.com/568390943273818")</f>
        <v>https://www.facebook.com/568390943273818</v>
      </c>
      <c r="K991">
        <v>18918</v>
      </c>
      <c r="L991" t="s">
        <v>28</v>
      </c>
      <c r="N991" t="s">
        <v>179</v>
      </c>
      <c r="O991" t="s">
        <v>280</v>
      </c>
      <c r="P991" t="str">
        <f>HYPERLINK("https://www.facebook.com/568390943273818")</f>
        <v>https://www.facebook.com/568390943273818</v>
      </c>
      <c r="Q991">
        <v>18918</v>
      </c>
      <c r="R991" t="s">
        <v>17</v>
      </c>
      <c r="S991" t="s">
        <v>281</v>
      </c>
      <c r="T991" t="s">
        <v>282</v>
      </c>
      <c r="U991" t="s">
        <v>282</v>
      </c>
      <c r="W991">
        <v>10</v>
      </c>
      <c r="X991">
        <v>10</v>
      </c>
      <c r="Y991">
        <v>0</v>
      </c>
      <c r="Z991">
        <v>0</v>
      </c>
      <c r="AA991">
        <v>0</v>
      </c>
      <c r="AB991">
        <v>0</v>
      </c>
      <c r="AC991">
        <v>0</v>
      </c>
      <c r="AE991">
        <v>0</v>
      </c>
      <c r="AF991">
        <v>2</v>
      </c>
      <c r="AI991" t="str">
        <f>HYPERLINK("https://scontent-frx5-1.xx.fbcdn.net/v/t15.13418-10/109505973_661848554404836_6786437540991405915_n.jpg?_nc_cat=105&amp;_nc_sid=ad6a45&amp;_nc_ohc=1ViiPAvMGykAX_SN3VX&amp;_nc_ht=scontent-frx5-1.xx&amp;oh=c6e68dd5d6bc45e9048f9f926cbb5fd8&amp;oe=5F36B5F9")</f>
        <v>https://scontent-frx5-1.xx.fbcdn.net/v/t15.13418-10/109505973_661848554404836_6786437540991405915_n.jpg?_nc_cat=105&amp;_nc_sid=ad6a45&amp;_nc_ohc=1ViiPAvMGykAX_SN3VX&amp;_nc_ht=scontent-frx5-1.xx&amp;oh=c6e68dd5d6bc45e9048f9f926cbb5fd8&amp;oe=5F36B5F9</v>
      </c>
      <c r="AJ991" t="s">
        <v>10</v>
      </c>
      <c r="AK991" t="s">
        <v>21</v>
      </c>
      <c r="AL991" t="s">
        <v>3237</v>
      </c>
      <c r="AZ991" t="s">
        <v>3251</v>
      </c>
    </row>
    <row r="992" spans="1:52" x14ac:dyDescent="0.25">
      <c r="A992" t="s">
        <v>1017</v>
      </c>
      <c r="B992" t="s">
        <v>1031</v>
      </c>
      <c r="C992" t="s">
        <v>984</v>
      </c>
      <c r="D992" t="s">
        <v>10</v>
      </c>
      <c r="E992" t="s">
        <v>1032</v>
      </c>
      <c r="F992" t="s">
        <v>12</v>
      </c>
      <c r="G992" t="str">
        <f>HYPERLINK("https://vk.com/wall13352321_6316")</f>
        <v>https://vk.com/wall13352321_6316</v>
      </c>
      <c r="H992" t="s">
        <v>885</v>
      </c>
      <c r="I992" t="s">
        <v>1033</v>
      </c>
      <c r="J992" t="str">
        <f>HYPERLINK("http://vk.com/id13352321")</f>
        <v>http://vk.com/id13352321</v>
      </c>
      <c r="K992">
        <v>947</v>
      </c>
      <c r="L992" t="s">
        <v>80</v>
      </c>
      <c r="N992" t="s">
        <v>16</v>
      </c>
      <c r="O992" t="s">
        <v>1033</v>
      </c>
      <c r="P992" t="str">
        <f>HYPERLINK("http://vk.com/id13352321")</f>
        <v>http://vk.com/id13352321</v>
      </c>
      <c r="Q992">
        <v>947</v>
      </c>
      <c r="R992" t="s">
        <v>17</v>
      </c>
      <c r="S992" t="s">
        <v>18</v>
      </c>
      <c r="T992" t="s">
        <v>617</v>
      </c>
      <c r="U992" t="s">
        <v>1034</v>
      </c>
      <c r="W992">
        <v>0</v>
      </c>
      <c r="X992">
        <v>0</v>
      </c>
      <c r="AE992">
        <v>0</v>
      </c>
      <c r="AF992">
        <v>0</v>
      </c>
      <c r="AG992">
        <v>16</v>
      </c>
      <c r="AI992" t="str">
        <f>HYPERLINK("https://sun2-3.userapi.com/yM4-Ekr8zVyT9QZnDw_QcWGvZ7r6Yyf50DlG6Q/syUM5LqdT78.jpg")</f>
        <v>https://sun2-3.userapi.com/yM4-Ekr8zVyT9QZnDw_QcWGvZ7r6Yyf50DlG6Q/syUM5LqdT78.jpg</v>
      </c>
      <c r="AJ992" t="s">
        <v>10</v>
      </c>
      <c r="AK992" t="s">
        <v>21</v>
      </c>
      <c r="AZ992" t="s">
        <v>3251</v>
      </c>
    </row>
    <row r="993" spans="1:52" x14ac:dyDescent="0.25">
      <c r="A993" t="s">
        <v>1158</v>
      </c>
      <c r="B993" t="s">
        <v>1183</v>
      </c>
      <c r="C993" t="s">
        <v>984</v>
      </c>
      <c r="D993" t="s">
        <v>992</v>
      </c>
      <c r="E993" t="s">
        <v>1184</v>
      </c>
      <c r="F993" t="s">
        <v>45</v>
      </c>
      <c r="G993" t="str">
        <f>HYPERLINK("https://www.google.com/maps/reviews/data=!4m5!14m4!1m3!1m2!1s104806981293875346282!2s0x0:0xcefba63f54cda536?hl=en-NL")</f>
        <v>https://www.google.com/maps/reviews/data=!4m5!14m4!1m3!1m2!1s104806981293875346282!2s0x0:0xcefba63f54cda536?hl=en-NL</v>
      </c>
      <c r="H993" t="s">
        <v>1057</v>
      </c>
      <c r="I993" t="s">
        <v>1185</v>
      </c>
      <c r="J993" t="str">
        <f>HYPERLINK("https://maps.google.com/maps/contrib/104806981293875346282")</f>
        <v>https://maps.google.com/maps/contrib/104806981293875346282</v>
      </c>
      <c r="L993" t="s">
        <v>80</v>
      </c>
      <c r="N993" t="s">
        <v>615</v>
      </c>
      <c r="O993" t="s">
        <v>992</v>
      </c>
      <c r="P993" t="str">
        <f>HYPERLINK("https://maps.google.com/maps/place/data=!3m1!4b1!4m5!3m4!1s0x0:0xcefba63f54cda536!8m2!3d55.982240!4d37.214280")</f>
        <v>https://maps.google.com/maps/place/data=!3m1!4b1!4m5!3m4!1s0x0:0xcefba63f54cda536!8m2!3d55.982240!4d37.214280</v>
      </c>
      <c r="R993" t="s">
        <v>616</v>
      </c>
      <c r="S993" t="s">
        <v>18</v>
      </c>
      <c r="T993" t="s">
        <v>766</v>
      </c>
      <c r="U993" t="s">
        <v>994</v>
      </c>
      <c r="AH993">
        <v>3</v>
      </c>
      <c r="AI993" t="str">
        <f>HYPERLINK("https://lh3.ggpht.com/p/AF1QipNWmWI4BJmuHxj7fJngdarizOSj66quUDBnbGFT=s1024")</f>
        <v>https://lh3.ggpht.com/p/AF1QipNWmWI4BJmuHxj7fJngdarizOSj66quUDBnbGFT=s1024</v>
      </c>
      <c r="AJ993" t="s">
        <v>10</v>
      </c>
      <c r="AK993" t="s">
        <v>21</v>
      </c>
    </row>
    <row r="994" spans="1:52" x14ac:dyDescent="0.25">
      <c r="A994" t="s">
        <v>2122</v>
      </c>
      <c r="B994" t="s">
        <v>2163</v>
      </c>
      <c r="C994" t="s">
        <v>968</v>
      </c>
      <c r="D994" t="s">
        <v>10</v>
      </c>
      <c r="E994" t="s">
        <v>2164</v>
      </c>
      <c r="F994" t="s">
        <v>45</v>
      </c>
      <c r="G994" t="str">
        <f>HYPERLINK("https://www.instagram.com/p/CC-2meujX0D")</f>
        <v>https://www.instagram.com/p/CC-2meujX0D</v>
      </c>
      <c r="H994" t="s">
        <v>885</v>
      </c>
      <c r="I994" t="s">
        <v>1329</v>
      </c>
      <c r="J994" t="str">
        <f>HYPERLINK("http://instagram.com/mrt.expert.petrozavodsk")</f>
        <v>http://instagram.com/mrt.expert.petrozavodsk</v>
      </c>
      <c r="K994">
        <v>550</v>
      </c>
      <c r="L994" t="s">
        <v>28</v>
      </c>
      <c r="N994" t="s">
        <v>69</v>
      </c>
      <c r="O994" t="s">
        <v>1329</v>
      </c>
      <c r="P994" t="str">
        <f>HYPERLINK("http://instagram.com/mrt.expert.petrozavodsk")</f>
        <v>http://instagram.com/mrt.expert.petrozavodsk</v>
      </c>
      <c r="Q994">
        <v>550</v>
      </c>
      <c r="R994" t="s">
        <v>17</v>
      </c>
      <c r="S994" t="s">
        <v>18</v>
      </c>
      <c r="AI994" t="str">
        <f>HYPERLINK("https://www.instagram.com/p/CC-2meujX0D/media/?size=l")</f>
        <v>https://www.instagram.com/p/CC-2meujX0D/media/?size=l</v>
      </c>
      <c r="AJ994" t="s">
        <v>10</v>
      </c>
      <c r="AK994" t="s">
        <v>21</v>
      </c>
      <c r="AW994" t="s">
        <v>3248</v>
      </c>
    </row>
    <row r="995" spans="1:52" x14ac:dyDescent="0.25">
      <c r="A995" t="s">
        <v>3021</v>
      </c>
      <c r="B995" t="s">
        <v>1957</v>
      </c>
      <c r="C995" t="s">
        <v>968</v>
      </c>
      <c r="D995" t="s">
        <v>10</v>
      </c>
      <c r="E995" t="s">
        <v>3070</v>
      </c>
      <c r="F995" t="s">
        <v>45</v>
      </c>
      <c r="G995" t="str">
        <f>HYPERLINK("https://www.facebook.com/expert.klinika.stavropol/photos/a.108004590782008/164178408497959/?type=3")</f>
        <v>https://www.facebook.com/expert.klinika.stavropol/photos/a.108004590782008/164178408497959/?type=3</v>
      </c>
      <c r="H995" t="s">
        <v>885</v>
      </c>
      <c r="I995" t="s">
        <v>640</v>
      </c>
      <c r="J995" t="str">
        <f>HYPERLINK("https://www.facebook.com/107325724183228")</f>
        <v>https://www.facebook.com/107325724183228</v>
      </c>
      <c r="K995">
        <v>1</v>
      </c>
      <c r="L995" t="s">
        <v>28</v>
      </c>
      <c r="N995" t="s">
        <v>179</v>
      </c>
      <c r="O995" t="s">
        <v>640</v>
      </c>
      <c r="P995" t="str">
        <f>HYPERLINK("https://www.facebook.com/107325724183228")</f>
        <v>https://www.facebook.com/107325724183228</v>
      </c>
      <c r="Q995">
        <v>1</v>
      </c>
      <c r="R995" t="s">
        <v>17</v>
      </c>
      <c r="S995" t="s">
        <v>18</v>
      </c>
      <c r="T995" t="s">
        <v>641</v>
      </c>
      <c r="U995" t="s">
        <v>642</v>
      </c>
      <c r="W995">
        <v>0</v>
      </c>
      <c r="X995">
        <v>0</v>
      </c>
      <c r="Y995">
        <v>0</v>
      </c>
      <c r="Z995">
        <v>0</v>
      </c>
      <c r="AA995">
        <v>0</v>
      </c>
      <c r="AB995">
        <v>0</v>
      </c>
      <c r="AC995">
        <v>0</v>
      </c>
      <c r="AE995">
        <v>0</v>
      </c>
      <c r="AI995" t="str">
        <f>HYPERLINK("https://scontent-hel2-1.xx.fbcdn.net/v/t1.0-0/p526x296/107377659_164178411831292_9171911577197650431_o.jpg?_nc_cat=109&amp;_nc_sid=9267fe&amp;_nc_ohc=6xf02109VjIAX9toqGG&amp;_nc_ht=scontent-hel2-1.xx&amp;_nc_tp=6&amp;oh=3d35aa4eba7174dfa1f37948213c2f71&amp;oe=5F2E39F0")</f>
        <v>https://scontent-hel2-1.xx.fbcdn.net/v/t1.0-0/p526x296/107377659_164178411831292_9171911577197650431_o.jpg?_nc_cat=109&amp;_nc_sid=9267fe&amp;_nc_ohc=6xf02109VjIAX9toqGG&amp;_nc_ht=scontent-hel2-1.xx&amp;_nc_tp=6&amp;oh=3d35aa4eba7174dfa1f37948213c2f71&amp;oe=5F2E39F0</v>
      </c>
      <c r="AJ995" t="s">
        <v>10</v>
      </c>
      <c r="AK995" t="s">
        <v>21</v>
      </c>
    </row>
    <row r="996" spans="1:52" x14ac:dyDescent="0.25">
      <c r="A996" t="s">
        <v>3100</v>
      </c>
      <c r="B996" t="s">
        <v>128</v>
      </c>
      <c r="C996" t="s">
        <v>968</v>
      </c>
      <c r="D996" t="s">
        <v>10</v>
      </c>
      <c r="E996" t="s">
        <v>3148</v>
      </c>
      <c r="F996" t="s">
        <v>45</v>
      </c>
      <c r="G996" t="str">
        <f>HYPERLINK("https://www.facebook.com/mrtexpertrnd/posts/769532603791038")</f>
        <v>https://www.facebook.com/mrtexpertrnd/posts/769532603791038</v>
      </c>
      <c r="H996" t="s">
        <v>885</v>
      </c>
      <c r="I996" t="s">
        <v>125</v>
      </c>
      <c r="J996" t="str">
        <f>HYPERLINK("https://www.facebook.com/156600068417631")</f>
        <v>https://www.facebook.com/156600068417631</v>
      </c>
      <c r="K996">
        <v>236</v>
      </c>
      <c r="L996" t="s">
        <v>28</v>
      </c>
      <c r="N996" t="s">
        <v>179</v>
      </c>
      <c r="O996" t="s">
        <v>125</v>
      </c>
      <c r="P996" t="str">
        <f>HYPERLINK("https://www.facebook.com/156600068417631")</f>
        <v>https://www.facebook.com/156600068417631</v>
      </c>
      <c r="Q996">
        <v>236</v>
      </c>
      <c r="R996" t="s">
        <v>17</v>
      </c>
      <c r="S996" t="s">
        <v>18</v>
      </c>
      <c r="T996" t="s">
        <v>126</v>
      </c>
      <c r="U996" t="s">
        <v>127</v>
      </c>
      <c r="W996">
        <v>0</v>
      </c>
      <c r="X996">
        <v>0</v>
      </c>
      <c r="Y996">
        <v>0</v>
      </c>
      <c r="Z996">
        <v>0</v>
      </c>
      <c r="AA996">
        <v>0</v>
      </c>
      <c r="AB996">
        <v>0</v>
      </c>
      <c r="AC996">
        <v>0</v>
      </c>
      <c r="AE996">
        <v>0</v>
      </c>
      <c r="AI996" t="s">
        <v>3150</v>
      </c>
      <c r="AJ996" t="s">
        <v>10</v>
      </c>
      <c r="AK996" t="s">
        <v>21</v>
      </c>
      <c r="AV996" t="s">
        <v>3247</v>
      </c>
      <c r="AW996" t="s">
        <v>3248</v>
      </c>
      <c r="AX996" t="s">
        <v>3249</v>
      </c>
      <c r="AZ996" t="s">
        <v>3251</v>
      </c>
    </row>
    <row r="997" spans="1:52" x14ac:dyDescent="0.25">
      <c r="A997" t="s">
        <v>414</v>
      </c>
      <c r="B997" t="s">
        <v>706</v>
      </c>
      <c r="C997" t="s">
        <v>707</v>
      </c>
      <c r="D997" t="s">
        <v>24</v>
      </c>
      <c r="E997" t="s">
        <v>564</v>
      </c>
      <c r="F997" t="s">
        <v>26</v>
      </c>
      <c r="G997" t="str">
        <f>HYPERLINK("https://vk.com/wall-197114981_31?reply=1184&amp;thread=1180")</f>
        <v>https://vk.com/wall-197114981_31?reply=1184&amp;thread=1180</v>
      </c>
      <c r="H997" t="s">
        <v>13</v>
      </c>
      <c r="I997" t="s">
        <v>27</v>
      </c>
      <c r="J997" t="str">
        <f>HYPERLINK("http://vk.com/club197114981")</f>
        <v>http://vk.com/club197114981</v>
      </c>
      <c r="K997">
        <v>38</v>
      </c>
      <c r="L997" t="s">
        <v>28</v>
      </c>
      <c r="N997" t="s">
        <v>16</v>
      </c>
      <c r="O997" t="s">
        <v>27</v>
      </c>
      <c r="P997" t="str">
        <f>HYPERLINK("http://vk.com/club197114981")</f>
        <v>http://vk.com/club197114981</v>
      </c>
      <c r="Q997">
        <v>38</v>
      </c>
      <c r="R997" t="s">
        <v>17</v>
      </c>
      <c r="AJ997" t="s">
        <v>10</v>
      </c>
      <c r="AK997" t="s">
        <v>21</v>
      </c>
    </row>
    <row r="998" spans="1:52" x14ac:dyDescent="0.25">
      <c r="A998" t="s">
        <v>772</v>
      </c>
      <c r="B998" t="s">
        <v>887</v>
      </c>
      <c r="C998" t="s">
        <v>888</v>
      </c>
      <c r="D998" t="s">
        <v>24</v>
      </c>
      <c r="E998" t="s">
        <v>857</v>
      </c>
      <c r="F998" t="s">
        <v>26</v>
      </c>
      <c r="G998" t="str">
        <f>HYPERLINK("https://vk.com/wall-197114981_31?reply=1126&amp;thread=294")</f>
        <v>https://vk.com/wall-197114981_31?reply=1126&amp;thread=294</v>
      </c>
      <c r="H998" t="s">
        <v>889</v>
      </c>
      <c r="I998" t="s">
        <v>27</v>
      </c>
      <c r="J998" t="str">
        <f>HYPERLINK("http://vk.com/club197114981")</f>
        <v>http://vk.com/club197114981</v>
      </c>
      <c r="K998">
        <v>38</v>
      </c>
      <c r="L998" t="s">
        <v>28</v>
      </c>
      <c r="N998" t="s">
        <v>16</v>
      </c>
      <c r="O998" t="s">
        <v>27</v>
      </c>
      <c r="P998" t="str">
        <f>HYPERLINK("http://vk.com/club197114981")</f>
        <v>http://vk.com/club197114981</v>
      </c>
      <c r="Q998">
        <v>38</v>
      </c>
      <c r="R998" t="s">
        <v>17</v>
      </c>
      <c r="AJ998" t="s">
        <v>10</v>
      </c>
      <c r="AK998" t="s">
        <v>21</v>
      </c>
    </row>
    <row r="999" spans="1:52" x14ac:dyDescent="0.25">
      <c r="A999" t="s">
        <v>414</v>
      </c>
      <c r="B999" t="s">
        <v>562</v>
      </c>
      <c r="C999" t="s">
        <v>563</v>
      </c>
      <c r="D999" t="s">
        <v>24</v>
      </c>
      <c r="E999" t="s">
        <v>564</v>
      </c>
      <c r="F999" t="s">
        <v>26</v>
      </c>
      <c r="G999" t="str">
        <f>HYPERLINK("https://vk.com/wall-197114981_31?reply=1230&amp;thread=1217")</f>
        <v>https://vk.com/wall-197114981_31?reply=1230&amp;thread=1217</v>
      </c>
      <c r="H999" t="s">
        <v>13</v>
      </c>
      <c r="I999" t="s">
        <v>27</v>
      </c>
      <c r="J999" t="str">
        <f>HYPERLINK("http://vk.com/club197114981")</f>
        <v>http://vk.com/club197114981</v>
      </c>
      <c r="K999">
        <v>38</v>
      </c>
      <c r="L999" t="s">
        <v>28</v>
      </c>
      <c r="N999" t="s">
        <v>16</v>
      </c>
      <c r="O999" t="s">
        <v>27</v>
      </c>
      <c r="P999" t="str">
        <f>HYPERLINK("http://vk.com/club197114981")</f>
        <v>http://vk.com/club197114981</v>
      </c>
      <c r="Q999">
        <v>38</v>
      </c>
      <c r="R999" t="s">
        <v>17</v>
      </c>
      <c r="AJ999" t="s">
        <v>10</v>
      </c>
      <c r="AK999" t="s">
        <v>21</v>
      </c>
    </row>
    <row r="1000" spans="1:52" x14ac:dyDescent="0.25">
      <c r="A1000" t="s">
        <v>414</v>
      </c>
      <c r="B1000" t="s">
        <v>674</v>
      </c>
      <c r="C1000" t="s">
        <v>675</v>
      </c>
      <c r="D1000" t="s">
        <v>24</v>
      </c>
      <c r="E1000" t="s">
        <v>636</v>
      </c>
      <c r="F1000" t="s">
        <v>26</v>
      </c>
      <c r="G1000" t="str">
        <f>HYPERLINK("https://vk.com/wall-197114981_31?reply=1192&amp;thread=1185")</f>
        <v>https://vk.com/wall-197114981_31?reply=1192&amp;thread=1185</v>
      </c>
      <c r="H1000" t="s">
        <v>13</v>
      </c>
      <c r="I1000" t="s">
        <v>27</v>
      </c>
      <c r="J1000" t="str">
        <f>HYPERLINK("http://vk.com/club197114981")</f>
        <v>http://vk.com/club197114981</v>
      </c>
      <c r="K1000">
        <v>38</v>
      </c>
      <c r="L1000" t="s">
        <v>28</v>
      </c>
      <c r="N1000" t="s">
        <v>16</v>
      </c>
      <c r="O1000" t="s">
        <v>27</v>
      </c>
      <c r="P1000" t="str">
        <f>HYPERLINK("http://vk.com/club197114981")</f>
        <v>http://vk.com/club197114981</v>
      </c>
      <c r="Q1000">
        <v>38</v>
      </c>
      <c r="R1000" t="s">
        <v>17</v>
      </c>
      <c r="AJ1000" t="s">
        <v>10</v>
      </c>
      <c r="AK1000" t="s">
        <v>21</v>
      </c>
      <c r="AL1000" t="s">
        <v>3237</v>
      </c>
      <c r="AO1000" t="s">
        <v>3240</v>
      </c>
    </row>
    <row r="1001" spans="1:52" x14ac:dyDescent="0.25">
      <c r="A1001" t="s">
        <v>1017</v>
      </c>
      <c r="B1001" t="s">
        <v>1047</v>
      </c>
      <c r="C1001" t="s">
        <v>984</v>
      </c>
      <c r="D1001" t="s">
        <v>10</v>
      </c>
      <c r="E1001" t="s">
        <v>1048</v>
      </c>
      <c r="F1001" t="s">
        <v>45</v>
      </c>
      <c r="G1001" t="str">
        <f>HYPERLINK("https://vk.com/wall549014987_13243")</f>
        <v>https://vk.com/wall549014987_13243</v>
      </c>
      <c r="H1001" t="s">
        <v>885</v>
      </c>
      <c r="I1001" t="s">
        <v>1049</v>
      </c>
      <c r="J1001" t="str">
        <f>HYPERLINK("http://vk.com/id549014987")</f>
        <v>http://vk.com/id549014987</v>
      </c>
      <c r="K1001">
        <v>38</v>
      </c>
      <c r="L1001" t="s">
        <v>15</v>
      </c>
      <c r="M1001">
        <v>49</v>
      </c>
      <c r="N1001" t="s">
        <v>16</v>
      </c>
      <c r="O1001" t="s">
        <v>1049</v>
      </c>
      <c r="P1001" t="str">
        <f>HYPERLINK("http://vk.com/id549014987")</f>
        <v>http://vk.com/id549014987</v>
      </c>
      <c r="Q1001">
        <v>38</v>
      </c>
      <c r="R1001" t="s">
        <v>17</v>
      </c>
      <c r="S1001" t="s">
        <v>18</v>
      </c>
      <c r="T1001" t="s">
        <v>1050</v>
      </c>
      <c r="U1001" t="s">
        <v>1051</v>
      </c>
      <c r="W1001">
        <v>0</v>
      </c>
      <c r="X1001">
        <v>0</v>
      </c>
      <c r="AE1001">
        <v>0</v>
      </c>
      <c r="AF1001">
        <v>0</v>
      </c>
      <c r="AG1001">
        <v>1</v>
      </c>
      <c r="AJ1001" t="s">
        <v>10</v>
      </c>
      <c r="AK1001" t="s">
        <v>21</v>
      </c>
      <c r="AW1001" t="s">
        <v>3248</v>
      </c>
      <c r="AX1001" t="s">
        <v>3249</v>
      </c>
      <c r="AZ1001" t="s">
        <v>3251</v>
      </c>
    </row>
    <row r="1002" spans="1:52" x14ac:dyDescent="0.25">
      <c r="A1002" t="s">
        <v>1158</v>
      </c>
      <c r="B1002" t="s">
        <v>243</v>
      </c>
      <c r="C1002" t="s">
        <v>984</v>
      </c>
      <c r="D1002" t="s">
        <v>1197</v>
      </c>
      <c r="E1002" t="s">
        <v>1198</v>
      </c>
      <c r="F1002" t="s">
        <v>26</v>
      </c>
      <c r="G1002" t="str">
        <f>HYPERLINK("https://vk.com/wall-57006401_1350735?reply=1351005")</f>
        <v>https://vk.com/wall-57006401_1350735?reply=1351005</v>
      </c>
      <c r="H1002" t="s">
        <v>889</v>
      </c>
      <c r="I1002" t="s">
        <v>1199</v>
      </c>
      <c r="J1002" t="str">
        <f>HYPERLINK("http://vk.com/id606898171")</f>
        <v>http://vk.com/id606898171</v>
      </c>
      <c r="K1002">
        <v>5</v>
      </c>
      <c r="L1002" t="s">
        <v>80</v>
      </c>
      <c r="M1002">
        <v>33</v>
      </c>
      <c r="N1002" t="s">
        <v>16</v>
      </c>
      <c r="O1002" t="s">
        <v>1200</v>
      </c>
      <c r="P1002" t="str">
        <f>HYPERLINK("http://vk.com/club57006401")</f>
        <v>http://vk.com/club57006401</v>
      </c>
      <c r="Q1002">
        <v>19740</v>
      </c>
      <c r="R1002" t="s">
        <v>17</v>
      </c>
      <c r="S1002" t="s">
        <v>18</v>
      </c>
      <c r="T1002" t="s">
        <v>126</v>
      </c>
      <c r="U1002" t="s">
        <v>127</v>
      </c>
      <c r="AJ1002" t="s">
        <v>10</v>
      </c>
      <c r="AK1002" t="s">
        <v>21</v>
      </c>
      <c r="AW1002" t="s">
        <v>3248</v>
      </c>
      <c r="AZ1002" t="s">
        <v>3251</v>
      </c>
    </row>
    <row r="1003" spans="1:52" x14ac:dyDescent="0.25">
      <c r="A1003" t="s">
        <v>2472</v>
      </c>
      <c r="B1003" t="s">
        <v>637</v>
      </c>
      <c r="C1003" t="s">
        <v>968</v>
      </c>
      <c r="D1003" t="s">
        <v>10</v>
      </c>
      <c r="E1003" t="s">
        <v>2507</v>
      </c>
      <c r="F1003" t="s">
        <v>45</v>
      </c>
      <c r="G1003" t="str">
        <f>HYPERLINK("https://vk.com/wall-48669646_10177")</f>
        <v>https://vk.com/wall-48669646_10177</v>
      </c>
      <c r="H1003" t="s">
        <v>885</v>
      </c>
      <c r="I1003" t="s">
        <v>46</v>
      </c>
      <c r="J1003" t="str">
        <f>HYPERLINK("http://vk.com/club48669646")</f>
        <v>http://vk.com/club48669646</v>
      </c>
      <c r="K1003">
        <v>5795</v>
      </c>
      <c r="L1003" t="s">
        <v>28</v>
      </c>
      <c r="N1003" t="s">
        <v>16</v>
      </c>
      <c r="O1003" t="s">
        <v>46</v>
      </c>
      <c r="P1003" t="str">
        <f>HYPERLINK("http://vk.com/club48669646")</f>
        <v>http://vk.com/club48669646</v>
      </c>
      <c r="Q1003">
        <v>5795</v>
      </c>
      <c r="R1003" t="s">
        <v>17</v>
      </c>
      <c r="S1003" t="s">
        <v>18</v>
      </c>
      <c r="W1003">
        <v>0</v>
      </c>
      <c r="X1003">
        <v>0</v>
      </c>
      <c r="AE1003">
        <v>0</v>
      </c>
      <c r="AF1003">
        <v>0</v>
      </c>
      <c r="AG1003">
        <v>273</v>
      </c>
      <c r="AI1003" t="str">
        <f>HYPERLINK("https://sun1-24.userapi.com/QK7Kxnyw-g-ynGgq9bbWvnddyMy0VWmKj269fQ/EVw1V4Vxh7s.jpg")</f>
        <v>https://sun1-24.userapi.com/QK7Kxnyw-g-ynGgq9bbWvnddyMy0VWmKj269fQ/EVw1V4Vxh7s.jpg</v>
      </c>
      <c r="AJ1003" t="s">
        <v>10</v>
      </c>
      <c r="AK1003" t="s">
        <v>21</v>
      </c>
      <c r="AW1003" t="s">
        <v>3248</v>
      </c>
    </row>
    <row r="1004" spans="1:52" x14ac:dyDescent="0.25">
      <c r="A1004" t="s">
        <v>2865</v>
      </c>
      <c r="B1004" t="s">
        <v>2897</v>
      </c>
      <c r="C1004" t="s">
        <v>968</v>
      </c>
      <c r="D1004" t="s">
        <v>10</v>
      </c>
      <c r="E1004" t="s">
        <v>2129</v>
      </c>
      <c r="F1004" t="s">
        <v>26</v>
      </c>
      <c r="G1004" t="str">
        <f>HYPERLINK("https://twitter.com/1277445176592437249/status/1282117007270281217")</f>
        <v>https://twitter.com/1277445176592437249/status/1282117007270281217</v>
      </c>
      <c r="H1004" t="s">
        <v>885</v>
      </c>
      <c r="I1004" t="s">
        <v>2898</v>
      </c>
      <c r="J1004" t="str">
        <f>HYPERLINK("http://twitter.com/Joe93434386")</f>
        <v>http://twitter.com/Joe93434386</v>
      </c>
      <c r="K1004">
        <v>46</v>
      </c>
      <c r="N1004" t="s">
        <v>54</v>
      </c>
      <c r="R1004" t="s">
        <v>17</v>
      </c>
      <c r="W1004">
        <v>0</v>
      </c>
      <c r="X1004">
        <v>0</v>
      </c>
      <c r="AF1004">
        <v>0</v>
      </c>
      <c r="AJ1004" t="s">
        <v>10</v>
      </c>
      <c r="AK1004" t="s">
        <v>21</v>
      </c>
    </row>
    <row r="1005" spans="1:52" x14ac:dyDescent="0.25">
      <c r="A1005" t="s">
        <v>2865</v>
      </c>
      <c r="B1005" t="s">
        <v>2899</v>
      </c>
      <c r="C1005" t="s">
        <v>968</v>
      </c>
      <c r="D1005" t="s">
        <v>421</v>
      </c>
      <c r="E1005" t="s">
        <v>2900</v>
      </c>
      <c r="F1005" t="s">
        <v>26</v>
      </c>
      <c r="G1005" t="str">
        <f>HYPERLINK("https://www.youtube.com/watch?v=gaka1vqYFNs&amp;lc=Ugwqmeb05XWBmSWzxDx4AaABAg")</f>
        <v>https://www.youtube.com/watch?v=gaka1vqYFNs&amp;lc=Ugwqmeb05XWBmSWzxDx4AaABAg</v>
      </c>
      <c r="H1005" t="s">
        <v>885</v>
      </c>
      <c r="I1005" t="s">
        <v>2901</v>
      </c>
      <c r="J1005" t="str">
        <f>HYPERLINK("https://www.youtube.com/channel/UCcw3Lv4k_iUtwy6PNjwmxSg")</f>
        <v>https://www.youtube.com/channel/UCcw3Lv4k_iUtwy6PNjwmxSg</v>
      </c>
      <c r="K1005">
        <v>0</v>
      </c>
      <c r="N1005" t="s">
        <v>162</v>
      </c>
      <c r="O1005" t="s">
        <v>424</v>
      </c>
      <c r="P1005" t="str">
        <f>HYPERLINK("https://www.youtube.com/channel/UC8fQzKHIhSoZeSq3bwQx4mw")</f>
        <v>https://www.youtube.com/channel/UC8fQzKHIhSoZeSq3bwQx4mw</v>
      </c>
      <c r="Q1005">
        <v>517000</v>
      </c>
      <c r="R1005" t="s">
        <v>17</v>
      </c>
      <c r="S1005" t="s">
        <v>425</v>
      </c>
      <c r="W1005">
        <v>0</v>
      </c>
      <c r="X1005">
        <v>0</v>
      </c>
      <c r="AE1005">
        <v>0</v>
      </c>
      <c r="AJ1005" t="s">
        <v>10</v>
      </c>
      <c r="AK1005" t="s">
        <v>21</v>
      </c>
      <c r="AW1005" t="s">
        <v>3248</v>
      </c>
    </row>
    <row r="1006" spans="1:52" x14ac:dyDescent="0.25">
      <c r="A1006" t="s">
        <v>2865</v>
      </c>
      <c r="B1006" t="s">
        <v>2910</v>
      </c>
      <c r="C1006" t="s">
        <v>968</v>
      </c>
      <c r="D1006" t="s">
        <v>10</v>
      </c>
      <c r="E1006" t="s">
        <v>2911</v>
      </c>
      <c r="F1006" t="s">
        <v>26</v>
      </c>
      <c r="G1006" t="str">
        <f>HYPERLINK("https://twitter.com/814994216921210880/status/1282060255527161857")</f>
        <v>https://twitter.com/814994216921210880/status/1282060255527161857</v>
      </c>
      <c r="H1006" t="s">
        <v>885</v>
      </c>
      <c r="I1006" t="s">
        <v>2912</v>
      </c>
      <c r="J1006" t="str">
        <f>HYPERLINK("http://twitter.com/GrangerF451")</f>
        <v>http://twitter.com/GrangerF451</v>
      </c>
      <c r="K1006">
        <v>82</v>
      </c>
      <c r="N1006" t="s">
        <v>54</v>
      </c>
      <c r="R1006" t="s">
        <v>17</v>
      </c>
      <c r="S1006" t="s">
        <v>425</v>
      </c>
      <c r="W1006">
        <v>0</v>
      </c>
      <c r="X1006">
        <v>0</v>
      </c>
      <c r="AF1006">
        <v>0</v>
      </c>
      <c r="AJ1006" t="s">
        <v>10</v>
      </c>
      <c r="AK1006" t="s">
        <v>21</v>
      </c>
      <c r="AM1006" t="s">
        <v>3238</v>
      </c>
      <c r="AO1006" t="s">
        <v>3240</v>
      </c>
      <c r="AT1006" t="s">
        <v>3245</v>
      </c>
      <c r="AU1006" t="s">
        <v>3246</v>
      </c>
      <c r="AW1006" t="s">
        <v>3248</v>
      </c>
    </row>
    <row r="1007" spans="1:52" x14ac:dyDescent="0.25">
      <c r="A1007" t="s">
        <v>3021</v>
      </c>
      <c r="B1007" t="s">
        <v>3082</v>
      </c>
      <c r="C1007" t="s">
        <v>968</v>
      </c>
      <c r="D1007" t="s">
        <v>10</v>
      </c>
      <c r="E1007" t="s">
        <v>3083</v>
      </c>
      <c r="F1007" t="s">
        <v>12</v>
      </c>
      <c r="G1007" t="str">
        <f>HYPERLINK("https://www.facebook.com/558443310851062/posts/3740832845945410")</f>
        <v>https://www.facebook.com/558443310851062/posts/3740832845945410</v>
      </c>
      <c r="H1007" t="s">
        <v>885</v>
      </c>
      <c r="I1007" t="s">
        <v>3084</v>
      </c>
      <c r="J1007" t="str">
        <f>HYPERLINK("https://www.facebook.com/558443310851062")</f>
        <v>https://www.facebook.com/558443310851062</v>
      </c>
      <c r="K1007">
        <v>10569</v>
      </c>
      <c r="L1007" t="s">
        <v>28</v>
      </c>
      <c r="N1007" t="s">
        <v>179</v>
      </c>
      <c r="O1007" t="s">
        <v>3084</v>
      </c>
      <c r="P1007" t="str">
        <f>HYPERLINK("https://www.facebook.com/558443310851062")</f>
        <v>https://www.facebook.com/558443310851062</v>
      </c>
      <c r="Q1007">
        <v>10569</v>
      </c>
      <c r="R1007" t="s">
        <v>17</v>
      </c>
      <c r="S1007" t="s">
        <v>281</v>
      </c>
      <c r="T1007" t="s">
        <v>282</v>
      </c>
      <c r="U1007" t="s">
        <v>3085</v>
      </c>
      <c r="W1007">
        <v>6</v>
      </c>
      <c r="X1007">
        <v>6</v>
      </c>
      <c r="Y1007">
        <v>0</v>
      </c>
      <c r="Z1007">
        <v>0</v>
      </c>
      <c r="AA1007">
        <v>0</v>
      </c>
      <c r="AB1007">
        <v>0</v>
      </c>
      <c r="AC1007">
        <v>0</v>
      </c>
      <c r="AE1007">
        <v>0</v>
      </c>
      <c r="AI1007" t="str">
        <f>HYPERLINK("https://scontent-amt2-1.xx.fbcdn.net/v/t1.0-9/s720x720/107381917_3740830785945616_1223152516348180545_o.jpg?_nc_cat=101&amp;_nc_sid=8024bb&amp;_nc_ohc=aem6oXCxf7oAX-FdATa&amp;_nc_ht=scontent-amt2-1.xx&amp;_nc_tp=7&amp;oh=c03f97c93ec0c5dd62c72e9e75cf6f00&amp;oe=5F2BCB23")</f>
        <v>https://scontent-amt2-1.xx.fbcdn.net/v/t1.0-9/s720x720/107381917_3740830785945616_1223152516348180545_o.jpg?_nc_cat=101&amp;_nc_sid=8024bb&amp;_nc_ohc=aem6oXCxf7oAX-FdATa&amp;_nc_ht=scontent-amt2-1.xx&amp;_nc_tp=7&amp;oh=c03f97c93ec0c5dd62c72e9e75cf6f00&amp;oe=5F2BCB23</v>
      </c>
      <c r="AJ1007" t="s">
        <v>10</v>
      </c>
      <c r="AK1007" t="s">
        <v>21</v>
      </c>
      <c r="AL1007" t="s">
        <v>3237</v>
      </c>
      <c r="AO1007" t="s">
        <v>3240</v>
      </c>
      <c r="AW1007" t="s">
        <v>3248</v>
      </c>
    </row>
    <row r="1008" spans="1:52" x14ac:dyDescent="0.25">
      <c r="A1008" t="s">
        <v>3100</v>
      </c>
      <c r="B1008" t="s">
        <v>3146</v>
      </c>
      <c r="C1008" t="s">
        <v>968</v>
      </c>
      <c r="D1008" t="s">
        <v>10</v>
      </c>
      <c r="E1008" t="s">
        <v>3147</v>
      </c>
      <c r="F1008" t="s">
        <v>45</v>
      </c>
      <c r="G1008" t="str">
        <f>HYPERLINK("https://vk.com/wall2476928_9104")</f>
        <v>https://vk.com/wall2476928_9104</v>
      </c>
      <c r="H1008" t="s">
        <v>885</v>
      </c>
      <c r="I1008" t="s">
        <v>1137</v>
      </c>
      <c r="J1008" t="str">
        <f>HYPERLINK("http://vk.com/id2476928")</f>
        <v>http://vk.com/id2476928</v>
      </c>
      <c r="K1008">
        <v>2443</v>
      </c>
      <c r="L1008" t="s">
        <v>80</v>
      </c>
      <c r="M1008">
        <v>28</v>
      </c>
      <c r="N1008" t="s">
        <v>16</v>
      </c>
      <c r="O1008" t="s">
        <v>1137</v>
      </c>
      <c r="P1008" t="str">
        <f>HYPERLINK("http://vk.com/id2476928")</f>
        <v>http://vk.com/id2476928</v>
      </c>
      <c r="Q1008">
        <v>2443</v>
      </c>
      <c r="R1008" t="s">
        <v>17</v>
      </c>
      <c r="S1008" t="s">
        <v>18</v>
      </c>
      <c r="T1008" t="s">
        <v>231</v>
      </c>
      <c r="U1008" t="s">
        <v>232</v>
      </c>
      <c r="W1008">
        <v>5</v>
      </c>
      <c r="X1008">
        <v>5</v>
      </c>
      <c r="AE1008">
        <v>0</v>
      </c>
      <c r="AF1008">
        <v>0</v>
      </c>
      <c r="AG1008">
        <v>301</v>
      </c>
      <c r="AI1008" t="str">
        <f>HYPERLINK("https://sun6-13.userapi.com/n9OZafuCuaIrpxObZLKwMJZw3DHR2-shgh9ABQ/5RRME7Curwk.jpg")</f>
        <v>https://sun6-13.userapi.com/n9OZafuCuaIrpxObZLKwMJZw3DHR2-shgh9ABQ/5RRME7Curwk.jpg</v>
      </c>
      <c r="AJ1008" t="s">
        <v>10</v>
      </c>
      <c r="AK1008" t="s">
        <v>21</v>
      </c>
      <c r="AU1008" t="s">
        <v>3246</v>
      </c>
      <c r="AZ1008" t="s">
        <v>3251</v>
      </c>
    </row>
    <row r="1009" spans="1:52" x14ac:dyDescent="0.25">
      <c r="A1009" t="s">
        <v>414</v>
      </c>
      <c r="B1009" t="s">
        <v>750</v>
      </c>
      <c r="C1009" t="s">
        <v>751</v>
      </c>
      <c r="D1009" t="s">
        <v>24</v>
      </c>
      <c r="E1009" t="s">
        <v>25</v>
      </c>
      <c r="F1009" t="s">
        <v>26</v>
      </c>
      <c r="G1009" t="str">
        <f>HYPERLINK("https://vk.com/wall-197114981_31?reply=1172&amp;thread=1128")</f>
        <v>https://vk.com/wall-197114981_31?reply=1172&amp;thread=1128</v>
      </c>
      <c r="H1009" t="s">
        <v>13</v>
      </c>
      <c r="I1009" t="s">
        <v>27</v>
      </c>
      <c r="J1009" t="str">
        <f>HYPERLINK("http://vk.com/club197114981")</f>
        <v>http://vk.com/club197114981</v>
      </c>
      <c r="K1009">
        <v>38</v>
      </c>
      <c r="L1009" t="s">
        <v>28</v>
      </c>
      <c r="N1009" t="s">
        <v>16</v>
      </c>
      <c r="O1009" t="s">
        <v>27</v>
      </c>
      <c r="P1009" t="str">
        <f>HYPERLINK("http://vk.com/club197114981")</f>
        <v>http://vk.com/club197114981</v>
      </c>
      <c r="Q1009">
        <v>38</v>
      </c>
      <c r="R1009" t="s">
        <v>17</v>
      </c>
      <c r="AJ1009" t="s">
        <v>10</v>
      </c>
      <c r="AK1009" t="s">
        <v>21</v>
      </c>
      <c r="AT1009" t="s">
        <v>3245</v>
      </c>
      <c r="AU1009" t="s">
        <v>3246</v>
      </c>
      <c r="AV1009" t="s">
        <v>3247</v>
      </c>
      <c r="AW1009" t="s">
        <v>3248</v>
      </c>
      <c r="AZ1009" t="s">
        <v>3251</v>
      </c>
    </row>
    <row r="1010" spans="1:52" x14ac:dyDescent="0.25">
      <c r="A1010" t="s">
        <v>772</v>
      </c>
      <c r="B1010" t="s">
        <v>441</v>
      </c>
      <c r="C1010" t="s">
        <v>802</v>
      </c>
      <c r="D1010" t="s">
        <v>24</v>
      </c>
      <c r="E1010" t="s">
        <v>74</v>
      </c>
      <c r="F1010" t="s">
        <v>26</v>
      </c>
      <c r="G1010" t="str">
        <f>HYPERLINK("https://vk.com/wall-197114981_31?reply=1149&amp;thread=1128")</f>
        <v>https://vk.com/wall-197114981_31?reply=1149&amp;thread=1128</v>
      </c>
      <c r="H1010" t="s">
        <v>13</v>
      </c>
      <c r="I1010" t="s">
        <v>27</v>
      </c>
      <c r="J1010" t="str">
        <f>HYPERLINK("http://vk.com/club197114981")</f>
        <v>http://vk.com/club197114981</v>
      </c>
      <c r="K1010">
        <v>38</v>
      </c>
      <c r="L1010" t="s">
        <v>28</v>
      </c>
      <c r="N1010" t="s">
        <v>16</v>
      </c>
      <c r="O1010" t="s">
        <v>27</v>
      </c>
      <c r="P1010" t="str">
        <f>HYPERLINK("http://vk.com/club197114981")</f>
        <v>http://vk.com/club197114981</v>
      </c>
      <c r="Q1010">
        <v>38</v>
      </c>
      <c r="R1010" t="s">
        <v>17</v>
      </c>
      <c r="AJ1010" t="s">
        <v>10</v>
      </c>
      <c r="AK1010" t="s">
        <v>21</v>
      </c>
      <c r="AL1010" t="s">
        <v>3237</v>
      </c>
      <c r="AT1010" t="s">
        <v>3245</v>
      </c>
      <c r="AU1010" t="s">
        <v>3246</v>
      </c>
      <c r="AW1010" t="s">
        <v>3248</v>
      </c>
      <c r="AX1010" t="s">
        <v>3249</v>
      </c>
      <c r="AZ1010" t="s">
        <v>3251</v>
      </c>
    </row>
    <row r="1011" spans="1:52" x14ac:dyDescent="0.25">
      <c r="A1011" t="s">
        <v>772</v>
      </c>
      <c r="B1011" t="s">
        <v>995</v>
      </c>
      <c r="C1011" t="s">
        <v>996</v>
      </c>
      <c r="D1011" t="s">
        <v>10</v>
      </c>
      <c r="E1011" t="s">
        <v>997</v>
      </c>
      <c r="F1011" t="s">
        <v>45</v>
      </c>
      <c r="G1011" t="str">
        <f>HYPERLINK("https://www.facebook.com/lightfallsclinic/photos/a.1746746198962254/2367135800256621/?type=3")</f>
        <v>https://www.facebook.com/lightfallsclinic/photos/a.1746746198962254/2367135800256621/?type=3</v>
      </c>
      <c r="H1011" t="s">
        <v>13</v>
      </c>
      <c r="I1011" t="s">
        <v>998</v>
      </c>
      <c r="J1011" t="str">
        <f>HYPERLINK("https://www.facebook.com/1725386814431526")</f>
        <v>https://www.facebook.com/1725386814431526</v>
      </c>
      <c r="K1011">
        <v>1515</v>
      </c>
      <c r="L1011" t="s">
        <v>28</v>
      </c>
      <c r="N1011" t="s">
        <v>179</v>
      </c>
      <c r="O1011" t="s">
        <v>998</v>
      </c>
      <c r="P1011" t="str">
        <f>HYPERLINK("https://www.facebook.com/1725386814431526")</f>
        <v>https://www.facebook.com/1725386814431526</v>
      </c>
      <c r="Q1011">
        <v>1515</v>
      </c>
      <c r="R1011" t="s">
        <v>17</v>
      </c>
      <c r="S1011" t="s">
        <v>999</v>
      </c>
      <c r="T1011" t="s">
        <v>1000</v>
      </c>
      <c r="U1011" t="s">
        <v>1001</v>
      </c>
      <c r="W1011">
        <v>8</v>
      </c>
      <c r="X1011">
        <v>5</v>
      </c>
      <c r="Y1011">
        <v>3</v>
      </c>
      <c r="Z1011">
        <v>0</v>
      </c>
      <c r="AA1011">
        <v>0</v>
      </c>
      <c r="AB1011">
        <v>0</v>
      </c>
      <c r="AC1011">
        <v>0</v>
      </c>
      <c r="AE1011">
        <v>0</v>
      </c>
      <c r="AF1011">
        <v>0</v>
      </c>
      <c r="AI1011" t="str">
        <f>HYPERLINK("https://scontent-hel2-1.xx.fbcdn.net/v/t1.0-0/p526x296/117338261_2367135803589954_1299099426371813989_n.jpg?_nc_cat=104&amp;_nc_sid=9267fe&amp;_nc_ohc=RQ-7XeF6DBoAX-yyznJ&amp;_nc_ht=scontent-hel2-1.xx&amp;_nc_tp=6&amp;oh=b7a64f5b1bb539def7f1972015cdcc0c&amp;oe=5F5525F7")</f>
        <v>https://scontent-hel2-1.xx.fbcdn.net/v/t1.0-0/p526x296/117338261_2367135803589954_1299099426371813989_n.jpg?_nc_cat=104&amp;_nc_sid=9267fe&amp;_nc_ohc=RQ-7XeF6DBoAX-yyznJ&amp;_nc_ht=scontent-hel2-1.xx&amp;_nc_tp=6&amp;oh=b7a64f5b1bb539def7f1972015cdcc0c&amp;oe=5F5525F7</v>
      </c>
      <c r="AJ1011" t="s">
        <v>10</v>
      </c>
      <c r="AK1011" t="s">
        <v>21</v>
      </c>
      <c r="AL1011" t="s">
        <v>3237</v>
      </c>
      <c r="AO1011" t="s">
        <v>3240</v>
      </c>
      <c r="AZ1011" t="s">
        <v>3251</v>
      </c>
    </row>
    <row r="1012" spans="1:52" x14ac:dyDescent="0.25">
      <c r="A1012" t="s">
        <v>1425</v>
      </c>
      <c r="B1012" t="s">
        <v>1431</v>
      </c>
      <c r="C1012" t="s">
        <v>984</v>
      </c>
      <c r="D1012" t="s">
        <v>10</v>
      </c>
      <c r="E1012" t="s">
        <v>1387</v>
      </c>
      <c r="F1012" t="s">
        <v>12</v>
      </c>
      <c r="G1012" t="str">
        <f>HYPERLINK("https://www.facebook.com/permalink.php?story_fbid=397643887878972&amp;id=100029000910918")</f>
        <v>https://www.facebook.com/permalink.php?story_fbid=397643887878972&amp;id=100029000910918</v>
      </c>
      <c r="H1012" t="s">
        <v>885</v>
      </c>
      <c r="I1012" t="s">
        <v>1148</v>
      </c>
      <c r="J1012" t="str">
        <f>HYPERLINK("https://www.facebook.com/100029000910918")</f>
        <v>https://www.facebook.com/100029000910918</v>
      </c>
      <c r="K1012">
        <v>337</v>
      </c>
      <c r="L1012" t="s">
        <v>80</v>
      </c>
      <c r="N1012" t="s">
        <v>179</v>
      </c>
      <c r="O1012" t="s">
        <v>1148</v>
      </c>
      <c r="P1012" t="str">
        <f>HYPERLINK("https://www.facebook.com/100029000910918")</f>
        <v>https://www.facebook.com/100029000910918</v>
      </c>
      <c r="Q1012">
        <v>337</v>
      </c>
      <c r="R1012" t="s">
        <v>17</v>
      </c>
      <c r="W1012">
        <v>1</v>
      </c>
      <c r="X1012">
        <v>1</v>
      </c>
      <c r="Y1012">
        <v>0</v>
      </c>
      <c r="Z1012">
        <v>0</v>
      </c>
      <c r="AA1012">
        <v>0</v>
      </c>
      <c r="AB1012">
        <v>0</v>
      </c>
      <c r="AC1012">
        <v>0</v>
      </c>
      <c r="AE1012">
        <v>0</v>
      </c>
      <c r="AI1012" t="str">
        <f>HYPERLINK("https://scontent-hel2-1.xx.fbcdn.net/v/t1.0-0/p526x296/116884113_3236120083121113_5139901714793828146_o.jpg?_nc_cat=107&amp;_nc_sid=730e14&amp;_nc_ohc=WQal7HkBKxgAX91R10C&amp;_nc_ht=scontent-hel2-1.xx&amp;_nc_tp=6&amp;oh=c372c737281a876659158d4d09139693&amp;oe=5F4C2D57")</f>
        <v>https://scontent-hel2-1.xx.fbcdn.net/v/t1.0-0/p526x296/116884113_3236120083121113_5139901714793828146_o.jpg?_nc_cat=107&amp;_nc_sid=730e14&amp;_nc_ohc=WQal7HkBKxgAX91R10C&amp;_nc_ht=scontent-hel2-1.xx&amp;_nc_tp=6&amp;oh=c372c737281a876659158d4d09139693&amp;oe=5F4C2D57</v>
      </c>
      <c r="AJ1012" t="s">
        <v>10</v>
      </c>
      <c r="AK1012" t="s">
        <v>21</v>
      </c>
      <c r="AO1012" t="s">
        <v>3240</v>
      </c>
      <c r="AZ1012" t="s">
        <v>3251</v>
      </c>
    </row>
    <row r="1013" spans="1:52" x14ac:dyDescent="0.25">
      <c r="A1013" t="s">
        <v>1597</v>
      </c>
      <c r="B1013" t="s">
        <v>1080</v>
      </c>
      <c r="C1013" t="s">
        <v>984</v>
      </c>
      <c r="D1013" t="s">
        <v>1633</v>
      </c>
      <c r="E1013" t="s">
        <v>1634</v>
      </c>
      <c r="F1013" t="s">
        <v>45</v>
      </c>
      <c r="G1013" t="str">
        <f>HYPERLINK("https://www.tauntongazette.com/news/20200729/what-went-wrong-during-northeasts-first-covid-19-spike-and-is-region-ready-for-another")</f>
        <v>https://www.tauntongazette.com/news/20200729/what-went-wrong-during-northeasts-first-covid-19-spike-and-is-region-ready-for-another</v>
      </c>
      <c r="H1013" t="s">
        <v>885</v>
      </c>
      <c r="I1013" t="s">
        <v>1635</v>
      </c>
      <c r="J1013" t="str">
        <f>HYPERLINK("https://www.tauntongazette.com/news/20200729/what-went-wrong-during-northeasts-first-covid-19-spike-and-is-region-ready-for-another")</f>
        <v>https://www.tauntongazette.com/news/20200729/what-went-wrong-during-northeasts-first-covid-19-spike-and-is-region-ready-for-another</v>
      </c>
      <c r="L1013" t="s">
        <v>15</v>
      </c>
      <c r="N1013" t="s">
        <v>1636</v>
      </c>
      <c r="R1013" t="s">
        <v>239</v>
      </c>
      <c r="S1013" t="s">
        <v>425</v>
      </c>
      <c r="AJ1013" t="s">
        <v>10</v>
      </c>
      <c r="AK1013" t="s">
        <v>21</v>
      </c>
      <c r="AO1013" t="s">
        <v>3240</v>
      </c>
      <c r="AZ1013" t="s">
        <v>3251</v>
      </c>
    </row>
    <row r="1014" spans="1:52" x14ac:dyDescent="0.25">
      <c r="A1014" t="s">
        <v>1930</v>
      </c>
      <c r="B1014" t="s">
        <v>1538</v>
      </c>
      <c r="C1014" t="s">
        <v>984</v>
      </c>
      <c r="D1014" t="s">
        <v>10</v>
      </c>
      <c r="E1014" t="s">
        <v>1508</v>
      </c>
      <c r="F1014" t="s">
        <v>12</v>
      </c>
      <c r="G1014" t="str">
        <f>HYPERLINK("https://vk.com/wall285388866_1383")</f>
        <v>https://vk.com/wall285388866_1383</v>
      </c>
      <c r="H1014" t="s">
        <v>885</v>
      </c>
      <c r="I1014" t="s">
        <v>1954</v>
      </c>
      <c r="J1014" t="str">
        <f>HYPERLINK("http://vk.com/id285388866")</f>
        <v>http://vk.com/id285388866</v>
      </c>
      <c r="K1014">
        <v>764</v>
      </c>
      <c r="L1014" t="s">
        <v>80</v>
      </c>
      <c r="N1014" t="s">
        <v>16</v>
      </c>
      <c r="O1014" t="s">
        <v>1954</v>
      </c>
      <c r="P1014" t="str">
        <f>HYPERLINK("http://vk.com/id285388866")</f>
        <v>http://vk.com/id285388866</v>
      </c>
      <c r="Q1014">
        <v>764</v>
      </c>
      <c r="R1014" t="s">
        <v>17</v>
      </c>
      <c r="S1014" t="s">
        <v>18</v>
      </c>
      <c r="T1014" t="s">
        <v>272</v>
      </c>
      <c r="U1014" t="s">
        <v>1300</v>
      </c>
      <c r="W1014">
        <v>0</v>
      </c>
      <c r="X1014">
        <v>0</v>
      </c>
      <c r="AE1014">
        <v>0</v>
      </c>
      <c r="AF1014">
        <v>0</v>
      </c>
      <c r="AG1014">
        <v>16</v>
      </c>
      <c r="AI1014" t="str">
        <f>HYPERLINK("https://sun3-13.userapi.com/3CxntEX446taLw8Wq523-U72FnEsypIoiB36aA/vb0dh1lZOxg.jpg")</f>
        <v>https://sun3-13.userapi.com/3CxntEX446taLw8Wq523-U72FnEsypIoiB36aA/vb0dh1lZOxg.jpg</v>
      </c>
      <c r="AJ1014" t="s">
        <v>10</v>
      </c>
      <c r="AK1014" t="s">
        <v>21</v>
      </c>
      <c r="AM1014" t="s">
        <v>3238</v>
      </c>
      <c r="AO1014" t="s">
        <v>3240</v>
      </c>
      <c r="AZ1014" t="s">
        <v>3251</v>
      </c>
    </row>
    <row r="1015" spans="1:52" x14ac:dyDescent="0.25">
      <c r="A1015" t="s">
        <v>1982</v>
      </c>
      <c r="B1015" t="s">
        <v>2020</v>
      </c>
      <c r="C1015" t="s">
        <v>968</v>
      </c>
      <c r="D1015" t="s">
        <v>1959</v>
      </c>
      <c r="E1015" t="s">
        <v>2021</v>
      </c>
      <c r="F1015" t="s">
        <v>26</v>
      </c>
      <c r="G1015" t="str">
        <f>HYPERLINK("https://www.facebook.com/permalink.php?story_fbid=2626249161024079&amp;id=100009170625998&amp;comment_id=2626416007674061&amp;reply_comment_id=2627431490905846")</f>
        <v>https://www.facebook.com/permalink.php?story_fbid=2626249161024079&amp;id=100009170625998&amp;comment_id=2626416007674061&amp;reply_comment_id=2627431490905846</v>
      </c>
      <c r="H1015" t="s">
        <v>885</v>
      </c>
      <c r="I1015" t="s">
        <v>2022</v>
      </c>
      <c r="J1015" t="str">
        <f>HYPERLINK("https://www.facebook.com/100009199330550")</f>
        <v>https://www.facebook.com/100009199330550</v>
      </c>
      <c r="K1015">
        <v>142</v>
      </c>
      <c r="L1015" t="s">
        <v>15</v>
      </c>
      <c r="N1015" t="s">
        <v>179</v>
      </c>
      <c r="O1015" t="s">
        <v>1961</v>
      </c>
      <c r="P1015" t="str">
        <f>HYPERLINK("https://www.facebook.com/100009170625998")</f>
        <v>https://www.facebook.com/100009170625998</v>
      </c>
      <c r="Q1015">
        <v>759</v>
      </c>
      <c r="R1015" t="s">
        <v>17</v>
      </c>
      <c r="S1015" t="s">
        <v>18</v>
      </c>
      <c r="T1015" t="s">
        <v>1015</v>
      </c>
      <c r="U1015" t="s">
        <v>1016</v>
      </c>
      <c r="AJ1015" t="s">
        <v>10</v>
      </c>
      <c r="AK1015" t="s">
        <v>21</v>
      </c>
      <c r="AL1015" t="s">
        <v>3237</v>
      </c>
      <c r="AO1015" t="s">
        <v>3240</v>
      </c>
      <c r="AZ1015" t="s">
        <v>3251</v>
      </c>
    </row>
    <row r="1016" spans="1:52" x14ac:dyDescent="0.25">
      <c r="A1016" t="s">
        <v>1982</v>
      </c>
      <c r="B1016" t="s">
        <v>986</v>
      </c>
      <c r="C1016" t="s">
        <v>968</v>
      </c>
      <c r="D1016" t="s">
        <v>2032</v>
      </c>
      <c r="E1016" t="s">
        <v>2033</v>
      </c>
      <c r="F1016" t="s">
        <v>26</v>
      </c>
      <c r="G1016" t="str">
        <f>HYPERLINK("https://www.facebook.com/permalink.php?story_fbid=306037680643376&amp;id=100037114390100&amp;comment_id=306319737281837&amp;reply_comment_id=306334253947052")</f>
        <v>https://www.facebook.com/permalink.php?story_fbid=306037680643376&amp;id=100037114390100&amp;comment_id=306319737281837&amp;reply_comment_id=306334253947052</v>
      </c>
      <c r="H1016" t="s">
        <v>885</v>
      </c>
      <c r="I1016" t="s">
        <v>1726</v>
      </c>
      <c r="J1016" t="str">
        <f>HYPERLINK("https://www.facebook.com/100037114390100")</f>
        <v>https://www.facebook.com/100037114390100</v>
      </c>
      <c r="K1016">
        <v>2587</v>
      </c>
      <c r="L1016" t="s">
        <v>80</v>
      </c>
      <c r="N1016" t="s">
        <v>179</v>
      </c>
      <c r="O1016" t="s">
        <v>1726</v>
      </c>
      <c r="P1016" t="str">
        <f>HYPERLINK("https://www.facebook.com/100037114390100")</f>
        <v>https://www.facebook.com/100037114390100</v>
      </c>
      <c r="Q1016">
        <v>2587</v>
      </c>
      <c r="R1016" t="s">
        <v>17</v>
      </c>
      <c r="S1016" t="s">
        <v>18</v>
      </c>
      <c r="T1016" t="s">
        <v>725</v>
      </c>
      <c r="U1016" t="s">
        <v>726</v>
      </c>
      <c r="AJ1016" t="s">
        <v>10</v>
      </c>
      <c r="AK1016" t="s">
        <v>21</v>
      </c>
      <c r="AO1016" t="s">
        <v>3240</v>
      </c>
      <c r="AZ1016" t="s">
        <v>3251</v>
      </c>
    </row>
    <row r="1017" spans="1:52" x14ac:dyDescent="0.25">
      <c r="A1017" t="s">
        <v>2057</v>
      </c>
      <c r="B1017" t="s">
        <v>1902</v>
      </c>
      <c r="C1017" t="s">
        <v>968</v>
      </c>
      <c r="D1017" t="s">
        <v>10</v>
      </c>
      <c r="E1017" t="s">
        <v>2099</v>
      </c>
      <c r="F1017" t="s">
        <v>45</v>
      </c>
      <c r="G1017" t="str">
        <f>HYPERLINK("https://www.instagram.com/p/CDBTwRzoaNU")</f>
        <v>https://www.instagram.com/p/CDBTwRzoaNU</v>
      </c>
      <c r="H1017" t="s">
        <v>885</v>
      </c>
      <c r="I1017" t="s">
        <v>1271</v>
      </c>
      <c r="J1017" t="str">
        <f>HYPERLINK("http://instagram.com/clinic_expert_tula")</f>
        <v>http://instagram.com/clinic_expert_tula</v>
      </c>
      <c r="K1017">
        <v>873</v>
      </c>
      <c r="L1017" t="s">
        <v>28</v>
      </c>
      <c r="N1017" t="s">
        <v>69</v>
      </c>
      <c r="O1017" t="s">
        <v>1271</v>
      </c>
      <c r="P1017" t="str">
        <f>HYPERLINK("http://instagram.com/clinic_expert_tula")</f>
        <v>http://instagram.com/clinic_expert_tula</v>
      </c>
      <c r="Q1017">
        <v>873</v>
      </c>
      <c r="R1017" t="s">
        <v>17</v>
      </c>
      <c r="S1017" t="s">
        <v>18</v>
      </c>
      <c r="T1017" t="s">
        <v>152</v>
      </c>
      <c r="U1017" t="s">
        <v>153</v>
      </c>
      <c r="AI1017" t="str">
        <f>HYPERLINK("https://www.instagram.com/p/CDBTwRzoaNU/media/?size=l")</f>
        <v>https://www.instagram.com/p/CDBTwRzoaNU/media/?size=l</v>
      </c>
      <c r="AJ1017" t="s">
        <v>10</v>
      </c>
      <c r="AK1017" t="s">
        <v>21</v>
      </c>
      <c r="AO1017" t="s">
        <v>3240</v>
      </c>
      <c r="AZ1017" t="s">
        <v>3251</v>
      </c>
    </row>
    <row r="1018" spans="1:52" x14ac:dyDescent="0.25">
      <c r="A1018" t="s">
        <v>2193</v>
      </c>
      <c r="B1018" t="s">
        <v>2196</v>
      </c>
      <c r="C1018" t="s">
        <v>968</v>
      </c>
      <c r="D1018" t="s">
        <v>10</v>
      </c>
      <c r="E1018" t="s">
        <v>2197</v>
      </c>
      <c r="F1018" t="s">
        <v>45</v>
      </c>
      <c r="G1018" t="str">
        <f>HYPERLINK("https://www.instagram.com/p/CC9RoP-JUXd")</f>
        <v>https://www.instagram.com/p/CC9RoP-JUXd</v>
      </c>
      <c r="H1018" t="s">
        <v>889</v>
      </c>
      <c r="I1018" t="s">
        <v>2198</v>
      </c>
      <c r="J1018" t="str">
        <f>HYPERLINK("http://instagram.com/elenabegunova")</f>
        <v>http://instagram.com/elenabegunova</v>
      </c>
      <c r="K1018">
        <v>1235</v>
      </c>
      <c r="L1018" t="s">
        <v>80</v>
      </c>
      <c r="N1018" t="s">
        <v>69</v>
      </c>
      <c r="O1018" t="s">
        <v>2198</v>
      </c>
      <c r="P1018" t="str">
        <f>HYPERLINK("http://instagram.com/elenabegunova")</f>
        <v>http://instagram.com/elenabegunova</v>
      </c>
      <c r="Q1018">
        <v>1235</v>
      </c>
      <c r="R1018" t="s">
        <v>17</v>
      </c>
      <c r="S1018" t="s">
        <v>18</v>
      </c>
      <c r="T1018" t="s">
        <v>578</v>
      </c>
      <c r="U1018" t="s">
        <v>579</v>
      </c>
      <c r="AI1018" t="str">
        <f>HYPERLINK("https://www.instagram.com/p/CC9RoP-JUXd/media/?size=l")</f>
        <v>https://www.instagram.com/p/CC9RoP-JUXd/media/?size=l</v>
      </c>
      <c r="AJ1018" t="s">
        <v>10</v>
      </c>
      <c r="AK1018" t="s">
        <v>21</v>
      </c>
      <c r="AO1018" t="s">
        <v>3240</v>
      </c>
      <c r="AZ1018" t="s">
        <v>3251</v>
      </c>
    </row>
    <row r="1019" spans="1:52" x14ac:dyDescent="0.25">
      <c r="A1019" t="s">
        <v>2472</v>
      </c>
      <c r="B1019" t="s">
        <v>216</v>
      </c>
      <c r="C1019" t="s">
        <v>968</v>
      </c>
      <c r="D1019" t="s">
        <v>10</v>
      </c>
      <c r="E1019" t="s">
        <v>2515</v>
      </c>
      <c r="F1019" t="s">
        <v>26</v>
      </c>
      <c r="G1019" t="str">
        <f>HYPERLINK("https://twitter.com/2974140089/status/1284018046311555072")</f>
        <v>https://twitter.com/2974140089/status/1284018046311555072</v>
      </c>
      <c r="H1019" t="s">
        <v>885</v>
      </c>
      <c r="I1019" t="s">
        <v>2516</v>
      </c>
      <c r="J1019" t="str">
        <f>HYPERLINK("http://twitter.com/emubirb")</f>
        <v>http://twitter.com/emubirb</v>
      </c>
      <c r="K1019">
        <v>97</v>
      </c>
      <c r="N1019" t="s">
        <v>54</v>
      </c>
      <c r="R1019" t="s">
        <v>17</v>
      </c>
      <c r="S1019" t="s">
        <v>2150</v>
      </c>
      <c r="T1019" t="s">
        <v>2517</v>
      </c>
      <c r="U1019" t="s">
        <v>2518</v>
      </c>
      <c r="W1019">
        <v>0</v>
      </c>
      <c r="X1019">
        <v>0</v>
      </c>
      <c r="AF1019">
        <v>0</v>
      </c>
      <c r="AJ1019" t="s">
        <v>10</v>
      </c>
      <c r="AK1019" t="s">
        <v>21</v>
      </c>
      <c r="AO1019" t="s">
        <v>3240</v>
      </c>
      <c r="AU1019" t="s">
        <v>3246</v>
      </c>
      <c r="AZ1019" t="s">
        <v>3251</v>
      </c>
    </row>
    <row r="1020" spans="1:52" x14ac:dyDescent="0.25">
      <c r="A1020" t="s">
        <v>2767</v>
      </c>
      <c r="B1020" t="s">
        <v>986</v>
      </c>
      <c r="C1020" t="s">
        <v>968</v>
      </c>
      <c r="D1020" t="s">
        <v>2841</v>
      </c>
      <c r="E1020" t="s">
        <v>2842</v>
      </c>
      <c r="F1020" t="s">
        <v>26</v>
      </c>
      <c r="G1020" t="str">
        <f>HYPERLINK("https://vk.com/wall-125331076_743950?reply=752295")</f>
        <v>https://vk.com/wall-125331076_743950?reply=752295</v>
      </c>
      <c r="H1020" t="s">
        <v>885</v>
      </c>
      <c r="I1020" t="s">
        <v>2309</v>
      </c>
      <c r="J1020" t="str">
        <f>HYPERLINK("http://vk.com/id14737732")</f>
        <v>http://vk.com/id14737732</v>
      </c>
      <c r="K1020">
        <v>1091</v>
      </c>
      <c r="L1020" t="s">
        <v>80</v>
      </c>
      <c r="N1020" t="s">
        <v>16</v>
      </c>
      <c r="O1020" t="s">
        <v>1154</v>
      </c>
      <c r="P1020" t="str">
        <f>HYPERLINK("http://vk.com/club125331076")</f>
        <v>http://vk.com/club125331076</v>
      </c>
      <c r="Q1020">
        <v>38231</v>
      </c>
      <c r="R1020" t="s">
        <v>17</v>
      </c>
      <c r="AJ1020" t="s">
        <v>10</v>
      </c>
      <c r="AK1020" t="s">
        <v>21</v>
      </c>
      <c r="AM1020" t="s">
        <v>3238</v>
      </c>
      <c r="AO1020" t="s">
        <v>3240</v>
      </c>
      <c r="AX1020" t="s">
        <v>3249</v>
      </c>
      <c r="AZ1020" t="s">
        <v>3251</v>
      </c>
    </row>
    <row r="1021" spans="1:52" x14ac:dyDescent="0.25">
      <c r="A1021" t="s">
        <v>2865</v>
      </c>
      <c r="B1021" t="s">
        <v>1484</v>
      </c>
      <c r="C1021" t="s">
        <v>968</v>
      </c>
      <c r="D1021" t="s">
        <v>10</v>
      </c>
      <c r="E1021" t="s">
        <v>2880</v>
      </c>
      <c r="F1021" t="s">
        <v>45</v>
      </c>
      <c r="G1021" t="str">
        <f>HYPERLINK("https://www.facebook.com/expert.klinika.stavropol/photos/a.108004590782008/164970288418771/?type=3")</f>
        <v>https://www.facebook.com/expert.klinika.stavropol/photos/a.108004590782008/164970288418771/?type=3</v>
      </c>
      <c r="H1021" t="s">
        <v>885</v>
      </c>
      <c r="I1021" t="s">
        <v>640</v>
      </c>
      <c r="J1021" t="str">
        <f>HYPERLINK("https://www.facebook.com/107325724183228")</f>
        <v>https://www.facebook.com/107325724183228</v>
      </c>
      <c r="K1021">
        <v>1</v>
      </c>
      <c r="L1021" t="s">
        <v>28</v>
      </c>
      <c r="N1021" t="s">
        <v>179</v>
      </c>
      <c r="O1021" t="s">
        <v>640</v>
      </c>
      <c r="P1021" t="str">
        <f>HYPERLINK("https://www.facebook.com/107325724183228")</f>
        <v>https://www.facebook.com/107325724183228</v>
      </c>
      <c r="Q1021">
        <v>1</v>
      </c>
      <c r="R1021" t="s">
        <v>17</v>
      </c>
      <c r="S1021" t="s">
        <v>18</v>
      </c>
      <c r="T1021" t="s">
        <v>641</v>
      </c>
      <c r="U1021" t="s">
        <v>642</v>
      </c>
      <c r="W1021">
        <v>0</v>
      </c>
      <c r="X1021">
        <v>0</v>
      </c>
      <c r="Y1021">
        <v>0</v>
      </c>
      <c r="Z1021">
        <v>0</v>
      </c>
      <c r="AA1021">
        <v>0</v>
      </c>
      <c r="AB1021">
        <v>0</v>
      </c>
      <c r="AC1021">
        <v>0</v>
      </c>
      <c r="AE1021">
        <v>0</v>
      </c>
      <c r="AI1021" t="str">
        <f>HYPERLINK("https://scontent-hel2-1.xx.fbcdn.net/v/t1.0-0/p526x296/107798443_164970291752104_7556346051299623345_o.jpg?_nc_cat=100&amp;_nc_sid=9267fe&amp;_nc_ohc=hbPDClzzSicAX81wWs1&amp;_nc_ht=scontent-hel2-1.xx&amp;_nc_tp=6&amp;oh=43c0426b1c6e3a7c6d943c7092ce1aa7&amp;oe=5F312774")</f>
        <v>https://scontent-hel2-1.xx.fbcdn.net/v/t1.0-0/p526x296/107798443_164970291752104_7556346051299623345_o.jpg?_nc_cat=100&amp;_nc_sid=9267fe&amp;_nc_ohc=hbPDClzzSicAX81wWs1&amp;_nc_ht=scontent-hel2-1.xx&amp;_nc_tp=6&amp;oh=43c0426b1c6e3a7c6d943c7092ce1aa7&amp;oe=5F312774</v>
      </c>
      <c r="AJ1021" t="s">
        <v>10</v>
      </c>
      <c r="AK1021" t="s">
        <v>21</v>
      </c>
      <c r="AO1021" t="s">
        <v>3240</v>
      </c>
      <c r="AW1021" t="s">
        <v>3248</v>
      </c>
      <c r="AZ1021" t="s">
        <v>3251</v>
      </c>
    </row>
    <row r="1022" spans="1:52" x14ac:dyDescent="0.25">
      <c r="A1022" t="s">
        <v>7</v>
      </c>
      <c r="B1022" t="s">
        <v>394</v>
      </c>
      <c r="C1022" t="s">
        <v>396</v>
      </c>
      <c r="D1022" t="s">
        <v>24</v>
      </c>
      <c r="E1022" t="s">
        <v>397</v>
      </c>
      <c r="F1022" t="s">
        <v>26</v>
      </c>
      <c r="G1022" t="str">
        <f>HYPERLINK("https://vk.com/wall-197114981_31?reply=1295&amp;thread=1293")</f>
        <v>https://vk.com/wall-197114981_31?reply=1295&amp;thread=1293</v>
      </c>
      <c r="H1022" t="s">
        <v>13</v>
      </c>
      <c r="I1022" t="s">
        <v>388</v>
      </c>
      <c r="J1022" t="str">
        <f>HYPERLINK("http://vk.com/id169523743")</f>
        <v>http://vk.com/id169523743</v>
      </c>
      <c r="K1022">
        <v>50</v>
      </c>
      <c r="L1022" t="s">
        <v>80</v>
      </c>
      <c r="M1022">
        <v>24</v>
      </c>
      <c r="N1022" t="s">
        <v>16</v>
      </c>
      <c r="O1022" t="s">
        <v>27</v>
      </c>
      <c r="P1022" t="str">
        <f>HYPERLINK("http://vk.com/club197114981")</f>
        <v>http://vk.com/club197114981</v>
      </c>
      <c r="Q1022">
        <v>38</v>
      </c>
      <c r="R1022" t="s">
        <v>17</v>
      </c>
      <c r="S1022" t="s">
        <v>18</v>
      </c>
      <c r="T1022" t="s">
        <v>231</v>
      </c>
      <c r="U1022" t="s">
        <v>232</v>
      </c>
      <c r="AJ1022" t="s">
        <v>10</v>
      </c>
      <c r="AK1022" t="s">
        <v>21</v>
      </c>
      <c r="AO1022" t="s">
        <v>3240</v>
      </c>
      <c r="AT1022" t="s">
        <v>3245</v>
      </c>
      <c r="AU1022" t="s">
        <v>3246</v>
      </c>
      <c r="AV1022" t="s">
        <v>3247</v>
      </c>
      <c r="AW1022" t="s">
        <v>3248</v>
      </c>
      <c r="AX1022" t="s">
        <v>3249</v>
      </c>
      <c r="AZ1022" t="s">
        <v>3251</v>
      </c>
    </row>
    <row r="1023" spans="1:52" x14ac:dyDescent="0.25">
      <c r="A1023" t="s">
        <v>772</v>
      </c>
      <c r="B1023" t="s">
        <v>864</v>
      </c>
      <c r="C1023" t="s">
        <v>865</v>
      </c>
      <c r="D1023" t="s">
        <v>24</v>
      </c>
      <c r="E1023" t="s">
        <v>867</v>
      </c>
      <c r="F1023" t="s">
        <v>26</v>
      </c>
      <c r="G1023" t="str">
        <f>HYPERLINK("https://vk.com/wall-197114981_31?reply=1131")</f>
        <v>https://vk.com/wall-197114981_31?reply=1131</v>
      </c>
      <c r="H1023" t="s">
        <v>13</v>
      </c>
      <c r="I1023" t="s">
        <v>454</v>
      </c>
      <c r="J1023" t="str">
        <f>HYPERLINK("http://vk.com/id188590236")</f>
        <v>http://vk.com/id188590236</v>
      </c>
      <c r="K1023">
        <v>199</v>
      </c>
      <c r="L1023" t="s">
        <v>80</v>
      </c>
      <c r="N1023" t="s">
        <v>16</v>
      </c>
      <c r="O1023" t="s">
        <v>27</v>
      </c>
      <c r="P1023" t="str">
        <f>HYPERLINK("http://vk.com/club197114981")</f>
        <v>http://vk.com/club197114981</v>
      </c>
      <c r="Q1023">
        <v>38</v>
      </c>
      <c r="R1023" t="s">
        <v>17</v>
      </c>
      <c r="S1023" t="s">
        <v>18</v>
      </c>
      <c r="T1023" t="s">
        <v>231</v>
      </c>
      <c r="U1023" t="s">
        <v>232</v>
      </c>
      <c r="AJ1023" t="s">
        <v>10</v>
      </c>
      <c r="AK1023" t="s">
        <v>21</v>
      </c>
      <c r="AN1023" t="s">
        <v>3239</v>
      </c>
      <c r="AU1023" t="s">
        <v>3246</v>
      </c>
      <c r="AV1023" t="s">
        <v>3247</v>
      </c>
      <c r="AZ1023" t="s">
        <v>3251</v>
      </c>
    </row>
    <row r="1024" spans="1:52" x14ac:dyDescent="0.25">
      <c r="A1024" t="s">
        <v>1017</v>
      </c>
      <c r="B1024" t="s">
        <v>1080</v>
      </c>
      <c r="C1024" t="s">
        <v>1081</v>
      </c>
      <c r="D1024" t="s">
        <v>10</v>
      </c>
      <c r="E1024" t="s">
        <v>1073</v>
      </c>
      <c r="F1024" t="s">
        <v>45</v>
      </c>
      <c r="G1024" t="str">
        <f>HYPERLINK("https://www.facebook.com/mriexpert/posts/3253485001384621")</f>
        <v>https://www.facebook.com/mriexpert/posts/3253485001384621</v>
      </c>
      <c r="H1024" t="s">
        <v>13</v>
      </c>
      <c r="I1024" t="s">
        <v>46</v>
      </c>
      <c r="J1024" t="str">
        <f>HYPERLINK("https://www.facebook.com/902980129768465")</f>
        <v>https://www.facebook.com/902980129768465</v>
      </c>
      <c r="K1024">
        <v>1509</v>
      </c>
      <c r="L1024" t="s">
        <v>28</v>
      </c>
      <c r="N1024" t="s">
        <v>179</v>
      </c>
      <c r="O1024" t="s">
        <v>46</v>
      </c>
      <c r="P1024" t="str">
        <f>HYPERLINK("https://www.facebook.com/902980129768465")</f>
        <v>https://www.facebook.com/902980129768465</v>
      </c>
      <c r="Q1024">
        <v>1509</v>
      </c>
      <c r="R1024" t="s">
        <v>17</v>
      </c>
      <c r="W1024">
        <v>8</v>
      </c>
      <c r="X1024">
        <v>8</v>
      </c>
      <c r="Y1024">
        <v>0</v>
      </c>
      <c r="Z1024">
        <v>0</v>
      </c>
      <c r="AA1024">
        <v>0</v>
      </c>
      <c r="AB1024">
        <v>0</v>
      </c>
      <c r="AC1024">
        <v>0</v>
      </c>
      <c r="AE1024">
        <v>0</v>
      </c>
      <c r="AF1024">
        <v>7</v>
      </c>
      <c r="AI1024" t="str">
        <f>HYPERLINK("https://scontent-hel2-1.xx.fbcdn.net/v/t15.5256-10/p180x540/117173450_596700514371898_6013744581150274627_n.jpg?_nc_cat=104&amp;_nc_sid=ad6a45&amp;_nc_ohc=lK74GPpeVcIAX8M1c6p&amp;_nc_ht=scontent-hel2-1.xx&amp;oh=1c297f5de067f36cf5b9062ebdbbd2ce&amp;oe=5F547AD7")</f>
        <v>https://scontent-hel2-1.xx.fbcdn.net/v/t15.5256-10/p180x540/117173450_596700514371898_6013744581150274627_n.jpg?_nc_cat=104&amp;_nc_sid=ad6a45&amp;_nc_ohc=lK74GPpeVcIAX8M1c6p&amp;_nc_ht=scontent-hel2-1.xx&amp;oh=1c297f5de067f36cf5b9062ebdbbd2ce&amp;oe=5F547AD7</v>
      </c>
      <c r="AJ1024" t="s">
        <v>10</v>
      </c>
      <c r="AK1024" t="s">
        <v>21</v>
      </c>
      <c r="AT1024" t="s">
        <v>3245</v>
      </c>
      <c r="AW1024" t="s">
        <v>3248</v>
      </c>
      <c r="AX1024" t="s">
        <v>3249</v>
      </c>
      <c r="AZ1024" t="s">
        <v>3251</v>
      </c>
    </row>
    <row r="1025" spans="1:52" x14ac:dyDescent="0.25">
      <c r="A1025" t="s">
        <v>1225</v>
      </c>
      <c r="B1025" t="s">
        <v>47</v>
      </c>
      <c r="C1025" t="s">
        <v>984</v>
      </c>
      <c r="D1025" t="s">
        <v>1257</v>
      </c>
      <c r="E1025" t="s">
        <v>1258</v>
      </c>
      <c r="F1025" t="s">
        <v>26</v>
      </c>
      <c r="G1025" t="str">
        <f>HYPERLINK("https://vk.com/topic-48669646_35873846?post=2547")</f>
        <v>https://vk.com/topic-48669646_35873846?post=2547</v>
      </c>
      <c r="H1025" t="s">
        <v>1057</v>
      </c>
      <c r="I1025" t="s">
        <v>1259</v>
      </c>
      <c r="J1025" t="str">
        <f>HYPERLINK("http://vk.com/id84758632")</f>
        <v>http://vk.com/id84758632</v>
      </c>
      <c r="K1025">
        <v>48</v>
      </c>
      <c r="L1025" t="s">
        <v>15</v>
      </c>
      <c r="N1025" t="s">
        <v>16</v>
      </c>
      <c r="O1025" t="s">
        <v>46</v>
      </c>
      <c r="P1025" t="str">
        <f>HYPERLINK("http://vk.com/club48669646")</f>
        <v>http://vk.com/club48669646</v>
      </c>
      <c r="Q1025">
        <v>5795</v>
      </c>
      <c r="R1025" t="s">
        <v>17</v>
      </c>
      <c r="S1025" t="s">
        <v>18</v>
      </c>
      <c r="T1025" t="s">
        <v>1260</v>
      </c>
      <c r="U1025" t="s">
        <v>1261</v>
      </c>
      <c r="AJ1025" t="s">
        <v>10</v>
      </c>
      <c r="AK1025" t="s">
        <v>21</v>
      </c>
      <c r="AV1025" t="s">
        <v>3247</v>
      </c>
      <c r="AX1025" t="s">
        <v>3249</v>
      </c>
      <c r="AZ1025" t="s">
        <v>3251</v>
      </c>
    </row>
    <row r="1026" spans="1:52" x14ac:dyDescent="0.25">
      <c r="A1026" t="s">
        <v>1462</v>
      </c>
      <c r="B1026" t="s">
        <v>1496</v>
      </c>
      <c r="C1026" t="s">
        <v>984</v>
      </c>
      <c r="D1026" t="s">
        <v>1490</v>
      </c>
      <c r="E1026" t="s">
        <v>1497</v>
      </c>
      <c r="F1026" t="s">
        <v>26</v>
      </c>
      <c r="G1026" t="str">
        <f>HYPERLINK("https://vk.com/wall-55131656_184348?reply=184359&amp;thread=184357")</f>
        <v>https://vk.com/wall-55131656_184348?reply=184359&amp;thread=184357</v>
      </c>
      <c r="H1026" t="s">
        <v>885</v>
      </c>
      <c r="I1026" t="s">
        <v>1493</v>
      </c>
      <c r="J1026" t="str">
        <f>HYPERLINK("http://vk.com/club55131656")</f>
        <v>http://vk.com/club55131656</v>
      </c>
      <c r="K1026">
        <v>33584</v>
      </c>
      <c r="L1026" t="s">
        <v>28</v>
      </c>
      <c r="N1026" t="s">
        <v>16</v>
      </c>
      <c r="O1026" t="s">
        <v>1493</v>
      </c>
      <c r="P1026" t="str">
        <f>HYPERLINK("http://vk.com/club55131656")</f>
        <v>http://vk.com/club55131656</v>
      </c>
      <c r="Q1026">
        <v>33584</v>
      </c>
      <c r="R1026" t="s">
        <v>17</v>
      </c>
      <c r="AJ1026" t="s">
        <v>10</v>
      </c>
      <c r="AK1026" t="s">
        <v>21</v>
      </c>
      <c r="AZ1026" t="s">
        <v>3251</v>
      </c>
    </row>
    <row r="1027" spans="1:52" x14ac:dyDescent="0.25">
      <c r="A1027" t="s">
        <v>1597</v>
      </c>
      <c r="B1027" t="s">
        <v>1243</v>
      </c>
      <c r="C1027" t="s">
        <v>984</v>
      </c>
      <c r="D1027" t="s">
        <v>1618</v>
      </c>
      <c r="E1027" t="s">
        <v>1619</v>
      </c>
      <c r="F1027" t="s">
        <v>45</v>
      </c>
      <c r="G1027" t="str">
        <f>HYPERLINK("https://www.youtube.com/watch?v=gQsZLv5VunU")</f>
        <v>https://www.youtube.com/watch?v=gQsZLv5VunU</v>
      </c>
      <c r="H1027" t="s">
        <v>885</v>
      </c>
      <c r="I1027" t="s">
        <v>1417</v>
      </c>
      <c r="J1027" t="str">
        <f>HYPERLINK("https://www.youtube.com/channel/UCgWzxf09OkFTERutHdZTQdg")</f>
        <v>https://www.youtube.com/channel/UCgWzxf09OkFTERutHdZTQdg</v>
      </c>
      <c r="K1027">
        <v>224</v>
      </c>
      <c r="N1027" t="s">
        <v>162</v>
      </c>
      <c r="O1027" t="s">
        <v>1417</v>
      </c>
      <c r="P1027" t="str">
        <f>HYPERLINK("https://www.youtube.com/channel/UCgWzxf09OkFTERutHdZTQdg")</f>
        <v>https://www.youtube.com/channel/UCgWzxf09OkFTERutHdZTQdg</v>
      </c>
      <c r="Q1027">
        <v>224</v>
      </c>
      <c r="R1027" t="s">
        <v>17</v>
      </c>
      <c r="W1027">
        <v>1</v>
      </c>
      <c r="X1027">
        <v>1</v>
      </c>
      <c r="AD1027">
        <v>0</v>
      </c>
      <c r="AE1027">
        <v>0</v>
      </c>
      <c r="AG1027">
        <v>88</v>
      </c>
      <c r="AI1027" t="str">
        <f>HYPERLINK("https://i.ytimg.com/vi/gQsZLv5VunU/sddefault.jpg")</f>
        <v>https://i.ytimg.com/vi/gQsZLv5VunU/sddefault.jpg</v>
      </c>
      <c r="AJ1027" t="s">
        <v>10</v>
      </c>
      <c r="AK1027" t="s">
        <v>21</v>
      </c>
      <c r="AX1027" t="s">
        <v>3249</v>
      </c>
      <c r="AZ1027" t="s">
        <v>3251</v>
      </c>
    </row>
    <row r="1028" spans="1:52" x14ac:dyDescent="0.25">
      <c r="A1028" t="s">
        <v>1838</v>
      </c>
      <c r="B1028" t="s">
        <v>1853</v>
      </c>
      <c r="C1028" t="s">
        <v>984</v>
      </c>
      <c r="D1028" t="s">
        <v>10</v>
      </c>
      <c r="E1028" t="s">
        <v>1854</v>
      </c>
      <c r="F1028" t="s">
        <v>45</v>
      </c>
      <c r="G1028" t="str">
        <f>HYPERLINK("https://vk.com/wall1687398_4861")</f>
        <v>https://vk.com/wall1687398_4861</v>
      </c>
      <c r="H1028" t="s">
        <v>885</v>
      </c>
      <c r="I1028" t="s">
        <v>1855</v>
      </c>
      <c r="J1028" t="str">
        <f>HYPERLINK("http://vk.com/id1687398")</f>
        <v>http://vk.com/id1687398</v>
      </c>
      <c r="K1028">
        <v>305</v>
      </c>
      <c r="L1028" t="s">
        <v>80</v>
      </c>
      <c r="N1028" t="s">
        <v>16</v>
      </c>
      <c r="O1028" t="s">
        <v>1855</v>
      </c>
      <c r="P1028" t="str">
        <f>HYPERLINK("http://vk.com/id1687398")</f>
        <v>http://vk.com/id1687398</v>
      </c>
      <c r="Q1028">
        <v>305</v>
      </c>
      <c r="R1028" t="s">
        <v>17</v>
      </c>
      <c r="S1028" t="s">
        <v>18</v>
      </c>
      <c r="T1028" t="s">
        <v>266</v>
      </c>
      <c r="U1028" t="s">
        <v>266</v>
      </c>
      <c r="W1028">
        <v>1</v>
      </c>
      <c r="X1028">
        <v>1</v>
      </c>
      <c r="AE1028">
        <v>0</v>
      </c>
      <c r="AF1028">
        <v>0</v>
      </c>
      <c r="AG1028">
        <v>71</v>
      </c>
      <c r="AJ1028" t="s">
        <v>10</v>
      </c>
      <c r="AK1028" t="s">
        <v>21</v>
      </c>
      <c r="AW1028" t="s">
        <v>3248</v>
      </c>
      <c r="AZ1028" t="s">
        <v>3251</v>
      </c>
    </row>
    <row r="1029" spans="1:52" x14ac:dyDescent="0.25">
      <c r="A1029" t="s">
        <v>1982</v>
      </c>
      <c r="B1029" t="s">
        <v>2034</v>
      </c>
      <c r="C1029" t="s">
        <v>968</v>
      </c>
      <c r="D1029" t="s">
        <v>2032</v>
      </c>
      <c r="E1029" t="s">
        <v>2035</v>
      </c>
      <c r="F1029" t="s">
        <v>26</v>
      </c>
      <c r="G1029" t="str">
        <f>HYPERLINK("https://www.facebook.com/permalink.php?story_fbid=306037680643376&amp;id=100037114390100&amp;comment_id=306319737281837")</f>
        <v>https://www.facebook.com/permalink.php?story_fbid=306037680643376&amp;id=100037114390100&amp;comment_id=306319737281837</v>
      </c>
      <c r="H1029" t="s">
        <v>889</v>
      </c>
      <c r="I1029" t="s">
        <v>2036</v>
      </c>
      <c r="J1029" t="str">
        <f>HYPERLINK("https://www.facebook.com/100003848713677")</f>
        <v>https://www.facebook.com/100003848713677</v>
      </c>
      <c r="K1029">
        <v>447</v>
      </c>
      <c r="L1029" t="s">
        <v>80</v>
      </c>
      <c r="N1029" t="s">
        <v>179</v>
      </c>
      <c r="O1029" t="s">
        <v>1726</v>
      </c>
      <c r="P1029" t="str">
        <f>HYPERLINK("https://www.facebook.com/100037114390100")</f>
        <v>https://www.facebook.com/100037114390100</v>
      </c>
      <c r="Q1029">
        <v>2587</v>
      </c>
      <c r="R1029" t="s">
        <v>17</v>
      </c>
      <c r="S1029" t="s">
        <v>18</v>
      </c>
      <c r="T1029" t="s">
        <v>617</v>
      </c>
      <c r="U1029" t="s">
        <v>1034</v>
      </c>
      <c r="AJ1029" t="s">
        <v>10</v>
      </c>
      <c r="AK1029" t="s">
        <v>21</v>
      </c>
      <c r="AX1029" t="s">
        <v>3249</v>
      </c>
      <c r="AZ1029" t="s">
        <v>3251</v>
      </c>
    </row>
    <row r="1030" spans="1:52" x14ac:dyDescent="0.25">
      <c r="A1030" t="s">
        <v>2057</v>
      </c>
      <c r="B1030" t="s">
        <v>166</v>
      </c>
      <c r="C1030" t="s">
        <v>968</v>
      </c>
      <c r="D1030" t="s">
        <v>1959</v>
      </c>
      <c r="E1030" t="s">
        <v>2103</v>
      </c>
      <c r="F1030" t="s">
        <v>26</v>
      </c>
      <c r="G1030" t="str">
        <f>HYPERLINK("https://www.facebook.com/permalink.php?story_fbid=2626249161024079&amp;id=100009170625998&amp;comment_id=2626285047687157")</f>
        <v>https://www.facebook.com/permalink.php?story_fbid=2626249161024079&amp;id=100009170625998&amp;comment_id=2626285047687157</v>
      </c>
      <c r="H1030" t="s">
        <v>885</v>
      </c>
      <c r="I1030" t="s">
        <v>2104</v>
      </c>
      <c r="J1030" t="str">
        <f>HYPERLINK("https://www.facebook.com/1259773233")</f>
        <v>https://www.facebook.com/1259773233</v>
      </c>
      <c r="K1030">
        <v>0</v>
      </c>
      <c r="L1030" t="s">
        <v>80</v>
      </c>
      <c r="N1030" t="s">
        <v>179</v>
      </c>
      <c r="O1030" t="s">
        <v>1961</v>
      </c>
      <c r="P1030" t="str">
        <f>HYPERLINK("https://www.facebook.com/100009170625998")</f>
        <v>https://www.facebook.com/100009170625998</v>
      </c>
      <c r="Q1030">
        <v>759</v>
      </c>
      <c r="R1030" t="s">
        <v>17</v>
      </c>
      <c r="S1030" t="s">
        <v>2105</v>
      </c>
      <c r="T1030" t="s">
        <v>2106</v>
      </c>
      <c r="U1030" t="s">
        <v>2107</v>
      </c>
      <c r="AJ1030" t="s">
        <v>10</v>
      </c>
      <c r="AK1030" t="s">
        <v>21</v>
      </c>
      <c r="AW1030" t="s">
        <v>3248</v>
      </c>
      <c r="AZ1030" t="s">
        <v>3251</v>
      </c>
    </row>
    <row r="1031" spans="1:52" x14ac:dyDescent="0.25">
      <c r="A1031" t="s">
        <v>2290</v>
      </c>
      <c r="B1031" t="s">
        <v>599</v>
      </c>
      <c r="C1031" t="s">
        <v>968</v>
      </c>
      <c r="D1031" t="s">
        <v>10</v>
      </c>
      <c r="E1031" t="s">
        <v>2343</v>
      </c>
      <c r="F1031" t="s">
        <v>45</v>
      </c>
      <c r="G1031" t="str">
        <f>HYPERLINK("https://www.instagram.com/p/CC3CjE0psdm")</f>
        <v>https://www.instagram.com/p/CC3CjE0psdm</v>
      </c>
      <c r="H1031" t="s">
        <v>885</v>
      </c>
      <c r="I1031" t="s">
        <v>1071</v>
      </c>
      <c r="J1031" t="str">
        <f>HYPERLINK("http://instagram.com/mrtexpertmurmansk")</f>
        <v>http://instagram.com/mrtexpertmurmansk</v>
      </c>
      <c r="K1031">
        <v>483</v>
      </c>
      <c r="N1031" t="s">
        <v>69</v>
      </c>
      <c r="O1031" t="s">
        <v>1071</v>
      </c>
      <c r="P1031" t="str">
        <f>HYPERLINK("http://instagram.com/mrtexpertmurmansk")</f>
        <v>http://instagram.com/mrtexpertmurmansk</v>
      </c>
      <c r="Q1031">
        <v>483</v>
      </c>
      <c r="R1031" t="s">
        <v>17</v>
      </c>
      <c r="AI1031" t="str">
        <f>HYPERLINK("https://www.instagram.com/p/CC3CjE0psdm/media/?size=l")</f>
        <v>https://www.instagram.com/p/CC3CjE0psdm/media/?size=l</v>
      </c>
      <c r="AJ1031" t="s">
        <v>10</v>
      </c>
      <c r="AK1031" t="s">
        <v>21</v>
      </c>
      <c r="AV1031" t="s">
        <v>3247</v>
      </c>
      <c r="AW1031" t="s">
        <v>3248</v>
      </c>
      <c r="AZ1031" t="s">
        <v>3251</v>
      </c>
    </row>
    <row r="1032" spans="1:52" x14ac:dyDescent="0.25">
      <c r="A1032" t="s">
        <v>2472</v>
      </c>
      <c r="B1032" t="s">
        <v>1369</v>
      </c>
      <c r="C1032" t="s">
        <v>968</v>
      </c>
      <c r="D1032" t="s">
        <v>10</v>
      </c>
      <c r="E1032" t="s">
        <v>1948</v>
      </c>
      <c r="F1032" t="s">
        <v>45</v>
      </c>
      <c r="G1032" t="str">
        <f>HYPERLINK("https://vk.com/wall-158633337_931")</f>
        <v>https://vk.com/wall-158633337_931</v>
      </c>
      <c r="H1032" t="s">
        <v>889</v>
      </c>
      <c r="I1032" t="s">
        <v>125</v>
      </c>
      <c r="J1032" t="str">
        <f>HYPERLINK("http://vk.com/club158633337")</f>
        <v>http://vk.com/club158633337</v>
      </c>
      <c r="K1032">
        <v>4852</v>
      </c>
      <c r="L1032" t="s">
        <v>28</v>
      </c>
      <c r="N1032" t="s">
        <v>16</v>
      </c>
      <c r="O1032" t="s">
        <v>125</v>
      </c>
      <c r="P1032" t="str">
        <f>HYPERLINK("http://vk.com/club158633337")</f>
        <v>http://vk.com/club158633337</v>
      </c>
      <c r="Q1032">
        <v>4852</v>
      </c>
      <c r="R1032" t="s">
        <v>17</v>
      </c>
      <c r="S1032" t="s">
        <v>18</v>
      </c>
      <c r="T1032" t="s">
        <v>126</v>
      </c>
      <c r="U1032" t="s">
        <v>127</v>
      </c>
      <c r="W1032">
        <v>0</v>
      </c>
      <c r="X1032">
        <v>0</v>
      </c>
      <c r="AE1032">
        <v>0</v>
      </c>
      <c r="AF1032">
        <v>0</v>
      </c>
      <c r="AG1032">
        <v>106</v>
      </c>
      <c r="AI1032" t="str">
        <f>HYPERLINK("https://sun1-26.userapi.com/yMGuTIeCdpv9fT7_A9Inyqx6HE6n9jy7yqwE_w/MExu17Xz1OQ.jpg")</f>
        <v>https://sun1-26.userapi.com/yMGuTIeCdpv9fT7_A9Inyqx6HE6n9jy7yqwE_w/MExu17Xz1OQ.jpg</v>
      </c>
      <c r="AJ1032" t="s">
        <v>10</v>
      </c>
      <c r="AK1032" t="s">
        <v>21</v>
      </c>
      <c r="AW1032" t="s">
        <v>3248</v>
      </c>
      <c r="AX1032" t="s">
        <v>3249</v>
      </c>
      <c r="AZ1032" t="s">
        <v>3251</v>
      </c>
    </row>
    <row r="1033" spans="1:52" x14ac:dyDescent="0.25">
      <c r="A1033" t="s">
        <v>2589</v>
      </c>
      <c r="B1033" t="s">
        <v>637</v>
      </c>
      <c r="C1033" t="s">
        <v>968</v>
      </c>
      <c r="D1033" t="s">
        <v>10</v>
      </c>
      <c r="E1033" t="s">
        <v>2644</v>
      </c>
      <c r="F1033" t="s">
        <v>45</v>
      </c>
      <c r="G1033" t="str">
        <f>HYPERLINK("https://www.facebook.com/mriexpert/photos/a.902990326434112/3186890418044080/?type=3")</f>
        <v>https://www.facebook.com/mriexpert/photos/a.902990326434112/3186890418044080/?type=3</v>
      </c>
      <c r="H1033" t="s">
        <v>885</v>
      </c>
      <c r="I1033" t="s">
        <v>46</v>
      </c>
      <c r="J1033" t="str">
        <f>HYPERLINK("https://www.facebook.com/902980129768465")</f>
        <v>https://www.facebook.com/902980129768465</v>
      </c>
      <c r="K1033">
        <v>1509</v>
      </c>
      <c r="L1033" t="s">
        <v>28</v>
      </c>
      <c r="N1033" t="s">
        <v>179</v>
      </c>
      <c r="O1033" t="s">
        <v>46</v>
      </c>
      <c r="P1033" t="str">
        <f>HYPERLINK("https://www.facebook.com/902980129768465")</f>
        <v>https://www.facebook.com/902980129768465</v>
      </c>
      <c r="Q1033">
        <v>1509</v>
      </c>
      <c r="R1033" t="s">
        <v>17</v>
      </c>
      <c r="W1033">
        <v>3</v>
      </c>
      <c r="X1033">
        <v>3</v>
      </c>
      <c r="Y1033">
        <v>0</v>
      </c>
      <c r="Z1033">
        <v>0</v>
      </c>
      <c r="AA1033">
        <v>0</v>
      </c>
      <c r="AB1033">
        <v>0</v>
      </c>
      <c r="AC1033">
        <v>0</v>
      </c>
      <c r="AE1033">
        <v>0</v>
      </c>
      <c r="AF1033">
        <v>1</v>
      </c>
      <c r="AI1033" t="str">
        <f>HYPERLINK("https://scontent-hel2-1.xx.fbcdn.net/v/t1.0-9/s960x960/108851587_3186890421377413_4775740088237195621_o.jpg?_nc_cat=109&amp;_nc_sid=9267fe&amp;_nc_ohc=KpNIWcimOB4AX_P5fgw&amp;_nc_ht=scontent-hel2-1.xx&amp;_nc_tp=7&amp;oh=37fdc2e3f012cfd33d8f3a2d38d1c2af&amp;oe=5F352CE7")</f>
        <v>https://scontent-hel2-1.xx.fbcdn.net/v/t1.0-9/s960x960/108851587_3186890421377413_4775740088237195621_o.jpg?_nc_cat=109&amp;_nc_sid=9267fe&amp;_nc_ohc=KpNIWcimOB4AX_P5fgw&amp;_nc_ht=scontent-hel2-1.xx&amp;_nc_tp=7&amp;oh=37fdc2e3f012cfd33d8f3a2d38d1c2af&amp;oe=5F352CE7</v>
      </c>
      <c r="AJ1033" t="s">
        <v>10</v>
      </c>
      <c r="AK1033" t="s">
        <v>21</v>
      </c>
      <c r="AX1033" t="s">
        <v>3249</v>
      </c>
      <c r="AZ1033" t="s">
        <v>3251</v>
      </c>
    </row>
    <row r="1034" spans="1:52" x14ac:dyDescent="0.25">
      <c r="A1034" t="s">
        <v>2684</v>
      </c>
      <c r="B1034" t="s">
        <v>2698</v>
      </c>
      <c r="C1034" t="s">
        <v>968</v>
      </c>
      <c r="D1034" t="s">
        <v>10</v>
      </c>
      <c r="E1034" t="s">
        <v>2688</v>
      </c>
      <c r="F1034" t="s">
        <v>12</v>
      </c>
      <c r="G1034" t="str">
        <f>HYPERLINK("https://www.facebook.com/anahit.harutyunyan.3551/posts/2744922555739381")</f>
        <v>https://www.facebook.com/anahit.harutyunyan.3551/posts/2744922555739381</v>
      </c>
      <c r="H1034" t="s">
        <v>885</v>
      </c>
      <c r="I1034" t="s">
        <v>2701</v>
      </c>
      <c r="J1034" t="str">
        <f>HYPERLINK("https://www.facebook.com/100006649897571")</f>
        <v>https://www.facebook.com/100006649897571</v>
      </c>
      <c r="K1034">
        <v>255</v>
      </c>
      <c r="L1034" t="s">
        <v>80</v>
      </c>
      <c r="N1034" t="s">
        <v>179</v>
      </c>
      <c r="O1034" t="s">
        <v>2701</v>
      </c>
      <c r="P1034" t="str">
        <f>HYPERLINK("https://www.facebook.com/100006649897571")</f>
        <v>https://www.facebook.com/100006649897571</v>
      </c>
      <c r="Q1034">
        <v>255</v>
      </c>
      <c r="R1034" t="s">
        <v>17</v>
      </c>
      <c r="S1034" t="s">
        <v>2690</v>
      </c>
      <c r="T1034" t="s">
        <v>2691</v>
      </c>
      <c r="U1034" t="s">
        <v>2692</v>
      </c>
      <c r="W1034">
        <v>0</v>
      </c>
      <c r="X1034">
        <v>0</v>
      </c>
      <c r="Y1034">
        <v>0</v>
      </c>
      <c r="Z1034">
        <v>0</v>
      </c>
      <c r="AA1034">
        <v>0</v>
      </c>
      <c r="AB1034">
        <v>0</v>
      </c>
      <c r="AC1034">
        <v>0</v>
      </c>
      <c r="AE1034">
        <v>0</v>
      </c>
      <c r="AI1034" t="str">
        <f>HYPERLINK("https://scontent-hel2-1.xx.fbcdn.net/v/t15.13418-10/107718255_3109660389083815_8825691245568026571_n.jpg?_nc_cat=108&amp;_nc_sid=ad6a45&amp;_nc_ohc=fyWVkB1ebcUAX9lQx2-&amp;_nc_ht=scontent-hel2-1.xx&amp;oh=2dac9bf51890ceeda5a1af85fdd93a6a&amp;oe=5F34D9DA")</f>
        <v>https://scontent-hel2-1.xx.fbcdn.net/v/t15.13418-10/107718255_3109660389083815_8825691245568026571_n.jpg?_nc_cat=108&amp;_nc_sid=ad6a45&amp;_nc_ohc=fyWVkB1ebcUAX9lQx2-&amp;_nc_ht=scontent-hel2-1.xx&amp;oh=2dac9bf51890ceeda5a1af85fdd93a6a&amp;oe=5F34D9DA</v>
      </c>
      <c r="AJ1034" t="s">
        <v>10</v>
      </c>
      <c r="AK1034" t="s">
        <v>21</v>
      </c>
      <c r="AM1034" t="s">
        <v>3238</v>
      </c>
      <c r="AV1034" t="s">
        <v>3247</v>
      </c>
      <c r="AW1034" t="s">
        <v>3248</v>
      </c>
      <c r="AX1034" t="s">
        <v>3249</v>
      </c>
      <c r="AZ1034" t="s">
        <v>3251</v>
      </c>
    </row>
    <row r="1035" spans="1:52" x14ac:dyDescent="0.25">
      <c r="A1035" t="s">
        <v>2684</v>
      </c>
      <c r="B1035" t="s">
        <v>2733</v>
      </c>
      <c r="C1035" t="s">
        <v>968</v>
      </c>
      <c r="D1035" t="s">
        <v>10</v>
      </c>
      <c r="E1035" t="s">
        <v>2688</v>
      </c>
      <c r="F1035" t="s">
        <v>12</v>
      </c>
      <c r="G1035" t="str">
        <f>HYPERLINK("https://www.facebook.com/liana.mkhitaryan.7/posts/312042656821646")</f>
        <v>https://www.facebook.com/liana.mkhitaryan.7/posts/312042656821646</v>
      </c>
      <c r="H1035" t="s">
        <v>885</v>
      </c>
      <c r="I1035" t="s">
        <v>2734</v>
      </c>
      <c r="J1035" t="str">
        <f>HYPERLINK("https://www.facebook.com/100040477424839")</f>
        <v>https://www.facebook.com/100040477424839</v>
      </c>
      <c r="K1035">
        <v>6</v>
      </c>
      <c r="M1035">
        <v>20</v>
      </c>
      <c r="N1035" t="s">
        <v>179</v>
      </c>
      <c r="O1035" t="s">
        <v>2734</v>
      </c>
      <c r="P1035" t="str">
        <f>HYPERLINK("https://www.facebook.com/100040477424839")</f>
        <v>https://www.facebook.com/100040477424839</v>
      </c>
      <c r="Q1035">
        <v>6</v>
      </c>
      <c r="R1035" t="s">
        <v>17</v>
      </c>
      <c r="S1035" t="s">
        <v>2690</v>
      </c>
      <c r="T1035" t="s">
        <v>2700</v>
      </c>
      <c r="U1035" t="s">
        <v>2700</v>
      </c>
      <c r="W1035">
        <v>6</v>
      </c>
      <c r="X1035">
        <v>4</v>
      </c>
      <c r="Y1035">
        <v>2</v>
      </c>
      <c r="Z1035">
        <v>0</v>
      </c>
      <c r="AA1035">
        <v>0</v>
      </c>
      <c r="AB1035">
        <v>0</v>
      </c>
      <c r="AC1035">
        <v>0</v>
      </c>
      <c r="AE1035">
        <v>0</v>
      </c>
      <c r="AI1035" t="str">
        <f>HYPERLINK("https://scontent-hel2-1.xx.fbcdn.net/v/t15.13418-10/107718255_3109660389083815_8825691245568026571_n.jpg?_nc_cat=108&amp;_nc_sid=ad6a45&amp;_nc_ohc=fyWVkB1ebcUAX-I2xzH&amp;_nc_ht=scontent-hel2-1.xx&amp;oh=485a3ae7a67519a961b26792f420abe9&amp;oe=5F34D9DA")</f>
        <v>https://scontent-hel2-1.xx.fbcdn.net/v/t15.13418-10/107718255_3109660389083815_8825691245568026571_n.jpg?_nc_cat=108&amp;_nc_sid=ad6a45&amp;_nc_ohc=fyWVkB1ebcUAX-I2xzH&amp;_nc_ht=scontent-hel2-1.xx&amp;oh=485a3ae7a67519a961b26792f420abe9&amp;oe=5F34D9DA</v>
      </c>
      <c r="AJ1035" t="s">
        <v>10</v>
      </c>
      <c r="AK1035" t="s">
        <v>21</v>
      </c>
      <c r="AM1035" t="s">
        <v>3238</v>
      </c>
      <c r="AW1035" t="s">
        <v>3248</v>
      </c>
      <c r="AX1035" t="s">
        <v>3249</v>
      </c>
      <c r="AZ1035" t="s">
        <v>3251</v>
      </c>
    </row>
    <row r="1036" spans="1:52" x14ac:dyDescent="0.25">
      <c r="A1036" t="s">
        <v>2684</v>
      </c>
      <c r="B1036" t="s">
        <v>2741</v>
      </c>
      <c r="C1036" t="s">
        <v>968</v>
      </c>
      <c r="D1036" t="s">
        <v>10</v>
      </c>
      <c r="E1036" t="s">
        <v>2731</v>
      </c>
      <c r="F1036" t="s">
        <v>12</v>
      </c>
      <c r="G1036" t="str">
        <f>HYPERLINK("https://www.facebook.com/anna.isahakian/posts/2659359110954745")</f>
        <v>https://www.facebook.com/anna.isahakian/posts/2659359110954745</v>
      </c>
      <c r="H1036" t="s">
        <v>885</v>
      </c>
      <c r="I1036" t="s">
        <v>2742</v>
      </c>
      <c r="J1036" t="str">
        <f>HYPERLINK("https://www.facebook.com/100006420454742")</f>
        <v>https://www.facebook.com/100006420454742</v>
      </c>
      <c r="K1036">
        <v>254</v>
      </c>
      <c r="L1036" t="s">
        <v>80</v>
      </c>
      <c r="N1036" t="s">
        <v>179</v>
      </c>
      <c r="O1036" t="s">
        <v>2742</v>
      </c>
      <c r="P1036" t="str">
        <f>HYPERLINK("https://www.facebook.com/100006420454742")</f>
        <v>https://www.facebook.com/100006420454742</v>
      </c>
      <c r="Q1036">
        <v>254</v>
      </c>
      <c r="R1036" t="s">
        <v>17</v>
      </c>
      <c r="W1036">
        <v>9</v>
      </c>
      <c r="X1036">
        <v>9</v>
      </c>
      <c r="Y1036">
        <v>0</v>
      </c>
      <c r="Z1036">
        <v>0</v>
      </c>
      <c r="AA1036">
        <v>0</v>
      </c>
      <c r="AB1036">
        <v>0</v>
      </c>
      <c r="AC1036">
        <v>0</v>
      </c>
      <c r="AE1036">
        <v>0</v>
      </c>
      <c r="AF1036">
        <v>2</v>
      </c>
      <c r="AI1036" t="str">
        <f>HYPERLINK("https://scontent-hel2-1.xx.fbcdn.net/v/t15.13418-10/107718255_3109660389083815_8825691245568026571_n.jpg?_nc_cat=108&amp;_nc_sid=ad6a45&amp;_nc_ohc=Aaxb8BJ3o9AAX_jm11s&amp;_nc_ht=scontent-hel2-1.xx&amp;oh=08b2dfccd2f9318bdbbc195bd06dfdc4&amp;oe=5F34D9DA")</f>
        <v>https://scontent-hel2-1.xx.fbcdn.net/v/t15.13418-10/107718255_3109660389083815_8825691245568026571_n.jpg?_nc_cat=108&amp;_nc_sid=ad6a45&amp;_nc_ohc=Aaxb8BJ3o9AAX_jm11s&amp;_nc_ht=scontent-hel2-1.xx&amp;oh=08b2dfccd2f9318bdbbc195bd06dfdc4&amp;oe=5F34D9DA</v>
      </c>
      <c r="AJ1036" t="s">
        <v>10</v>
      </c>
      <c r="AK1036" t="s">
        <v>21</v>
      </c>
      <c r="AL1036" t="s">
        <v>3237</v>
      </c>
      <c r="AZ1036" t="s">
        <v>3251</v>
      </c>
    </row>
    <row r="1037" spans="1:52" x14ac:dyDescent="0.25">
      <c r="A1037" t="s">
        <v>2684</v>
      </c>
      <c r="B1037" t="s">
        <v>2763</v>
      </c>
      <c r="C1037" t="s">
        <v>968</v>
      </c>
      <c r="D1037" t="s">
        <v>2764</v>
      </c>
      <c r="E1037" t="s">
        <v>2765</v>
      </c>
      <c r="F1037" t="s">
        <v>45</v>
      </c>
      <c r="G1037" t="str">
        <f>HYPERLINK("https://news.rambler.ru/other/44501106-reklama-chastnogo-medtsentra-v-kostrome-prizvala-vmesto-klientov-shtraf-v-200-tysyach")</f>
        <v>https://news.rambler.ru/other/44501106-reklama-chastnogo-medtsentra-v-kostrome-prizvala-vmesto-klientov-shtraf-v-200-tysyach</v>
      </c>
      <c r="H1037" t="s">
        <v>885</v>
      </c>
      <c r="N1037" t="s">
        <v>2766</v>
      </c>
      <c r="R1037" t="s">
        <v>239</v>
      </c>
      <c r="S1037" t="s">
        <v>18</v>
      </c>
      <c r="AI1037" t="str">
        <f>HYPERLINK("https://img.rl0.ru/b4f31686b08f5f940c5e8253dbdf9220/e600x400o-x0i/news.rambler.ru/img/2020/07/14/081619.291489.510.jpeg")</f>
        <v>https://img.rl0.ru/b4f31686b08f5f940c5e8253dbdf9220/e600x400o-x0i/news.rambler.ru/img/2020/07/14/081619.291489.510.jpeg</v>
      </c>
      <c r="AJ1037" t="s">
        <v>10</v>
      </c>
      <c r="AK1037" t="s">
        <v>21</v>
      </c>
      <c r="AW1037" t="s">
        <v>3248</v>
      </c>
      <c r="AZ1037" t="s">
        <v>3251</v>
      </c>
    </row>
    <row r="1038" spans="1:52" x14ac:dyDescent="0.25">
      <c r="A1038" t="s">
        <v>2978</v>
      </c>
      <c r="B1038" t="s">
        <v>267</v>
      </c>
      <c r="C1038" t="s">
        <v>968</v>
      </c>
      <c r="D1038" t="s">
        <v>421</v>
      </c>
      <c r="E1038" t="s">
        <v>3009</v>
      </c>
      <c r="F1038" t="s">
        <v>26</v>
      </c>
      <c r="G1038" t="str">
        <f>HYPERLINK("https://www.youtube.com/watch?v=gaka1vqYFNs&amp;lc=UgzkHAVzQfHyJjjtPvN4AaABAg")</f>
        <v>https://www.youtube.com/watch?v=gaka1vqYFNs&amp;lc=UgzkHAVzQfHyJjjtPvN4AaABAg</v>
      </c>
      <c r="H1038" t="s">
        <v>1057</v>
      </c>
      <c r="I1038" t="s">
        <v>3010</v>
      </c>
      <c r="J1038" t="str">
        <f>HYPERLINK("https://www.youtube.com/channel/UCfnM-OlhhFkOYOvE5YYZWgA")</f>
        <v>https://www.youtube.com/channel/UCfnM-OlhhFkOYOvE5YYZWgA</v>
      </c>
      <c r="K1038">
        <v>3</v>
      </c>
      <c r="N1038" t="s">
        <v>162</v>
      </c>
      <c r="O1038" t="s">
        <v>424</v>
      </c>
      <c r="P1038" t="str">
        <f>HYPERLINK("https://www.youtube.com/channel/UC8fQzKHIhSoZeSq3bwQx4mw")</f>
        <v>https://www.youtube.com/channel/UC8fQzKHIhSoZeSq3bwQx4mw</v>
      </c>
      <c r="Q1038">
        <v>517000</v>
      </c>
      <c r="R1038" t="s">
        <v>17</v>
      </c>
      <c r="S1038" t="s">
        <v>425</v>
      </c>
      <c r="W1038">
        <v>0</v>
      </c>
      <c r="X1038">
        <v>0</v>
      </c>
      <c r="AE1038">
        <v>2</v>
      </c>
      <c r="AJ1038" t="s">
        <v>10</v>
      </c>
      <c r="AK1038" t="s">
        <v>21</v>
      </c>
      <c r="AZ1038" t="s">
        <v>3251</v>
      </c>
    </row>
    <row r="1039" spans="1:52" x14ac:dyDescent="0.25">
      <c r="A1039" t="s">
        <v>772</v>
      </c>
      <c r="B1039" t="s">
        <v>776</v>
      </c>
      <c r="C1039" t="s">
        <v>774</v>
      </c>
      <c r="D1039" t="s">
        <v>24</v>
      </c>
      <c r="E1039" t="s">
        <v>777</v>
      </c>
      <c r="F1039" t="s">
        <v>26</v>
      </c>
      <c r="G1039" t="str">
        <f>HYPERLINK("https://vk.com/wall-197114981_31?reply=1163&amp;thread=1162")</f>
        <v>https://vk.com/wall-197114981_31?reply=1163&amp;thread=1162</v>
      </c>
      <c r="H1039" t="s">
        <v>13</v>
      </c>
      <c r="I1039" t="s">
        <v>27</v>
      </c>
      <c r="J1039" t="str">
        <f>HYPERLINK("http://vk.com/club197114981")</f>
        <v>http://vk.com/club197114981</v>
      </c>
      <c r="K1039">
        <v>38</v>
      </c>
      <c r="L1039" t="s">
        <v>28</v>
      </c>
      <c r="N1039" t="s">
        <v>16</v>
      </c>
      <c r="O1039" t="s">
        <v>27</v>
      </c>
      <c r="P1039" t="str">
        <f>HYPERLINK("http://vk.com/club197114981")</f>
        <v>http://vk.com/club197114981</v>
      </c>
      <c r="Q1039">
        <v>38</v>
      </c>
      <c r="R1039" t="s">
        <v>17</v>
      </c>
      <c r="AJ1039" t="s">
        <v>10</v>
      </c>
      <c r="AK1039" t="s">
        <v>21</v>
      </c>
      <c r="AZ1039" t="s">
        <v>3251</v>
      </c>
    </row>
    <row r="1040" spans="1:52" x14ac:dyDescent="0.25">
      <c r="A1040" t="s">
        <v>772</v>
      </c>
      <c r="B1040" t="s">
        <v>887</v>
      </c>
      <c r="C1040" t="s">
        <v>888</v>
      </c>
      <c r="D1040" t="s">
        <v>24</v>
      </c>
      <c r="E1040" t="s">
        <v>376</v>
      </c>
      <c r="F1040" t="s">
        <v>26</v>
      </c>
      <c r="G1040" t="str">
        <f>HYPERLINK("https://vk.com/wall-197114981_31?reply=1127&amp;thread=1121")</f>
        <v>https://vk.com/wall-197114981_31?reply=1127&amp;thread=1121</v>
      </c>
      <c r="H1040" t="s">
        <v>889</v>
      </c>
      <c r="I1040" t="s">
        <v>27</v>
      </c>
      <c r="J1040" t="str">
        <f>HYPERLINK("http://vk.com/club197114981")</f>
        <v>http://vk.com/club197114981</v>
      </c>
      <c r="K1040">
        <v>38</v>
      </c>
      <c r="L1040" t="s">
        <v>28</v>
      </c>
      <c r="N1040" t="s">
        <v>16</v>
      </c>
      <c r="O1040" t="s">
        <v>27</v>
      </c>
      <c r="P1040" t="str">
        <f>HYPERLINK("http://vk.com/club197114981")</f>
        <v>http://vk.com/club197114981</v>
      </c>
      <c r="Q1040">
        <v>38</v>
      </c>
      <c r="R1040" t="s">
        <v>17</v>
      </c>
      <c r="AJ1040" t="s">
        <v>10</v>
      </c>
      <c r="AK1040" t="s">
        <v>21</v>
      </c>
      <c r="AX1040" t="s">
        <v>3249</v>
      </c>
      <c r="AZ1040" t="s">
        <v>3251</v>
      </c>
    </row>
    <row r="1041" spans="1:52" x14ac:dyDescent="0.25">
      <c r="A1041" t="s">
        <v>1122</v>
      </c>
      <c r="B1041" t="s">
        <v>277</v>
      </c>
      <c r="C1041" t="s">
        <v>984</v>
      </c>
      <c r="D1041" t="s">
        <v>10</v>
      </c>
      <c r="E1041" t="s">
        <v>1124</v>
      </c>
      <c r="F1041" t="s">
        <v>45</v>
      </c>
      <c r="G1041" t="str">
        <f>HYPERLINK("https://vk.com/wall-125331076_764250")</f>
        <v>https://vk.com/wall-125331076_764250</v>
      </c>
      <c r="H1041" t="s">
        <v>885</v>
      </c>
      <c r="I1041" t="s">
        <v>1154</v>
      </c>
      <c r="J1041" t="str">
        <f>HYPERLINK("http://vk.com/club125331076")</f>
        <v>http://vk.com/club125331076</v>
      </c>
      <c r="K1041">
        <v>38231</v>
      </c>
      <c r="L1041" t="s">
        <v>28</v>
      </c>
      <c r="N1041" t="s">
        <v>16</v>
      </c>
      <c r="O1041" t="s">
        <v>1154</v>
      </c>
      <c r="P1041" t="str">
        <f>HYPERLINK("http://vk.com/club125331076")</f>
        <v>http://vk.com/club125331076</v>
      </c>
      <c r="Q1041">
        <v>38231</v>
      </c>
      <c r="R1041" t="s">
        <v>17</v>
      </c>
      <c r="W1041">
        <v>13</v>
      </c>
      <c r="X1041">
        <v>13</v>
      </c>
      <c r="AE1041">
        <v>0</v>
      </c>
      <c r="AF1041">
        <v>3</v>
      </c>
      <c r="AG1041">
        <v>2014</v>
      </c>
      <c r="AI1041" t="str">
        <f>HYPERLINK("https://sun9-59.userapi.com/0aK_W-tVMADhOxIJKEp8kQMfgfLwUyyZHpM3uA/SXCukUwPFv8.jpg")</f>
        <v>https://sun9-59.userapi.com/0aK_W-tVMADhOxIJKEp8kQMfgfLwUyyZHpM3uA/SXCukUwPFv8.jpg</v>
      </c>
      <c r="AJ1041" t="s">
        <v>10</v>
      </c>
      <c r="AK1041" t="s">
        <v>21</v>
      </c>
      <c r="AZ1041" t="s">
        <v>3251</v>
      </c>
    </row>
    <row r="1042" spans="1:52" x14ac:dyDescent="0.25">
      <c r="A1042" t="s">
        <v>1158</v>
      </c>
      <c r="B1042" t="s">
        <v>1222</v>
      </c>
      <c r="C1042" t="s">
        <v>984</v>
      </c>
      <c r="D1042" t="s">
        <v>421</v>
      </c>
      <c r="E1042" t="s">
        <v>1223</v>
      </c>
      <c r="F1042" t="s">
        <v>26</v>
      </c>
      <c r="G1042" t="str">
        <f>HYPERLINK("https://www.youtube.com/watch?v=gaka1vqYFNs&amp;lc=UgxZw8vrnyDNzGwH8s14AaABAg")</f>
        <v>https://www.youtube.com/watch?v=gaka1vqYFNs&amp;lc=UgxZw8vrnyDNzGwH8s14AaABAg</v>
      </c>
      <c r="H1042" t="s">
        <v>885</v>
      </c>
      <c r="I1042" t="s">
        <v>1224</v>
      </c>
      <c r="J1042" t="str">
        <f>HYPERLINK("https://www.youtube.com/channel/UCvHfZWPWRkHXYIbu5yZQGtw")</f>
        <v>https://www.youtube.com/channel/UCvHfZWPWRkHXYIbu5yZQGtw</v>
      </c>
      <c r="K1042">
        <v>16</v>
      </c>
      <c r="N1042" t="s">
        <v>162</v>
      </c>
      <c r="O1042" t="s">
        <v>424</v>
      </c>
      <c r="P1042" t="str">
        <f>HYPERLINK("https://www.youtube.com/channel/UC8fQzKHIhSoZeSq3bwQx4mw")</f>
        <v>https://www.youtube.com/channel/UC8fQzKHIhSoZeSq3bwQx4mw</v>
      </c>
      <c r="Q1042">
        <v>517000</v>
      </c>
      <c r="R1042" t="s">
        <v>17</v>
      </c>
      <c r="S1042" t="s">
        <v>425</v>
      </c>
      <c r="W1042">
        <v>0</v>
      </c>
      <c r="X1042">
        <v>0</v>
      </c>
      <c r="AE1042">
        <v>0</v>
      </c>
      <c r="AJ1042" t="s">
        <v>10</v>
      </c>
      <c r="AK1042" t="s">
        <v>21</v>
      </c>
      <c r="AT1042" t="s">
        <v>3245</v>
      </c>
      <c r="AU1042" t="s">
        <v>3246</v>
      </c>
      <c r="AV1042" t="s">
        <v>3247</v>
      </c>
      <c r="AX1042" t="s">
        <v>3249</v>
      </c>
      <c r="AZ1042" t="s">
        <v>3251</v>
      </c>
    </row>
    <row r="1043" spans="1:52" x14ac:dyDescent="0.25">
      <c r="A1043" t="s">
        <v>1277</v>
      </c>
      <c r="B1043" t="s">
        <v>1162</v>
      </c>
      <c r="C1043" t="s">
        <v>984</v>
      </c>
      <c r="D1043" t="s">
        <v>10</v>
      </c>
      <c r="E1043" t="s">
        <v>1301</v>
      </c>
      <c r="F1043" t="s">
        <v>45</v>
      </c>
      <c r="G1043" t="str">
        <f>HYPERLINK("https://vk.com/wall-125331076_762906")</f>
        <v>https://vk.com/wall-125331076_762906</v>
      </c>
      <c r="H1043" t="s">
        <v>885</v>
      </c>
      <c r="I1043" t="s">
        <v>1302</v>
      </c>
      <c r="J1043" t="str">
        <f>HYPERLINK("http://vk.com/id346435845")</f>
        <v>http://vk.com/id346435845</v>
      </c>
      <c r="K1043">
        <v>358</v>
      </c>
      <c r="L1043" t="s">
        <v>80</v>
      </c>
      <c r="N1043" t="s">
        <v>16</v>
      </c>
      <c r="O1043" t="s">
        <v>1154</v>
      </c>
      <c r="P1043" t="str">
        <f>HYPERLINK("http://vk.com/club125331076")</f>
        <v>http://vk.com/club125331076</v>
      </c>
      <c r="Q1043">
        <v>38231</v>
      </c>
      <c r="R1043" t="s">
        <v>17</v>
      </c>
      <c r="S1043" t="s">
        <v>18</v>
      </c>
      <c r="T1043" t="s">
        <v>1303</v>
      </c>
      <c r="U1043" t="s">
        <v>1304</v>
      </c>
      <c r="W1043">
        <v>1</v>
      </c>
      <c r="X1043">
        <v>1</v>
      </c>
      <c r="AE1043">
        <v>3</v>
      </c>
      <c r="AF1043">
        <v>0</v>
      </c>
      <c r="AG1043">
        <v>1075</v>
      </c>
      <c r="AJ1043" t="s">
        <v>10</v>
      </c>
      <c r="AK1043" t="s">
        <v>21</v>
      </c>
      <c r="AU1043" t="s">
        <v>3246</v>
      </c>
      <c r="AV1043" t="s">
        <v>3247</v>
      </c>
      <c r="AW1043" t="s">
        <v>3248</v>
      </c>
      <c r="AZ1043" t="s">
        <v>3251</v>
      </c>
    </row>
    <row r="1044" spans="1:52" x14ac:dyDescent="0.25">
      <c r="A1044" t="s">
        <v>1352</v>
      </c>
      <c r="B1044" t="s">
        <v>1189</v>
      </c>
      <c r="C1044" t="s">
        <v>984</v>
      </c>
      <c r="D1044" t="s">
        <v>10</v>
      </c>
      <c r="E1044" t="s">
        <v>1407</v>
      </c>
      <c r="F1044" t="s">
        <v>45</v>
      </c>
      <c r="G1044" t="str">
        <f>HYPERLINK("https://vk.com/wall-158633337_957")</f>
        <v>https://vk.com/wall-158633337_957</v>
      </c>
      <c r="H1044" t="s">
        <v>885</v>
      </c>
      <c r="I1044" t="s">
        <v>125</v>
      </c>
      <c r="J1044" t="str">
        <f>HYPERLINK("http://vk.com/club158633337")</f>
        <v>http://vk.com/club158633337</v>
      </c>
      <c r="K1044">
        <v>4852</v>
      </c>
      <c r="L1044" t="s">
        <v>28</v>
      </c>
      <c r="N1044" t="s">
        <v>16</v>
      </c>
      <c r="O1044" t="s">
        <v>125</v>
      </c>
      <c r="P1044" t="str">
        <f>HYPERLINK("http://vk.com/club158633337")</f>
        <v>http://vk.com/club158633337</v>
      </c>
      <c r="Q1044">
        <v>4852</v>
      </c>
      <c r="R1044" t="s">
        <v>17</v>
      </c>
      <c r="S1044" t="s">
        <v>18</v>
      </c>
      <c r="T1044" t="s">
        <v>126</v>
      </c>
      <c r="U1044" t="s">
        <v>127</v>
      </c>
      <c r="W1044">
        <v>0</v>
      </c>
      <c r="X1044">
        <v>0</v>
      </c>
      <c r="AE1044">
        <v>0</v>
      </c>
      <c r="AF1044">
        <v>0</v>
      </c>
      <c r="AG1044">
        <v>132</v>
      </c>
      <c r="AI1044" t="str">
        <f>HYPERLINK("https://sun1-89.userapi.com/6kv5ITfFhc7QH-rqZxvGn046AZa1gByIZpXtTg/ZMLbV0h1lRo.jpg")</f>
        <v>https://sun1-89.userapi.com/6kv5ITfFhc7QH-rqZxvGn046AZa1gByIZpXtTg/ZMLbV0h1lRo.jpg</v>
      </c>
      <c r="AJ1044" t="s">
        <v>10</v>
      </c>
      <c r="AK1044" t="s">
        <v>21</v>
      </c>
      <c r="AX1044" t="s">
        <v>3249</v>
      </c>
      <c r="AZ1044" t="s">
        <v>3251</v>
      </c>
    </row>
    <row r="1045" spans="1:52" x14ac:dyDescent="0.25">
      <c r="A1045" t="s">
        <v>1597</v>
      </c>
      <c r="B1045" t="s">
        <v>122</v>
      </c>
      <c r="C1045" t="s">
        <v>984</v>
      </c>
      <c r="D1045" t="s">
        <v>1623</v>
      </c>
      <c r="E1045" t="s">
        <v>1685</v>
      </c>
      <c r="F1045" t="s">
        <v>45</v>
      </c>
      <c r="G1045" t="str">
        <f>HYPERLINK("https://news.yahoo.com/went-wrong-during-northeasts-first-090016898.html")</f>
        <v>https://news.yahoo.com/went-wrong-during-northeasts-first-090016898.html</v>
      </c>
      <c r="H1045" t="s">
        <v>885</v>
      </c>
      <c r="I1045" t="s">
        <v>1686</v>
      </c>
      <c r="J1045" t="str">
        <f>HYPERLINK("https://news.yahoo.com")</f>
        <v>https://news.yahoo.com</v>
      </c>
      <c r="N1045" t="s">
        <v>1687</v>
      </c>
      <c r="R1045" t="s">
        <v>239</v>
      </c>
      <c r="S1045" t="s">
        <v>425</v>
      </c>
      <c r="AJ1045" t="s">
        <v>10</v>
      </c>
      <c r="AK1045" t="s">
        <v>21</v>
      </c>
      <c r="AL1045" t="s">
        <v>3237</v>
      </c>
      <c r="AT1045" t="s">
        <v>3245</v>
      </c>
      <c r="AU1045" t="s">
        <v>3246</v>
      </c>
      <c r="AX1045" t="s">
        <v>3249</v>
      </c>
      <c r="AZ1045" t="s">
        <v>3251</v>
      </c>
    </row>
    <row r="1046" spans="1:52" x14ac:dyDescent="0.25">
      <c r="A1046" t="s">
        <v>414</v>
      </c>
      <c r="B1046" t="s">
        <v>599</v>
      </c>
      <c r="C1046" t="s">
        <v>603</v>
      </c>
      <c r="D1046" t="s">
        <v>24</v>
      </c>
      <c r="E1046" t="s">
        <v>604</v>
      </c>
      <c r="F1046" t="s">
        <v>26</v>
      </c>
      <c r="G1046" t="str">
        <f>HYPERLINK("https://vk.com/wall-197114981_31?reply=1214&amp;thread=1213")</f>
        <v>https://vk.com/wall-197114981_31?reply=1214&amp;thread=1213</v>
      </c>
      <c r="H1046" t="s">
        <v>13</v>
      </c>
      <c r="I1046" t="s">
        <v>27</v>
      </c>
      <c r="J1046" t="str">
        <f>HYPERLINK("http://vk.com/club197114981")</f>
        <v>http://vk.com/club197114981</v>
      </c>
      <c r="K1046">
        <v>38</v>
      </c>
      <c r="L1046" t="s">
        <v>28</v>
      </c>
      <c r="N1046" t="s">
        <v>16</v>
      </c>
      <c r="O1046" t="s">
        <v>27</v>
      </c>
      <c r="P1046" t="str">
        <f>HYPERLINK("http://vk.com/club197114981")</f>
        <v>http://vk.com/club197114981</v>
      </c>
      <c r="Q1046">
        <v>38</v>
      </c>
      <c r="R1046" t="s">
        <v>17</v>
      </c>
      <c r="AJ1046" t="s">
        <v>10</v>
      </c>
      <c r="AK1046" t="s">
        <v>21</v>
      </c>
      <c r="AL1046" t="s">
        <v>3237</v>
      </c>
      <c r="AT1046" t="s">
        <v>3245</v>
      </c>
      <c r="AZ1046" t="s">
        <v>3251</v>
      </c>
    </row>
    <row r="1047" spans="1:52" x14ac:dyDescent="0.25">
      <c r="A1047" t="s">
        <v>414</v>
      </c>
      <c r="B1047" t="s">
        <v>624</v>
      </c>
      <c r="C1047" t="s">
        <v>625</v>
      </c>
      <c r="D1047" t="s">
        <v>24</v>
      </c>
      <c r="E1047" t="s">
        <v>626</v>
      </c>
      <c r="F1047" t="s">
        <v>26</v>
      </c>
      <c r="G1047" t="str">
        <f>HYPERLINK("https://vk.com/wall-197114981_31?reply=1207&amp;thread=1206")</f>
        <v>https://vk.com/wall-197114981_31?reply=1207&amp;thread=1206</v>
      </c>
      <c r="H1047" t="s">
        <v>13</v>
      </c>
      <c r="I1047" t="s">
        <v>27</v>
      </c>
      <c r="J1047" t="str">
        <f>HYPERLINK("http://vk.com/club197114981")</f>
        <v>http://vk.com/club197114981</v>
      </c>
      <c r="K1047">
        <v>38</v>
      </c>
      <c r="L1047" t="s">
        <v>28</v>
      </c>
      <c r="N1047" t="s">
        <v>16</v>
      </c>
      <c r="O1047" t="s">
        <v>27</v>
      </c>
      <c r="P1047" t="str">
        <f>HYPERLINK("http://vk.com/club197114981")</f>
        <v>http://vk.com/club197114981</v>
      </c>
      <c r="Q1047">
        <v>38</v>
      </c>
      <c r="R1047" t="s">
        <v>17</v>
      </c>
      <c r="AJ1047" t="s">
        <v>10</v>
      </c>
      <c r="AK1047" t="s">
        <v>21</v>
      </c>
      <c r="AL1047" t="s">
        <v>3237</v>
      </c>
      <c r="AV1047" t="s">
        <v>3247</v>
      </c>
      <c r="AW1047" t="s">
        <v>3248</v>
      </c>
      <c r="AZ1047" t="s">
        <v>3251</v>
      </c>
    </row>
    <row r="1048" spans="1:52" x14ac:dyDescent="0.25">
      <c r="A1048" t="s">
        <v>414</v>
      </c>
      <c r="B1048" t="s">
        <v>647</v>
      </c>
      <c r="C1048" t="s">
        <v>611</v>
      </c>
      <c r="D1048" t="s">
        <v>612</v>
      </c>
      <c r="E1048" t="s">
        <v>648</v>
      </c>
      <c r="F1048" t="s">
        <v>45</v>
      </c>
      <c r="G1048" t="str">
        <f>HYPERLINK("https://www.google.com/maps/reviews/data=!4m5!14m4!1m3!1m2!1s114950572633337957731!2s0x0:0x29d0d4ba3bf3bc31?hl=en-NL")</f>
        <v>https://www.google.com/maps/reviews/data=!4m5!14m4!1m3!1m2!1s114950572633337957731!2s0x0:0x29d0d4ba3bf3bc31?hl=en-NL</v>
      </c>
      <c r="H1048" t="s">
        <v>13</v>
      </c>
      <c r="I1048" t="s">
        <v>649</v>
      </c>
      <c r="J1048" t="str">
        <f>HYPERLINK("https://maps.google.com/maps/contrib/114950572633337957731")</f>
        <v>https://maps.google.com/maps/contrib/114950572633337957731</v>
      </c>
      <c r="L1048" t="s">
        <v>15</v>
      </c>
      <c r="N1048" t="s">
        <v>615</v>
      </c>
      <c r="O1048" t="s">
        <v>612</v>
      </c>
      <c r="P1048" t="str">
        <f>HYPERLINK("https://maps.google.com/maps/place/data=!3m1!4b1!4m5!3m4!1s0x0:0x29d0d4ba3bf3bc31!8m2!3d45.062110!4d38.972250")</f>
        <v>https://maps.google.com/maps/place/data=!3m1!4b1!4m5!3m4!1s0x0:0x29d0d4ba3bf3bc31!8m2!3d45.062110!4d38.972250</v>
      </c>
      <c r="R1048" t="s">
        <v>616</v>
      </c>
      <c r="S1048" t="s">
        <v>18</v>
      </c>
      <c r="T1048" t="s">
        <v>617</v>
      </c>
      <c r="U1048" t="s">
        <v>618</v>
      </c>
      <c r="W1048">
        <v>0</v>
      </c>
      <c r="X1048">
        <v>0</v>
      </c>
      <c r="AH1048">
        <v>5</v>
      </c>
      <c r="AJ1048" t="s">
        <v>10</v>
      </c>
      <c r="AK1048" t="s">
        <v>21</v>
      </c>
      <c r="AL1048" t="s">
        <v>3237</v>
      </c>
      <c r="AT1048" t="s">
        <v>3245</v>
      </c>
      <c r="AZ1048" t="s">
        <v>3251</v>
      </c>
    </row>
    <row r="1049" spans="1:52" x14ac:dyDescent="0.25">
      <c r="A1049" t="s">
        <v>414</v>
      </c>
      <c r="B1049" t="s">
        <v>650</v>
      </c>
      <c r="C1049" t="s">
        <v>651</v>
      </c>
      <c r="D1049" t="s">
        <v>24</v>
      </c>
      <c r="E1049" t="s">
        <v>652</v>
      </c>
      <c r="F1049" t="s">
        <v>26</v>
      </c>
      <c r="G1049" t="str">
        <f>HYPERLINK("https://vk.com/wall-197114981_31?reply=1199&amp;thread=1098")</f>
        <v>https://vk.com/wall-197114981_31?reply=1199&amp;thread=1098</v>
      </c>
      <c r="H1049" t="s">
        <v>13</v>
      </c>
      <c r="I1049" t="s">
        <v>27</v>
      </c>
      <c r="J1049" t="str">
        <f>HYPERLINK("http://vk.com/club197114981")</f>
        <v>http://vk.com/club197114981</v>
      </c>
      <c r="K1049">
        <v>38</v>
      </c>
      <c r="L1049" t="s">
        <v>28</v>
      </c>
      <c r="N1049" t="s">
        <v>16</v>
      </c>
      <c r="O1049" t="s">
        <v>27</v>
      </c>
      <c r="P1049" t="str">
        <f>HYPERLINK("http://vk.com/club197114981")</f>
        <v>http://vk.com/club197114981</v>
      </c>
      <c r="Q1049">
        <v>38</v>
      </c>
      <c r="R1049" t="s">
        <v>17</v>
      </c>
      <c r="AJ1049" t="s">
        <v>10</v>
      </c>
      <c r="AK1049" t="s">
        <v>21</v>
      </c>
      <c r="AL1049" t="s">
        <v>3237</v>
      </c>
      <c r="AT1049" t="s">
        <v>3245</v>
      </c>
      <c r="AV1049" t="s">
        <v>3247</v>
      </c>
      <c r="AW1049" t="s">
        <v>3248</v>
      </c>
      <c r="AX1049" t="s">
        <v>3249</v>
      </c>
      <c r="AZ1049" t="s">
        <v>3251</v>
      </c>
    </row>
    <row r="1050" spans="1:52" x14ac:dyDescent="0.25">
      <c r="A1050" t="s">
        <v>1518</v>
      </c>
      <c r="B1050" t="s">
        <v>1069</v>
      </c>
      <c r="C1050" t="s">
        <v>984</v>
      </c>
      <c r="D1050" t="s">
        <v>10</v>
      </c>
      <c r="E1050" t="s">
        <v>1536</v>
      </c>
      <c r="F1050" t="s">
        <v>45</v>
      </c>
      <c r="G1050" t="str">
        <f>HYPERLINK("https://www.facebook.com/mriexpert/photos/a.902990326434112/3230184487048006/?type=3")</f>
        <v>https://www.facebook.com/mriexpert/photos/a.902990326434112/3230184487048006/?type=3</v>
      </c>
      <c r="H1050" t="s">
        <v>885</v>
      </c>
      <c r="I1050" t="s">
        <v>46</v>
      </c>
      <c r="J1050" t="str">
        <f>HYPERLINK("https://www.facebook.com/902980129768465")</f>
        <v>https://www.facebook.com/902980129768465</v>
      </c>
      <c r="K1050">
        <v>1509</v>
      </c>
      <c r="L1050" t="s">
        <v>28</v>
      </c>
      <c r="N1050" t="s">
        <v>179</v>
      </c>
      <c r="O1050" t="s">
        <v>46</v>
      </c>
      <c r="P1050" t="str">
        <f>HYPERLINK("https://www.facebook.com/902980129768465")</f>
        <v>https://www.facebook.com/902980129768465</v>
      </c>
      <c r="Q1050">
        <v>1509</v>
      </c>
      <c r="R1050" t="s">
        <v>17</v>
      </c>
      <c r="W1050">
        <v>4</v>
      </c>
      <c r="X1050">
        <v>4</v>
      </c>
      <c r="Y1050">
        <v>0</v>
      </c>
      <c r="Z1050">
        <v>0</v>
      </c>
      <c r="AA1050">
        <v>0</v>
      </c>
      <c r="AB1050">
        <v>0</v>
      </c>
      <c r="AC1050">
        <v>0</v>
      </c>
      <c r="AE1050">
        <v>0</v>
      </c>
      <c r="AF1050">
        <v>1</v>
      </c>
      <c r="AI1050" t="str">
        <f>HYPERLINK("https://scontent-hel2-1.xx.fbcdn.net/v/t1.0-9/s960x960/116695539_3230184497048005_8592160551407836555_o.jpg?_nc_cat=105&amp;_nc_sid=9267fe&amp;_nc_ohc=A_JF7P41ktIAX-RTCBc&amp;_nc_ht=scontent-hel2-1.xx&amp;_nc_tp=7&amp;oh=75d08b566c10b567c53e9ee1d88c197e&amp;oe=5F4A76AE")</f>
        <v>https://scontent-hel2-1.xx.fbcdn.net/v/t1.0-9/s960x960/116695539_3230184497048005_8592160551407836555_o.jpg?_nc_cat=105&amp;_nc_sid=9267fe&amp;_nc_ohc=A_JF7P41ktIAX-RTCBc&amp;_nc_ht=scontent-hel2-1.xx&amp;_nc_tp=7&amp;oh=75d08b566c10b567c53e9ee1d88c197e&amp;oe=5F4A76AE</v>
      </c>
      <c r="AJ1050" t="s">
        <v>10</v>
      </c>
      <c r="AK1050" t="s">
        <v>21</v>
      </c>
      <c r="AT1050" t="s">
        <v>3245</v>
      </c>
      <c r="AV1050" t="s">
        <v>3247</v>
      </c>
      <c r="AW1050" t="s">
        <v>3248</v>
      </c>
      <c r="AX1050" t="s">
        <v>3249</v>
      </c>
      <c r="AZ1050" t="s">
        <v>3251</v>
      </c>
    </row>
    <row r="1051" spans="1:52" x14ac:dyDescent="0.25">
      <c r="A1051" t="s">
        <v>2978</v>
      </c>
      <c r="B1051" t="s">
        <v>277</v>
      </c>
      <c r="C1051" t="s">
        <v>968</v>
      </c>
      <c r="D1051" t="s">
        <v>10</v>
      </c>
      <c r="E1051" t="s">
        <v>3011</v>
      </c>
      <c r="F1051" t="s">
        <v>12</v>
      </c>
      <c r="G1051" t="str">
        <f>HYPERLINK("https://www.facebook.com/568390943273818/posts/2974081802704708")</f>
        <v>https://www.facebook.com/568390943273818/posts/2974081802704708</v>
      </c>
      <c r="H1051" t="s">
        <v>885</v>
      </c>
      <c r="I1051" t="s">
        <v>280</v>
      </c>
      <c r="J1051" t="str">
        <f>HYPERLINK("https://www.facebook.com/568390943273818")</f>
        <v>https://www.facebook.com/568390943273818</v>
      </c>
      <c r="K1051">
        <v>18918</v>
      </c>
      <c r="L1051" t="s">
        <v>28</v>
      </c>
      <c r="N1051" t="s">
        <v>179</v>
      </c>
      <c r="O1051" t="s">
        <v>280</v>
      </c>
      <c r="P1051" t="str">
        <f>HYPERLINK("https://www.facebook.com/568390943273818")</f>
        <v>https://www.facebook.com/568390943273818</v>
      </c>
      <c r="Q1051">
        <v>18918</v>
      </c>
      <c r="R1051" t="s">
        <v>17</v>
      </c>
      <c r="S1051" t="s">
        <v>281</v>
      </c>
      <c r="T1051" t="s">
        <v>282</v>
      </c>
      <c r="U1051" t="s">
        <v>282</v>
      </c>
      <c r="AI1051" t="str">
        <f>HYPERLINK("https://scontent-ams4-1.xx.fbcdn.net/v/t1.0-9/s720x720/107092811_2974080206038201_130116460475940737_o.jpg?_nc_cat=108&amp;_nc_sid=8024bb&amp;_nc_ohc=JobMnta35i8AX9_HDRS&amp;_nc_ht=scontent-ams4-1.xx&amp;_nc_tp=7&amp;oh=274f082cd2f5a5d3b25c05f86e061f8a&amp;oe=5F2CE117")</f>
        <v>https://scontent-ams4-1.xx.fbcdn.net/v/t1.0-9/s720x720/107092811_2974080206038201_130116460475940737_o.jpg?_nc_cat=108&amp;_nc_sid=8024bb&amp;_nc_ohc=JobMnta35i8AX9_HDRS&amp;_nc_ht=scontent-ams4-1.xx&amp;_nc_tp=7&amp;oh=274f082cd2f5a5d3b25c05f86e061f8a&amp;oe=5F2CE117</v>
      </c>
      <c r="AJ1051" t="s">
        <v>10</v>
      </c>
      <c r="AK1051" t="s">
        <v>21</v>
      </c>
      <c r="AT1051" t="s">
        <v>3245</v>
      </c>
      <c r="AW1051" t="s">
        <v>3248</v>
      </c>
      <c r="AX1051" t="s">
        <v>3249</v>
      </c>
      <c r="AZ1051" t="s">
        <v>3251</v>
      </c>
    </row>
    <row r="1052" spans="1:52" x14ac:dyDescent="0.25">
      <c r="A1052" t="s">
        <v>7</v>
      </c>
      <c r="B1052" t="s">
        <v>226</v>
      </c>
      <c r="C1052" t="s">
        <v>227</v>
      </c>
      <c r="D1052" t="s">
        <v>24</v>
      </c>
      <c r="E1052" t="s">
        <v>228</v>
      </c>
      <c r="F1052" t="s">
        <v>26</v>
      </c>
      <c r="G1052" t="str">
        <f>HYPERLINK("https://vk.com/wall-197114981_31?reply=1356&amp;thread=1355")</f>
        <v>https://vk.com/wall-197114981_31?reply=1356&amp;thread=1355</v>
      </c>
      <c r="H1052" t="s">
        <v>13</v>
      </c>
      <c r="I1052" t="s">
        <v>27</v>
      </c>
      <c r="J1052" t="str">
        <f>HYPERLINK("http://vk.com/club197114981")</f>
        <v>http://vk.com/club197114981</v>
      </c>
      <c r="K1052">
        <v>38</v>
      </c>
      <c r="L1052" t="s">
        <v>28</v>
      </c>
      <c r="N1052" t="s">
        <v>16</v>
      </c>
      <c r="O1052" t="s">
        <v>27</v>
      </c>
      <c r="P1052" t="str">
        <f>HYPERLINK("http://vk.com/club197114981")</f>
        <v>http://vk.com/club197114981</v>
      </c>
      <c r="Q1052">
        <v>38</v>
      </c>
      <c r="R1052" t="s">
        <v>17</v>
      </c>
      <c r="AJ1052" t="s">
        <v>10</v>
      </c>
      <c r="AK1052" t="s">
        <v>21</v>
      </c>
      <c r="AT1052" t="s">
        <v>3245</v>
      </c>
      <c r="AZ1052" t="s">
        <v>3251</v>
      </c>
    </row>
    <row r="1053" spans="1:52" x14ac:dyDescent="0.25">
      <c r="A1053" t="s">
        <v>414</v>
      </c>
      <c r="B1053" t="s">
        <v>664</v>
      </c>
      <c r="C1053" t="s">
        <v>611</v>
      </c>
      <c r="D1053" t="s">
        <v>612</v>
      </c>
      <c r="E1053" t="s">
        <v>665</v>
      </c>
      <c r="F1053" t="s">
        <v>45</v>
      </c>
      <c r="G1053" t="str">
        <f>HYPERLINK("https://www.google.com/maps/reviews/data=!4m5!14m4!1m3!1m2!1s107264742227909095661!2s0x0:0x29d0d4ba3bf3bc31?hl=en-NL")</f>
        <v>https://www.google.com/maps/reviews/data=!4m5!14m4!1m3!1m2!1s107264742227909095661!2s0x0:0x29d0d4ba3bf3bc31?hl=en-NL</v>
      </c>
      <c r="H1053" t="s">
        <v>13</v>
      </c>
      <c r="I1053" t="s">
        <v>666</v>
      </c>
      <c r="J1053" t="str">
        <f>HYPERLINK("https://maps.google.com/maps/contrib/107264742227909095661")</f>
        <v>https://maps.google.com/maps/contrib/107264742227909095661</v>
      </c>
      <c r="L1053" t="s">
        <v>15</v>
      </c>
      <c r="N1053" t="s">
        <v>615</v>
      </c>
      <c r="O1053" t="s">
        <v>612</v>
      </c>
      <c r="P1053" t="str">
        <f>HYPERLINK("https://maps.google.com/maps/place/data=!3m1!4b1!4m5!3m4!1s0x0:0x29d0d4ba3bf3bc31!8m2!3d45.062110!4d38.972250")</f>
        <v>https://maps.google.com/maps/place/data=!3m1!4b1!4m5!3m4!1s0x0:0x29d0d4ba3bf3bc31!8m2!3d45.062110!4d38.972250</v>
      </c>
      <c r="R1053" t="s">
        <v>616</v>
      </c>
      <c r="S1053" t="s">
        <v>18</v>
      </c>
      <c r="T1053" t="s">
        <v>617</v>
      </c>
      <c r="U1053" t="s">
        <v>618</v>
      </c>
      <c r="W1053">
        <v>0</v>
      </c>
      <c r="X1053">
        <v>0</v>
      </c>
      <c r="AH1053">
        <v>5</v>
      </c>
      <c r="AJ1053" t="s">
        <v>10</v>
      </c>
      <c r="AK1053" t="s">
        <v>21</v>
      </c>
      <c r="AT1053" t="s">
        <v>3245</v>
      </c>
      <c r="AW1053" t="s">
        <v>3248</v>
      </c>
      <c r="AZ1053" t="s">
        <v>3251</v>
      </c>
    </row>
    <row r="1054" spans="1:52" x14ac:dyDescent="0.25">
      <c r="A1054" t="s">
        <v>772</v>
      </c>
      <c r="B1054" t="s">
        <v>841</v>
      </c>
      <c r="C1054" t="s">
        <v>842</v>
      </c>
      <c r="D1054" t="s">
        <v>24</v>
      </c>
      <c r="E1054" t="s">
        <v>843</v>
      </c>
      <c r="F1054" t="s">
        <v>26</v>
      </c>
      <c r="G1054" t="str">
        <f>HYPERLINK("https://vk.com/wall-197114981_31?reply=1140&amp;thread=1139")</f>
        <v>https://vk.com/wall-197114981_31?reply=1140&amp;thread=1139</v>
      </c>
      <c r="H1054" t="s">
        <v>13</v>
      </c>
      <c r="I1054" t="s">
        <v>27</v>
      </c>
      <c r="J1054" t="str">
        <f>HYPERLINK("http://vk.com/club197114981")</f>
        <v>http://vk.com/club197114981</v>
      </c>
      <c r="K1054">
        <v>38</v>
      </c>
      <c r="L1054" t="s">
        <v>28</v>
      </c>
      <c r="N1054" t="s">
        <v>16</v>
      </c>
      <c r="O1054" t="s">
        <v>27</v>
      </c>
      <c r="P1054" t="str">
        <f>HYPERLINK("http://vk.com/club197114981")</f>
        <v>http://vk.com/club197114981</v>
      </c>
      <c r="Q1054">
        <v>38</v>
      </c>
      <c r="R1054" t="s">
        <v>17</v>
      </c>
      <c r="AJ1054" t="s">
        <v>10</v>
      </c>
      <c r="AK1054" t="s">
        <v>21</v>
      </c>
      <c r="AT1054" t="s">
        <v>3245</v>
      </c>
      <c r="AU1054" t="s">
        <v>3246</v>
      </c>
      <c r="AZ1054" t="s">
        <v>3251</v>
      </c>
    </row>
    <row r="1055" spans="1:52" x14ac:dyDescent="0.25">
      <c r="A1055" t="s">
        <v>1723</v>
      </c>
      <c r="B1055" t="s">
        <v>1743</v>
      </c>
      <c r="C1055" t="s">
        <v>984</v>
      </c>
      <c r="D1055" t="s">
        <v>10</v>
      </c>
      <c r="E1055" t="s">
        <v>1744</v>
      </c>
      <c r="F1055" t="s">
        <v>45</v>
      </c>
      <c r="G1055" t="str">
        <f>HYPERLINK("https://www.facebook.com/permalink.php?story_fbid=692256851504946&amp;id=426876344709666")</f>
        <v>https://www.facebook.com/permalink.php?story_fbid=692256851504946&amp;id=426876344709666</v>
      </c>
      <c r="H1055" t="s">
        <v>885</v>
      </c>
      <c r="I1055" t="s">
        <v>1745</v>
      </c>
      <c r="J1055" t="str">
        <f>HYPERLINK("https://www.facebook.com/426876344709666")</f>
        <v>https://www.facebook.com/426876344709666</v>
      </c>
      <c r="K1055">
        <v>14</v>
      </c>
      <c r="L1055" t="s">
        <v>28</v>
      </c>
      <c r="N1055" t="s">
        <v>179</v>
      </c>
      <c r="O1055" t="s">
        <v>1745</v>
      </c>
      <c r="P1055" t="str">
        <f>HYPERLINK("https://www.facebook.com/426876344709666")</f>
        <v>https://www.facebook.com/426876344709666</v>
      </c>
      <c r="Q1055">
        <v>14</v>
      </c>
      <c r="R1055" t="s">
        <v>17</v>
      </c>
      <c r="S1055" t="s">
        <v>1746</v>
      </c>
      <c r="T1055" t="s">
        <v>1747</v>
      </c>
      <c r="U1055" t="s">
        <v>1748</v>
      </c>
      <c r="W1055">
        <v>0</v>
      </c>
      <c r="X1055">
        <v>0</v>
      </c>
      <c r="Y1055">
        <v>0</v>
      </c>
      <c r="Z1055">
        <v>0</v>
      </c>
      <c r="AA1055">
        <v>0</v>
      </c>
      <c r="AB1055">
        <v>0</v>
      </c>
      <c r="AC1055">
        <v>0</v>
      </c>
      <c r="AE1055">
        <v>0</v>
      </c>
      <c r="AJ1055" t="s">
        <v>10</v>
      </c>
      <c r="AK1055" t="s">
        <v>21</v>
      </c>
      <c r="AT1055" t="s">
        <v>3245</v>
      </c>
      <c r="AV1055" t="s">
        <v>3247</v>
      </c>
      <c r="AW1055" t="s">
        <v>3248</v>
      </c>
      <c r="AZ1055" t="s">
        <v>3251</v>
      </c>
    </row>
    <row r="1056" spans="1:52" x14ac:dyDescent="0.25">
      <c r="A1056" t="s">
        <v>2290</v>
      </c>
      <c r="B1056" t="s">
        <v>1159</v>
      </c>
      <c r="C1056" t="s">
        <v>968</v>
      </c>
      <c r="D1056" t="s">
        <v>10</v>
      </c>
      <c r="E1056" t="s">
        <v>2313</v>
      </c>
      <c r="F1056" t="s">
        <v>12</v>
      </c>
      <c r="G1056" t="str">
        <f>HYPERLINK("https://www.facebook.com/372029212917134/posts/3080512918735403")</f>
        <v>https://www.facebook.com/372029212917134/posts/3080512918735403</v>
      </c>
      <c r="H1056" t="s">
        <v>885</v>
      </c>
      <c r="I1056" t="s">
        <v>2314</v>
      </c>
      <c r="J1056" t="str">
        <f>HYPERLINK("https://www.facebook.com/372029212917134")</f>
        <v>https://www.facebook.com/372029212917134</v>
      </c>
      <c r="K1056">
        <v>29597</v>
      </c>
      <c r="L1056" t="s">
        <v>28</v>
      </c>
      <c r="N1056" t="s">
        <v>179</v>
      </c>
      <c r="O1056" t="s">
        <v>2314</v>
      </c>
      <c r="P1056" t="str">
        <f>HYPERLINK("https://www.facebook.com/372029212917134")</f>
        <v>https://www.facebook.com/372029212917134</v>
      </c>
      <c r="Q1056">
        <v>29597</v>
      </c>
      <c r="R1056" t="s">
        <v>17</v>
      </c>
      <c r="S1056" t="s">
        <v>1206</v>
      </c>
      <c r="T1056" t="s">
        <v>2315</v>
      </c>
      <c r="U1056" t="s">
        <v>2316</v>
      </c>
      <c r="W1056">
        <v>13</v>
      </c>
      <c r="X1056">
        <v>13</v>
      </c>
      <c r="Y1056">
        <v>0</v>
      </c>
      <c r="Z1056">
        <v>0</v>
      </c>
      <c r="AA1056">
        <v>0</v>
      </c>
      <c r="AB1056">
        <v>0</v>
      </c>
      <c r="AC1056">
        <v>0</v>
      </c>
      <c r="AE1056">
        <v>0</v>
      </c>
      <c r="AF1056">
        <v>11</v>
      </c>
      <c r="AI1056" t="str">
        <f>HYPERLINK("https://scontent-dfw5-2.xx.fbcdn.net/v/t1.0-9/p720x720/109824207_3080509912069037_7050722006237208069_n.jpg?_nc_cat=108&amp;_nc_sid=8024bb&amp;_nc_ohc=aAeoWa_HQosAX-Usup4&amp;_nc_ht=scontent-dfw5-2.xx&amp;_nc_tp=6&amp;oh=81f44c4f4fe5bb0d7e0e9b1244fecacf&amp;oe=5F3A0263")</f>
        <v>https://scontent-dfw5-2.xx.fbcdn.net/v/t1.0-9/p720x720/109824207_3080509912069037_7050722006237208069_n.jpg?_nc_cat=108&amp;_nc_sid=8024bb&amp;_nc_ohc=aAeoWa_HQosAX-Usup4&amp;_nc_ht=scontent-dfw5-2.xx&amp;_nc_tp=6&amp;oh=81f44c4f4fe5bb0d7e0e9b1244fecacf&amp;oe=5F3A0263</v>
      </c>
      <c r="AJ1056" t="s">
        <v>10</v>
      </c>
      <c r="AK1056" t="s">
        <v>21</v>
      </c>
      <c r="AZ1056" t="s">
        <v>3251</v>
      </c>
    </row>
    <row r="1057" spans="1:52" x14ac:dyDescent="0.25">
      <c r="A1057" t="s">
        <v>3100</v>
      </c>
      <c r="B1057" t="s">
        <v>1159</v>
      </c>
      <c r="C1057" t="s">
        <v>968</v>
      </c>
      <c r="D1057" t="s">
        <v>3118</v>
      </c>
      <c r="E1057" t="s">
        <v>3119</v>
      </c>
      <c r="F1057" t="s">
        <v>45</v>
      </c>
      <c r="G1057" t="str">
        <f>HYPERLINK("https://www.youtube.com/watch?v=-vvCQtF5wdM")</f>
        <v>https://www.youtube.com/watch?v=-vvCQtF5wdM</v>
      </c>
      <c r="H1057" t="s">
        <v>885</v>
      </c>
      <c r="I1057" t="s">
        <v>3120</v>
      </c>
      <c r="J1057" t="str">
        <f>HYPERLINK("https://www.youtube.com/channel/UCY6OAqxaGsUBYwW6O1eTOIA")</f>
        <v>https://www.youtube.com/channel/UCY6OAqxaGsUBYwW6O1eTOIA</v>
      </c>
      <c r="K1057">
        <v>5</v>
      </c>
      <c r="N1057" t="s">
        <v>162</v>
      </c>
      <c r="O1057" t="s">
        <v>3120</v>
      </c>
      <c r="P1057" t="str">
        <f>HYPERLINK("https://www.youtube.com/channel/UCY6OAqxaGsUBYwW6O1eTOIA")</f>
        <v>https://www.youtube.com/channel/UCY6OAqxaGsUBYwW6O1eTOIA</v>
      </c>
      <c r="Q1057">
        <v>5</v>
      </c>
      <c r="R1057" t="s">
        <v>17</v>
      </c>
      <c r="S1057" t="s">
        <v>18</v>
      </c>
      <c r="W1057">
        <v>5</v>
      </c>
      <c r="X1057">
        <v>5</v>
      </c>
      <c r="AD1057">
        <v>0</v>
      </c>
      <c r="AE1057">
        <v>9</v>
      </c>
      <c r="AG1057">
        <v>21</v>
      </c>
      <c r="AI1057" t="str">
        <f>HYPERLINK("https://i.ytimg.com/vi/-vvCQtF5wdM/hqdefault.jpg?sqp=-oaymwEZCNACELwBSFXyq4qpAwsIARUAAIhCGAFwAQ==&amp;rs=AOn4CLAOgRXurhRnAxc7MkKm16ryDVb-fg")</f>
        <v>https://i.ytimg.com/vi/-vvCQtF5wdM/hqdefault.jpg?sqp=-oaymwEZCNACELwBSFXyq4qpAwsIARUAAIhCGAFwAQ==&amp;rs=AOn4CLAOgRXurhRnAxc7MkKm16ryDVb-fg</v>
      </c>
      <c r="AJ1057" t="s">
        <v>10</v>
      </c>
      <c r="AK1057" t="s">
        <v>21</v>
      </c>
      <c r="AZ1057" t="s">
        <v>3251</v>
      </c>
    </row>
    <row r="1058" spans="1:52" x14ac:dyDescent="0.25">
      <c r="A1058" t="s">
        <v>1425</v>
      </c>
      <c r="B1058" t="s">
        <v>1427</v>
      </c>
      <c r="C1058" t="s">
        <v>984</v>
      </c>
      <c r="D1058" t="s">
        <v>1428</v>
      </c>
      <c r="E1058" t="s">
        <v>1429</v>
      </c>
      <c r="F1058" t="s">
        <v>26</v>
      </c>
      <c r="G1058" t="str">
        <f>HYPERLINK("https://vk.com/wall-131414345_314421?reply=314531")</f>
        <v>https://vk.com/wall-131414345_314421?reply=314531</v>
      </c>
      <c r="H1058" t="s">
        <v>889</v>
      </c>
      <c r="I1058" t="s">
        <v>1430</v>
      </c>
      <c r="J1058" t="str">
        <f>HYPERLINK("http://vk.com/id86770307")</f>
        <v>http://vk.com/id86770307</v>
      </c>
      <c r="K1058">
        <v>1092</v>
      </c>
      <c r="L1058" t="s">
        <v>80</v>
      </c>
      <c r="M1058">
        <v>26</v>
      </c>
      <c r="N1058" t="s">
        <v>16</v>
      </c>
      <c r="O1058" t="s">
        <v>690</v>
      </c>
      <c r="P1058" t="str">
        <f>HYPERLINK("http://vk.com/club131414345")</f>
        <v>http://vk.com/club131414345</v>
      </c>
      <c r="Q1058">
        <v>8446</v>
      </c>
      <c r="R1058" t="s">
        <v>17</v>
      </c>
      <c r="S1058" t="s">
        <v>18</v>
      </c>
      <c r="T1058" t="s">
        <v>189</v>
      </c>
      <c r="U1058" t="s">
        <v>190</v>
      </c>
      <c r="AJ1058" t="s">
        <v>10</v>
      </c>
      <c r="AK1058" t="s">
        <v>21</v>
      </c>
      <c r="AZ1058" t="s">
        <v>3251</v>
      </c>
    </row>
    <row r="1059" spans="1:52" x14ac:dyDescent="0.25">
      <c r="A1059" t="s">
        <v>1597</v>
      </c>
      <c r="B1059" t="s">
        <v>1656</v>
      </c>
      <c r="C1059" t="s">
        <v>984</v>
      </c>
      <c r="D1059" t="s">
        <v>10</v>
      </c>
      <c r="E1059" t="s">
        <v>1661</v>
      </c>
      <c r="F1059" t="s">
        <v>45</v>
      </c>
      <c r="G1059" t="str">
        <f>HYPERLINK("https://twitter.com/4516415776/status/1288457413146927109")</f>
        <v>https://twitter.com/4516415776/status/1288457413146927109</v>
      </c>
      <c r="H1059" t="s">
        <v>885</v>
      </c>
      <c r="I1059" t="s">
        <v>1662</v>
      </c>
      <c r="J1059" t="str">
        <f>HYPERLINK("http://twitter.com/rrossAPP")</f>
        <v>http://twitter.com/rrossAPP</v>
      </c>
      <c r="K1059">
        <v>311</v>
      </c>
      <c r="L1059" t="s">
        <v>15</v>
      </c>
      <c r="N1059" t="s">
        <v>54</v>
      </c>
      <c r="R1059" t="s">
        <v>17</v>
      </c>
      <c r="S1059" t="s">
        <v>425</v>
      </c>
      <c r="T1059" t="s">
        <v>1663</v>
      </c>
      <c r="U1059" t="s">
        <v>1664</v>
      </c>
      <c r="W1059">
        <v>1</v>
      </c>
      <c r="X1059">
        <v>1</v>
      </c>
      <c r="AF1059">
        <v>0</v>
      </c>
      <c r="AJ1059" t="s">
        <v>10</v>
      </c>
      <c r="AK1059" t="s">
        <v>21</v>
      </c>
      <c r="AZ1059" t="s">
        <v>3251</v>
      </c>
    </row>
    <row r="1060" spans="1:52" x14ac:dyDescent="0.25">
      <c r="A1060" t="s">
        <v>1597</v>
      </c>
      <c r="B1060" t="s">
        <v>1711</v>
      </c>
      <c r="C1060" t="s">
        <v>984</v>
      </c>
      <c r="D1060" t="s">
        <v>1712</v>
      </c>
      <c r="E1060" t="s">
        <v>1713</v>
      </c>
      <c r="F1060" t="s">
        <v>45</v>
      </c>
      <c r="G1060" t="str">
        <f>HYPERLINK("https://www.michigan-sportsman.com/forum/threads/why-reply-covid-in-u-s-vs-the-world.697931/page-16")</f>
        <v>https://www.michigan-sportsman.com/forum/threads/why-reply-covid-in-u-s-vs-the-world.697931/page-16</v>
      </c>
      <c r="H1060" t="s">
        <v>885</v>
      </c>
      <c r="I1060" t="s">
        <v>1714</v>
      </c>
      <c r="J1060" t="str">
        <f>HYPERLINK("https://www.michigan-sportsman.com/forum/members/northernfisher.50819/")</f>
        <v>https://www.michigan-sportsman.com/forum/members/northernfisher.50819/</v>
      </c>
      <c r="N1060" t="s">
        <v>1715</v>
      </c>
      <c r="O1060" t="s">
        <v>1716</v>
      </c>
      <c r="P1060" t="str">
        <f>HYPERLINK("https://www.michigan-sportsman.com/forum/forums/sound-off.37/")</f>
        <v>https://www.michigan-sportsman.com/forum/forums/sound-off.37/</v>
      </c>
      <c r="R1060" t="s">
        <v>1293</v>
      </c>
      <c r="S1060" t="s">
        <v>425</v>
      </c>
      <c r="T1060" t="s">
        <v>1717</v>
      </c>
      <c r="U1060" t="s">
        <v>1718</v>
      </c>
      <c r="AI1060" t="str">
        <f>HYPERLINK("https://www.michigan-sportsman.com/forum/threads/why-reply-covid-in-u-s-vs-the-world.697931/proxy.php?image=https%3A%2F%2Fblogs.cdc.gov%2Fniosh-science-blog%2Ffiles%2F2011%2F12%2Fresp-filtration.gif&amp;hash=bcfe2ca397a86e4dfbdb25ce66972de0")</f>
        <v>https://www.michigan-sportsman.com/forum/threads/why-reply-covid-in-u-s-vs-the-world.697931/proxy.php?image=https%3A%2F%2Fblogs.cdc.gov%2Fniosh-science-blog%2Ffiles%2F2011%2F12%2Fresp-filtration.gif&amp;hash=bcfe2ca397a86e4dfbdb25ce66972de0</v>
      </c>
      <c r="AJ1060" t="s">
        <v>10</v>
      </c>
      <c r="AK1060" t="s">
        <v>21</v>
      </c>
      <c r="AZ1060" t="s">
        <v>3251</v>
      </c>
    </row>
    <row r="1061" spans="1:52" x14ac:dyDescent="0.25">
      <c r="A1061" t="s">
        <v>1225</v>
      </c>
      <c r="B1061" t="s">
        <v>42</v>
      </c>
      <c r="C1061" t="s">
        <v>984</v>
      </c>
      <c r="D1061" t="s">
        <v>10</v>
      </c>
      <c r="E1061" t="s">
        <v>1256</v>
      </c>
      <c r="F1061" t="s">
        <v>12</v>
      </c>
      <c r="G1061" t="str">
        <f>HYPERLINK("https://www.facebook.com/568390943273818/posts/3036431683136386")</f>
        <v>https://www.facebook.com/568390943273818/posts/3036431683136386</v>
      </c>
      <c r="H1061" t="s">
        <v>885</v>
      </c>
      <c r="I1061" t="s">
        <v>280</v>
      </c>
      <c r="J1061" t="str">
        <f>HYPERLINK("https://www.facebook.com/568390943273818")</f>
        <v>https://www.facebook.com/568390943273818</v>
      </c>
      <c r="K1061">
        <v>18918</v>
      </c>
      <c r="L1061" t="s">
        <v>28</v>
      </c>
      <c r="N1061" t="s">
        <v>179</v>
      </c>
      <c r="O1061" t="s">
        <v>280</v>
      </c>
      <c r="P1061" t="str">
        <f>HYPERLINK("https://www.facebook.com/568390943273818")</f>
        <v>https://www.facebook.com/568390943273818</v>
      </c>
      <c r="Q1061">
        <v>18918</v>
      </c>
      <c r="R1061" t="s">
        <v>17</v>
      </c>
      <c r="S1061" t="s">
        <v>281</v>
      </c>
      <c r="T1061" t="s">
        <v>282</v>
      </c>
      <c r="U1061" t="s">
        <v>282</v>
      </c>
      <c r="AI1061" t="str">
        <f>HYPERLINK("https://scontent-mrs2-1.xx.fbcdn.net/v/t1.0-0/p480x480/116344149_3036422996470588_1598665540552387792_o.jpg?_nc_cat=109&amp;_nc_sid=8024bb&amp;_nc_ohc=X-zG54Ni3PMAX-TYQkO&amp;_nc_ht=scontent-mrs2-1.xx&amp;_nc_tp=6&amp;oh=3816ea9dded3c1bd4e60135b40be8196&amp;oe=5F4ECD65")</f>
        <v>https://scontent-mrs2-1.xx.fbcdn.net/v/t1.0-0/p480x480/116344149_3036422996470588_1598665540552387792_o.jpg?_nc_cat=109&amp;_nc_sid=8024bb&amp;_nc_ohc=X-zG54Ni3PMAX-TYQkO&amp;_nc_ht=scontent-mrs2-1.xx&amp;_nc_tp=6&amp;oh=3816ea9dded3c1bd4e60135b40be8196&amp;oe=5F4ECD65</v>
      </c>
      <c r="AJ1061" t="s">
        <v>10</v>
      </c>
      <c r="AK1061" t="s">
        <v>21</v>
      </c>
      <c r="AM1061" t="s">
        <v>3238</v>
      </c>
      <c r="AZ1061" t="s">
        <v>3251</v>
      </c>
    </row>
    <row r="1062" spans="1:52" x14ac:dyDescent="0.25">
      <c r="A1062" t="s">
        <v>1518</v>
      </c>
      <c r="B1062" t="s">
        <v>1192</v>
      </c>
      <c r="C1062" t="s">
        <v>984</v>
      </c>
      <c r="D1062" t="s">
        <v>10</v>
      </c>
      <c r="E1062" t="s">
        <v>1566</v>
      </c>
      <c r="F1062" t="s">
        <v>45</v>
      </c>
      <c r="G1062" t="str">
        <f>HYPERLINK("https://www.facebook.com/magnoliamediclinic/photos/a.195118680999243/925872974590473/?type=3")</f>
        <v>https://www.facebook.com/magnoliamediclinic/photos/a.195118680999243/925872974590473/?type=3</v>
      </c>
      <c r="H1062" t="s">
        <v>885</v>
      </c>
      <c r="I1062" t="s">
        <v>1567</v>
      </c>
      <c r="J1062" t="str">
        <f>HYPERLINK("https://www.facebook.com/189716131539498")</f>
        <v>https://www.facebook.com/189716131539498</v>
      </c>
      <c r="K1062">
        <v>2437</v>
      </c>
      <c r="L1062" t="s">
        <v>28</v>
      </c>
      <c r="N1062" t="s">
        <v>179</v>
      </c>
      <c r="O1062" t="s">
        <v>1567</v>
      </c>
      <c r="P1062" t="str">
        <f>HYPERLINK("https://www.facebook.com/189716131539498")</f>
        <v>https://www.facebook.com/189716131539498</v>
      </c>
      <c r="Q1062">
        <v>2437</v>
      </c>
      <c r="R1062" t="s">
        <v>17</v>
      </c>
      <c r="S1062" t="s">
        <v>1349</v>
      </c>
      <c r="T1062" t="s">
        <v>1568</v>
      </c>
      <c r="U1062" t="s">
        <v>1569</v>
      </c>
      <c r="W1062">
        <v>28</v>
      </c>
      <c r="X1062">
        <v>22</v>
      </c>
      <c r="Y1062">
        <v>6</v>
      </c>
      <c r="Z1062">
        <v>0</v>
      </c>
      <c r="AA1062">
        <v>0</v>
      </c>
      <c r="AB1062">
        <v>0</v>
      </c>
      <c r="AC1062">
        <v>0</v>
      </c>
      <c r="AE1062">
        <v>1</v>
      </c>
      <c r="AI1062" t="str">
        <f>HYPERLINK("https://scontent-hel2-1.xx.fbcdn.net/v/t1.0-0/p526x296/116049979_925872977923806_2291110813804480687_o.jpg?_nc_cat=105&amp;_nc_sid=9267fe&amp;_nc_ohc=naDBJg91r7YAX9UItnL&amp;_nc_ht=scontent-hel2-1.xx&amp;_nc_tp=6&amp;oh=fafc873d20712ad55e4890d72473d5d8&amp;oe=5F4CA4B1")</f>
        <v>https://scontent-hel2-1.xx.fbcdn.net/v/t1.0-0/p526x296/116049979_925872977923806_2291110813804480687_o.jpg?_nc_cat=105&amp;_nc_sid=9267fe&amp;_nc_ohc=naDBJg91r7YAX9UItnL&amp;_nc_ht=scontent-hel2-1.xx&amp;_nc_tp=6&amp;oh=fafc873d20712ad55e4890d72473d5d8&amp;oe=5F4CA4B1</v>
      </c>
      <c r="AJ1062" t="s">
        <v>10</v>
      </c>
      <c r="AK1062" t="s">
        <v>21</v>
      </c>
      <c r="AM1062" t="s">
        <v>3238</v>
      </c>
      <c r="AZ1062" t="s">
        <v>3251</v>
      </c>
    </row>
    <row r="1063" spans="1:52" x14ac:dyDescent="0.25">
      <c r="A1063" t="s">
        <v>2380</v>
      </c>
      <c r="B1063" t="s">
        <v>1189</v>
      </c>
      <c r="C1063" t="s">
        <v>968</v>
      </c>
      <c r="D1063" t="s">
        <v>10</v>
      </c>
      <c r="E1063" t="s">
        <v>2406</v>
      </c>
      <c r="F1063" t="s">
        <v>45</v>
      </c>
      <c r="G1063" t="str">
        <f>HYPERLINK("https://vk.com/wall-158633337_934")</f>
        <v>https://vk.com/wall-158633337_934</v>
      </c>
      <c r="H1063" t="s">
        <v>885</v>
      </c>
      <c r="I1063" t="s">
        <v>125</v>
      </c>
      <c r="J1063" t="str">
        <f>HYPERLINK("http://vk.com/club158633337")</f>
        <v>http://vk.com/club158633337</v>
      </c>
      <c r="K1063">
        <v>4852</v>
      </c>
      <c r="L1063" t="s">
        <v>28</v>
      </c>
      <c r="N1063" t="s">
        <v>16</v>
      </c>
      <c r="O1063" t="s">
        <v>125</v>
      </c>
      <c r="P1063" t="str">
        <f>HYPERLINK("http://vk.com/club158633337")</f>
        <v>http://vk.com/club158633337</v>
      </c>
      <c r="Q1063">
        <v>4852</v>
      </c>
      <c r="R1063" t="s">
        <v>17</v>
      </c>
      <c r="S1063" t="s">
        <v>18</v>
      </c>
      <c r="T1063" t="s">
        <v>126</v>
      </c>
      <c r="U1063" t="s">
        <v>127</v>
      </c>
      <c r="W1063">
        <v>0</v>
      </c>
      <c r="X1063">
        <v>0</v>
      </c>
      <c r="AE1063">
        <v>0</v>
      </c>
      <c r="AF1063">
        <v>0</v>
      </c>
      <c r="AG1063">
        <v>121</v>
      </c>
      <c r="AI1063" t="str">
        <f>HYPERLINK("https://sun1-90.userapi.com/mK0BkirfzW098B79404GynSKRSMko82jGTFTDA/FpJ1wfGjykA.jpg")</f>
        <v>https://sun1-90.userapi.com/mK0BkirfzW098B79404GynSKRSMko82jGTFTDA/FpJ1wfGjykA.jpg</v>
      </c>
      <c r="AJ1063" t="s">
        <v>10</v>
      </c>
      <c r="AK1063" t="s">
        <v>21</v>
      </c>
      <c r="AL1063" t="s">
        <v>3237</v>
      </c>
      <c r="AZ1063" t="s">
        <v>3251</v>
      </c>
    </row>
    <row r="1064" spans="1:52" x14ac:dyDescent="0.25">
      <c r="A1064" t="s">
        <v>2589</v>
      </c>
      <c r="B1064" t="s">
        <v>2657</v>
      </c>
      <c r="C1064" t="s">
        <v>968</v>
      </c>
      <c r="D1064" t="s">
        <v>421</v>
      </c>
      <c r="E1064" t="s">
        <v>2658</v>
      </c>
      <c r="F1064" t="s">
        <v>26</v>
      </c>
      <c r="G1064" t="str">
        <f>HYPERLINK("https://www.youtube.com/watch?v=gaka1vqYFNs&amp;lc=Ugx-0AKgYMBECU1yD-h4AaABAg")</f>
        <v>https://www.youtube.com/watch?v=gaka1vqYFNs&amp;lc=Ugx-0AKgYMBECU1yD-h4AaABAg</v>
      </c>
      <c r="H1064" t="s">
        <v>885</v>
      </c>
      <c r="I1064" t="s">
        <v>2659</v>
      </c>
      <c r="J1064" t="str">
        <f>HYPERLINK("https://www.youtube.com/channel/UCOC8vDKJd6mA-y2qDb9WmZA")</f>
        <v>https://www.youtube.com/channel/UCOC8vDKJd6mA-y2qDb9WmZA</v>
      </c>
      <c r="K1064">
        <v>1</v>
      </c>
      <c r="N1064" t="s">
        <v>162</v>
      </c>
      <c r="O1064" t="s">
        <v>424</v>
      </c>
      <c r="P1064" t="str">
        <f>HYPERLINK("https://www.youtube.com/channel/UC8fQzKHIhSoZeSq3bwQx4mw")</f>
        <v>https://www.youtube.com/channel/UC8fQzKHIhSoZeSq3bwQx4mw</v>
      </c>
      <c r="Q1064">
        <v>517000</v>
      </c>
      <c r="R1064" t="s">
        <v>17</v>
      </c>
      <c r="S1064" t="s">
        <v>425</v>
      </c>
      <c r="AJ1064" t="s">
        <v>10</v>
      </c>
      <c r="AK1064" t="s">
        <v>21</v>
      </c>
      <c r="AL1064" t="s">
        <v>3237</v>
      </c>
      <c r="AZ1064" t="s">
        <v>3251</v>
      </c>
    </row>
    <row r="1065" spans="1:52" x14ac:dyDescent="0.25">
      <c r="A1065" t="s">
        <v>7</v>
      </c>
      <c r="B1065" t="s">
        <v>102</v>
      </c>
      <c r="C1065" t="s">
        <v>103</v>
      </c>
      <c r="D1065" t="s">
        <v>24</v>
      </c>
      <c r="E1065" t="s">
        <v>106</v>
      </c>
      <c r="F1065" t="s">
        <v>26</v>
      </c>
      <c r="G1065" t="str">
        <f>HYPERLINK("https://vk.com/wall-197114981_31?reply=1363&amp;thread=1362")</f>
        <v>https://vk.com/wall-197114981_31?reply=1363&amp;thread=1362</v>
      </c>
      <c r="H1065" t="s">
        <v>13</v>
      </c>
      <c r="I1065" t="s">
        <v>27</v>
      </c>
      <c r="J1065" t="str">
        <f>HYPERLINK("http://vk.com/club197114981")</f>
        <v>http://vk.com/club197114981</v>
      </c>
      <c r="K1065">
        <v>38</v>
      </c>
      <c r="L1065" t="s">
        <v>28</v>
      </c>
      <c r="N1065" t="s">
        <v>16</v>
      </c>
      <c r="O1065" t="s">
        <v>27</v>
      </c>
      <c r="P1065" t="str">
        <f>HYPERLINK("http://vk.com/club197114981")</f>
        <v>http://vk.com/club197114981</v>
      </c>
      <c r="Q1065">
        <v>38</v>
      </c>
      <c r="R1065" t="s">
        <v>17</v>
      </c>
      <c r="AJ1065" t="s">
        <v>10</v>
      </c>
      <c r="AK1065" t="s">
        <v>21</v>
      </c>
      <c r="AL1065" t="s">
        <v>3237</v>
      </c>
      <c r="AZ1065" t="s">
        <v>3251</v>
      </c>
    </row>
    <row r="1066" spans="1:52" x14ac:dyDescent="0.25">
      <c r="A1066" t="s">
        <v>7</v>
      </c>
      <c r="B1066" t="s">
        <v>367</v>
      </c>
      <c r="C1066" t="s">
        <v>368</v>
      </c>
      <c r="D1066" t="s">
        <v>24</v>
      </c>
      <c r="E1066" t="s">
        <v>369</v>
      </c>
      <c r="F1066" t="s">
        <v>26</v>
      </c>
      <c r="G1066" t="str">
        <f>HYPERLINK("https://vk.com/wall-197114981_31?reply=1312&amp;thread=1311")</f>
        <v>https://vk.com/wall-197114981_31?reply=1312&amp;thread=1311</v>
      </c>
      <c r="H1066" t="s">
        <v>13</v>
      </c>
      <c r="I1066" t="s">
        <v>27</v>
      </c>
      <c r="J1066" t="str">
        <f>HYPERLINK("http://vk.com/club197114981")</f>
        <v>http://vk.com/club197114981</v>
      </c>
      <c r="K1066">
        <v>38</v>
      </c>
      <c r="L1066" t="s">
        <v>28</v>
      </c>
      <c r="N1066" t="s">
        <v>16</v>
      </c>
      <c r="O1066" t="s">
        <v>27</v>
      </c>
      <c r="P1066" t="str">
        <f>HYPERLINK("http://vk.com/club197114981")</f>
        <v>http://vk.com/club197114981</v>
      </c>
      <c r="Q1066">
        <v>38</v>
      </c>
      <c r="R1066" t="s">
        <v>17</v>
      </c>
      <c r="AJ1066" t="s">
        <v>10</v>
      </c>
      <c r="AK1066" t="s">
        <v>21</v>
      </c>
      <c r="AL1066" t="s">
        <v>3237</v>
      </c>
      <c r="AZ1066" t="s">
        <v>3251</v>
      </c>
    </row>
    <row r="1067" spans="1:52" x14ac:dyDescent="0.25">
      <c r="A1067" t="s">
        <v>1017</v>
      </c>
      <c r="B1067" t="s">
        <v>654</v>
      </c>
      <c r="C1067" t="s">
        <v>984</v>
      </c>
      <c r="D1067" t="s">
        <v>10</v>
      </c>
      <c r="E1067" t="s">
        <v>1112</v>
      </c>
      <c r="F1067" t="s">
        <v>45</v>
      </c>
      <c r="G1067" t="str">
        <f>HYPERLINK("https://vk.com/wall-138106877_10040")</f>
        <v>https://vk.com/wall-138106877_10040</v>
      </c>
      <c r="H1067" t="s">
        <v>885</v>
      </c>
      <c r="I1067" t="s">
        <v>1085</v>
      </c>
      <c r="J1067" t="str">
        <f>HYPERLINK("http://vk.com/id162385864")</f>
        <v>http://vk.com/id162385864</v>
      </c>
      <c r="K1067">
        <v>359</v>
      </c>
      <c r="L1067" t="s">
        <v>80</v>
      </c>
      <c r="N1067" t="s">
        <v>16</v>
      </c>
      <c r="O1067" t="s">
        <v>1113</v>
      </c>
      <c r="P1067" t="str">
        <f>HYPERLINK("http://vk.com/club138106877")</f>
        <v>http://vk.com/club138106877</v>
      </c>
      <c r="Q1067">
        <v>1849</v>
      </c>
      <c r="R1067" t="s">
        <v>17</v>
      </c>
      <c r="S1067" t="s">
        <v>18</v>
      </c>
      <c r="W1067">
        <v>0</v>
      </c>
      <c r="X1067">
        <v>0</v>
      </c>
      <c r="AE1067">
        <v>0</v>
      </c>
      <c r="AF1067">
        <v>0</v>
      </c>
      <c r="AI1067" t="str">
        <f>HYPERLINK("https://sun9-25.userapi.com/c857536/v857536814/23599c/L6SU3b4sOik.jpg")</f>
        <v>https://sun9-25.userapi.com/c857536/v857536814/23599c/L6SU3b4sOik.jpg</v>
      </c>
      <c r="AJ1067" t="s">
        <v>10</v>
      </c>
      <c r="AK1067" t="s">
        <v>21</v>
      </c>
      <c r="AZ1067" t="s">
        <v>3251</v>
      </c>
    </row>
    <row r="1068" spans="1:52" x14ac:dyDescent="0.25">
      <c r="A1068" t="s">
        <v>1158</v>
      </c>
      <c r="B1068" t="s">
        <v>1216</v>
      </c>
      <c r="C1068" t="s">
        <v>984</v>
      </c>
      <c r="D1068" t="s">
        <v>10</v>
      </c>
      <c r="E1068" t="s">
        <v>1217</v>
      </c>
      <c r="F1068" t="s">
        <v>45</v>
      </c>
      <c r="G1068" t="str">
        <f>HYPERLINK("https://vk.com/wall-189715412_548")</f>
        <v>https://vk.com/wall-189715412_548</v>
      </c>
      <c r="H1068" t="s">
        <v>885</v>
      </c>
      <c r="I1068" t="s">
        <v>188</v>
      </c>
      <c r="J1068" t="str">
        <f>HYPERLINK("http://vk.com/club189715412")</f>
        <v>http://vk.com/club189715412</v>
      </c>
      <c r="K1068">
        <v>527</v>
      </c>
      <c r="L1068" t="s">
        <v>28</v>
      </c>
      <c r="N1068" t="s">
        <v>16</v>
      </c>
      <c r="O1068" t="s">
        <v>188</v>
      </c>
      <c r="P1068" t="str">
        <f>HYPERLINK("http://vk.com/club189715412")</f>
        <v>http://vk.com/club189715412</v>
      </c>
      <c r="Q1068">
        <v>527</v>
      </c>
      <c r="R1068" t="s">
        <v>17</v>
      </c>
      <c r="W1068">
        <v>6</v>
      </c>
      <c r="X1068">
        <v>6</v>
      </c>
      <c r="AE1068">
        <v>0</v>
      </c>
      <c r="AF1068">
        <v>1</v>
      </c>
      <c r="AG1068">
        <v>292</v>
      </c>
      <c r="AI1068" t="str">
        <f>HYPERLINK("https://sun9-59.userapi.com/uX5b8AJVTQEdt-ZjcRLYbWKwiBEJF8QOTzaOqQ/TeKaxOYNfxE.jpg")</f>
        <v>https://sun9-59.userapi.com/uX5b8AJVTQEdt-ZjcRLYbWKwiBEJF8QOTzaOqQ/TeKaxOYNfxE.jpg</v>
      </c>
      <c r="AJ1068" t="s">
        <v>10</v>
      </c>
      <c r="AK1068" t="s">
        <v>21</v>
      </c>
      <c r="AZ1068" t="s">
        <v>3251</v>
      </c>
    </row>
    <row r="1069" spans="1:52" x14ac:dyDescent="0.25">
      <c r="A1069" t="s">
        <v>1982</v>
      </c>
      <c r="B1069" t="s">
        <v>2006</v>
      </c>
      <c r="C1069" t="s">
        <v>968</v>
      </c>
      <c r="D1069" t="s">
        <v>2007</v>
      </c>
      <c r="E1069" t="s">
        <v>2008</v>
      </c>
      <c r="F1069" t="s">
        <v>26</v>
      </c>
      <c r="G1069" t="str">
        <f>HYPERLINK("https://vk.com/wall-60510194_2879576?reply=2879694")</f>
        <v>https://vk.com/wall-60510194_2879576?reply=2879694</v>
      </c>
      <c r="H1069" t="s">
        <v>1057</v>
      </c>
      <c r="I1069" t="s">
        <v>2009</v>
      </c>
      <c r="J1069" t="str">
        <f>HYPERLINK("http://vk.com/id19778697")</f>
        <v>http://vk.com/id19778697</v>
      </c>
      <c r="K1069">
        <v>285</v>
      </c>
      <c r="L1069" t="s">
        <v>80</v>
      </c>
      <c r="N1069" t="s">
        <v>16</v>
      </c>
      <c r="O1069" t="s">
        <v>2010</v>
      </c>
      <c r="P1069" t="str">
        <f>HYPERLINK("http://vk.com/club60510194")</f>
        <v>http://vk.com/club60510194</v>
      </c>
      <c r="Q1069">
        <v>88096</v>
      </c>
      <c r="R1069" t="s">
        <v>17</v>
      </c>
      <c r="S1069" t="s">
        <v>18</v>
      </c>
      <c r="T1069" t="s">
        <v>272</v>
      </c>
      <c r="U1069" t="s">
        <v>273</v>
      </c>
      <c r="AJ1069" t="s">
        <v>10</v>
      </c>
      <c r="AK1069" t="s">
        <v>21</v>
      </c>
      <c r="AM1069" t="s">
        <v>3238</v>
      </c>
      <c r="AZ1069" t="s">
        <v>3251</v>
      </c>
    </row>
    <row r="1070" spans="1:52" x14ac:dyDescent="0.25">
      <c r="A1070" t="s">
        <v>2122</v>
      </c>
      <c r="B1070" t="s">
        <v>2123</v>
      </c>
      <c r="C1070" t="s">
        <v>968</v>
      </c>
      <c r="D1070" t="s">
        <v>10</v>
      </c>
      <c r="E1070" t="s">
        <v>2124</v>
      </c>
      <c r="F1070" t="s">
        <v>26</v>
      </c>
      <c r="G1070" t="str">
        <f>HYPERLINK("https://twitter.com/1254864786342510594/status/1286376967835656192")</f>
        <v>https://twitter.com/1254864786342510594/status/1286376967835656192</v>
      </c>
      <c r="H1070" t="s">
        <v>885</v>
      </c>
      <c r="I1070" t="s">
        <v>2125</v>
      </c>
      <c r="J1070" t="str">
        <f>HYPERLINK("http://twitter.com/Rick__Roller")</f>
        <v>http://twitter.com/Rick__Roller</v>
      </c>
      <c r="K1070">
        <v>148</v>
      </c>
      <c r="L1070" t="s">
        <v>15</v>
      </c>
      <c r="N1070" t="s">
        <v>54</v>
      </c>
      <c r="R1070" t="s">
        <v>17</v>
      </c>
      <c r="S1070" t="s">
        <v>671</v>
      </c>
      <c r="T1070" t="s">
        <v>2126</v>
      </c>
      <c r="U1070" t="s">
        <v>2127</v>
      </c>
      <c r="W1070">
        <v>0</v>
      </c>
      <c r="X1070">
        <v>0</v>
      </c>
      <c r="AE1070">
        <v>1</v>
      </c>
      <c r="AF1070">
        <v>0</v>
      </c>
      <c r="AJ1070" t="s">
        <v>10</v>
      </c>
      <c r="AK1070" t="s">
        <v>21</v>
      </c>
      <c r="AM1070" t="s">
        <v>3238</v>
      </c>
      <c r="AZ1070" t="s">
        <v>3251</v>
      </c>
    </row>
    <row r="1071" spans="1:52" x14ac:dyDescent="0.25">
      <c r="A1071" t="s">
        <v>2472</v>
      </c>
      <c r="B1071" t="s">
        <v>2501</v>
      </c>
      <c r="C1071" t="s">
        <v>968</v>
      </c>
      <c r="D1071" t="s">
        <v>421</v>
      </c>
      <c r="E1071" t="s">
        <v>2502</v>
      </c>
      <c r="F1071" t="s">
        <v>26</v>
      </c>
      <c r="G1071" t="str">
        <f>HYPERLINK("https://www.youtube.com/watch?v=gaka1vqYFNs&amp;lc=UgyWm3aC72rMa-WnlNN4AaABAg")</f>
        <v>https://www.youtube.com/watch?v=gaka1vqYFNs&amp;lc=UgyWm3aC72rMa-WnlNN4AaABAg</v>
      </c>
      <c r="H1071" t="s">
        <v>885</v>
      </c>
      <c r="I1071" t="s">
        <v>2503</v>
      </c>
      <c r="J1071" t="str">
        <f>HYPERLINK("https://www.youtube.com/channel/UCuFrKak0vQEEnLSUsP3VMMA")</f>
        <v>https://www.youtube.com/channel/UCuFrKak0vQEEnLSUsP3VMMA</v>
      </c>
      <c r="K1071">
        <v>0</v>
      </c>
      <c r="L1071" t="s">
        <v>15</v>
      </c>
      <c r="N1071" t="s">
        <v>162</v>
      </c>
      <c r="O1071" t="s">
        <v>424</v>
      </c>
      <c r="P1071" t="str">
        <f>HYPERLINK("https://www.youtube.com/channel/UC8fQzKHIhSoZeSq3bwQx4mw")</f>
        <v>https://www.youtube.com/channel/UC8fQzKHIhSoZeSq3bwQx4mw</v>
      </c>
      <c r="Q1071">
        <v>517000</v>
      </c>
      <c r="R1071" t="s">
        <v>17</v>
      </c>
      <c r="S1071" t="s">
        <v>425</v>
      </c>
      <c r="AJ1071" t="s">
        <v>10</v>
      </c>
      <c r="AK1071" t="s">
        <v>21</v>
      </c>
      <c r="AM1071" t="s">
        <v>3238</v>
      </c>
      <c r="AZ1071" t="s">
        <v>3251</v>
      </c>
    </row>
    <row r="1072" spans="1:52" x14ac:dyDescent="0.25">
      <c r="A1072" t="s">
        <v>2589</v>
      </c>
      <c r="B1072" t="s">
        <v>748</v>
      </c>
      <c r="C1072" t="s">
        <v>968</v>
      </c>
      <c r="D1072" t="s">
        <v>10</v>
      </c>
      <c r="E1072" t="s">
        <v>2671</v>
      </c>
      <c r="F1072" t="s">
        <v>26</v>
      </c>
      <c r="G1072" t="str">
        <f>HYPERLINK("https://twitter.com/969024646837407744/status/1283196473484738563")</f>
        <v>https://twitter.com/969024646837407744/status/1283196473484738563</v>
      </c>
      <c r="H1072" t="s">
        <v>885</v>
      </c>
      <c r="I1072" t="s">
        <v>2665</v>
      </c>
      <c r="J1072" t="str">
        <f>HYPERLINK("http://twitter.com/realpritch9")</f>
        <v>http://twitter.com/realpritch9</v>
      </c>
      <c r="K1072">
        <v>53</v>
      </c>
      <c r="N1072" t="s">
        <v>54</v>
      </c>
      <c r="R1072" t="s">
        <v>17</v>
      </c>
      <c r="S1072" t="s">
        <v>425</v>
      </c>
      <c r="AI1072" t="str">
        <f>HYPERLINK("https://pbs.twimg.com/ext_tw_video_thumb/1283186784189456384/pu/img/S0qKtZy0dgriWM-3.jpg")</f>
        <v>https://pbs.twimg.com/ext_tw_video_thumb/1283186784189456384/pu/img/S0qKtZy0dgriWM-3.jpg</v>
      </c>
      <c r="AJ1072" t="s">
        <v>10</v>
      </c>
      <c r="AK1072" t="s">
        <v>21</v>
      </c>
      <c r="AM1072" t="s">
        <v>3238</v>
      </c>
      <c r="AZ1072" t="s">
        <v>3251</v>
      </c>
    </row>
    <row r="1073" spans="1:52" x14ac:dyDescent="0.25">
      <c r="A1073" t="s">
        <v>7</v>
      </c>
      <c r="B1073" t="s">
        <v>204</v>
      </c>
      <c r="C1073" t="s">
        <v>205</v>
      </c>
      <c r="D1073" t="s">
        <v>10</v>
      </c>
      <c r="E1073" t="s">
        <v>206</v>
      </c>
      <c r="F1073" t="s">
        <v>45</v>
      </c>
      <c r="G1073" t="str">
        <f>HYPERLINK("https://vk.com/wall-196360373_1649")</f>
        <v>https://vk.com/wall-196360373_1649</v>
      </c>
      <c r="H1073" t="s">
        <v>13</v>
      </c>
      <c r="I1073" t="s">
        <v>207</v>
      </c>
      <c r="J1073" t="str">
        <f>HYPERLINK("http://vk.com/club196360373")</f>
        <v>http://vk.com/club196360373</v>
      </c>
      <c r="K1073">
        <v>37</v>
      </c>
      <c r="L1073" t="s">
        <v>28</v>
      </c>
      <c r="N1073" t="s">
        <v>16</v>
      </c>
      <c r="O1073" t="s">
        <v>207</v>
      </c>
      <c r="P1073" t="str">
        <f>HYPERLINK("http://vk.com/club196360373")</f>
        <v>http://vk.com/club196360373</v>
      </c>
      <c r="Q1073">
        <v>37</v>
      </c>
      <c r="R1073" t="s">
        <v>17</v>
      </c>
      <c r="AI1073" t="str">
        <f>HYPERLINK("https://sun9-64.userapi.com/c858028/v858028005/230cce/AKthk69bnvw.jpg")</f>
        <v>https://sun9-64.userapi.com/c858028/v858028005/230cce/AKthk69bnvw.jpg</v>
      </c>
      <c r="AJ1073" t="s">
        <v>10</v>
      </c>
      <c r="AK1073" t="s">
        <v>21</v>
      </c>
      <c r="AM1073" t="s">
        <v>3238</v>
      </c>
      <c r="AZ1073" t="s">
        <v>3251</v>
      </c>
    </row>
    <row r="1074" spans="1:52" x14ac:dyDescent="0.25">
      <c r="A1074" t="s">
        <v>1017</v>
      </c>
      <c r="B1074" t="s">
        <v>1098</v>
      </c>
      <c r="C1074" t="s">
        <v>984</v>
      </c>
      <c r="D1074" t="s">
        <v>10</v>
      </c>
      <c r="E1074" t="s">
        <v>1095</v>
      </c>
      <c r="F1074" t="s">
        <v>45</v>
      </c>
      <c r="G1074" t="str">
        <f>HYPERLINK("https://vk.com/wall-4741569_1789")</f>
        <v>https://vk.com/wall-4741569_1789</v>
      </c>
      <c r="H1074" t="s">
        <v>885</v>
      </c>
      <c r="I1074" t="s">
        <v>1085</v>
      </c>
      <c r="J1074" t="str">
        <f>HYPERLINK("http://vk.com/id162385864")</f>
        <v>http://vk.com/id162385864</v>
      </c>
      <c r="K1074">
        <v>359</v>
      </c>
      <c r="L1074" t="s">
        <v>80</v>
      </c>
      <c r="N1074" t="s">
        <v>16</v>
      </c>
      <c r="O1074" t="s">
        <v>1099</v>
      </c>
      <c r="P1074" t="str">
        <f>HYPERLINK("http://vk.com/club4741569")</f>
        <v>http://vk.com/club4741569</v>
      </c>
      <c r="Q1074">
        <v>868</v>
      </c>
      <c r="R1074" t="s">
        <v>17</v>
      </c>
      <c r="S1074" t="s">
        <v>18</v>
      </c>
      <c r="W1074">
        <v>0</v>
      </c>
      <c r="X1074">
        <v>0</v>
      </c>
      <c r="AE1074">
        <v>0</v>
      </c>
      <c r="AF1074">
        <v>0</v>
      </c>
      <c r="AI1074" t="str">
        <f>HYPERLINK("https://sun9-35.userapi.com/c855632/v855632814/2565ba/NUk0eQo1arU.jpg")</f>
        <v>https://sun9-35.userapi.com/c855632/v855632814/2565ba/NUk0eQo1arU.jpg</v>
      </c>
      <c r="AJ1074" t="s">
        <v>10</v>
      </c>
      <c r="AK1074" t="s">
        <v>21</v>
      </c>
      <c r="AM1074" t="s">
        <v>3238</v>
      </c>
      <c r="AZ1074" t="s">
        <v>3251</v>
      </c>
    </row>
    <row r="1075" spans="1:52" x14ac:dyDescent="0.25">
      <c r="A1075" t="s">
        <v>3021</v>
      </c>
      <c r="B1075" t="s">
        <v>3037</v>
      </c>
      <c r="C1075" t="s">
        <v>968</v>
      </c>
      <c r="D1075" t="s">
        <v>10</v>
      </c>
      <c r="E1075" t="s">
        <v>3038</v>
      </c>
      <c r="F1075" t="s">
        <v>12</v>
      </c>
      <c r="G1075" t="str">
        <f>HYPERLINK("https://vk.com/wall367451629_394")</f>
        <v>https://vk.com/wall367451629_394</v>
      </c>
      <c r="H1075" t="s">
        <v>885</v>
      </c>
      <c r="I1075" t="s">
        <v>1173</v>
      </c>
      <c r="J1075" t="str">
        <f>HYPERLINK("http://vk.com/id367451629")</f>
        <v>http://vk.com/id367451629</v>
      </c>
      <c r="K1075">
        <v>402</v>
      </c>
      <c r="L1075" t="s">
        <v>15</v>
      </c>
      <c r="N1075" t="s">
        <v>16</v>
      </c>
      <c r="O1075" t="s">
        <v>1173</v>
      </c>
      <c r="P1075" t="str">
        <f>HYPERLINK("http://vk.com/id367451629")</f>
        <v>http://vk.com/id367451629</v>
      </c>
      <c r="Q1075">
        <v>402</v>
      </c>
      <c r="R1075" t="s">
        <v>17</v>
      </c>
      <c r="S1075" t="s">
        <v>18</v>
      </c>
      <c r="T1075" t="s">
        <v>70</v>
      </c>
      <c r="U1075" t="s">
        <v>71</v>
      </c>
      <c r="W1075">
        <v>0</v>
      </c>
      <c r="X1075">
        <v>0</v>
      </c>
      <c r="AE1075">
        <v>0</v>
      </c>
      <c r="AF1075">
        <v>0</v>
      </c>
      <c r="AG1075">
        <v>11</v>
      </c>
      <c r="AI1075" t="str">
        <f>HYPERLINK("https://sun1-91.userapi.com/Kul0wWR-qkeR4MCYYhSWixOjfIVscpQc5UiPqA/mq4JJfZJ0hU.jpg")</f>
        <v>https://sun1-91.userapi.com/Kul0wWR-qkeR4MCYYhSWixOjfIVscpQc5UiPqA/mq4JJfZJ0hU.jpg</v>
      </c>
      <c r="AJ1075" t="s">
        <v>10</v>
      </c>
      <c r="AK1075" t="s">
        <v>21</v>
      </c>
      <c r="AM1075" t="s">
        <v>3238</v>
      </c>
      <c r="AZ1075" t="s">
        <v>3251</v>
      </c>
    </row>
    <row r="1076" spans="1:52" x14ac:dyDescent="0.25">
      <c r="A1076" t="s">
        <v>414</v>
      </c>
      <c r="B1076" t="s">
        <v>624</v>
      </c>
      <c r="C1076" t="s">
        <v>625</v>
      </c>
      <c r="D1076" t="s">
        <v>24</v>
      </c>
      <c r="E1076" t="s">
        <v>627</v>
      </c>
      <c r="F1076" t="s">
        <v>26</v>
      </c>
      <c r="G1076" t="str">
        <f>HYPERLINK("https://vk.com/wall-197114981_31?reply=1206")</f>
        <v>https://vk.com/wall-197114981_31?reply=1206</v>
      </c>
      <c r="H1076" t="s">
        <v>13</v>
      </c>
      <c r="I1076" t="s">
        <v>438</v>
      </c>
      <c r="J1076" t="str">
        <f>HYPERLINK("http://vk.com/id321391081")</f>
        <v>http://vk.com/id321391081</v>
      </c>
      <c r="K1076">
        <v>418</v>
      </c>
      <c r="L1076" t="s">
        <v>80</v>
      </c>
      <c r="N1076" t="s">
        <v>16</v>
      </c>
      <c r="O1076" t="s">
        <v>27</v>
      </c>
      <c r="P1076" t="str">
        <f>HYPERLINK("http://vk.com/club197114981")</f>
        <v>http://vk.com/club197114981</v>
      </c>
      <c r="Q1076">
        <v>38</v>
      </c>
      <c r="R1076" t="s">
        <v>17</v>
      </c>
      <c r="S1076" t="s">
        <v>18</v>
      </c>
      <c r="T1076" t="s">
        <v>231</v>
      </c>
      <c r="U1076" t="s">
        <v>232</v>
      </c>
      <c r="AJ1076" t="s">
        <v>10</v>
      </c>
      <c r="AK1076" t="s">
        <v>21</v>
      </c>
      <c r="AM1076" t="s">
        <v>3238</v>
      </c>
      <c r="AZ1076" t="s">
        <v>3251</v>
      </c>
    </row>
    <row r="1077" spans="1:52" x14ac:dyDescent="0.25">
      <c r="A1077" t="s">
        <v>772</v>
      </c>
      <c r="B1077" t="s">
        <v>892</v>
      </c>
      <c r="C1077" t="s">
        <v>893</v>
      </c>
      <c r="D1077" t="s">
        <v>24</v>
      </c>
      <c r="E1077" t="s">
        <v>894</v>
      </c>
      <c r="F1077" t="s">
        <v>26</v>
      </c>
      <c r="G1077" t="str">
        <f>HYPERLINK("https://vk.com/wall-197114981_31?reply=1124&amp;thread=1123")</f>
        <v>https://vk.com/wall-197114981_31?reply=1124&amp;thread=1123</v>
      </c>
      <c r="H1077" t="s">
        <v>885</v>
      </c>
      <c r="I1077" t="s">
        <v>27</v>
      </c>
      <c r="J1077" t="str">
        <f>HYPERLINK("http://vk.com/club197114981")</f>
        <v>http://vk.com/club197114981</v>
      </c>
      <c r="K1077">
        <v>38</v>
      </c>
      <c r="L1077" t="s">
        <v>28</v>
      </c>
      <c r="N1077" t="s">
        <v>16</v>
      </c>
      <c r="O1077" t="s">
        <v>27</v>
      </c>
      <c r="P1077" t="str">
        <f>HYPERLINK("http://vk.com/club197114981")</f>
        <v>http://vk.com/club197114981</v>
      </c>
      <c r="Q1077">
        <v>38</v>
      </c>
      <c r="R1077" t="s">
        <v>17</v>
      </c>
      <c r="AJ1077" t="s">
        <v>10</v>
      </c>
      <c r="AK1077" t="s">
        <v>21</v>
      </c>
      <c r="AL1077" t="s">
        <v>3237</v>
      </c>
      <c r="AM1077" t="s">
        <v>3238</v>
      </c>
      <c r="AZ1077" t="s">
        <v>3251</v>
      </c>
    </row>
    <row r="1078" spans="1:52" x14ac:dyDescent="0.25">
      <c r="A1078" t="s">
        <v>772</v>
      </c>
      <c r="B1078" t="s">
        <v>908</v>
      </c>
      <c r="C1078" t="s">
        <v>909</v>
      </c>
      <c r="D1078" t="s">
        <v>24</v>
      </c>
      <c r="E1078" t="s">
        <v>910</v>
      </c>
      <c r="F1078" t="s">
        <v>26</v>
      </c>
      <c r="G1078" t="str">
        <f>HYPERLINK("https://vk.com/wall-197114981_31?reply=1116&amp;thread=619")</f>
        <v>https://vk.com/wall-197114981_31?reply=1116&amp;thread=619</v>
      </c>
      <c r="H1078" t="s">
        <v>885</v>
      </c>
      <c r="I1078" t="s">
        <v>27</v>
      </c>
      <c r="J1078" t="str">
        <f>HYPERLINK("http://vk.com/club197114981")</f>
        <v>http://vk.com/club197114981</v>
      </c>
      <c r="K1078">
        <v>38</v>
      </c>
      <c r="L1078" t="s">
        <v>28</v>
      </c>
      <c r="N1078" t="s">
        <v>16</v>
      </c>
      <c r="O1078" t="s">
        <v>27</v>
      </c>
      <c r="P1078" t="str">
        <f>HYPERLINK("http://vk.com/club197114981")</f>
        <v>http://vk.com/club197114981</v>
      </c>
      <c r="Q1078">
        <v>38</v>
      </c>
      <c r="R1078" t="s">
        <v>17</v>
      </c>
      <c r="AJ1078" t="s">
        <v>10</v>
      </c>
      <c r="AK1078" t="s">
        <v>21</v>
      </c>
      <c r="AL1078" t="s">
        <v>3237</v>
      </c>
      <c r="AZ1078" t="s">
        <v>3251</v>
      </c>
    </row>
    <row r="1079" spans="1:52" x14ac:dyDescent="0.25">
      <c r="A1079" t="s">
        <v>2472</v>
      </c>
      <c r="B1079" t="s">
        <v>2425</v>
      </c>
      <c r="C1079" t="s">
        <v>968</v>
      </c>
      <c r="D1079" t="s">
        <v>10</v>
      </c>
      <c r="E1079" t="s">
        <v>2536</v>
      </c>
      <c r="F1079" t="s">
        <v>26</v>
      </c>
      <c r="G1079" t="str">
        <f>HYPERLINK("https://twitter.com/4889398562/status/1283930513405812736")</f>
        <v>https://twitter.com/4889398562/status/1283930513405812736</v>
      </c>
      <c r="H1079" t="s">
        <v>885</v>
      </c>
      <c r="I1079" t="s">
        <v>2537</v>
      </c>
      <c r="J1079" t="str">
        <f>HYPERLINK("http://twitter.com/panera_bradbowl")</f>
        <v>http://twitter.com/panera_bradbowl</v>
      </c>
      <c r="K1079">
        <v>311</v>
      </c>
      <c r="N1079" t="s">
        <v>54</v>
      </c>
      <c r="R1079" t="s">
        <v>17</v>
      </c>
      <c r="W1079">
        <v>0</v>
      </c>
      <c r="X1079">
        <v>0</v>
      </c>
      <c r="AF1079">
        <v>0</v>
      </c>
      <c r="AJ1079" t="s">
        <v>10</v>
      </c>
      <c r="AK1079" t="s">
        <v>21</v>
      </c>
      <c r="AL1079" t="s">
        <v>3237</v>
      </c>
      <c r="AZ1079" t="s">
        <v>3251</v>
      </c>
    </row>
    <row r="1080" spans="1:52" x14ac:dyDescent="0.25">
      <c r="A1080" t="s">
        <v>1017</v>
      </c>
      <c r="B1080" t="s">
        <v>1117</v>
      </c>
      <c r="C1080" t="s">
        <v>984</v>
      </c>
      <c r="D1080" t="s">
        <v>10</v>
      </c>
      <c r="E1080" t="s">
        <v>1118</v>
      </c>
      <c r="F1080" t="s">
        <v>45</v>
      </c>
      <c r="G1080" t="str">
        <f>HYPERLINK("https://vk.com/wall-189715412_565")</f>
        <v>https://vk.com/wall-189715412_565</v>
      </c>
      <c r="H1080" t="s">
        <v>885</v>
      </c>
      <c r="I1080" t="s">
        <v>188</v>
      </c>
      <c r="J1080" t="str">
        <f>HYPERLINK("http://vk.com/club189715412")</f>
        <v>http://vk.com/club189715412</v>
      </c>
      <c r="K1080">
        <v>527</v>
      </c>
      <c r="L1080" t="s">
        <v>28</v>
      </c>
      <c r="N1080" t="s">
        <v>16</v>
      </c>
      <c r="O1080" t="s">
        <v>188</v>
      </c>
      <c r="P1080" t="str">
        <f>HYPERLINK("http://vk.com/club189715412")</f>
        <v>http://vk.com/club189715412</v>
      </c>
      <c r="Q1080">
        <v>527</v>
      </c>
      <c r="R1080" t="s">
        <v>17</v>
      </c>
      <c r="W1080">
        <v>3</v>
      </c>
      <c r="X1080">
        <v>3</v>
      </c>
      <c r="AE1080">
        <v>0</v>
      </c>
      <c r="AF1080">
        <v>0</v>
      </c>
      <c r="AG1080">
        <v>299</v>
      </c>
      <c r="AI1080" t="str">
        <f>HYPERLINK("https://sun9-41.userapi.com/Z44e-84fth91ByH5Zj-PDgSl_QPGoUxk2QQHQQ/bxnvnKcxzeI.jpg")</f>
        <v>https://sun9-41.userapi.com/Z44e-84fth91ByH5Zj-PDgSl_QPGoUxk2QQHQQ/bxnvnKcxzeI.jpg</v>
      </c>
      <c r="AJ1080" t="s">
        <v>10</v>
      </c>
      <c r="AK1080" t="s">
        <v>21</v>
      </c>
      <c r="AL1080" t="s">
        <v>3237</v>
      </c>
      <c r="AZ1080" t="s">
        <v>3251</v>
      </c>
    </row>
    <row r="1081" spans="1:52" x14ac:dyDescent="0.25">
      <c r="A1081" t="s">
        <v>1158</v>
      </c>
      <c r="B1081" t="s">
        <v>1194</v>
      </c>
      <c r="C1081" t="s">
        <v>984</v>
      </c>
      <c r="D1081" t="s">
        <v>10</v>
      </c>
      <c r="E1081" t="s">
        <v>1195</v>
      </c>
      <c r="F1081" t="s">
        <v>45</v>
      </c>
      <c r="G1081" t="str">
        <f>HYPERLINK("https://vk.com/wall-197114981_28")</f>
        <v>https://vk.com/wall-197114981_28</v>
      </c>
      <c r="H1081" t="s">
        <v>885</v>
      </c>
      <c r="I1081" t="s">
        <v>27</v>
      </c>
      <c r="J1081" t="str">
        <f>HYPERLINK("http://vk.com/club197114981")</f>
        <v>http://vk.com/club197114981</v>
      </c>
      <c r="K1081">
        <v>38</v>
      </c>
      <c r="L1081" t="s">
        <v>28</v>
      </c>
      <c r="N1081" t="s">
        <v>16</v>
      </c>
      <c r="O1081" t="s">
        <v>27</v>
      </c>
      <c r="P1081" t="str">
        <f>HYPERLINK("http://vk.com/club197114981")</f>
        <v>http://vk.com/club197114981</v>
      </c>
      <c r="Q1081">
        <v>38</v>
      </c>
      <c r="R1081" t="s">
        <v>17</v>
      </c>
      <c r="W1081">
        <v>4</v>
      </c>
      <c r="X1081">
        <v>4</v>
      </c>
      <c r="AE1081">
        <v>0</v>
      </c>
      <c r="AF1081">
        <v>0</v>
      </c>
      <c r="AG1081">
        <v>82</v>
      </c>
      <c r="AI1081" t="str">
        <f>HYPERLINK("https://sun1-24.userapi.com/UyJCddyyPxPVEIQZSR83DSP402ZuLNgSNHhLag/WN4fW5uFsyQ.jpg")</f>
        <v>https://sun1-24.userapi.com/UyJCddyyPxPVEIQZSR83DSP402ZuLNgSNHhLag/WN4fW5uFsyQ.jpg</v>
      </c>
      <c r="AJ1081" t="s">
        <v>10</v>
      </c>
      <c r="AK1081" t="s">
        <v>21</v>
      </c>
      <c r="AL1081" t="s">
        <v>3237</v>
      </c>
      <c r="AZ1081" t="s">
        <v>3251</v>
      </c>
    </row>
    <row r="1082" spans="1:52" x14ac:dyDescent="0.25">
      <c r="A1082" t="s">
        <v>1158</v>
      </c>
      <c r="B1082" t="s">
        <v>1209</v>
      </c>
      <c r="C1082" t="s">
        <v>984</v>
      </c>
      <c r="D1082" t="s">
        <v>1210</v>
      </c>
      <c r="E1082" t="s">
        <v>1211</v>
      </c>
      <c r="F1082" t="s">
        <v>26</v>
      </c>
      <c r="G1082" t="str">
        <f>HYPERLINK("https://vk.com/wall-89829959_562367?reply=566166&amp;thread=562500")</f>
        <v>https://vk.com/wall-89829959_562367?reply=566166&amp;thread=562500</v>
      </c>
      <c r="H1082" t="s">
        <v>885</v>
      </c>
      <c r="I1082" t="s">
        <v>1212</v>
      </c>
      <c r="J1082" t="str">
        <f>HYPERLINK("http://vk.com/id30068759")</f>
        <v>http://vk.com/id30068759</v>
      </c>
      <c r="K1082">
        <v>2201</v>
      </c>
      <c r="L1082" t="s">
        <v>80</v>
      </c>
      <c r="N1082" t="s">
        <v>16</v>
      </c>
      <c r="O1082" t="s">
        <v>1213</v>
      </c>
      <c r="P1082" t="str">
        <f>HYPERLINK("http://vk.com/club89829959")</f>
        <v>http://vk.com/club89829959</v>
      </c>
      <c r="Q1082">
        <v>21091</v>
      </c>
      <c r="R1082" t="s">
        <v>17</v>
      </c>
      <c r="S1082" t="s">
        <v>18</v>
      </c>
      <c r="T1082" t="s">
        <v>1214</v>
      </c>
      <c r="U1082" t="s">
        <v>1215</v>
      </c>
      <c r="AJ1082" t="s">
        <v>10</v>
      </c>
      <c r="AK1082" t="s">
        <v>21</v>
      </c>
      <c r="AZ1082" t="s">
        <v>3251</v>
      </c>
    </row>
    <row r="1083" spans="1:52" x14ac:dyDescent="0.25">
      <c r="A1083" t="s">
        <v>1225</v>
      </c>
      <c r="B1083" t="s">
        <v>1267</v>
      </c>
      <c r="C1083" t="s">
        <v>984</v>
      </c>
      <c r="D1083" t="s">
        <v>10</v>
      </c>
      <c r="E1083" t="s">
        <v>1268</v>
      </c>
      <c r="F1083" t="s">
        <v>45</v>
      </c>
      <c r="G1083" t="str">
        <f>HYPERLINK("https://www.instagram.com/p/CDdamNxs0Lj")</f>
        <v>https://www.instagram.com/p/CDdamNxs0Lj</v>
      </c>
      <c r="H1083" t="s">
        <v>885</v>
      </c>
      <c r="I1083" t="s">
        <v>1269</v>
      </c>
      <c r="J1083" t="str">
        <f>HYPERLINK("http://instagram.com/naradaclinic")</f>
        <v>http://instagram.com/naradaclinic</v>
      </c>
      <c r="K1083">
        <v>633</v>
      </c>
      <c r="N1083" t="s">
        <v>69</v>
      </c>
      <c r="O1083" t="s">
        <v>1269</v>
      </c>
      <c r="P1083" t="str">
        <f>HYPERLINK("http://instagram.com/naradaclinic")</f>
        <v>http://instagram.com/naradaclinic</v>
      </c>
      <c r="Q1083">
        <v>633</v>
      </c>
      <c r="R1083" t="s">
        <v>17</v>
      </c>
      <c r="S1083" t="s">
        <v>281</v>
      </c>
      <c r="T1083" t="s">
        <v>282</v>
      </c>
      <c r="U1083" t="s">
        <v>282</v>
      </c>
      <c r="W1083">
        <v>3</v>
      </c>
      <c r="X1083">
        <v>3</v>
      </c>
      <c r="AE1083">
        <v>0</v>
      </c>
      <c r="AI1083" t="str">
        <f>HYPERLINK("https://www.instagram.com/p/CDdamNxs0Lj/media/?size=l")</f>
        <v>https://www.instagram.com/p/CDdamNxs0Lj/media/?size=l</v>
      </c>
      <c r="AJ1083" t="s">
        <v>10</v>
      </c>
      <c r="AK1083" t="s">
        <v>21</v>
      </c>
      <c r="AZ1083" t="s">
        <v>3251</v>
      </c>
    </row>
    <row r="1084" spans="1:52" x14ac:dyDescent="0.25">
      <c r="A1084" t="s">
        <v>1277</v>
      </c>
      <c r="B1084" t="s">
        <v>961</v>
      </c>
      <c r="C1084" t="s">
        <v>984</v>
      </c>
      <c r="D1084" t="s">
        <v>1288</v>
      </c>
      <c r="E1084" t="s">
        <v>1305</v>
      </c>
      <c r="F1084" t="s">
        <v>45</v>
      </c>
      <c r="G1084" t="str">
        <f>HYPERLINK("http://www.colorado4x4.org/vbb/showthread.php?221808-Pandemic!-2020-and-the-COVID-19-virus/page19")</f>
        <v>http://www.colorado4x4.org/vbb/showthread.php?221808-Pandemic!-2020-and-the-COVID-19-virus/page19</v>
      </c>
      <c r="H1084" t="s">
        <v>885</v>
      </c>
      <c r="I1084" t="s">
        <v>1306</v>
      </c>
      <c r="J1084" t="str">
        <f>HYPERLINK("http://www.colorado4x4.org/vbb/member.php?5806-creepycrawler")</f>
        <v>http://www.colorado4x4.org/vbb/member.php?5806-creepycrawler</v>
      </c>
      <c r="N1084" t="s">
        <v>1291</v>
      </c>
      <c r="O1084" t="s">
        <v>1292</v>
      </c>
      <c r="P1084" t="str">
        <f>HYPERLINK("http://www.colorado4x4.org/vbb/forumdisplay.php?15-General-Chit-Chat")</f>
        <v>http://www.colorado4x4.org/vbb/forumdisplay.php?15-General-Chit-Chat</v>
      </c>
      <c r="R1084" t="s">
        <v>1293</v>
      </c>
      <c r="S1084" t="s">
        <v>1307</v>
      </c>
      <c r="T1084" t="s">
        <v>1308</v>
      </c>
      <c r="U1084" t="s">
        <v>1309</v>
      </c>
      <c r="AJ1084" t="s">
        <v>10</v>
      </c>
      <c r="AK1084" t="s">
        <v>21</v>
      </c>
      <c r="AZ1084" t="s">
        <v>3251</v>
      </c>
    </row>
    <row r="1085" spans="1:52" x14ac:dyDescent="0.25">
      <c r="A1085" t="s">
        <v>1277</v>
      </c>
      <c r="B1085" t="s">
        <v>1310</v>
      </c>
      <c r="C1085" t="s">
        <v>984</v>
      </c>
      <c r="D1085" t="s">
        <v>1311</v>
      </c>
      <c r="E1085" t="s">
        <v>1312</v>
      </c>
      <c r="F1085" t="s">
        <v>26</v>
      </c>
      <c r="G1085" t="str">
        <f>HYPERLINK("https://vk.com/wall-59575459_1394514?reply=1394733&amp;thread=1394550")</f>
        <v>https://vk.com/wall-59575459_1394514?reply=1394733&amp;thread=1394550</v>
      </c>
      <c r="H1085" t="s">
        <v>889</v>
      </c>
      <c r="I1085" t="s">
        <v>1313</v>
      </c>
      <c r="J1085" t="str">
        <f>HYPERLINK("http://vk.com/id37925577")</f>
        <v>http://vk.com/id37925577</v>
      </c>
      <c r="K1085">
        <v>166</v>
      </c>
      <c r="L1085" t="s">
        <v>80</v>
      </c>
      <c r="M1085">
        <v>28</v>
      </c>
      <c r="N1085" t="s">
        <v>16</v>
      </c>
      <c r="O1085" t="s">
        <v>1314</v>
      </c>
      <c r="P1085" t="str">
        <f>HYPERLINK("http://vk.com/club59575459")</f>
        <v>http://vk.com/club59575459</v>
      </c>
      <c r="Q1085">
        <v>39440</v>
      </c>
      <c r="R1085" t="s">
        <v>17</v>
      </c>
      <c r="S1085" t="s">
        <v>18</v>
      </c>
      <c r="T1085" t="s">
        <v>1315</v>
      </c>
      <c r="U1085" t="s">
        <v>1316</v>
      </c>
      <c r="AJ1085" t="s">
        <v>10</v>
      </c>
      <c r="AK1085" t="s">
        <v>21</v>
      </c>
      <c r="AZ1085" t="s">
        <v>3251</v>
      </c>
    </row>
    <row r="1086" spans="1:52" x14ac:dyDescent="0.25">
      <c r="A1086" t="s">
        <v>1352</v>
      </c>
      <c r="B1086" t="s">
        <v>1355</v>
      </c>
      <c r="C1086" t="s">
        <v>984</v>
      </c>
      <c r="D1086" t="s">
        <v>10</v>
      </c>
      <c r="E1086" t="s">
        <v>1356</v>
      </c>
      <c r="F1086" t="s">
        <v>1020</v>
      </c>
      <c r="G1086" t="str">
        <f>HYPERLINK("https://vk.com/wall34725495_8327")</f>
        <v>https://vk.com/wall34725495_8327</v>
      </c>
      <c r="H1086" t="s">
        <v>885</v>
      </c>
      <c r="I1086" t="s">
        <v>1357</v>
      </c>
      <c r="J1086" t="str">
        <f>HYPERLINK("http://vk.com/id34725495")</f>
        <v>http://vk.com/id34725495</v>
      </c>
      <c r="K1086">
        <v>664</v>
      </c>
      <c r="L1086" t="s">
        <v>80</v>
      </c>
      <c r="M1086">
        <v>40</v>
      </c>
      <c r="N1086" t="s">
        <v>16</v>
      </c>
      <c r="O1086" t="s">
        <v>1357</v>
      </c>
      <c r="P1086" t="str">
        <f>HYPERLINK("http://vk.com/id34725495")</f>
        <v>http://vk.com/id34725495</v>
      </c>
      <c r="Q1086">
        <v>664</v>
      </c>
      <c r="R1086" t="s">
        <v>17</v>
      </c>
      <c r="S1086" t="s">
        <v>18</v>
      </c>
      <c r="T1086" t="s">
        <v>189</v>
      </c>
      <c r="U1086" t="s">
        <v>190</v>
      </c>
      <c r="W1086">
        <v>3</v>
      </c>
      <c r="X1086">
        <v>3</v>
      </c>
      <c r="AE1086">
        <v>0</v>
      </c>
      <c r="AF1086">
        <v>0</v>
      </c>
      <c r="AG1086">
        <v>47</v>
      </c>
      <c r="AI1086" t="str">
        <f>HYPERLINK("https://sun1-98.userapi.com/fSb3dXjub0FVdwn_nKCEsvxAzErlHcEn4cN_7w/tr8ZCAnSoJc.jpg")</f>
        <v>https://sun1-98.userapi.com/fSb3dXjub0FVdwn_nKCEsvxAzErlHcEn4cN_7w/tr8ZCAnSoJc.jpg</v>
      </c>
      <c r="AJ1086" t="s">
        <v>10</v>
      </c>
      <c r="AK1086" t="s">
        <v>21</v>
      </c>
      <c r="AZ1086" t="s">
        <v>3251</v>
      </c>
    </row>
    <row r="1087" spans="1:52" x14ac:dyDescent="0.25">
      <c r="A1087" t="s">
        <v>1352</v>
      </c>
      <c r="B1087" t="s">
        <v>1377</v>
      </c>
      <c r="C1087" t="s">
        <v>984</v>
      </c>
      <c r="D1087" t="s">
        <v>1378</v>
      </c>
      <c r="E1087" t="s">
        <v>1379</v>
      </c>
      <c r="F1087" t="s">
        <v>45</v>
      </c>
      <c r="G1087" t="str">
        <f>HYPERLINK("https://zen.yandex.ru/media/id/5e414dabcbb49f45fcf938c0/5f26c37a0fda6602a68d576c")</f>
        <v>https://zen.yandex.ru/media/id/5e414dabcbb49f45fcf938c0/5f26c37a0fda6602a68d576c</v>
      </c>
      <c r="H1087" t="s">
        <v>885</v>
      </c>
      <c r="I1087" t="s">
        <v>1152</v>
      </c>
      <c r="J1087" t="str">
        <f>HYPERLINK("https://zen.yandex.ru/id/5e414dabcbb49f45fcf938c0")</f>
        <v>https://zen.yandex.ru/id/5e414dabcbb49f45fcf938c0</v>
      </c>
      <c r="K1087">
        <v>12</v>
      </c>
      <c r="N1087" t="s">
        <v>1153</v>
      </c>
      <c r="R1087" t="s">
        <v>966</v>
      </c>
      <c r="S1087" t="s">
        <v>18</v>
      </c>
      <c r="AE1087">
        <v>0</v>
      </c>
      <c r="AG1087">
        <v>2</v>
      </c>
      <c r="AI1087" t="str">
        <f>HYPERLINK("https://avatars.mds.yandex.net/get-zen_doc/3769427/pub_5f26c37a0fda6602a68d576c_5f26c4815ddfee364a660caf/scale_1200")</f>
        <v>https://avatars.mds.yandex.net/get-zen_doc/3769427/pub_5f26c37a0fda6602a68d576c_5f26c4815ddfee364a660caf/scale_1200</v>
      </c>
      <c r="AJ1087" t="s">
        <v>10</v>
      </c>
      <c r="AK1087" t="s">
        <v>21</v>
      </c>
      <c r="AM1087" t="s">
        <v>3238</v>
      </c>
      <c r="AZ1087" t="s">
        <v>3251</v>
      </c>
    </row>
    <row r="1088" spans="1:52" x14ac:dyDescent="0.25">
      <c r="A1088" t="s">
        <v>1352</v>
      </c>
      <c r="B1088" t="s">
        <v>1383</v>
      </c>
      <c r="C1088" t="s">
        <v>984</v>
      </c>
      <c r="D1088" t="s">
        <v>10</v>
      </c>
      <c r="E1088" t="s">
        <v>1384</v>
      </c>
      <c r="F1088" t="s">
        <v>45</v>
      </c>
      <c r="G1088" t="str">
        <f>HYPERLINK("https://vk.com/wall1429534_3678")</f>
        <v>https://vk.com/wall1429534_3678</v>
      </c>
      <c r="H1088" t="s">
        <v>889</v>
      </c>
      <c r="I1088" t="s">
        <v>1385</v>
      </c>
      <c r="J1088" t="str">
        <f>HYPERLINK("http://vk.com/id1429534")</f>
        <v>http://vk.com/id1429534</v>
      </c>
      <c r="K1088">
        <v>2164</v>
      </c>
      <c r="L1088" t="s">
        <v>15</v>
      </c>
      <c r="N1088" t="s">
        <v>16</v>
      </c>
      <c r="O1088" t="s">
        <v>1385</v>
      </c>
      <c r="P1088" t="str">
        <f>HYPERLINK("http://vk.com/id1429534")</f>
        <v>http://vk.com/id1429534</v>
      </c>
      <c r="Q1088">
        <v>2164</v>
      </c>
      <c r="R1088" t="s">
        <v>17</v>
      </c>
      <c r="S1088" t="s">
        <v>18</v>
      </c>
      <c r="T1088" t="s">
        <v>525</v>
      </c>
      <c r="U1088" t="s">
        <v>526</v>
      </c>
      <c r="W1088">
        <v>22</v>
      </c>
      <c r="X1088">
        <v>22</v>
      </c>
      <c r="AE1088">
        <v>0</v>
      </c>
      <c r="AF1088">
        <v>0</v>
      </c>
      <c r="AG1088">
        <v>841</v>
      </c>
      <c r="AI1088" t="str">
        <f>HYPERLINK("https://sun9-38.userapi.com/wufCBhVtzZHNDwKqKQoH_JsjbuMiPvMDQYbNyw/wgBXVXVe9mE.jpg")</f>
        <v>https://sun9-38.userapi.com/wufCBhVtzZHNDwKqKQoH_JsjbuMiPvMDQYbNyw/wgBXVXVe9mE.jpg</v>
      </c>
      <c r="AJ1088" t="s">
        <v>10</v>
      </c>
      <c r="AK1088" t="s">
        <v>21</v>
      </c>
      <c r="AZ1088" t="s">
        <v>3251</v>
      </c>
    </row>
    <row r="1089" spans="1:52" x14ac:dyDescent="0.25">
      <c r="A1089" t="s">
        <v>1352</v>
      </c>
      <c r="B1089" t="s">
        <v>1421</v>
      </c>
      <c r="C1089" t="s">
        <v>984</v>
      </c>
      <c r="D1089" t="s">
        <v>10</v>
      </c>
      <c r="E1089" t="s">
        <v>1422</v>
      </c>
      <c r="F1089" t="s">
        <v>45</v>
      </c>
      <c r="G1089" t="str">
        <f>HYPERLINK("https://telegram.me/CoronavirusCentral/74302")</f>
        <v>https://telegram.me/CoronavirusCentral/74302</v>
      </c>
      <c r="H1089" t="s">
        <v>885</v>
      </c>
      <c r="I1089" t="s">
        <v>1423</v>
      </c>
      <c r="J1089" t="str">
        <f>HYPERLINK("https://telegram.me/1214845087")</f>
        <v>https://telegram.me/1214845087</v>
      </c>
      <c r="N1089" t="s">
        <v>877</v>
      </c>
      <c r="O1089" t="s">
        <v>1424</v>
      </c>
      <c r="P1089" t="str">
        <f>HYPERLINK("https://telegram.me/coronaviruscentral")</f>
        <v>https://telegram.me/coronaviruscentral</v>
      </c>
      <c r="Q1089">
        <v>2062</v>
      </c>
      <c r="R1089" t="s">
        <v>878</v>
      </c>
      <c r="AJ1089" t="s">
        <v>10</v>
      </c>
      <c r="AK1089" t="s">
        <v>21</v>
      </c>
      <c r="AZ1089" t="s">
        <v>3251</v>
      </c>
    </row>
    <row r="1090" spans="1:52" x14ac:dyDescent="0.25">
      <c r="A1090" t="s">
        <v>1425</v>
      </c>
      <c r="B1090" t="s">
        <v>42</v>
      </c>
      <c r="C1090" t="s">
        <v>984</v>
      </c>
      <c r="D1090" t="s">
        <v>10</v>
      </c>
      <c r="E1090" t="s">
        <v>1434</v>
      </c>
      <c r="F1090" t="s">
        <v>12</v>
      </c>
      <c r="G1090" t="str">
        <f>HYPERLINK("https://www.facebook.com/568390943273818/posts/3033661253413429")</f>
        <v>https://www.facebook.com/568390943273818/posts/3033661253413429</v>
      </c>
      <c r="H1090" t="s">
        <v>885</v>
      </c>
      <c r="I1090" t="s">
        <v>280</v>
      </c>
      <c r="J1090" t="str">
        <f>HYPERLINK("https://www.facebook.com/568390943273818")</f>
        <v>https://www.facebook.com/568390943273818</v>
      </c>
      <c r="K1090">
        <v>18918</v>
      </c>
      <c r="L1090" t="s">
        <v>28</v>
      </c>
      <c r="N1090" t="s">
        <v>179</v>
      </c>
      <c r="O1090" t="s">
        <v>280</v>
      </c>
      <c r="P1090" t="str">
        <f>HYPERLINK("https://www.facebook.com/568390943273818")</f>
        <v>https://www.facebook.com/568390943273818</v>
      </c>
      <c r="Q1090">
        <v>18918</v>
      </c>
      <c r="R1090" t="s">
        <v>17</v>
      </c>
      <c r="S1090" t="s">
        <v>281</v>
      </c>
      <c r="T1090" t="s">
        <v>282</v>
      </c>
      <c r="U1090" t="s">
        <v>282</v>
      </c>
      <c r="AI1090" t="str">
        <f>HYPERLINK("https://scontent-ort2-1.xx.fbcdn.net/v/t1.0-0/p480x480/115772189_3033651230081098_4581330587387296008_o.jpg?_nc_cat=110&amp;_nc_sid=8024bb&amp;_nc_ohc=2WzS1xr124QAX_H_uYQ&amp;_nc_ht=scontent-ort2-1.xx&amp;_nc_tp=6&amp;oh=d9f245f01b55a7286be639593c006b0c&amp;oe=5F4C67E3")</f>
        <v>https://scontent-ort2-1.xx.fbcdn.net/v/t1.0-0/p480x480/115772189_3033651230081098_4581330587387296008_o.jpg?_nc_cat=110&amp;_nc_sid=8024bb&amp;_nc_ohc=2WzS1xr124QAX_H_uYQ&amp;_nc_ht=scontent-ort2-1.xx&amp;_nc_tp=6&amp;oh=d9f245f01b55a7286be639593c006b0c&amp;oe=5F4C67E3</v>
      </c>
      <c r="AJ1090" t="s">
        <v>10</v>
      </c>
      <c r="AK1090" t="s">
        <v>21</v>
      </c>
      <c r="AZ1090" t="s">
        <v>3251</v>
      </c>
    </row>
    <row r="1091" spans="1:52" x14ac:dyDescent="0.25">
      <c r="A1091" t="s">
        <v>1518</v>
      </c>
      <c r="B1091" t="s">
        <v>1570</v>
      </c>
      <c r="C1091" t="s">
        <v>984</v>
      </c>
      <c r="D1091" t="s">
        <v>10</v>
      </c>
      <c r="E1091" t="s">
        <v>1571</v>
      </c>
      <c r="F1091" t="s">
        <v>45</v>
      </c>
      <c r="G1091" t="str">
        <f>HYPERLINK("https://www.instagram.com/p/CDQX_rYqA5S")</f>
        <v>https://www.instagram.com/p/CDQX_rYqA5S</v>
      </c>
      <c r="H1091" t="s">
        <v>885</v>
      </c>
      <c r="I1091" t="s">
        <v>1573</v>
      </c>
      <c r="J1091" t="str">
        <f>HYPERLINK("http://instagram.com/by_sali_")</f>
        <v>http://instagram.com/by_sali_</v>
      </c>
      <c r="K1091">
        <v>26093</v>
      </c>
      <c r="N1091" t="s">
        <v>69</v>
      </c>
      <c r="O1091" t="s">
        <v>1573</v>
      </c>
      <c r="P1091" t="str">
        <f>HYPERLINK("http://instagram.com/by_sali_")</f>
        <v>http://instagram.com/by_sali_</v>
      </c>
      <c r="Q1091">
        <v>26093</v>
      </c>
      <c r="R1091" t="s">
        <v>17</v>
      </c>
      <c r="S1091" t="s">
        <v>18</v>
      </c>
      <c r="T1091" t="s">
        <v>126</v>
      </c>
      <c r="U1091" t="s">
        <v>127</v>
      </c>
      <c r="AI1091" t="str">
        <f>HYPERLINK("https://www.instagram.com/p/CDQX_rYqA5S/media/?size=l")</f>
        <v>https://www.instagram.com/p/CDQX_rYqA5S/media/?size=l</v>
      </c>
      <c r="AJ1091" t="s">
        <v>10</v>
      </c>
      <c r="AK1091" t="s">
        <v>21</v>
      </c>
      <c r="AZ1091" t="s">
        <v>3251</v>
      </c>
    </row>
    <row r="1092" spans="1:52" x14ac:dyDescent="0.25">
      <c r="A1092" t="s">
        <v>1597</v>
      </c>
      <c r="B1092" t="s">
        <v>1262</v>
      </c>
      <c r="C1092" t="s">
        <v>984</v>
      </c>
      <c r="D1092" t="s">
        <v>992</v>
      </c>
      <c r="E1092" t="s">
        <v>1673</v>
      </c>
      <c r="F1092" t="s">
        <v>26</v>
      </c>
      <c r="G1092" t="str">
        <f>HYPERLINK("https://www.google.com/maps/reviews/data=!4m5!14m4!1m3!1m2!1s102791268603209300431!2s0x0:0x3ef00829f836955d?hl=en-NL")</f>
        <v>https://www.google.com/maps/reviews/data=!4m5!14m4!1m3!1m2!1s102791268603209300431!2s0x0:0x3ef00829f836955d?hl=en-NL</v>
      </c>
      <c r="H1092" t="s">
        <v>885</v>
      </c>
      <c r="I1092" t="s">
        <v>992</v>
      </c>
      <c r="J1092" t="str">
        <f>HYPERLINK("https://maps.google.com/maps/place/data=!3m1!4b1!4m5!3m4!1s0x0:0x3ef00829f836955d!8m2!3d56.139930!4d40.384660")</f>
        <v>https://maps.google.com/maps/place/data=!3m1!4b1!4m5!3m4!1s0x0:0x3ef00829f836955d!8m2!3d56.139930!4d40.384660</v>
      </c>
      <c r="N1092" t="s">
        <v>615</v>
      </c>
      <c r="O1092" t="s">
        <v>992</v>
      </c>
      <c r="P1092" t="str">
        <f>HYPERLINK("https://maps.google.com/maps/place/data=!3m1!4b1!4m5!3m4!1s0x0:0x3ef00829f836955d!8m2!3d56.139930!4d40.384660")</f>
        <v>https://maps.google.com/maps/place/data=!3m1!4b1!4m5!3m4!1s0x0:0x3ef00829f836955d!8m2!3d56.139930!4d40.384660</v>
      </c>
      <c r="R1092" t="s">
        <v>616</v>
      </c>
      <c r="S1092" t="s">
        <v>18</v>
      </c>
      <c r="T1092" t="s">
        <v>725</v>
      </c>
      <c r="U1092" t="s">
        <v>726</v>
      </c>
      <c r="AJ1092" t="s">
        <v>10</v>
      </c>
      <c r="AK1092" t="s">
        <v>21</v>
      </c>
      <c r="AZ1092" t="s">
        <v>3251</v>
      </c>
    </row>
    <row r="1093" spans="1:52" x14ac:dyDescent="0.25">
      <c r="A1093" t="s">
        <v>1723</v>
      </c>
      <c r="B1093" t="s">
        <v>1834</v>
      </c>
      <c r="C1093" t="s">
        <v>984</v>
      </c>
      <c r="D1093" t="s">
        <v>1835</v>
      </c>
      <c r="E1093" t="s">
        <v>1836</v>
      </c>
      <c r="F1093" t="s">
        <v>45</v>
      </c>
      <c r="G1093" t="str">
        <f>HYPERLINK("http://vladimir.holme.ru/news/5f1ff071fd50b61714c57f4e")</f>
        <v>http://vladimir.holme.ru/news/5f1ff071fd50b61714c57f4e</v>
      </c>
      <c r="H1093" t="s">
        <v>885</v>
      </c>
      <c r="N1093" t="s">
        <v>1837</v>
      </c>
      <c r="R1093" t="s">
        <v>239</v>
      </c>
      <c r="S1093" t="s">
        <v>18</v>
      </c>
      <c r="T1093" t="s">
        <v>725</v>
      </c>
      <c r="U1093" t="s">
        <v>726</v>
      </c>
      <c r="AI1093" t="str">
        <f>HYPERLINK("https://progorod33.ru/userfiles/articles/_cke/0/img15959226461257.jpg")</f>
        <v>https://progorod33.ru/userfiles/articles/_cke/0/img15959226461257.jpg</v>
      </c>
      <c r="AJ1093" t="s">
        <v>10</v>
      </c>
      <c r="AK1093" t="s">
        <v>21</v>
      </c>
      <c r="AZ1093" t="s">
        <v>3251</v>
      </c>
    </row>
    <row r="1094" spans="1:52" x14ac:dyDescent="0.25">
      <c r="A1094" t="s">
        <v>2290</v>
      </c>
      <c r="B1094" t="s">
        <v>1671</v>
      </c>
      <c r="C1094" t="s">
        <v>968</v>
      </c>
      <c r="D1094" t="s">
        <v>10</v>
      </c>
      <c r="E1094" t="s">
        <v>2339</v>
      </c>
      <c r="F1094" t="s">
        <v>45</v>
      </c>
      <c r="G1094" t="str">
        <f>HYPERLINK("https://www.instagram.com/p/CC3BmhBDlv0")</f>
        <v>https://www.instagram.com/p/CC3BmhBDlv0</v>
      </c>
      <c r="H1094" t="s">
        <v>885</v>
      </c>
      <c r="I1094" t="s">
        <v>2340</v>
      </c>
      <c r="J1094" t="str">
        <f>HYPERLINK("http://instagram.com/talkhealthonline")</f>
        <v>http://instagram.com/talkhealthonline</v>
      </c>
      <c r="K1094">
        <v>827</v>
      </c>
      <c r="N1094" t="s">
        <v>69</v>
      </c>
      <c r="O1094" t="s">
        <v>2340</v>
      </c>
      <c r="P1094" t="str">
        <f>HYPERLINK("http://instagram.com/talkhealthonline")</f>
        <v>http://instagram.com/talkhealthonline</v>
      </c>
      <c r="Q1094">
        <v>827</v>
      </c>
      <c r="R1094" t="s">
        <v>17</v>
      </c>
      <c r="S1094" t="s">
        <v>671</v>
      </c>
      <c r="AI1094" t="str">
        <f>HYPERLINK("https://www.instagram.com/p/CC3BmhBDlv0/media/?size=l")</f>
        <v>https://www.instagram.com/p/CC3BmhBDlv0/media/?size=l</v>
      </c>
      <c r="AJ1094" t="s">
        <v>10</v>
      </c>
      <c r="AK1094" t="s">
        <v>21</v>
      </c>
      <c r="AZ1094" t="s">
        <v>3251</v>
      </c>
    </row>
    <row r="1095" spans="1:52" x14ac:dyDescent="0.25">
      <c r="A1095" t="s">
        <v>7</v>
      </c>
      <c r="B1095" t="s">
        <v>412</v>
      </c>
      <c r="C1095" t="s">
        <v>413</v>
      </c>
      <c r="D1095" t="s">
        <v>24</v>
      </c>
      <c r="E1095" t="s">
        <v>360</v>
      </c>
      <c r="F1095" t="s">
        <v>26</v>
      </c>
      <c r="G1095" t="str">
        <f>HYPERLINK("https://vk.com/wall-197114981_31?reply=1282&amp;thread=1278")</f>
        <v>https://vk.com/wall-197114981_31?reply=1282&amp;thread=1278</v>
      </c>
      <c r="H1095" t="s">
        <v>13</v>
      </c>
      <c r="I1095" t="s">
        <v>27</v>
      </c>
      <c r="J1095" t="str">
        <f>HYPERLINK("http://vk.com/club197114981")</f>
        <v>http://vk.com/club197114981</v>
      </c>
      <c r="K1095">
        <v>38</v>
      </c>
      <c r="L1095" t="s">
        <v>28</v>
      </c>
      <c r="N1095" t="s">
        <v>16</v>
      </c>
      <c r="O1095" t="s">
        <v>27</v>
      </c>
      <c r="P1095" t="str">
        <f>HYPERLINK("http://vk.com/club197114981")</f>
        <v>http://vk.com/club197114981</v>
      </c>
      <c r="Q1095">
        <v>38</v>
      </c>
      <c r="R1095" t="s">
        <v>17</v>
      </c>
      <c r="AJ1095" t="s">
        <v>10</v>
      </c>
      <c r="AK1095" t="s">
        <v>21</v>
      </c>
      <c r="AZ1095" t="s">
        <v>3251</v>
      </c>
    </row>
    <row r="1096" spans="1:52" x14ac:dyDescent="0.25">
      <c r="A1096" t="s">
        <v>414</v>
      </c>
      <c r="B1096" t="s">
        <v>643</v>
      </c>
      <c r="C1096" t="s">
        <v>644</v>
      </c>
      <c r="D1096" t="s">
        <v>24</v>
      </c>
      <c r="E1096" t="s">
        <v>564</v>
      </c>
      <c r="F1096" t="s">
        <v>26</v>
      </c>
      <c r="G1096" t="str">
        <f>HYPERLINK("https://vk.com/wall-197114981_31?reply=1201&amp;thread=1180")</f>
        <v>https://vk.com/wall-197114981_31?reply=1201&amp;thread=1180</v>
      </c>
      <c r="H1096" t="s">
        <v>13</v>
      </c>
      <c r="I1096" t="s">
        <v>27</v>
      </c>
      <c r="J1096" t="str">
        <f>HYPERLINK("http://vk.com/club197114981")</f>
        <v>http://vk.com/club197114981</v>
      </c>
      <c r="K1096">
        <v>38</v>
      </c>
      <c r="L1096" t="s">
        <v>28</v>
      </c>
      <c r="N1096" t="s">
        <v>16</v>
      </c>
      <c r="O1096" t="s">
        <v>27</v>
      </c>
      <c r="P1096" t="str">
        <f>HYPERLINK("http://vk.com/club197114981")</f>
        <v>http://vk.com/club197114981</v>
      </c>
      <c r="Q1096">
        <v>38</v>
      </c>
      <c r="R1096" t="s">
        <v>17</v>
      </c>
      <c r="AJ1096" t="s">
        <v>10</v>
      </c>
      <c r="AK1096" t="s">
        <v>21</v>
      </c>
      <c r="AZ1096" t="s">
        <v>3251</v>
      </c>
    </row>
    <row r="1097" spans="1:52" x14ac:dyDescent="0.25">
      <c r="A1097" t="s">
        <v>414</v>
      </c>
      <c r="B1097" t="s">
        <v>735</v>
      </c>
      <c r="C1097" t="s">
        <v>736</v>
      </c>
      <c r="D1097" t="s">
        <v>24</v>
      </c>
      <c r="E1097" t="s">
        <v>502</v>
      </c>
      <c r="F1097" t="s">
        <v>26</v>
      </c>
      <c r="G1097" t="str">
        <f>HYPERLINK("https://vk.com/wall-197114981_31?reply=1177&amp;thread=1098")</f>
        <v>https://vk.com/wall-197114981_31?reply=1177&amp;thread=1098</v>
      </c>
      <c r="H1097" t="s">
        <v>13</v>
      </c>
      <c r="I1097" t="s">
        <v>27</v>
      </c>
      <c r="J1097" t="str">
        <f>HYPERLINK("http://vk.com/club197114981")</f>
        <v>http://vk.com/club197114981</v>
      </c>
      <c r="K1097">
        <v>38</v>
      </c>
      <c r="L1097" t="s">
        <v>28</v>
      </c>
      <c r="N1097" t="s">
        <v>16</v>
      </c>
      <c r="O1097" t="s">
        <v>27</v>
      </c>
      <c r="P1097" t="str">
        <f>HYPERLINK("http://vk.com/club197114981")</f>
        <v>http://vk.com/club197114981</v>
      </c>
      <c r="Q1097">
        <v>38</v>
      </c>
      <c r="R1097" t="s">
        <v>17</v>
      </c>
      <c r="AJ1097" t="s">
        <v>10</v>
      </c>
      <c r="AK1097" t="s">
        <v>21</v>
      </c>
      <c r="AU1097" t="s">
        <v>3246</v>
      </c>
      <c r="AZ1097" t="s">
        <v>3251</v>
      </c>
    </row>
    <row r="1098" spans="1:52" x14ac:dyDescent="0.25">
      <c r="A1098" t="s">
        <v>1462</v>
      </c>
      <c r="B1098" t="s">
        <v>1093</v>
      </c>
      <c r="C1098" t="s">
        <v>984</v>
      </c>
      <c r="D1098" t="s">
        <v>10</v>
      </c>
      <c r="E1098" t="s">
        <v>1486</v>
      </c>
      <c r="F1098" t="s">
        <v>45</v>
      </c>
      <c r="G1098" t="str">
        <f>HYPERLINK("https://www.facebook.com/expert.klinika.stavropol/photos/a.108004590782008/170389311210202/?type=3")</f>
        <v>https://www.facebook.com/expert.klinika.stavropol/photos/a.108004590782008/170389311210202/?type=3</v>
      </c>
      <c r="H1098" t="s">
        <v>885</v>
      </c>
      <c r="I1098" t="s">
        <v>640</v>
      </c>
      <c r="J1098" t="str">
        <f>HYPERLINK("https://www.facebook.com/107325724183228")</f>
        <v>https://www.facebook.com/107325724183228</v>
      </c>
      <c r="K1098">
        <v>1</v>
      </c>
      <c r="L1098" t="s">
        <v>28</v>
      </c>
      <c r="N1098" t="s">
        <v>179</v>
      </c>
      <c r="O1098" t="s">
        <v>640</v>
      </c>
      <c r="P1098" t="str">
        <f>HYPERLINK("https://www.facebook.com/107325724183228")</f>
        <v>https://www.facebook.com/107325724183228</v>
      </c>
      <c r="Q1098">
        <v>1</v>
      </c>
      <c r="R1098" t="s">
        <v>17</v>
      </c>
      <c r="S1098" t="s">
        <v>18</v>
      </c>
      <c r="T1098" t="s">
        <v>641</v>
      </c>
      <c r="U1098" t="s">
        <v>642</v>
      </c>
      <c r="W1098">
        <v>0</v>
      </c>
      <c r="X1098">
        <v>0</v>
      </c>
      <c r="Y1098">
        <v>0</v>
      </c>
      <c r="Z1098">
        <v>0</v>
      </c>
      <c r="AA1098">
        <v>0</v>
      </c>
      <c r="AB1098">
        <v>0</v>
      </c>
      <c r="AC1098">
        <v>0</v>
      </c>
      <c r="AE1098">
        <v>0</v>
      </c>
      <c r="AI1098" t="str">
        <f>HYPERLINK("https://scontent-hel2-1.xx.fbcdn.net/v/t1.0-0/p526x296/116706753_170389314543535_1144536485223641557_o.jpg?_nc_cat=108&amp;_nc_sid=9267fe&amp;_nc_ohc=ELYg3r6wSM8AX9smViX&amp;_nc_ht=scontent-hel2-1.xx&amp;_nc_tp=6&amp;oh=6d8f210c364d0101b493f2cdab899ca6&amp;oe=5F4851AE")</f>
        <v>https://scontent-hel2-1.xx.fbcdn.net/v/t1.0-0/p526x296/116706753_170389314543535_1144536485223641557_o.jpg?_nc_cat=108&amp;_nc_sid=9267fe&amp;_nc_ohc=ELYg3r6wSM8AX9smViX&amp;_nc_ht=scontent-hel2-1.xx&amp;_nc_tp=6&amp;oh=6d8f210c364d0101b493f2cdab899ca6&amp;oe=5F4851AE</v>
      </c>
      <c r="AJ1098" t="s">
        <v>10</v>
      </c>
      <c r="AK1098" t="s">
        <v>21</v>
      </c>
      <c r="AT1098" t="s">
        <v>3245</v>
      </c>
      <c r="AU1098" t="s">
        <v>3246</v>
      </c>
      <c r="AX1098" t="s">
        <v>3249</v>
      </c>
      <c r="AZ1098" t="s">
        <v>3251</v>
      </c>
    </row>
    <row r="1099" spans="1:52" x14ac:dyDescent="0.25">
      <c r="A1099" t="s">
        <v>1462</v>
      </c>
      <c r="B1099" t="s">
        <v>1488</v>
      </c>
      <c r="C1099" t="s">
        <v>984</v>
      </c>
      <c r="D1099" t="s">
        <v>10</v>
      </c>
      <c r="E1099" t="s">
        <v>1487</v>
      </c>
      <c r="F1099" t="s">
        <v>12</v>
      </c>
      <c r="G1099" t="str">
        <f>HYPERLINK("https://www.facebook.com/permalink.php?story_fbid=396581817985179&amp;id=100029000910918")</f>
        <v>https://www.facebook.com/permalink.php?story_fbid=396581817985179&amp;id=100029000910918</v>
      </c>
      <c r="H1099" t="s">
        <v>889</v>
      </c>
      <c r="I1099" t="s">
        <v>1148</v>
      </c>
      <c r="J1099" t="str">
        <f>HYPERLINK("https://www.facebook.com/100029000910918")</f>
        <v>https://www.facebook.com/100029000910918</v>
      </c>
      <c r="K1099">
        <v>337</v>
      </c>
      <c r="L1099" t="s">
        <v>80</v>
      </c>
      <c r="N1099" t="s">
        <v>179</v>
      </c>
      <c r="O1099" t="s">
        <v>1148</v>
      </c>
      <c r="P1099" t="str">
        <f>HYPERLINK("https://www.facebook.com/100029000910918")</f>
        <v>https://www.facebook.com/100029000910918</v>
      </c>
      <c r="Q1099">
        <v>337</v>
      </c>
      <c r="R1099" t="s">
        <v>17</v>
      </c>
      <c r="W1099">
        <v>0</v>
      </c>
      <c r="X1099">
        <v>0</v>
      </c>
      <c r="Y1099">
        <v>0</v>
      </c>
      <c r="Z1099">
        <v>0</v>
      </c>
      <c r="AA1099">
        <v>0</v>
      </c>
      <c r="AB1099">
        <v>0</v>
      </c>
      <c r="AC1099">
        <v>0</v>
      </c>
      <c r="AE1099">
        <v>0</v>
      </c>
      <c r="AI1099" t="str">
        <f>HYPERLINK("https://scontent-hel2-1.xx.fbcdn.net/v/t1.0-9/s960x960/116580080_3229936993739422_7168008555214612237_o.jpg?_nc_cat=104&amp;_nc_sid=730e14&amp;_nc_ohc=VCAYeXMTu2kAX8Jgstv&amp;_nc_ht=scontent-hel2-1.xx&amp;_nc_tp=7&amp;oh=ffbe3b031458e1e9333b497684c87a78&amp;oe=5F4D3E42")</f>
        <v>https://scontent-hel2-1.xx.fbcdn.net/v/t1.0-9/s960x960/116580080_3229936993739422_7168008555214612237_o.jpg?_nc_cat=104&amp;_nc_sid=730e14&amp;_nc_ohc=VCAYeXMTu2kAX8Jgstv&amp;_nc_ht=scontent-hel2-1.xx&amp;_nc_tp=7&amp;oh=ffbe3b031458e1e9333b497684c87a78&amp;oe=5F4D3E42</v>
      </c>
      <c r="AJ1099" t="s">
        <v>10</v>
      </c>
      <c r="AK1099" t="s">
        <v>21</v>
      </c>
      <c r="AL1099" t="s">
        <v>3237</v>
      </c>
      <c r="AU1099" t="s">
        <v>3246</v>
      </c>
      <c r="AW1099" t="s">
        <v>3248</v>
      </c>
      <c r="AZ1099" t="s">
        <v>3251</v>
      </c>
    </row>
    <row r="1100" spans="1:52" x14ac:dyDescent="0.25">
      <c r="A1100" t="s">
        <v>2915</v>
      </c>
      <c r="B1100" t="s">
        <v>2476</v>
      </c>
      <c r="C1100" t="s">
        <v>968</v>
      </c>
      <c r="D1100" t="s">
        <v>2920</v>
      </c>
      <c r="E1100" t="s">
        <v>2921</v>
      </c>
      <c r="F1100" t="s">
        <v>26</v>
      </c>
      <c r="G1100" t="str">
        <f>HYPERLINK("https://vk.com/wall-146361880_717769?reply=719949&amp;thread=719509")</f>
        <v>https://vk.com/wall-146361880_717769?reply=719949&amp;thread=719509</v>
      </c>
      <c r="H1100" t="s">
        <v>1057</v>
      </c>
      <c r="I1100" t="s">
        <v>2922</v>
      </c>
      <c r="J1100" t="str">
        <f>HYPERLINK("http://vk.com/id43371714")</f>
        <v>http://vk.com/id43371714</v>
      </c>
      <c r="K1100">
        <v>984</v>
      </c>
      <c r="L1100" t="s">
        <v>80</v>
      </c>
      <c r="N1100" t="s">
        <v>16</v>
      </c>
      <c r="O1100" t="s">
        <v>2923</v>
      </c>
      <c r="P1100" t="str">
        <f>HYPERLINK("http://vk.com/club146361880")</f>
        <v>http://vk.com/club146361880</v>
      </c>
      <c r="Q1100">
        <v>93484</v>
      </c>
      <c r="R1100" t="s">
        <v>17</v>
      </c>
      <c r="S1100" t="s">
        <v>18</v>
      </c>
      <c r="T1100" t="s">
        <v>266</v>
      </c>
      <c r="U1100" t="s">
        <v>266</v>
      </c>
      <c r="AJ1100" t="s">
        <v>10</v>
      </c>
      <c r="AK1100" t="s">
        <v>21</v>
      </c>
      <c r="AL1100" t="s">
        <v>3237</v>
      </c>
      <c r="AU1100" t="s">
        <v>3246</v>
      </c>
      <c r="AZ1100" t="s">
        <v>3251</v>
      </c>
    </row>
    <row r="1101" spans="1:52" x14ac:dyDescent="0.25">
      <c r="A1101" t="s">
        <v>2978</v>
      </c>
      <c r="B1101" t="s">
        <v>2135</v>
      </c>
      <c r="C1101" t="s">
        <v>968</v>
      </c>
      <c r="D1101" t="s">
        <v>10</v>
      </c>
      <c r="E1101" t="s">
        <v>2212</v>
      </c>
      <c r="F1101" t="s">
        <v>45</v>
      </c>
      <c r="G1101" t="str">
        <f>HYPERLINK("https://vk.com/wall-158633337_917")</f>
        <v>https://vk.com/wall-158633337_917</v>
      </c>
      <c r="H1101" t="s">
        <v>889</v>
      </c>
      <c r="I1101" t="s">
        <v>125</v>
      </c>
      <c r="J1101" t="str">
        <f>HYPERLINK("http://vk.com/club158633337")</f>
        <v>http://vk.com/club158633337</v>
      </c>
      <c r="K1101">
        <v>4852</v>
      </c>
      <c r="L1101" t="s">
        <v>28</v>
      </c>
      <c r="N1101" t="s">
        <v>16</v>
      </c>
      <c r="O1101" t="s">
        <v>125</v>
      </c>
      <c r="P1101" t="str">
        <f>HYPERLINK("http://vk.com/club158633337")</f>
        <v>http://vk.com/club158633337</v>
      </c>
      <c r="Q1101">
        <v>4852</v>
      </c>
      <c r="R1101" t="s">
        <v>17</v>
      </c>
      <c r="S1101" t="s">
        <v>18</v>
      </c>
      <c r="T1101" t="s">
        <v>126</v>
      </c>
      <c r="U1101" t="s">
        <v>127</v>
      </c>
      <c r="W1101">
        <v>0</v>
      </c>
      <c r="X1101">
        <v>0</v>
      </c>
      <c r="AE1101">
        <v>0</v>
      </c>
      <c r="AF1101">
        <v>0</v>
      </c>
      <c r="AG1101">
        <v>93</v>
      </c>
      <c r="AI1101" t="str">
        <f>HYPERLINK("https://sun1-84.userapi.com/cct1nWwu1-ndHG6Y4GIv9o-3hjKvLj4vnlrGEw/9rjSvME2dto.jpg")</f>
        <v>https://sun1-84.userapi.com/cct1nWwu1-ndHG6Y4GIv9o-3hjKvLj4vnlrGEw/9rjSvME2dto.jpg</v>
      </c>
      <c r="AJ1101" t="s">
        <v>10</v>
      </c>
      <c r="AK1101" t="s">
        <v>21</v>
      </c>
    </row>
    <row r="1102" spans="1:52" x14ac:dyDescent="0.25">
      <c r="A1102" t="s">
        <v>2978</v>
      </c>
      <c r="B1102" t="s">
        <v>42</v>
      </c>
      <c r="C1102" t="s">
        <v>968</v>
      </c>
      <c r="D1102" t="s">
        <v>10</v>
      </c>
      <c r="E1102" t="s">
        <v>3002</v>
      </c>
      <c r="F1102" t="s">
        <v>12</v>
      </c>
      <c r="G1102" t="str">
        <f>HYPERLINK("https://www.facebook.com/568390943273818/posts/2974093126036909")</f>
        <v>https://www.facebook.com/568390943273818/posts/2974093126036909</v>
      </c>
      <c r="H1102" t="s">
        <v>885</v>
      </c>
      <c r="I1102" t="s">
        <v>280</v>
      </c>
      <c r="J1102" t="str">
        <f>HYPERLINK("https://www.facebook.com/568390943273818")</f>
        <v>https://www.facebook.com/568390943273818</v>
      </c>
      <c r="K1102">
        <v>18918</v>
      </c>
      <c r="L1102" t="s">
        <v>28</v>
      </c>
      <c r="N1102" t="s">
        <v>179</v>
      </c>
      <c r="O1102" t="s">
        <v>280</v>
      </c>
      <c r="P1102" t="str">
        <f>HYPERLINK("https://www.facebook.com/568390943273818")</f>
        <v>https://www.facebook.com/568390943273818</v>
      </c>
      <c r="Q1102">
        <v>18918</v>
      </c>
      <c r="R1102" t="s">
        <v>17</v>
      </c>
      <c r="S1102" t="s">
        <v>281</v>
      </c>
      <c r="T1102" t="s">
        <v>282</v>
      </c>
      <c r="U1102" t="s">
        <v>282</v>
      </c>
      <c r="W1102">
        <v>1</v>
      </c>
      <c r="X1102">
        <v>1</v>
      </c>
      <c r="Y1102">
        <v>0</v>
      </c>
      <c r="Z1102">
        <v>0</v>
      </c>
      <c r="AA1102">
        <v>0</v>
      </c>
      <c r="AB1102">
        <v>0</v>
      </c>
      <c r="AC1102">
        <v>0</v>
      </c>
      <c r="AE1102">
        <v>0</v>
      </c>
      <c r="AI1102" t="s">
        <v>3003</v>
      </c>
      <c r="AJ1102" t="s">
        <v>10</v>
      </c>
      <c r="AK1102" t="s">
        <v>21</v>
      </c>
    </row>
    <row r="1103" spans="1:52" x14ac:dyDescent="0.25">
      <c r="A1103" t="s">
        <v>3021</v>
      </c>
      <c r="B1103" t="s">
        <v>3043</v>
      </c>
      <c r="C1103" t="s">
        <v>968</v>
      </c>
      <c r="D1103" t="s">
        <v>10</v>
      </c>
      <c r="E1103" t="s">
        <v>1857</v>
      </c>
      <c r="F1103" t="s">
        <v>45</v>
      </c>
      <c r="G1103" t="str">
        <f>HYPERLINK("https://vk.com/wall-158633337_913")</f>
        <v>https://vk.com/wall-158633337_913</v>
      </c>
      <c r="H1103" t="s">
        <v>885</v>
      </c>
      <c r="I1103" t="s">
        <v>125</v>
      </c>
      <c r="J1103" t="str">
        <f>HYPERLINK("http://vk.com/club158633337")</f>
        <v>http://vk.com/club158633337</v>
      </c>
      <c r="K1103">
        <v>4852</v>
      </c>
      <c r="L1103" t="s">
        <v>28</v>
      </c>
      <c r="N1103" t="s">
        <v>16</v>
      </c>
      <c r="O1103" t="s">
        <v>125</v>
      </c>
      <c r="P1103" t="str">
        <f>HYPERLINK("http://vk.com/club158633337")</f>
        <v>http://vk.com/club158633337</v>
      </c>
      <c r="Q1103">
        <v>4852</v>
      </c>
      <c r="R1103" t="s">
        <v>17</v>
      </c>
      <c r="S1103" t="s">
        <v>18</v>
      </c>
      <c r="T1103" t="s">
        <v>126</v>
      </c>
      <c r="U1103" t="s">
        <v>127</v>
      </c>
      <c r="W1103">
        <v>0</v>
      </c>
      <c r="X1103">
        <v>0</v>
      </c>
      <c r="AE1103">
        <v>0</v>
      </c>
      <c r="AF1103">
        <v>0</v>
      </c>
      <c r="AG1103">
        <v>95</v>
      </c>
      <c r="AI1103" t="str">
        <f>HYPERLINK("https://sun1-83.userapi.com/6nwED_J1zDr8DLroaD13Wehn3M18QoJbhJ8Zlw/0b9q7nNaYJc.jpg")</f>
        <v>https://sun1-83.userapi.com/6nwED_J1zDr8DLroaD13Wehn3M18QoJbhJ8Zlw/0b9q7nNaYJc.jpg</v>
      </c>
      <c r="AJ1103" t="s">
        <v>10</v>
      </c>
      <c r="AK1103" t="s">
        <v>21</v>
      </c>
    </row>
    <row r="1104" spans="1:52" x14ac:dyDescent="0.25">
      <c r="A1104" t="s">
        <v>7</v>
      </c>
      <c r="B1104" t="s">
        <v>75</v>
      </c>
      <c r="C1104" t="s">
        <v>76</v>
      </c>
      <c r="D1104" t="s">
        <v>24</v>
      </c>
      <c r="E1104" t="s">
        <v>78</v>
      </c>
      <c r="F1104" t="s">
        <v>26</v>
      </c>
      <c r="G1104" t="str">
        <f>HYPERLINK("https://vk.com/wall-197114981_31?reply=1373")</f>
        <v>https://vk.com/wall-197114981_31?reply=1373</v>
      </c>
      <c r="H1104" t="s">
        <v>13</v>
      </c>
      <c r="I1104" t="s">
        <v>79</v>
      </c>
      <c r="J1104" t="str">
        <f>HYPERLINK("http://vk.com/id95456096")</f>
        <v>http://vk.com/id95456096</v>
      </c>
      <c r="K1104">
        <v>1176</v>
      </c>
      <c r="L1104" t="s">
        <v>80</v>
      </c>
      <c r="N1104" t="s">
        <v>16</v>
      </c>
      <c r="O1104" t="s">
        <v>27</v>
      </c>
      <c r="P1104" t="str">
        <f>HYPERLINK("http://vk.com/club197114981")</f>
        <v>http://vk.com/club197114981</v>
      </c>
      <c r="Q1104">
        <v>38</v>
      </c>
      <c r="R1104" t="s">
        <v>17</v>
      </c>
      <c r="S1104" t="s">
        <v>18</v>
      </c>
      <c r="AJ1104" t="s">
        <v>10</v>
      </c>
      <c r="AK1104" t="s">
        <v>21</v>
      </c>
    </row>
    <row r="1105" spans="1:50" x14ac:dyDescent="0.25">
      <c r="A1105" t="s">
        <v>1225</v>
      </c>
      <c r="B1105" t="s">
        <v>1252</v>
      </c>
      <c r="C1105" t="s">
        <v>984</v>
      </c>
      <c r="D1105" t="s">
        <v>10</v>
      </c>
      <c r="E1105" t="s">
        <v>1253</v>
      </c>
      <c r="F1105" t="s">
        <v>26</v>
      </c>
      <c r="G1105" t="str">
        <f>HYPERLINK("https://twitter.com/1263893687010054146/status/1290668702531280898")</f>
        <v>https://twitter.com/1263893687010054146/status/1290668702531280898</v>
      </c>
      <c r="H1105" t="s">
        <v>885</v>
      </c>
      <c r="I1105" t="s">
        <v>1254</v>
      </c>
      <c r="J1105" t="str">
        <f>HYPERLINK("http://twitter.com/Dangerous_Dav")</f>
        <v>http://twitter.com/Dangerous_Dav</v>
      </c>
      <c r="K1105">
        <v>3114</v>
      </c>
      <c r="L1105" t="s">
        <v>15</v>
      </c>
      <c r="N1105" t="s">
        <v>54</v>
      </c>
      <c r="R1105" t="s">
        <v>17</v>
      </c>
      <c r="W1105">
        <v>0</v>
      </c>
      <c r="X1105">
        <v>0</v>
      </c>
      <c r="AE1105">
        <v>1</v>
      </c>
      <c r="AF1105">
        <v>0</v>
      </c>
      <c r="AJ1105" t="s">
        <v>10</v>
      </c>
      <c r="AK1105" t="s">
        <v>21</v>
      </c>
    </row>
    <row r="1106" spans="1:50" x14ac:dyDescent="0.25">
      <c r="A1106" t="s">
        <v>1723</v>
      </c>
      <c r="B1106" t="s">
        <v>967</v>
      </c>
      <c r="C1106" t="s">
        <v>984</v>
      </c>
      <c r="D1106" t="s">
        <v>10</v>
      </c>
      <c r="E1106" t="s">
        <v>1761</v>
      </c>
      <c r="F1106" t="s">
        <v>45</v>
      </c>
      <c r="G1106" t="str">
        <f>HYPERLINK("https://www.instagram.com/p/CDL3eoYJKPt")</f>
        <v>https://www.instagram.com/p/CDL3eoYJKPt</v>
      </c>
      <c r="H1106" t="s">
        <v>885</v>
      </c>
      <c r="I1106" t="s">
        <v>1071</v>
      </c>
      <c r="J1106" t="str">
        <f>HYPERLINK("http://instagram.com/mrtexpertmurmansk")</f>
        <v>http://instagram.com/mrtexpertmurmansk</v>
      </c>
      <c r="K1106">
        <v>483</v>
      </c>
      <c r="N1106" t="s">
        <v>69</v>
      </c>
      <c r="O1106" t="s">
        <v>1071</v>
      </c>
      <c r="P1106" t="str">
        <f>HYPERLINK("http://instagram.com/mrtexpertmurmansk")</f>
        <v>http://instagram.com/mrtexpertmurmansk</v>
      </c>
      <c r="Q1106">
        <v>483</v>
      </c>
      <c r="R1106" t="s">
        <v>17</v>
      </c>
      <c r="AI1106" t="str">
        <f>HYPERLINK("https://www.instagram.com/p/CDL3eoYJKPt/media/?size=l")</f>
        <v>https://www.instagram.com/p/CDL3eoYJKPt/media/?size=l</v>
      </c>
      <c r="AJ1106" t="s">
        <v>10</v>
      </c>
      <c r="AK1106" t="s">
        <v>21</v>
      </c>
      <c r="AM1106" t="s">
        <v>3238</v>
      </c>
    </row>
    <row r="1107" spans="1:50" x14ac:dyDescent="0.25">
      <c r="A1107" t="s">
        <v>1838</v>
      </c>
      <c r="B1107" t="s">
        <v>1882</v>
      </c>
      <c r="C1107" t="s">
        <v>984</v>
      </c>
      <c r="D1107" t="s">
        <v>992</v>
      </c>
      <c r="E1107" t="s">
        <v>1883</v>
      </c>
      <c r="F1107" t="s">
        <v>26</v>
      </c>
      <c r="G1107" t="str">
        <f>HYPERLINK("https://www.google.com/maps/reviews/data=!4m5!14m4!1m3!1m2!1s106423036588878858558!2s0x0:0x1ba2d4b9e8f0f1fc?hl=en-NL")</f>
        <v>https://www.google.com/maps/reviews/data=!4m5!14m4!1m3!1m2!1s106423036588878858558!2s0x0:0x1ba2d4b9e8f0f1fc?hl=en-NL</v>
      </c>
      <c r="H1107" t="s">
        <v>885</v>
      </c>
      <c r="I1107" t="s">
        <v>992</v>
      </c>
      <c r="J1107" t="str">
        <f>HYPERLINK("https://maps.google.com/maps/place/data=!3m1!4b1!4m5!3m4!1s0x0:0x1ba2d4b9e8f0f1fc!8m2!3d56.463190!4d84.951810")</f>
        <v>https://maps.google.com/maps/place/data=!3m1!4b1!4m5!3m4!1s0x0:0x1ba2d4b9e8f0f1fc!8m2!3d56.463190!4d84.951810</v>
      </c>
      <c r="N1107" t="s">
        <v>615</v>
      </c>
      <c r="O1107" t="s">
        <v>992</v>
      </c>
      <c r="P1107" t="str">
        <f>HYPERLINK("https://maps.google.com/maps/place/data=!3m1!4b1!4m5!3m4!1s0x0:0x1ba2d4b9e8f0f1fc!8m2!3d56.463190!4d84.951810")</f>
        <v>https://maps.google.com/maps/place/data=!3m1!4b1!4m5!3m4!1s0x0:0x1ba2d4b9e8f0f1fc!8m2!3d56.463190!4d84.951810</v>
      </c>
      <c r="R1107" t="s">
        <v>616</v>
      </c>
      <c r="S1107" t="s">
        <v>18</v>
      </c>
      <c r="T1107" t="s">
        <v>291</v>
      </c>
      <c r="U1107" t="s">
        <v>1884</v>
      </c>
      <c r="AJ1107" t="s">
        <v>10</v>
      </c>
      <c r="AK1107" t="s">
        <v>21</v>
      </c>
      <c r="AT1107" t="s">
        <v>3245</v>
      </c>
    </row>
    <row r="1108" spans="1:50" x14ac:dyDescent="0.25">
      <c r="A1108" t="s">
        <v>1982</v>
      </c>
      <c r="B1108" t="s">
        <v>637</v>
      </c>
      <c r="C1108" t="s">
        <v>968</v>
      </c>
      <c r="D1108" t="s">
        <v>10</v>
      </c>
      <c r="E1108" t="s">
        <v>2031</v>
      </c>
      <c r="F1108" t="s">
        <v>45</v>
      </c>
      <c r="G1108" t="str">
        <f>HYPERLINK("https://vk.com/wall-48669646_10213")</f>
        <v>https://vk.com/wall-48669646_10213</v>
      </c>
      <c r="H1108" t="s">
        <v>885</v>
      </c>
      <c r="I1108" t="s">
        <v>46</v>
      </c>
      <c r="J1108" t="str">
        <f>HYPERLINK("http://vk.com/club48669646")</f>
        <v>http://vk.com/club48669646</v>
      </c>
      <c r="K1108">
        <v>5795</v>
      </c>
      <c r="L1108" t="s">
        <v>28</v>
      </c>
      <c r="N1108" t="s">
        <v>16</v>
      </c>
      <c r="O1108" t="s">
        <v>46</v>
      </c>
      <c r="P1108" t="str">
        <f>HYPERLINK("http://vk.com/club48669646")</f>
        <v>http://vk.com/club48669646</v>
      </c>
      <c r="Q1108">
        <v>5795</v>
      </c>
      <c r="R1108" t="s">
        <v>17</v>
      </c>
      <c r="S1108" t="s">
        <v>18</v>
      </c>
      <c r="W1108">
        <v>0</v>
      </c>
      <c r="X1108">
        <v>0</v>
      </c>
      <c r="AE1108">
        <v>0</v>
      </c>
      <c r="AF1108">
        <v>0</v>
      </c>
      <c r="AG1108">
        <v>307</v>
      </c>
      <c r="AI1108" t="str">
        <f>HYPERLINK("https://sun9-34.userapi.com/qfOnamx9h678z3afhUlBVZuZwxi1J_wbE-AJEg/JGmi98IjwFo.jpg")</f>
        <v>https://sun9-34.userapi.com/qfOnamx9h678z3afhUlBVZuZwxi1J_wbE-AJEg/JGmi98IjwFo.jpg</v>
      </c>
      <c r="AJ1108" t="s">
        <v>10</v>
      </c>
      <c r="AK1108" t="s">
        <v>21</v>
      </c>
      <c r="AT1108" t="s">
        <v>3245</v>
      </c>
    </row>
    <row r="1109" spans="1:50" x14ac:dyDescent="0.25">
      <c r="A1109" t="s">
        <v>1982</v>
      </c>
      <c r="B1109" t="s">
        <v>1510</v>
      </c>
      <c r="C1109" t="s">
        <v>968</v>
      </c>
      <c r="D1109" t="s">
        <v>10</v>
      </c>
      <c r="E1109" t="s">
        <v>2039</v>
      </c>
      <c r="F1109" t="s">
        <v>45</v>
      </c>
      <c r="G1109" t="str">
        <f>HYPERLINK("https://vk.com/wall-8241837_1308")</f>
        <v>https://vk.com/wall-8241837_1308</v>
      </c>
      <c r="H1109" t="s">
        <v>885</v>
      </c>
      <c r="I1109" t="s">
        <v>1058</v>
      </c>
      <c r="J1109" t="str">
        <f>HYPERLINK("http://vk.com/id71191578")</f>
        <v>http://vk.com/id71191578</v>
      </c>
      <c r="K1109">
        <v>1008</v>
      </c>
      <c r="L1109" t="s">
        <v>15</v>
      </c>
      <c r="M1109">
        <v>55</v>
      </c>
      <c r="N1109" t="s">
        <v>16</v>
      </c>
      <c r="O1109" t="s">
        <v>1279</v>
      </c>
      <c r="P1109" t="str">
        <f>HYPERLINK("http://vk.com/club8241837")</f>
        <v>http://vk.com/club8241837</v>
      </c>
      <c r="Q1109">
        <v>3195</v>
      </c>
      <c r="R1109" t="s">
        <v>17</v>
      </c>
      <c r="S1109" t="s">
        <v>18</v>
      </c>
      <c r="T1109" t="s">
        <v>1060</v>
      </c>
      <c r="U1109" t="s">
        <v>1061</v>
      </c>
      <c r="W1109">
        <v>1</v>
      </c>
      <c r="X1109">
        <v>1</v>
      </c>
      <c r="AE1109">
        <v>0</v>
      </c>
      <c r="AF1109">
        <v>0</v>
      </c>
      <c r="AJ1109" t="s">
        <v>10</v>
      </c>
      <c r="AK1109" t="s">
        <v>21</v>
      </c>
    </row>
    <row r="1110" spans="1:50" x14ac:dyDescent="0.25">
      <c r="A1110" t="s">
        <v>3100</v>
      </c>
      <c r="B1110" t="s">
        <v>1088</v>
      </c>
      <c r="C1110" t="s">
        <v>968</v>
      </c>
      <c r="D1110" t="s">
        <v>3142</v>
      </c>
      <c r="E1110" t="s">
        <v>1429</v>
      </c>
      <c r="F1110" t="s">
        <v>26</v>
      </c>
      <c r="G1110" t="str">
        <f>HYPERLINK("https://vk.com/wall-121578941_863114?reply=863116")</f>
        <v>https://vk.com/wall-121578941_863114?reply=863116</v>
      </c>
      <c r="H1110" t="s">
        <v>889</v>
      </c>
      <c r="I1110" t="s">
        <v>3143</v>
      </c>
      <c r="J1110" t="str">
        <f>HYPERLINK("http://vk.com/id234216919")</f>
        <v>http://vk.com/id234216919</v>
      </c>
      <c r="K1110">
        <v>7723</v>
      </c>
      <c r="L1110" t="s">
        <v>15</v>
      </c>
      <c r="N1110" t="s">
        <v>16</v>
      </c>
      <c r="O1110" t="s">
        <v>3144</v>
      </c>
      <c r="P1110" t="str">
        <f>HYPERLINK("http://vk.com/club121578941")</f>
        <v>http://vk.com/club121578941</v>
      </c>
      <c r="Q1110">
        <v>27896</v>
      </c>
      <c r="R1110" t="s">
        <v>17</v>
      </c>
      <c r="S1110" t="s">
        <v>18</v>
      </c>
      <c r="T1110" t="s">
        <v>136</v>
      </c>
      <c r="U1110" t="s">
        <v>3145</v>
      </c>
      <c r="AJ1110" t="s">
        <v>10</v>
      </c>
      <c r="AK1110" t="s">
        <v>21</v>
      </c>
      <c r="AO1110" t="s">
        <v>3240</v>
      </c>
    </row>
    <row r="1111" spans="1:50" x14ac:dyDescent="0.25">
      <c r="A1111" t="s">
        <v>7</v>
      </c>
      <c r="B1111" t="s">
        <v>120</v>
      </c>
      <c r="C1111" t="s">
        <v>121</v>
      </c>
      <c r="D1111" t="s">
        <v>24</v>
      </c>
      <c r="E1111" t="s">
        <v>41</v>
      </c>
      <c r="F1111" t="s">
        <v>26</v>
      </c>
      <c r="G1111" t="str">
        <f>HYPERLINK("https://vk.com/wall-197114981_31?reply=1359&amp;thread=1335")</f>
        <v>https://vk.com/wall-197114981_31?reply=1359&amp;thread=1335</v>
      </c>
      <c r="H1111" t="s">
        <v>13</v>
      </c>
      <c r="I1111" t="s">
        <v>27</v>
      </c>
      <c r="J1111" t="str">
        <f>HYPERLINK("http://vk.com/club197114981")</f>
        <v>http://vk.com/club197114981</v>
      </c>
      <c r="K1111">
        <v>38</v>
      </c>
      <c r="L1111" t="s">
        <v>28</v>
      </c>
      <c r="N1111" t="s">
        <v>16</v>
      </c>
      <c r="O1111" t="s">
        <v>27</v>
      </c>
      <c r="P1111" t="str">
        <f>HYPERLINK("http://vk.com/club197114981")</f>
        <v>http://vk.com/club197114981</v>
      </c>
      <c r="Q1111">
        <v>38</v>
      </c>
      <c r="R1111" t="s">
        <v>17</v>
      </c>
      <c r="AJ1111" t="s">
        <v>10</v>
      </c>
      <c r="AK1111" t="s">
        <v>21</v>
      </c>
      <c r="AL1111" t="s">
        <v>3237</v>
      </c>
      <c r="AO1111" t="s">
        <v>3240</v>
      </c>
    </row>
    <row r="1112" spans="1:50" x14ac:dyDescent="0.25">
      <c r="A1112" t="s">
        <v>7</v>
      </c>
      <c r="B1112" t="s">
        <v>163</v>
      </c>
      <c r="C1112" t="s">
        <v>164</v>
      </c>
      <c r="D1112" t="s">
        <v>24</v>
      </c>
      <c r="E1112" t="s">
        <v>165</v>
      </c>
      <c r="F1112" t="s">
        <v>26</v>
      </c>
      <c r="G1112" t="str">
        <f>HYPERLINK("https://vk.com/wall-197114981_31?reply=1358&amp;thread=1335")</f>
        <v>https://vk.com/wall-197114981_31?reply=1358&amp;thread=1335</v>
      </c>
      <c r="H1112" t="s">
        <v>13</v>
      </c>
      <c r="I1112" t="s">
        <v>27</v>
      </c>
      <c r="J1112" t="str">
        <f>HYPERLINK("http://vk.com/club197114981")</f>
        <v>http://vk.com/club197114981</v>
      </c>
      <c r="K1112">
        <v>38</v>
      </c>
      <c r="L1112" t="s">
        <v>28</v>
      </c>
      <c r="N1112" t="s">
        <v>16</v>
      </c>
      <c r="O1112" t="s">
        <v>27</v>
      </c>
      <c r="P1112" t="str">
        <f>HYPERLINK("http://vk.com/club197114981")</f>
        <v>http://vk.com/club197114981</v>
      </c>
      <c r="Q1112">
        <v>38</v>
      </c>
      <c r="R1112" t="s">
        <v>17</v>
      </c>
      <c r="AJ1112" t="s">
        <v>10</v>
      </c>
      <c r="AK1112" t="s">
        <v>21</v>
      </c>
    </row>
    <row r="1113" spans="1:50" x14ac:dyDescent="0.25">
      <c r="A1113" t="s">
        <v>7</v>
      </c>
      <c r="B1113" t="s">
        <v>226</v>
      </c>
      <c r="C1113" t="s">
        <v>227</v>
      </c>
      <c r="D1113" t="s">
        <v>24</v>
      </c>
      <c r="E1113" t="s">
        <v>229</v>
      </c>
      <c r="F1113" t="s">
        <v>26</v>
      </c>
      <c r="G1113" t="str">
        <f>HYPERLINK("https://vk.com/wall-197114981_31?reply=1355")</f>
        <v>https://vk.com/wall-197114981_31?reply=1355</v>
      </c>
      <c r="H1113" t="s">
        <v>13</v>
      </c>
      <c r="I1113" t="s">
        <v>230</v>
      </c>
      <c r="J1113" t="str">
        <f>HYPERLINK("http://vk.com/id556936861")</f>
        <v>http://vk.com/id556936861</v>
      </c>
      <c r="K1113">
        <v>165</v>
      </c>
      <c r="L1113" t="s">
        <v>80</v>
      </c>
      <c r="N1113" t="s">
        <v>16</v>
      </c>
      <c r="O1113" t="s">
        <v>27</v>
      </c>
      <c r="P1113" t="str">
        <f>HYPERLINK("http://vk.com/club197114981")</f>
        <v>http://vk.com/club197114981</v>
      </c>
      <c r="Q1113">
        <v>38</v>
      </c>
      <c r="R1113" t="s">
        <v>17</v>
      </c>
      <c r="S1113" t="s">
        <v>18</v>
      </c>
      <c r="T1113" t="s">
        <v>231</v>
      </c>
      <c r="U1113" t="s">
        <v>232</v>
      </c>
      <c r="AJ1113" t="s">
        <v>10</v>
      </c>
      <c r="AK1113" t="s">
        <v>21</v>
      </c>
    </row>
    <row r="1114" spans="1:50" x14ac:dyDescent="0.25">
      <c r="A1114" t="s">
        <v>7</v>
      </c>
      <c r="B1114" t="s">
        <v>355</v>
      </c>
      <c r="C1114" t="s">
        <v>356</v>
      </c>
      <c r="D1114" t="s">
        <v>24</v>
      </c>
      <c r="E1114" t="s">
        <v>357</v>
      </c>
      <c r="F1114" t="s">
        <v>26</v>
      </c>
      <c r="G1114" t="str">
        <f>HYPERLINK("https://vk.com/wall-197114981_31?reply=1316&amp;thread=1263")</f>
        <v>https://vk.com/wall-197114981_31?reply=1316&amp;thread=1263</v>
      </c>
      <c r="H1114" t="s">
        <v>13</v>
      </c>
      <c r="I1114" t="s">
        <v>27</v>
      </c>
      <c r="J1114" t="str">
        <f>HYPERLINK("http://vk.com/club197114981")</f>
        <v>http://vk.com/club197114981</v>
      </c>
      <c r="K1114">
        <v>38</v>
      </c>
      <c r="L1114" t="s">
        <v>28</v>
      </c>
      <c r="N1114" t="s">
        <v>16</v>
      </c>
      <c r="O1114" t="s">
        <v>27</v>
      </c>
      <c r="P1114" t="str">
        <f>HYPERLINK("http://vk.com/club197114981")</f>
        <v>http://vk.com/club197114981</v>
      </c>
      <c r="Q1114">
        <v>38</v>
      </c>
      <c r="R1114" t="s">
        <v>17</v>
      </c>
      <c r="AJ1114" t="s">
        <v>10</v>
      </c>
      <c r="AK1114" t="s">
        <v>21</v>
      </c>
      <c r="AV1114" t="s">
        <v>3247</v>
      </c>
      <c r="AX1114" t="s">
        <v>3249</v>
      </c>
    </row>
    <row r="1115" spans="1:50" x14ac:dyDescent="0.25">
      <c r="A1115" t="s">
        <v>7</v>
      </c>
      <c r="B1115" t="s">
        <v>361</v>
      </c>
      <c r="C1115" t="s">
        <v>362</v>
      </c>
      <c r="D1115" t="s">
        <v>24</v>
      </c>
      <c r="E1115" t="s">
        <v>25</v>
      </c>
      <c r="F1115" t="s">
        <v>26</v>
      </c>
      <c r="G1115" t="str">
        <f>HYPERLINK("https://vk.com/wall-197114981_31?reply=1314&amp;thread=1236")</f>
        <v>https://vk.com/wall-197114981_31?reply=1314&amp;thread=1236</v>
      </c>
      <c r="H1115" t="s">
        <v>13</v>
      </c>
      <c r="I1115" t="s">
        <v>27</v>
      </c>
      <c r="J1115" t="str">
        <f>HYPERLINK("http://vk.com/club197114981")</f>
        <v>http://vk.com/club197114981</v>
      </c>
      <c r="K1115">
        <v>38</v>
      </c>
      <c r="L1115" t="s">
        <v>28</v>
      </c>
      <c r="N1115" t="s">
        <v>16</v>
      </c>
      <c r="O1115" t="s">
        <v>27</v>
      </c>
      <c r="P1115" t="str">
        <f>HYPERLINK("http://vk.com/club197114981")</f>
        <v>http://vk.com/club197114981</v>
      </c>
      <c r="Q1115">
        <v>38</v>
      </c>
      <c r="R1115" t="s">
        <v>17</v>
      </c>
      <c r="AJ1115" t="s">
        <v>10</v>
      </c>
      <c r="AK1115" t="s">
        <v>21</v>
      </c>
      <c r="AM1115" t="s">
        <v>3238</v>
      </c>
      <c r="AV1115" t="s">
        <v>3247</v>
      </c>
      <c r="AW1115" t="s">
        <v>3248</v>
      </c>
    </row>
    <row r="1116" spans="1:50" x14ac:dyDescent="0.25">
      <c r="A1116" t="s">
        <v>414</v>
      </c>
      <c r="B1116" t="s">
        <v>455</v>
      </c>
      <c r="C1116" t="s">
        <v>456</v>
      </c>
      <c r="D1116" t="s">
        <v>24</v>
      </c>
      <c r="E1116" t="s">
        <v>74</v>
      </c>
      <c r="F1116" t="s">
        <v>26</v>
      </c>
      <c r="G1116" t="str">
        <f>HYPERLINK("https://vk.com/wall-197114981_31?reply=1265&amp;thread=1236")</f>
        <v>https://vk.com/wall-197114981_31?reply=1265&amp;thread=1236</v>
      </c>
      <c r="H1116" t="s">
        <v>13</v>
      </c>
      <c r="I1116" t="s">
        <v>27</v>
      </c>
      <c r="J1116" t="str">
        <f>HYPERLINK("http://vk.com/club197114981")</f>
        <v>http://vk.com/club197114981</v>
      </c>
      <c r="K1116">
        <v>38</v>
      </c>
      <c r="L1116" t="s">
        <v>28</v>
      </c>
      <c r="N1116" t="s">
        <v>16</v>
      </c>
      <c r="O1116" t="s">
        <v>27</v>
      </c>
      <c r="P1116" t="str">
        <f>HYPERLINK("http://vk.com/club197114981")</f>
        <v>http://vk.com/club197114981</v>
      </c>
      <c r="Q1116">
        <v>38</v>
      </c>
      <c r="R1116" t="s">
        <v>17</v>
      </c>
      <c r="AJ1116" t="s">
        <v>10</v>
      </c>
      <c r="AK1116" t="s">
        <v>21</v>
      </c>
    </row>
    <row r="1117" spans="1:50" x14ac:dyDescent="0.25">
      <c r="A1117" t="s">
        <v>414</v>
      </c>
      <c r="B1117" t="s">
        <v>470</v>
      </c>
      <c r="C1117" t="s">
        <v>471</v>
      </c>
      <c r="D1117" t="s">
        <v>24</v>
      </c>
      <c r="E1117" t="s">
        <v>472</v>
      </c>
      <c r="F1117" t="s">
        <v>26</v>
      </c>
      <c r="G1117" t="str">
        <f>HYPERLINK("https://vk.com/wall-197114981_31?reply=1258&amp;thread=1257")</f>
        <v>https://vk.com/wall-197114981_31?reply=1258&amp;thread=1257</v>
      </c>
      <c r="H1117" t="s">
        <v>13</v>
      </c>
      <c r="I1117" t="s">
        <v>27</v>
      </c>
      <c r="J1117" t="str">
        <f>HYPERLINK("http://vk.com/club197114981")</f>
        <v>http://vk.com/club197114981</v>
      </c>
      <c r="K1117">
        <v>38</v>
      </c>
      <c r="L1117" t="s">
        <v>28</v>
      </c>
      <c r="N1117" t="s">
        <v>16</v>
      </c>
      <c r="O1117" t="s">
        <v>27</v>
      </c>
      <c r="P1117" t="str">
        <f>HYPERLINK("http://vk.com/club197114981")</f>
        <v>http://vk.com/club197114981</v>
      </c>
      <c r="Q1117">
        <v>38</v>
      </c>
      <c r="R1117" t="s">
        <v>17</v>
      </c>
      <c r="AJ1117" t="s">
        <v>10</v>
      </c>
      <c r="AK1117" t="s">
        <v>21</v>
      </c>
      <c r="AM1117" t="s">
        <v>3238</v>
      </c>
    </row>
    <row r="1118" spans="1:50" x14ac:dyDescent="0.25">
      <c r="A1118" t="s">
        <v>414</v>
      </c>
      <c r="B1118" t="s">
        <v>507</v>
      </c>
      <c r="C1118" t="s">
        <v>508</v>
      </c>
      <c r="D1118" t="s">
        <v>24</v>
      </c>
      <c r="E1118" t="s">
        <v>376</v>
      </c>
      <c r="F1118" t="s">
        <v>26</v>
      </c>
      <c r="G1118" t="str">
        <f>HYPERLINK("https://vk.com/wall-197114981_31?reply=1242&amp;thread=1240")</f>
        <v>https://vk.com/wall-197114981_31?reply=1242&amp;thread=1240</v>
      </c>
      <c r="H1118" t="s">
        <v>13</v>
      </c>
      <c r="I1118" t="s">
        <v>27</v>
      </c>
      <c r="J1118" t="str">
        <f>HYPERLINK("http://vk.com/club197114981")</f>
        <v>http://vk.com/club197114981</v>
      </c>
      <c r="K1118">
        <v>38</v>
      </c>
      <c r="L1118" t="s">
        <v>28</v>
      </c>
      <c r="N1118" t="s">
        <v>16</v>
      </c>
      <c r="O1118" t="s">
        <v>27</v>
      </c>
      <c r="P1118" t="str">
        <f>HYPERLINK("http://vk.com/club197114981")</f>
        <v>http://vk.com/club197114981</v>
      </c>
      <c r="Q1118">
        <v>38</v>
      </c>
      <c r="R1118" t="s">
        <v>17</v>
      </c>
      <c r="AJ1118" t="s">
        <v>10</v>
      </c>
      <c r="AK1118" t="s">
        <v>21</v>
      </c>
    </row>
    <row r="1119" spans="1:50" x14ac:dyDescent="0.25">
      <c r="A1119" t="s">
        <v>414</v>
      </c>
      <c r="B1119" t="s">
        <v>509</v>
      </c>
      <c r="C1119" t="s">
        <v>510</v>
      </c>
      <c r="D1119" t="s">
        <v>24</v>
      </c>
      <c r="E1119" t="s">
        <v>512</v>
      </c>
      <c r="F1119" t="s">
        <v>26</v>
      </c>
      <c r="G1119" t="str">
        <f>HYPERLINK("https://vk.com/wall-197114981_31?reply=1240")</f>
        <v>https://vk.com/wall-197114981_31?reply=1240</v>
      </c>
      <c r="H1119" t="s">
        <v>13</v>
      </c>
      <c r="I1119" t="s">
        <v>247</v>
      </c>
      <c r="J1119" t="str">
        <f>HYPERLINK("http://vk.com/id38095165")</f>
        <v>http://vk.com/id38095165</v>
      </c>
      <c r="K1119">
        <v>1193</v>
      </c>
      <c r="L1119" t="s">
        <v>80</v>
      </c>
      <c r="N1119" t="s">
        <v>16</v>
      </c>
      <c r="O1119" t="s">
        <v>27</v>
      </c>
      <c r="P1119" t="str">
        <f>HYPERLINK("http://vk.com/club197114981")</f>
        <v>http://vk.com/club197114981</v>
      </c>
      <c r="Q1119">
        <v>38</v>
      </c>
      <c r="R1119" t="s">
        <v>17</v>
      </c>
      <c r="S1119" t="s">
        <v>18</v>
      </c>
      <c r="T1119" t="s">
        <v>248</v>
      </c>
      <c r="U1119" t="s">
        <v>249</v>
      </c>
      <c r="AJ1119" t="s">
        <v>10</v>
      </c>
      <c r="AK1119" t="s">
        <v>21</v>
      </c>
      <c r="AL1119" t="s">
        <v>3237</v>
      </c>
    </row>
    <row r="1120" spans="1:50" x14ac:dyDescent="0.25">
      <c r="A1120" t="s">
        <v>414</v>
      </c>
      <c r="B1120" t="s">
        <v>554</v>
      </c>
      <c r="C1120" t="s">
        <v>555</v>
      </c>
      <c r="D1120" t="s">
        <v>24</v>
      </c>
      <c r="E1120" t="s">
        <v>556</v>
      </c>
      <c r="F1120" t="s">
        <v>26</v>
      </c>
      <c r="G1120" t="str">
        <f>HYPERLINK("https://vk.com/wall-197114981_31?reply=1233&amp;thread=1232")</f>
        <v>https://vk.com/wall-197114981_31?reply=1233&amp;thread=1232</v>
      </c>
      <c r="H1120" t="s">
        <v>13</v>
      </c>
      <c r="I1120" t="s">
        <v>27</v>
      </c>
      <c r="J1120" t="str">
        <f>HYPERLINK("http://vk.com/club197114981")</f>
        <v>http://vk.com/club197114981</v>
      </c>
      <c r="K1120">
        <v>38</v>
      </c>
      <c r="L1120" t="s">
        <v>28</v>
      </c>
      <c r="N1120" t="s">
        <v>16</v>
      </c>
      <c r="O1120" t="s">
        <v>27</v>
      </c>
      <c r="P1120" t="str">
        <f>HYPERLINK("http://vk.com/club197114981")</f>
        <v>http://vk.com/club197114981</v>
      </c>
      <c r="Q1120">
        <v>38</v>
      </c>
      <c r="R1120" t="s">
        <v>17</v>
      </c>
      <c r="AJ1120" t="s">
        <v>10</v>
      </c>
      <c r="AK1120" t="s">
        <v>21</v>
      </c>
      <c r="AV1120" t="s">
        <v>3247</v>
      </c>
      <c r="AW1120" t="s">
        <v>3248</v>
      </c>
      <c r="AX1120" t="s">
        <v>3249</v>
      </c>
    </row>
    <row r="1121" spans="1:50" x14ac:dyDescent="0.25">
      <c r="A1121" t="s">
        <v>414</v>
      </c>
      <c r="B1121" t="s">
        <v>554</v>
      </c>
      <c r="C1121" t="s">
        <v>555</v>
      </c>
      <c r="D1121" t="s">
        <v>24</v>
      </c>
      <c r="E1121" t="s">
        <v>557</v>
      </c>
      <c r="F1121" t="s">
        <v>26</v>
      </c>
      <c r="G1121" t="str">
        <f>HYPERLINK("https://vk.com/wall-197114981_31?reply=1232")</f>
        <v>https://vk.com/wall-197114981_31?reply=1232</v>
      </c>
      <c r="H1121" t="s">
        <v>13</v>
      </c>
      <c r="I1121" t="s">
        <v>558</v>
      </c>
      <c r="J1121" t="str">
        <f>HYPERLINK("http://vk.com/id8978275")</f>
        <v>http://vk.com/id8978275</v>
      </c>
      <c r="K1121">
        <v>344</v>
      </c>
      <c r="L1121" t="s">
        <v>80</v>
      </c>
      <c r="M1121">
        <v>31</v>
      </c>
      <c r="N1121" t="s">
        <v>16</v>
      </c>
      <c r="O1121" t="s">
        <v>27</v>
      </c>
      <c r="P1121" t="str">
        <f>HYPERLINK("http://vk.com/club197114981")</f>
        <v>http://vk.com/club197114981</v>
      </c>
      <c r="Q1121">
        <v>38</v>
      </c>
      <c r="R1121" t="s">
        <v>17</v>
      </c>
      <c r="S1121" t="s">
        <v>18</v>
      </c>
      <c r="T1121" t="s">
        <v>231</v>
      </c>
      <c r="U1121" t="s">
        <v>232</v>
      </c>
      <c r="AJ1121" t="s">
        <v>10</v>
      </c>
      <c r="AK1121" t="s">
        <v>21</v>
      </c>
      <c r="AT1121" t="s">
        <v>3245</v>
      </c>
      <c r="AU1121" t="s">
        <v>3246</v>
      </c>
      <c r="AV1121" t="s">
        <v>3247</v>
      </c>
      <c r="AW1121" t="s">
        <v>3248</v>
      </c>
      <c r="AX1121" t="s">
        <v>3249</v>
      </c>
    </row>
    <row r="1122" spans="1:50" x14ac:dyDescent="0.25">
      <c r="A1122" t="s">
        <v>414</v>
      </c>
      <c r="B1122" t="s">
        <v>599</v>
      </c>
      <c r="C1122" t="s">
        <v>600</v>
      </c>
      <c r="D1122" t="s">
        <v>24</v>
      </c>
      <c r="E1122" t="s">
        <v>601</v>
      </c>
      <c r="F1122" t="s">
        <v>26</v>
      </c>
      <c r="G1122" t="str">
        <f>HYPERLINK("https://vk.com/wall-197114981_31?reply=1216&amp;thread=1215")</f>
        <v>https://vk.com/wall-197114981_31?reply=1216&amp;thread=1215</v>
      </c>
      <c r="H1122" t="s">
        <v>13</v>
      </c>
      <c r="I1122" t="s">
        <v>27</v>
      </c>
      <c r="J1122" t="str">
        <f>HYPERLINK("http://vk.com/club197114981")</f>
        <v>http://vk.com/club197114981</v>
      </c>
      <c r="K1122">
        <v>38</v>
      </c>
      <c r="L1122" t="s">
        <v>28</v>
      </c>
      <c r="N1122" t="s">
        <v>16</v>
      </c>
      <c r="O1122" t="s">
        <v>27</v>
      </c>
      <c r="P1122" t="str">
        <f>HYPERLINK("http://vk.com/club197114981")</f>
        <v>http://vk.com/club197114981</v>
      </c>
      <c r="Q1122">
        <v>38</v>
      </c>
      <c r="R1122" t="s">
        <v>17</v>
      </c>
      <c r="AJ1122" t="s">
        <v>10</v>
      </c>
      <c r="AK1122" t="s">
        <v>21</v>
      </c>
      <c r="AU1122" t="s">
        <v>3246</v>
      </c>
    </row>
    <row r="1123" spans="1:50" x14ac:dyDescent="0.25">
      <c r="A1123" t="s">
        <v>414</v>
      </c>
      <c r="B1123" t="s">
        <v>599</v>
      </c>
      <c r="C1123" t="s">
        <v>603</v>
      </c>
      <c r="D1123" t="s">
        <v>24</v>
      </c>
      <c r="E1123" t="s">
        <v>602</v>
      </c>
      <c r="F1123" t="s">
        <v>26</v>
      </c>
      <c r="G1123" t="str">
        <f>HYPERLINK("https://vk.com/wall-197114981_31?reply=1213")</f>
        <v>https://vk.com/wall-197114981_31?reply=1213</v>
      </c>
      <c r="H1123" t="s">
        <v>13</v>
      </c>
      <c r="I1123" t="s">
        <v>230</v>
      </c>
      <c r="J1123" t="str">
        <f>HYPERLINK("http://vk.com/id556936861")</f>
        <v>http://vk.com/id556936861</v>
      </c>
      <c r="K1123">
        <v>165</v>
      </c>
      <c r="L1123" t="s">
        <v>80</v>
      </c>
      <c r="N1123" t="s">
        <v>16</v>
      </c>
      <c r="O1123" t="s">
        <v>27</v>
      </c>
      <c r="P1123" t="str">
        <f>HYPERLINK("http://vk.com/club197114981")</f>
        <v>http://vk.com/club197114981</v>
      </c>
      <c r="Q1123">
        <v>38</v>
      </c>
      <c r="R1123" t="s">
        <v>17</v>
      </c>
      <c r="S1123" t="s">
        <v>18</v>
      </c>
      <c r="T1123" t="s">
        <v>231</v>
      </c>
      <c r="U1123" t="s">
        <v>232</v>
      </c>
      <c r="AJ1123" t="s">
        <v>10</v>
      </c>
      <c r="AK1123" t="s">
        <v>21</v>
      </c>
      <c r="AT1123" t="s">
        <v>3245</v>
      </c>
      <c r="AW1123" t="s">
        <v>3248</v>
      </c>
      <c r="AX1123" t="s">
        <v>3249</v>
      </c>
    </row>
    <row r="1124" spans="1:50" x14ac:dyDescent="0.25">
      <c r="A1124" t="s">
        <v>1225</v>
      </c>
      <c r="B1124" t="s">
        <v>1272</v>
      </c>
      <c r="C1124" t="s">
        <v>984</v>
      </c>
      <c r="D1124" t="s">
        <v>10</v>
      </c>
      <c r="E1124" t="s">
        <v>1273</v>
      </c>
      <c r="F1124" t="s">
        <v>45</v>
      </c>
      <c r="G1124" t="str">
        <f>HYPERLINK("https://vk.com/wall-197114981_26")</f>
        <v>https://vk.com/wall-197114981_26</v>
      </c>
      <c r="H1124" t="s">
        <v>885</v>
      </c>
      <c r="I1124" t="s">
        <v>27</v>
      </c>
      <c r="J1124" t="str">
        <f>HYPERLINK("http://vk.com/club197114981")</f>
        <v>http://vk.com/club197114981</v>
      </c>
      <c r="K1124">
        <v>38</v>
      </c>
      <c r="L1124" t="s">
        <v>28</v>
      </c>
      <c r="N1124" t="s">
        <v>16</v>
      </c>
      <c r="O1124" t="s">
        <v>27</v>
      </c>
      <c r="P1124" t="str">
        <f>HYPERLINK("http://vk.com/club197114981")</f>
        <v>http://vk.com/club197114981</v>
      </c>
      <c r="Q1124">
        <v>38</v>
      </c>
      <c r="R1124" t="s">
        <v>17</v>
      </c>
      <c r="W1124">
        <v>1</v>
      </c>
      <c r="X1124">
        <v>1</v>
      </c>
      <c r="AE1124">
        <v>0</v>
      </c>
      <c r="AF1124">
        <v>0</v>
      </c>
      <c r="AG1124">
        <v>78</v>
      </c>
      <c r="AI1124" t="str">
        <f>HYPERLINK("https://sun1-14.userapi.com/rGo58ijtpEGrSuyGoNP3l1lvy7sZLiNlIDdXAQ/aTgyYkb87gY.jpg")</f>
        <v>https://sun1-14.userapi.com/rGo58ijtpEGrSuyGoNP3l1lvy7sZLiNlIDdXAQ/aTgyYkb87gY.jpg</v>
      </c>
      <c r="AJ1124" t="s">
        <v>10</v>
      </c>
      <c r="AK1124" t="s">
        <v>21</v>
      </c>
      <c r="AN1124" t="s">
        <v>3239</v>
      </c>
    </row>
    <row r="1125" spans="1:50" x14ac:dyDescent="0.25">
      <c r="A1125" t="s">
        <v>1462</v>
      </c>
      <c r="B1125" t="s">
        <v>1470</v>
      </c>
      <c r="C1125" t="s">
        <v>984</v>
      </c>
      <c r="D1125" t="s">
        <v>10</v>
      </c>
      <c r="E1125" t="s">
        <v>1471</v>
      </c>
      <c r="F1125" t="s">
        <v>45</v>
      </c>
      <c r="G1125" t="str">
        <f>HYPERLINK("https://www.instagram.com/p/CDTvLeAAapI")</f>
        <v>https://www.instagram.com/p/CDTvLeAAapI</v>
      </c>
      <c r="H1125" t="s">
        <v>889</v>
      </c>
      <c r="I1125" t="s">
        <v>1472</v>
      </c>
      <c r="J1125" t="str">
        <f>HYPERLINK("http://instagram.com/konkyrsi_moscow")</f>
        <v>http://instagram.com/konkyrsi_moscow</v>
      </c>
      <c r="K1125">
        <v>7644</v>
      </c>
      <c r="N1125" t="s">
        <v>69</v>
      </c>
      <c r="O1125" t="s">
        <v>1472</v>
      </c>
      <c r="P1125" t="str">
        <f>HYPERLINK("http://instagram.com/konkyrsi_moscow")</f>
        <v>http://instagram.com/konkyrsi_moscow</v>
      </c>
      <c r="Q1125">
        <v>7644</v>
      </c>
      <c r="R1125" t="s">
        <v>17</v>
      </c>
      <c r="S1125" t="s">
        <v>18</v>
      </c>
      <c r="T1125" t="s">
        <v>354</v>
      </c>
      <c r="U1125" t="s">
        <v>354</v>
      </c>
      <c r="AI1125" t="str">
        <f>HYPERLINK("https://www.instagram.com/p/CDTvLeAAapI/media/?size=l")</f>
        <v>https://www.instagram.com/p/CDTvLeAAapI/media/?size=l</v>
      </c>
      <c r="AJ1125" t="s">
        <v>10</v>
      </c>
      <c r="AK1125" t="s">
        <v>21</v>
      </c>
      <c r="AL1125" t="s">
        <v>3237</v>
      </c>
    </row>
    <row r="1126" spans="1:50" x14ac:dyDescent="0.25">
      <c r="A1126" t="s">
        <v>1723</v>
      </c>
      <c r="B1126" t="s">
        <v>1724</v>
      </c>
      <c r="C1126" t="s">
        <v>984</v>
      </c>
      <c r="D1126" t="s">
        <v>10</v>
      </c>
      <c r="E1126" t="s">
        <v>1725</v>
      </c>
      <c r="F1126" t="s">
        <v>45</v>
      </c>
      <c r="G1126" t="str">
        <f>HYPERLINK("https://www.facebook.com/permalink.php?story_fbid=308611967052614&amp;id=100037114390100")</f>
        <v>https://www.facebook.com/permalink.php?story_fbid=308611967052614&amp;id=100037114390100</v>
      </c>
      <c r="H1126" t="s">
        <v>885</v>
      </c>
      <c r="I1126" t="s">
        <v>1726</v>
      </c>
      <c r="J1126" t="str">
        <f>HYPERLINK("https://www.facebook.com/100037114390100")</f>
        <v>https://www.facebook.com/100037114390100</v>
      </c>
      <c r="K1126">
        <v>2587</v>
      </c>
      <c r="L1126" t="s">
        <v>80</v>
      </c>
      <c r="N1126" t="s">
        <v>179</v>
      </c>
      <c r="O1126" t="s">
        <v>1726</v>
      </c>
      <c r="P1126" t="str">
        <f>HYPERLINK("https://www.facebook.com/100037114390100")</f>
        <v>https://www.facebook.com/100037114390100</v>
      </c>
      <c r="Q1126">
        <v>2587</v>
      </c>
      <c r="R1126" t="s">
        <v>17</v>
      </c>
      <c r="S1126" t="s">
        <v>18</v>
      </c>
      <c r="T1126" t="s">
        <v>725</v>
      </c>
      <c r="U1126" t="s">
        <v>726</v>
      </c>
      <c r="W1126">
        <v>14</v>
      </c>
      <c r="X1126">
        <v>14</v>
      </c>
      <c r="Y1126">
        <v>0</v>
      </c>
      <c r="Z1126">
        <v>0</v>
      </c>
      <c r="AA1126">
        <v>0</v>
      </c>
      <c r="AB1126">
        <v>0</v>
      </c>
      <c r="AC1126">
        <v>0</v>
      </c>
      <c r="AE1126">
        <v>0</v>
      </c>
      <c r="AF1126">
        <v>1</v>
      </c>
      <c r="AI1126" t="str">
        <f>HYPERLINK("https://progorod33.ru/userfiles/picitem/img-55090-15959244494825.jpg")</f>
        <v>https://progorod33.ru/userfiles/picitem/img-55090-15959244494825.jpg</v>
      </c>
      <c r="AJ1126" t="s">
        <v>10</v>
      </c>
      <c r="AK1126" t="s">
        <v>21</v>
      </c>
      <c r="AL1126" t="s">
        <v>3237</v>
      </c>
    </row>
    <row r="1127" spans="1:50" x14ac:dyDescent="0.25">
      <c r="A1127" t="s">
        <v>1723</v>
      </c>
      <c r="B1127" t="s">
        <v>1803</v>
      </c>
      <c r="C1127" t="s">
        <v>984</v>
      </c>
      <c r="D1127" t="s">
        <v>1697</v>
      </c>
      <c r="E1127" t="s">
        <v>1778</v>
      </c>
      <c r="F1127" t="s">
        <v>45</v>
      </c>
      <c r="G1127" t="str">
        <f>HYPERLINK("https://eu.poughkeepsiejournal.com/story/news/coronavirus/2020/07/28/covid-northeast-better-prepared-second-spike/5449927002")</f>
        <v>https://eu.poughkeepsiejournal.com/story/news/coronavirus/2020/07/28/covid-northeast-better-prepared-second-spike/5449927002</v>
      </c>
      <c r="H1127" t="s">
        <v>885</v>
      </c>
      <c r="I1127" t="s">
        <v>1811</v>
      </c>
      <c r="J1127" t="str">
        <f>HYPERLINK("https://www.poughkeepsiejournal.com")</f>
        <v>https://www.poughkeepsiejournal.com</v>
      </c>
      <c r="N1127" t="s">
        <v>1812</v>
      </c>
      <c r="R1127" t="s">
        <v>239</v>
      </c>
      <c r="S1127" t="s">
        <v>425</v>
      </c>
      <c r="AJ1127" t="s">
        <v>10</v>
      </c>
      <c r="AK1127" t="s">
        <v>21</v>
      </c>
      <c r="AL1127" t="s">
        <v>3237</v>
      </c>
    </row>
    <row r="1128" spans="1:50" x14ac:dyDescent="0.25">
      <c r="A1128" t="s">
        <v>1723</v>
      </c>
      <c r="B1128" t="s">
        <v>216</v>
      </c>
      <c r="C1128" t="s">
        <v>984</v>
      </c>
      <c r="D1128" t="s">
        <v>1815</v>
      </c>
      <c r="E1128" t="s">
        <v>1816</v>
      </c>
      <c r="F1128" t="s">
        <v>45</v>
      </c>
      <c r="G1128" t="str">
        <f>HYPERLINK("https://kjivfin.wordpress.com/2020/07/28/why-always-choose-a-best-ivf-centre-in-delhi")</f>
        <v>https://kjivfin.wordpress.com/2020/07/28/why-always-choose-a-best-ivf-centre-in-delhi</v>
      </c>
      <c r="H1128" t="s">
        <v>889</v>
      </c>
      <c r="I1128" t="s">
        <v>1817</v>
      </c>
      <c r="J1128" t="str">
        <f>HYPERLINK("https://kjivfin.wordpress.com/2020/07/28/why-always-choose-a-best-ivf-centre-in-delhi/")</f>
        <v>https://kjivfin.wordpress.com/2020/07/28/why-always-choose-a-best-ivf-centre-in-delhi/</v>
      </c>
      <c r="N1128" t="s">
        <v>1818</v>
      </c>
      <c r="R1128" t="s">
        <v>966</v>
      </c>
      <c r="S1128" t="s">
        <v>425</v>
      </c>
      <c r="AJ1128" t="s">
        <v>10</v>
      </c>
      <c r="AK1128" t="s">
        <v>21</v>
      </c>
      <c r="AL1128" t="s">
        <v>3237</v>
      </c>
      <c r="AN1128" t="s">
        <v>3239</v>
      </c>
      <c r="AO1128" t="s">
        <v>3240</v>
      </c>
    </row>
    <row r="1129" spans="1:50" x14ac:dyDescent="0.25">
      <c r="A1129" t="s">
        <v>2472</v>
      </c>
      <c r="B1129" t="s">
        <v>1235</v>
      </c>
      <c r="C1129" t="s">
        <v>968</v>
      </c>
      <c r="D1129" t="s">
        <v>2484</v>
      </c>
      <c r="E1129" t="s">
        <v>2485</v>
      </c>
      <c r="F1129" t="s">
        <v>45</v>
      </c>
      <c r="G1129" t="str">
        <f>HYPERLINK("https://vrachirf.ru/concilium/76586.html")</f>
        <v>https://vrachirf.ru/concilium/76586.html</v>
      </c>
      <c r="H1129" t="s">
        <v>885</v>
      </c>
      <c r="I1129" t="s">
        <v>1058</v>
      </c>
      <c r="J1129" t="str">
        <f>HYPERLINK("https://vrachirf.ru/users/profile/684679")</f>
        <v>https://vrachirf.ru/users/profile/684679</v>
      </c>
      <c r="L1129" t="s">
        <v>15</v>
      </c>
      <c r="N1129" t="s">
        <v>1059</v>
      </c>
      <c r="O1129" t="s">
        <v>1058</v>
      </c>
      <c r="P1129" t="str">
        <f>HYPERLINK("https://vrachirf.ru/users/profile/684679")</f>
        <v>https://vrachirf.ru/users/profile/684679</v>
      </c>
      <c r="R1129" t="s">
        <v>966</v>
      </c>
      <c r="S1129" t="s">
        <v>18</v>
      </c>
      <c r="T1129" t="s">
        <v>1060</v>
      </c>
      <c r="U1129" t="s">
        <v>1061</v>
      </c>
      <c r="AJ1129" t="s">
        <v>10</v>
      </c>
      <c r="AK1129" t="s">
        <v>21</v>
      </c>
      <c r="AL1129" t="s">
        <v>3237</v>
      </c>
      <c r="AN1129" t="s">
        <v>3239</v>
      </c>
    </row>
    <row r="1130" spans="1:50" x14ac:dyDescent="0.25">
      <c r="A1130" t="s">
        <v>2589</v>
      </c>
      <c r="B1130" t="s">
        <v>2630</v>
      </c>
      <c r="C1130" t="s">
        <v>968</v>
      </c>
      <c r="D1130" t="s">
        <v>10</v>
      </c>
      <c r="E1130" t="s">
        <v>2461</v>
      </c>
      <c r="F1130" t="s">
        <v>45</v>
      </c>
      <c r="G1130" t="str">
        <f>HYPERLINK("https://twitter.com/2978272340/status/1283353689474969607")</f>
        <v>https://twitter.com/2978272340/status/1283353689474969607</v>
      </c>
      <c r="H1130" t="s">
        <v>885</v>
      </c>
      <c r="I1130" t="s">
        <v>2423</v>
      </c>
      <c r="J1130" t="str">
        <f>HYPERLINK("http://twitter.com/Rasyog_Ayurved")</f>
        <v>http://twitter.com/Rasyog_Ayurved</v>
      </c>
      <c r="K1130">
        <v>1</v>
      </c>
      <c r="N1130" t="s">
        <v>54</v>
      </c>
      <c r="R1130" t="s">
        <v>17</v>
      </c>
      <c r="S1130" t="s">
        <v>1206</v>
      </c>
      <c r="T1130" t="s">
        <v>1250</v>
      </c>
      <c r="U1130" t="s">
        <v>2424</v>
      </c>
      <c r="AI1130" t="str">
        <f>HYPERLINK("https://pbs.twimg.com/media/Ec9jLzMWkAAEzS3.png")</f>
        <v>https://pbs.twimg.com/media/Ec9jLzMWkAAEzS3.png</v>
      </c>
      <c r="AJ1130" t="s">
        <v>10</v>
      </c>
      <c r="AK1130" t="s">
        <v>21</v>
      </c>
      <c r="AL1130" t="s">
        <v>3237</v>
      </c>
      <c r="AN1130" t="s">
        <v>3239</v>
      </c>
    </row>
    <row r="1131" spans="1:50" x14ac:dyDescent="0.25">
      <c r="A1131" t="s">
        <v>2767</v>
      </c>
      <c r="B1131" t="s">
        <v>2814</v>
      </c>
      <c r="C1131" t="s">
        <v>968</v>
      </c>
      <c r="D1131" t="s">
        <v>10</v>
      </c>
      <c r="E1131" t="s">
        <v>2815</v>
      </c>
      <c r="F1131" t="s">
        <v>45</v>
      </c>
      <c r="G1131" t="str">
        <f>HYPERLINK("https://vk.com/wall-90249179_7871")</f>
        <v>https://vk.com/wall-90249179_7871</v>
      </c>
      <c r="H1131" t="s">
        <v>1057</v>
      </c>
      <c r="I1131" t="s">
        <v>1061</v>
      </c>
      <c r="J1131" t="str">
        <f>HYPERLINK("http://vk.com/club90249179")</f>
        <v>http://vk.com/club90249179</v>
      </c>
      <c r="K1131">
        <v>691</v>
      </c>
      <c r="L1131" t="s">
        <v>28</v>
      </c>
      <c r="N1131" t="s">
        <v>16</v>
      </c>
      <c r="O1131" t="s">
        <v>1061</v>
      </c>
      <c r="P1131" t="str">
        <f>HYPERLINK("http://vk.com/club90249179")</f>
        <v>http://vk.com/club90249179</v>
      </c>
      <c r="Q1131">
        <v>691</v>
      </c>
      <c r="R1131" t="s">
        <v>17</v>
      </c>
      <c r="W1131">
        <v>0</v>
      </c>
      <c r="X1131">
        <v>0</v>
      </c>
      <c r="AE1131">
        <v>0</v>
      </c>
      <c r="AF1131">
        <v>0</v>
      </c>
      <c r="AG1131">
        <v>3</v>
      </c>
      <c r="AJ1131" t="s">
        <v>10</v>
      </c>
      <c r="AK1131" t="s">
        <v>21</v>
      </c>
      <c r="AN1131" t="s">
        <v>3239</v>
      </c>
    </row>
    <row r="1132" spans="1:50" x14ac:dyDescent="0.25">
      <c r="A1132" t="s">
        <v>3021</v>
      </c>
      <c r="B1132" t="s">
        <v>3076</v>
      </c>
      <c r="C1132" t="s">
        <v>968</v>
      </c>
      <c r="D1132" t="s">
        <v>992</v>
      </c>
      <c r="E1132" t="s">
        <v>3077</v>
      </c>
      <c r="F1132" t="s">
        <v>26</v>
      </c>
      <c r="G1132" t="str">
        <f>HYPERLINK("https://www.google.com/maps/reviews/data=!4m5!14m4!1m3!1m2!1s106794399097737081888!2s0x0:0xcefba63f54cda536?hl=en-NL")</f>
        <v>https://www.google.com/maps/reviews/data=!4m5!14m4!1m3!1m2!1s106794399097737081888!2s0x0:0xcefba63f54cda536?hl=en-NL</v>
      </c>
      <c r="H1132" t="s">
        <v>885</v>
      </c>
      <c r="I1132" t="s">
        <v>992</v>
      </c>
      <c r="J1132" t="str">
        <f>HYPERLINK("https://maps.google.com/maps/place/data=!3m1!4b1!4m5!3m4!1s0x0:0xcefba63f54cda536!8m2!3d55.982240!4d37.214280")</f>
        <v>https://maps.google.com/maps/place/data=!3m1!4b1!4m5!3m4!1s0x0:0xcefba63f54cda536!8m2!3d55.982240!4d37.214280</v>
      </c>
      <c r="N1132" t="s">
        <v>615</v>
      </c>
      <c r="O1132" t="s">
        <v>992</v>
      </c>
      <c r="P1132" t="str">
        <f>HYPERLINK("https://maps.google.com/maps/place/data=!3m1!4b1!4m5!3m4!1s0x0:0xcefba63f54cda536!8m2!3d55.982240!4d37.214280")</f>
        <v>https://maps.google.com/maps/place/data=!3m1!4b1!4m5!3m4!1s0x0:0xcefba63f54cda536!8m2!3d55.982240!4d37.214280</v>
      </c>
      <c r="R1132" t="s">
        <v>616</v>
      </c>
      <c r="S1132" t="s">
        <v>18</v>
      </c>
      <c r="T1132" t="s">
        <v>766</v>
      </c>
      <c r="U1132" t="s">
        <v>994</v>
      </c>
      <c r="AJ1132" t="s">
        <v>10</v>
      </c>
      <c r="AK1132" t="s">
        <v>21</v>
      </c>
      <c r="AN1132" t="s">
        <v>3239</v>
      </c>
    </row>
    <row r="1133" spans="1:50" x14ac:dyDescent="0.25">
      <c r="A1133" t="s">
        <v>3100</v>
      </c>
      <c r="B1133" t="s">
        <v>2545</v>
      </c>
      <c r="C1133" t="s">
        <v>968</v>
      </c>
      <c r="D1133" t="s">
        <v>421</v>
      </c>
      <c r="E1133" t="s">
        <v>3116</v>
      </c>
      <c r="F1133" t="s">
        <v>26</v>
      </c>
      <c r="G1133" t="str">
        <f>HYPERLINK("https://www.youtube.com/watch?v=gaka1vqYFNs&amp;lc=UgxX50LaOvhkYkZrzMd4AaABAg")</f>
        <v>https://www.youtube.com/watch?v=gaka1vqYFNs&amp;lc=UgxX50LaOvhkYkZrzMd4AaABAg</v>
      </c>
      <c r="H1133" t="s">
        <v>1057</v>
      </c>
      <c r="I1133" t="s">
        <v>3117</v>
      </c>
      <c r="J1133" t="str">
        <f>HYPERLINK("https://www.youtube.com/channel/UCGFVfs16QIsLtgIFRPWPItA")</f>
        <v>https://www.youtube.com/channel/UCGFVfs16QIsLtgIFRPWPItA</v>
      </c>
      <c r="K1133">
        <v>0</v>
      </c>
      <c r="N1133" t="s">
        <v>162</v>
      </c>
      <c r="O1133" t="s">
        <v>424</v>
      </c>
      <c r="P1133" t="str">
        <f>HYPERLINK("https://www.youtube.com/channel/UC8fQzKHIhSoZeSq3bwQx4mw")</f>
        <v>https://www.youtube.com/channel/UC8fQzKHIhSoZeSq3bwQx4mw</v>
      </c>
      <c r="Q1133">
        <v>517000</v>
      </c>
      <c r="R1133" t="s">
        <v>17</v>
      </c>
      <c r="S1133" t="s">
        <v>425</v>
      </c>
      <c r="W1133">
        <v>0</v>
      </c>
      <c r="X1133">
        <v>0</v>
      </c>
      <c r="AE1133">
        <v>0</v>
      </c>
      <c r="AJ1133" t="s">
        <v>10</v>
      </c>
      <c r="AK1133" t="s">
        <v>21</v>
      </c>
      <c r="AN1133" t="s">
        <v>3239</v>
      </c>
    </row>
    <row r="1134" spans="1:50" x14ac:dyDescent="0.25">
      <c r="A1134" t="s">
        <v>3100</v>
      </c>
      <c r="B1134" t="s">
        <v>1489</v>
      </c>
      <c r="C1134" t="s">
        <v>968</v>
      </c>
      <c r="D1134" t="s">
        <v>10</v>
      </c>
      <c r="E1134" t="s">
        <v>3164</v>
      </c>
      <c r="F1134" t="s">
        <v>12</v>
      </c>
      <c r="G1134" t="str">
        <f>HYPERLINK("https://vk.com/wall367451629_388")</f>
        <v>https://vk.com/wall367451629_388</v>
      </c>
      <c r="H1134" t="s">
        <v>885</v>
      </c>
      <c r="I1134" t="s">
        <v>1173</v>
      </c>
      <c r="J1134" t="str">
        <f>HYPERLINK("http://vk.com/id367451629")</f>
        <v>http://vk.com/id367451629</v>
      </c>
      <c r="K1134">
        <v>402</v>
      </c>
      <c r="L1134" t="s">
        <v>15</v>
      </c>
      <c r="N1134" t="s">
        <v>16</v>
      </c>
      <c r="O1134" t="s">
        <v>1173</v>
      </c>
      <c r="P1134" t="str">
        <f>HYPERLINK("http://vk.com/id367451629")</f>
        <v>http://vk.com/id367451629</v>
      </c>
      <c r="Q1134">
        <v>402</v>
      </c>
      <c r="R1134" t="s">
        <v>17</v>
      </c>
      <c r="S1134" t="s">
        <v>18</v>
      </c>
      <c r="T1134" t="s">
        <v>70</v>
      </c>
      <c r="U1134" t="s">
        <v>71</v>
      </c>
      <c r="W1134">
        <v>0</v>
      </c>
      <c r="X1134">
        <v>0</v>
      </c>
      <c r="AE1134">
        <v>0</v>
      </c>
      <c r="AF1134">
        <v>0</v>
      </c>
      <c r="AG1134">
        <v>14</v>
      </c>
      <c r="AI1134" t="str">
        <f>HYPERLINK("https://sun1-91.userapi.com/QPVvj0h-kWTCCad1gQ0vaJlsuhLp9r6jS1EiDA/KNnyizfF0Fk.jpg")</f>
        <v>https://sun1-91.userapi.com/QPVvj0h-kWTCCad1gQ0vaJlsuhLp9r6jS1EiDA/KNnyizfF0Fk.jpg</v>
      </c>
      <c r="AJ1134" t="s">
        <v>10</v>
      </c>
      <c r="AK1134" t="s">
        <v>21</v>
      </c>
      <c r="AN1134" t="s">
        <v>3239</v>
      </c>
    </row>
    <row r="1135" spans="1:50" x14ac:dyDescent="0.25">
      <c r="A1135" t="s">
        <v>7</v>
      </c>
      <c r="B1135" t="s">
        <v>31</v>
      </c>
      <c r="C1135" t="s">
        <v>32</v>
      </c>
      <c r="D1135" t="s">
        <v>33</v>
      </c>
      <c r="E1135" t="s">
        <v>34</v>
      </c>
      <c r="F1135" t="s">
        <v>26</v>
      </c>
      <c r="G1135" t="str">
        <f>HYPERLINK("https://vk.com/wall-97208796_931?reply=933&amp;thread=932")</f>
        <v>https://vk.com/wall-97208796_931?reply=933&amp;thread=932</v>
      </c>
      <c r="H1135" t="s">
        <v>13</v>
      </c>
      <c r="I1135" t="s">
        <v>35</v>
      </c>
      <c r="J1135" t="str">
        <f>HYPERLINK("http://vk.com/id155789253")</f>
        <v>http://vk.com/id155789253</v>
      </c>
      <c r="K1135">
        <v>778</v>
      </c>
      <c r="L1135" t="s">
        <v>15</v>
      </c>
      <c r="N1135" t="s">
        <v>16</v>
      </c>
      <c r="O1135" t="s">
        <v>36</v>
      </c>
      <c r="P1135" t="str">
        <f>HYPERLINK("http://vk.com/club97208796")</f>
        <v>http://vk.com/club97208796</v>
      </c>
      <c r="Q1135">
        <v>3425</v>
      </c>
      <c r="R1135" t="s">
        <v>17</v>
      </c>
      <c r="S1135" t="s">
        <v>18</v>
      </c>
      <c r="T1135" t="s">
        <v>37</v>
      </c>
      <c r="U1135" t="s">
        <v>38</v>
      </c>
      <c r="AJ1135" t="s">
        <v>10</v>
      </c>
      <c r="AK1135" t="s">
        <v>21</v>
      </c>
      <c r="AN1135" t="s">
        <v>3239</v>
      </c>
    </row>
    <row r="1136" spans="1:50" x14ac:dyDescent="0.25">
      <c r="A1136" t="s">
        <v>414</v>
      </c>
      <c r="B1136" t="s">
        <v>533</v>
      </c>
      <c r="C1136" t="s">
        <v>535</v>
      </c>
      <c r="D1136" t="s">
        <v>24</v>
      </c>
      <c r="E1136" t="s">
        <v>536</v>
      </c>
      <c r="F1136" t="s">
        <v>26</v>
      </c>
      <c r="G1136" t="str">
        <f>HYPERLINK("https://vk.com/wall-197114981_31?reply=1237&amp;thread=1236")</f>
        <v>https://vk.com/wall-197114981_31?reply=1237&amp;thread=1236</v>
      </c>
      <c r="H1136" t="s">
        <v>13</v>
      </c>
      <c r="I1136" t="s">
        <v>27</v>
      </c>
      <c r="J1136" t="str">
        <f>HYPERLINK("http://vk.com/club197114981")</f>
        <v>http://vk.com/club197114981</v>
      </c>
      <c r="K1136">
        <v>38</v>
      </c>
      <c r="L1136" t="s">
        <v>28</v>
      </c>
      <c r="N1136" t="s">
        <v>16</v>
      </c>
      <c r="O1136" t="s">
        <v>27</v>
      </c>
      <c r="P1136" t="str">
        <f>HYPERLINK("http://vk.com/club197114981")</f>
        <v>http://vk.com/club197114981</v>
      </c>
      <c r="Q1136">
        <v>38</v>
      </c>
      <c r="R1136" t="s">
        <v>17</v>
      </c>
      <c r="AJ1136" t="s">
        <v>10</v>
      </c>
      <c r="AK1136" t="s">
        <v>21</v>
      </c>
      <c r="AL1136" t="s">
        <v>3237</v>
      </c>
      <c r="AX1136" t="s">
        <v>3249</v>
      </c>
    </row>
    <row r="1137" spans="1:50" x14ac:dyDescent="0.25">
      <c r="A1137" t="s">
        <v>414</v>
      </c>
      <c r="B1137" t="s">
        <v>533</v>
      </c>
      <c r="C1137" t="s">
        <v>529</v>
      </c>
      <c r="D1137" t="s">
        <v>24</v>
      </c>
      <c r="E1137" t="s">
        <v>537</v>
      </c>
      <c r="F1137" t="s">
        <v>26</v>
      </c>
      <c r="G1137" t="str">
        <f>HYPERLINK("https://vk.com/wall-197114981_31?reply=1236")</f>
        <v>https://vk.com/wall-197114981_31?reply=1236</v>
      </c>
      <c r="H1137" t="s">
        <v>13</v>
      </c>
      <c r="I1137" t="s">
        <v>538</v>
      </c>
      <c r="J1137" t="str">
        <f>HYPERLINK("http://vk.com/id258629855")</f>
        <v>http://vk.com/id258629855</v>
      </c>
      <c r="K1137">
        <v>68</v>
      </c>
      <c r="L1137" t="s">
        <v>80</v>
      </c>
      <c r="N1137" t="s">
        <v>16</v>
      </c>
      <c r="O1137" t="s">
        <v>27</v>
      </c>
      <c r="P1137" t="str">
        <f>HYPERLINK("http://vk.com/club197114981")</f>
        <v>http://vk.com/club197114981</v>
      </c>
      <c r="Q1137">
        <v>38</v>
      </c>
      <c r="R1137" t="s">
        <v>17</v>
      </c>
      <c r="S1137" t="s">
        <v>18</v>
      </c>
      <c r="T1137" t="s">
        <v>231</v>
      </c>
      <c r="U1137" t="s">
        <v>232</v>
      </c>
      <c r="AJ1137" t="s">
        <v>10</v>
      </c>
      <c r="AK1137" t="s">
        <v>21</v>
      </c>
      <c r="AX1137" t="s">
        <v>3249</v>
      </c>
    </row>
    <row r="1138" spans="1:50" x14ac:dyDescent="0.25">
      <c r="A1138" t="s">
        <v>772</v>
      </c>
      <c r="B1138" t="s">
        <v>895</v>
      </c>
      <c r="C1138" t="s">
        <v>896</v>
      </c>
      <c r="D1138" t="s">
        <v>24</v>
      </c>
      <c r="E1138" t="s">
        <v>898</v>
      </c>
      <c r="F1138" t="s">
        <v>26</v>
      </c>
      <c r="G1138" t="str">
        <f>HYPERLINK("https://vk.com/wall-197114981_31?reply=1121")</f>
        <v>https://vk.com/wall-197114981_31?reply=1121</v>
      </c>
      <c r="H1138" t="s">
        <v>885</v>
      </c>
      <c r="I1138" t="s">
        <v>247</v>
      </c>
      <c r="J1138" t="str">
        <f>HYPERLINK("http://vk.com/id38095165")</f>
        <v>http://vk.com/id38095165</v>
      </c>
      <c r="K1138">
        <v>1193</v>
      </c>
      <c r="L1138" t="s">
        <v>80</v>
      </c>
      <c r="N1138" t="s">
        <v>16</v>
      </c>
      <c r="O1138" t="s">
        <v>27</v>
      </c>
      <c r="P1138" t="str">
        <f>HYPERLINK("http://vk.com/club197114981")</f>
        <v>http://vk.com/club197114981</v>
      </c>
      <c r="Q1138">
        <v>38</v>
      </c>
      <c r="R1138" t="s">
        <v>17</v>
      </c>
      <c r="S1138" t="s">
        <v>18</v>
      </c>
      <c r="T1138" t="s">
        <v>248</v>
      </c>
      <c r="U1138" t="s">
        <v>249</v>
      </c>
      <c r="AJ1138" t="s">
        <v>10</v>
      </c>
      <c r="AK1138" t="s">
        <v>21</v>
      </c>
      <c r="AV1138" t="s">
        <v>3247</v>
      </c>
      <c r="AW1138" t="s">
        <v>3248</v>
      </c>
    </row>
    <row r="1139" spans="1:50" x14ac:dyDescent="0.25">
      <c r="A1139" t="s">
        <v>1982</v>
      </c>
      <c r="B1139" t="s">
        <v>2023</v>
      </c>
      <c r="C1139" t="s">
        <v>968</v>
      </c>
      <c r="D1139" t="s">
        <v>10</v>
      </c>
      <c r="E1139" t="s">
        <v>1896</v>
      </c>
      <c r="F1139" t="s">
        <v>45</v>
      </c>
      <c r="G1139" t="str">
        <f>HYPERLINK("https://www.facebook.com/expert.klinika.stavropol/photos/a.108004590782008/168637408052059/?type=3")</f>
        <v>https://www.facebook.com/expert.klinika.stavropol/photos/a.108004590782008/168637408052059/?type=3</v>
      </c>
      <c r="H1139" t="s">
        <v>885</v>
      </c>
      <c r="I1139" t="s">
        <v>640</v>
      </c>
      <c r="J1139" t="str">
        <f>HYPERLINK("https://www.facebook.com/107325724183228")</f>
        <v>https://www.facebook.com/107325724183228</v>
      </c>
      <c r="K1139">
        <v>1</v>
      </c>
      <c r="L1139" t="s">
        <v>28</v>
      </c>
      <c r="N1139" t="s">
        <v>179</v>
      </c>
      <c r="O1139" t="s">
        <v>640</v>
      </c>
      <c r="P1139" t="str">
        <f>HYPERLINK("https://www.facebook.com/107325724183228")</f>
        <v>https://www.facebook.com/107325724183228</v>
      </c>
      <c r="Q1139">
        <v>1</v>
      </c>
      <c r="R1139" t="s">
        <v>17</v>
      </c>
      <c r="S1139" t="s">
        <v>18</v>
      </c>
      <c r="T1139" t="s">
        <v>641</v>
      </c>
      <c r="U1139" t="s">
        <v>642</v>
      </c>
      <c r="W1139">
        <v>0</v>
      </c>
      <c r="X1139">
        <v>0</v>
      </c>
      <c r="Y1139">
        <v>0</v>
      </c>
      <c r="Z1139">
        <v>0</v>
      </c>
      <c r="AA1139">
        <v>0</v>
      </c>
      <c r="AB1139">
        <v>0</v>
      </c>
      <c r="AC1139">
        <v>0</v>
      </c>
      <c r="AE1139">
        <v>0</v>
      </c>
      <c r="AI1139" t="str">
        <f>HYPERLINK("https://scontent-hel2-1.xx.fbcdn.net/v/t1.0-0/p526x296/109140654_168637411385392_9181201576551256684_o.jpg?_nc_cat=106&amp;_nc_sid=9267fe&amp;_nc_ohc=tVrXwd35xxwAX-cebWf&amp;_nc_ht=scontent-hel2-1.xx&amp;_nc_tp=6&amp;oh=933792b56bf3baa8542767ac57ee8fca&amp;oe=5F403244")</f>
        <v>https://scontent-hel2-1.xx.fbcdn.net/v/t1.0-0/p526x296/109140654_168637411385392_9181201576551256684_o.jpg?_nc_cat=106&amp;_nc_sid=9267fe&amp;_nc_ohc=tVrXwd35xxwAX-cebWf&amp;_nc_ht=scontent-hel2-1.xx&amp;_nc_tp=6&amp;oh=933792b56bf3baa8542767ac57ee8fca&amp;oe=5F403244</v>
      </c>
      <c r="AJ1139" t="s">
        <v>10</v>
      </c>
      <c r="AK1139" t="s">
        <v>21</v>
      </c>
      <c r="AN1139" t="s">
        <v>3239</v>
      </c>
      <c r="AT1139" t="s">
        <v>3245</v>
      </c>
    </row>
    <row r="1140" spans="1:50" x14ac:dyDescent="0.25">
      <c r="A1140" t="s">
        <v>2122</v>
      </c>
      <c r="B1140" t="s">
        <v>8</v>
      </c>
      <c r="C1140" t="s">
        <v>968</v>
      </c>
      <c r="D1140" t="s">
        <v>421</v>
      </c>
      <c r="E1140" t="s">
        <v>2153</v>
      </c>
      <c r="F1140" t="s">
        <v>26</v>
      </c>
      <c r="G1140" t="str">
        <f>HYPERLINK("https://www.youtube.com/watch?v=gaka1vqYFNs&amp;lc=UgzuBtrLi91CRWTu7NB4AaABAg")</f>
        <v>https://www.youtube.com/watch?v=gaka1vqYFNs&amp;lc=UgzuBtrLi91CRWTu7NB4AaABAg</v>
      </c>
      <c r="H1140" t="s">
        <v>885</v>
      </c>
      <c r="I1140" t="s">
        <v>2154</v>
      </c>
      <c r="J1140" t="str">
        <f>HYPERLINK("https://www.youtube.com/channel/UCCxWUGB_V-m8OwBBZfb0Bpw")</f>
        <v>https://www.youtube.com/channel/UCCxWUGB_V-m8OwBBZfb0Bpw</v>
      </c>
      <c r="K1140">
        <v>6</v>
      </c>
      <c r="N1140" t="s">
        <v>162</v>
      </c>
      <c r="O1140" t="s">
        <v>424</v>
      </c>
      <c r="P1140" t="str">
        <f>HYPERLINK("https://www.youtube.com/channel/UC8fQzKHIhSoZeSq3bwQx4mw")</f>
        <v>https://www.youtube.com/channel/UC8fQzKHIhSoZeSq3bwQx4mw</v>
      </c>
      <c r="Q1140">
        <v>517000</v>
      </c>
      <c r="R1140" t="s">
        <v>17</v>
      </c>
      <c r="S1140" t="s">
        <v>425</v>
      </c>
      <c r="W1140">
        <v>4</v>
      </c>
      <c r="X1140">
        <v>4</v>
      </c>
      <c r="AE1140">
        <v>0</v>
      </c>
      <c r="AJ1140" t="s">
        <v>10</v>
      </c>
      <c r="AK1140" t="s">
        <v>21</v>
      </c>
      <c r="AV1140" t="s">
        <v>3247</v>
      </c>
    </row>
    <row r="1141" spans="1:50" x14ac:dyDescent="0.25">
      <c r="A1141" t="s">
        <v>2589</v>
      </c>
      <c r="B1141" t="s">
        <v>500</v>
      </c>
      <c r="C1141" t="s">
        <v>968</v>
      </c>
      <c r="D1141" t="s">
        <v>10</v>
      </c>
      <c r="E1141" t="s">
        <v>2597</v>
      </c>
      <c r="F1141" t="s">
        <v>45</v>
      </c>
      <c r="G1141" t="str">
        <f>HYPERLINK("https://www.instagram.com/p/CCq6UBmFpUC")</f>
        <v>https://www.instagram.com/p/CCq6UBmFpUC</v>
      </c>
      <c r="H1141" t="s">
        <v>885</v>
      </c>
      <c r="I1141" t="s">
        <v>1241</v>
      </c>
      <c r="J1141" t="str">
        <f>HYPERLINK("http://instagram.com/dr.jdinkha")</f>
        <v>http://instagram.com/dr.jdinkha</v>
      </c>
      <c r="K1141">
        <v>13350</v>
      </c>
      <c r="N1141" t="s">
        <v>69</v>
      </c>
      <c r="O1141" t="s">
        <v>1241</v>
      </c>
      <c r="P1141" t="str">
        <f>HYPERLINK("http://instagram.com/dr.jdinkha")</f>
        <v>http://instagram.com/dr.jdinkha</v>
      </c>
      <c r="Q1141">
        <v>13350</v>
      </c>
      <c r="R1141" t="s">
        <v>17</v>
      </c>
      <c r="S1141" t="s">
        <v>1242</v>
      </c>
      <c r="AI1141" t="str">
        <f>HYPERLINK("https://www.instagram.com/p/CCq6UBmFpUC/media/?size=l")</f>
        <v>https://www.instagram.com/p/CCq6UBmFpUC/media/?size=l</v>
      </c>
      <c r="AJ1141" t="s">
        <v>10</v>
      </c>
      <c r="AK1141" t="s">
        <v>21</v>
      </c>
      <c r="AV1141" t="s">
        <v>3247</v>
      </c>
      <c r="AW1141" t="s">
        <v>3248</v>
      </c>
      <c r="AX1141" t="s">
        <v>3249</v>
      </c>
    </row>
    <row r="1142" spans="1:50" x14ac:dyDescent="0.25">
      <c r="A1142" t="s">
        <v>772</v>
      </c>
      <c r="B1142" t="s">
        <v>904</v>
      </c>
      <c r="C1142" t="s">
        <v>905</v>
      </c>
      <c r="D1142" t="s">
        <v>24</v>
      </c>
      <c r="E1142" t="s">
        <v>907</v>
      </c>
      <c r="F1142" t="s">
        <v>26</v>
      </c>
      <c r="G1142" t="str">
        <f>HYPERLINK("https://vk.com/wall-197114981_31?reply=1117&amp;thread=619")</f>
        <v>https://vk.com/wall-197114981_31?reply=1117&amp;thread=619</v>
      </c>
      <c r="H1142" t="s">
        <v>885</v>
      </c>
      <c r="I1142" t="s">
        <v>903</v>
      </c>
      <c r="J1142" t="str">
        <f>HYPERLINK("http://vk.com/id201697071")</f>
        <v>http://vk.com/id201697071</v>
      </c>
      <c r="K1142">
        <v>353</v>
      </c>
      <c r="L1142" t="s">
        <v>15</v>
      </c>
      <c r="N1142" t="s">
        <v>16</v>
      </c>
      <c r="O1142" t="s">
        <v>27</v>
      </c>
      <c r="P1142" t="str">
        <f>HYPERLINK("http://vk.com/club197114981")</f>
        <v>http://vk.com/club197114981</v>
      </c>
      <c r="Q1142">
        <v>38</v>
      </c>
      <c r="R1142" t="s">
        <v>17</v>
      </c>
      <c r="S1142" t="s">
        <v>18</v>
      </c>
      <c r="T1142" t="s">
        <v>231</v>
      </c>
      <c r="U1142" t="s">
        <v>232</v>
      </c>
      <c r="AJ1142" t="s">
        <v>10</v>
      </c>
      <c r="AK1142" t="s">
        <v>21</v>
      </c>
    </row>
    <row r="1143" spans="1:50" x14ac:dyDescent="0.25">
      <c r="A1143" t="s">
        <v>772</v>
      </c>
      <c r="B1143" t="s">
        <v>986</v>
      </c>
      <c r="C1143" t="s">
        <v>987</v>
      </c>
      <c r="D1143" t="s">
        <v>10</v>
      </c>
      <c r="E1143" t="s">
        <v>730</v>
      </c>
      <c r="F1143" t="s">
        <v>45</v>
      </c>
      <c r="G1143" t="str">
        <f>HYPERLINK("https://www.facebook.com/ibmiraz/posts/1593661447462459")</f>
        <v>https://www.facebook.com/ibmiraz/posts/1593661447462459</v>
      </c>
      <c r="H1143" t="s">
        <v>13</v>
      </c>
      <c r="I1143" t="s">
        <v>988</v>
      </c>
      <c r="J1143" t="str">
        <f>HYPERLINK("https://www.facebook.com/100004558563095")</f>
        <v>https://www.facebook.com/100004558563095</v>
      </c>
      <c r="K1143">
        <v>4998</v>
      </c>
      <c r="L1143" t="s">
        <v>80</v>
      </c>
      <c r="N1143" t="s">
        <v>179</v>
      </c>
      <c r="O1143" t="s">
        <v>988</v>
      </c>
      <c r="P1143" t="str">
        <f>HYPERLINK("https://www.facebook.com/100004558563095")</f>
        <v>https://www.facebook.com/100004558563095</v>
      </c>
      <c r="Q1143">
        <v>4998</v>
      </c>
      <c r="R1143" t="s">
        <v>17</v>
      </c>
      <c r="S1143" t="s">
        <v>18</v>
      </c>
      <c r="T1143" t="s">
        <v>354</v>
      </c>
      <c r="U1143" t="s">
        <v>354</v>
      </c>
      <c r="W1143">
        <v>0</v>
      </c>
      <c r="X1143">
        <v>0</v>
      </c>
      <c r="Y1143">
        <v>0</v>
      </c>
      <c r="Z1143">
        <v>0</v>
      </c>
      <c r="AA1143">
        <v>0</v>
      </c>
      <c r="AB1143">
        <v>0</v>
      </c>
      <c r="AC1143">
        <v>0</v>
      </c>
      <c r="AE1143">
        <v>0</v>
      </c>
      <c r="AF1143">
        <v>0</v>
      </c>
      <c r="AI1143" t="str">
        <f>HYPERLINK("https://vademec.ru/upload/iblock/488/48863db98d33de4541fe23b51a5b576f.jpg")</f>
        <v>https://vademec.ru/upload/iblock/488/48863db98d33de4541fe23b51a5b576f.jpg</v>
      </c>
      <c r="AJ1143" t="s">
        <v>10</v>
      </c>
      <c r="AK1143" t="s">
        <v>21</v>
      </c>
    </row>
    <row r="1144" spans="1:50" x14ac:dyDescent="0.25">
      <c r="A1144" t="s">
        <v>2767</v>
      </c>
      <c r="B1144" t="s">
        <v>2845</v>
      </c>
      <c r="C1144" t="s">
        <v>968</v>
      </c>
      <c r="D1144" t="s">
        <v>2724</v>
      </c>
      <c r="E1144" t="s">
        <v>2846</v>
      </c>
      <c r="F1144" t="s">
        <v>26</v>
      </c>
      <c r="G1144" t="str">
        <f>HYPERLINK("https://vk.com/wall-25612112_2607652?reply=2607682")</f>
        <v>https://vk.com/wall-25612112_2607652?reply=2607682</v>
      </c>
      <c r="H1144" t="s">
        <v>885</v>
      </c>
      <c r="I1144" t="s">
        <v>2847</v>
      </c>
      <c r="J1144" t="str">
        <f>HYPERLINK("http://vk.com/id175426575")</f>
        <v>http://vk.com/id175426575</v>
      </c>
      <c r="K1144">
        <v>1</v>
      </c>
      <c r="L1144" t="s">
        <v>15</v>
      </c>
      <c r="N1144" t="s">
        <v>16</v>
      </c>
      <c r="O1144" t="s">
        <v>2727</v>
      </c>
      <c r="P1144" t="str">
        <f>HYPERLINK("http://vk.com/club25612112")</f>
        <v>http://vk.com/club25612112</v>
      </c>
      <c r="Q1144">
        <v>109065</v>
      </c>
      <c r="R1144" t="s">
        <v>17</v>
      </c>
      <c r="S1144" t="s">
        <v>18</v>
      </c>
      <c r="T1144" t="s">
        <v>1015</v>
      </c>
      <c r="U1144" t="s">
        <v>1016</v>
      </c>
      <c r="AJ1144" t="s">
        <v>10</v>
      </c>
      <c r="AK1144" t="s">
        <v>21</v>
      </c>
    </row>
    <row r="1145" spans="1:50" x14ac:dyDescent="0.25">
      <c r="A1145" t="s">
        <v>414</v>
      </c>
      <c r="B1145" t="s">
        <v>521</v>
      </c>
      <c r="C1145" t="s">
        <v>527</v>
      </c>
      <c r="D1145" t="s">
        <v>10</v>
      </c>
      <c r="E1145" t="s">
        <v>523</v>
      </c>
      <c r="F1145" t="s">
        <v>45</v>
      </c>
      <c r="G1145" t="str">
        <f>HYPERLINK("https://vk.com/wall-171669151_1135")</f>
        <v>https://vk.com/wall-171669151_1135</v>
      </c>
      <c r="H1145" t="s">
        <v>13</v>
      </c>
      <c r="I1145" t="s">
        <v>524</v>
      </c>
      <c r="J1145" t="str">
        <f>HYPERLINK("http://vk.com/club171669151")</f>
        <v>http://vk.com/club171669151</v>
      </c>
      <c r="K1145">
        <v>6183</v>
      </c>
      <c r="L1145" t="s">
        <v>28</v>
      </c>
      <c r="N1145" t="s">
        <v>16</v>
      </c>
      <c r="O1145" t="s">
        <v>524</v>
      </c>
      <c r="P1145" t="str">
        <f>HYPERLINK("http://vk.com/club171669151")</f>
        <v>http://vk.com/club171669151</v>
      </c>
      <c r="Q1145">
        <v>6183</v>
      </c>
      <c r="R1145" t="s">
        <v>17</v>
      </c>
      <c r="S1145" t="s">
        <v>18</v>
      </c>
      <c r="T1145" t="s">
        <v>525</v>
      </c>
      <c r="U1145" t="s">
        <v>526</v>
      </c>
      <c r="W1145">
        <v>10</v>
      </c>
      <c r="X1145">
        <v>10</v>
      </c>
      <c r="AE1145">
        <v>0</v>
      </c>
      <c r="AF1145">
        <v>5</v>
      </c>
      <c r="AG1145">
        <v>1499</v>
      </c>
      <c r="AI1145" t="str">
        <f>HYPERLINK("https://sun9-49.userapi.com/c854428/v854428047/254896/zc7F7KRtcCI.jpg")</f>
        <v>https://sun9-49.userapi.com/c854428/v854428047/254896/zc7F7KRtcCI.jpg</v>
      </c>
      <c r="AJ1145" t="s">
        <v>10</v>
      </c>
      <c r="AK1145" t="s">
        <v>21</v>
      </c>
    </row>
    <row r="1146" spans="1:50" x14ac:dyDescent="0.25">
      <c r="A1146" t="s">
        <v>1017</v>
      </c>
      <c r="B1146" t="s">
        <v>1035</v>
      </c>
      <c r="C1146" t="s">
        <v>1036</v>
      </c>
      <c r="D1146" t="s">
        <v>10</v>
      </c>
      <c r="E1146" t="s">
        <v>1037</v>
      </c>
      <c r="F1146" t="s">
        <v>12</v>
      </c>
      <c r="G1146" t="str">
        <f>HYPERLINK("https://www.facebook.com/permalink.php?story_fbid=2880639032170293&amp;id=100006726736794")</f>
        <v>https://www.facebook.com/permalink.php?story_fbid=2880639032170293&amp;id=100006726736794</v>
      </c>
      <c r="H1146" t="s">
        <v>13</v>
      </c>
      <c r="I1146" t="s">
        <v>1038</v>
      </c>
      <c r="J1146" t="str">
        <f>HYPERLINK("https://www.facebook.com/100006726736794")</f>
        <v>https://www.facebook.com/100006726736794</v>
      </c>
      <c r="K1146">
        <v>436</v>
      </c>
      <c r="L1146" t="s">
        <v>80</v>
      </c>
      <c r="N1146" t="s">
        <v>179</v>
      </c>
      <c r="O1146" t="s">
        <v>1038</v>
      </c>
      <c r="P1146" t="str">
        <f>HYPERLINK("https://www.facebook.com/100006726736794")</f>
        <v>https://www.facebook.com/100006726736794</v>
      </c>
      <c r="Q1146">
        <v>436</v>
      </c>
      <c r="R1146" t="s">
        <v>17</v>
      </c>
      <c r="S1146" t="s">
        <v>18</v>
      </c>
      <c r="T1146" t="s">
        <v>617</v>
      </c>
      <c r="U1146" t="s">
        <v>1034</v>
      </c>
      <c r="W1146">
        <v>0</v>
      </c>
      <c r="X1146">
        <v>0</v>
      </c>
      <c r="Y1146">
        <v>0</v>
      </c>
      <c r="Z1146">
        <v>0</v>
      </c>
      <c r="AA1146">
        <v>0</v>
      </c>
      <c r="AB1146">
        <v>0</v>
      </c>
      <c r="AC1146">
        <v>0</v>
      </c>
      <c r="AE1146">
        <v>0</v>
      </c>
      <c r="AF1146">
        <v>0</v>
      </c>
      <c r="AI1146" t="str">
        <f>HYPERLINK("https://scontent-hel2-1.xx.fbcdn.net/v/t1.0-9/117340829_2780857252134104_4934143628202898961_n.jpg?_nc_cat=107&amp;_nc_sid=a26aad&amp;_nc_ohc=oA2UxhU5pZQAX9-yWac&amp;_nc_ht=scontent-hel2-1.xx&amp;oh=f491c1748bf3427158c7988acdb41d16&amp;oe=5F54ADEA")</f>
        <v>https://scontent-hel2-1.xx.fbcdn.net/v/t1.0-9/117340829_2780857252134104_4934143628202898961_n.jpg?_nc_cat=107&amp;_nc_sid=a26aad&amp;_nc_ohc=oA2UxhU5pZQAX9-yWac&amp;_nc_ht=scontent-hel2-1.xx&amp;oh=f491c1748bf3427158c7988acdb41d16&amp;oe=5F54ADEA</v>
      </c>
      <c r="AJ1146" t="s">
        <v>10</v>
      </c>
      <c r="AK1146" t="s">
        <v>21</v>
      </c>
      <c r="AO1146" t="s">
        <v>3240</v>
      </c>
      <c r="AU1146" t="s">
        <v>3246</v>
      </c>
      <c r="AW1146" t="s">
        <v>3248</v>
      </c>
    </row>
    <row r="1147" spans="1:50" x14ac:dyDescent="0.25">
      <c r="A1147" t="s">
        <v>1597</v>
      </c>
      <c r="B1147" t="s">
        <v>1622</v>
      </c>
      <c r="C1147" t="s">
        <v>984</v>
      </c>
      <c r="D1147" t="s">
        <v>1623</v>
      </c>
      <c r="E1147" t="s">
        <v>1624</v>
      </c>
      <c r="F1147" t="s">
        <v>45</v>
      </c>
      <c r="G1147" t="str">
        <f>HYPERLINK("https://eu.newsleader.com/story/news/nation/2020/07/29/covid-new-york-new-jersey-northeast-region-second-coronavirus-spike/5526854002")</f>
        <v>https://eu.newsleader.com/story/news/nation/2020/07/29/covid-new-york-new-jersey-northeast-region-second-coronavirus-spike/5526854002</v>
      </c>
      <c r="H1147" t="s">
        <v>885</v>
      </c>
      <c r="I1147" t="s">
        <v>1625</v>
      </c>
      <c r="J1147" t="str">
        <f>HYPERLINK("https://eu.newsleader.com/story/news/nation/2020/07/29/covid-new-york-new-jersey-northeast-region-second-coronavirus-spike/5526854002/")</f>
        <v>https://eu.newsleader.com/story/news/nation/2020/07/29/covid-new-york-new-jersey-northeast-region-second-coronavirus-spike/5526854002/</v>
      </c>
      <c r="L1147" t="s">
        <v>15</v>
      </c>
      <c r="N1147" t="s">
        <v>1626</v>
      </c>
      <c r="R1147" t="s">
        <v>239</v>
      </c>
      <c r="S1147" t="s">
        <v>425</v>
      </c>
      <c r="AJ1147" t="s">
        <v>10</v>
      </c>
      <c r="AK1147" t="s">
        <v>21</v>
      </c>
      <c r="AW1147" t="s">
        <v>3248</v>
      </c>
    </row>
    <row r="1148" spans="1:50" x14ac:dyDescent="0.25">
      <c r="A1148" t="s">
        <v>7</v>
      </c>
      <c r="B1148" t="s">
        <v>183</v>
      </c>
      <c r="C1148" t="s">
        <v>184</v>
      </c>
      <c r="D1148" t="s">
        <v>185</v>
      </c>
      <c r="E1148" t="s">
        <v>186</v>
      </c>
      <c r="F1148" t="s">
        <v>26</v>
      </c>
      <c r="G1148" t="str">
        <f>HYPERLINK("https://vk.com/wall-189715412_524?reply=573")</f>
        <v>https://vk.com/wall-189715412_524?reply=573</v>
      </c>
      <c r="H1148" t="s">
        <v>13</v>
      </c>
      <c r="I1148" t="s">
        <v>187</v>
      </c>
      <c r="J1148" t="str">
        <f>HYPERLINK("http://vk.com/id18544735")</f>
        <v>http://vk.com/id18544735</v>
      </c>
      <c r="K1148">
        <v>635</v>
      </c>
      <c r="L1148" t="s">
        <v>80</v>
      </c>
      <c r="N1148" t="s">
        <v>16</v>
      </c>
      <c r="O1148" t="s">
        <v>188</v>
      </c>
      <c r="P1148" t="str">
        <f>HYPERLINK("http://vk.com/club189715412")</f>
        <v>http://vk.com/club189715412</v>
      </c>
      <c r="Q1148">
        <v>527</v>
      </c>
      <c r="R1148" t="s">
        <v>17</v>
      </c>
      <c r="S1148" t="s">
        <v>18</v>
      </c>
      <c r="T1148" t="s">
        <v>189</v>
      </c>
      <c r="U1148" t="s">
        <v>190</v>
      </c>
      <c r="AJ1148" t="s">
        <v>10</v>
      </c>
      <c r="AK1148" t="s">
        <v>21</v>
      </c>
      <c r="AW1148" t="s">
        <v>3248</v>
      </c>
      <c r="AX1148" t="s">
        <v>3249</v>
      </c>
    </row>
    <row r="1149" spans="1:50" x14ac:dyDescent="0.25">
      <c r="A1149" t="s">
        <v>414</v>
      </c>
      <c r="B1149" t="s">
        <v>444</v>
      </c>
      <c r="C1149" t="s">
        <v>445</v>
      </c>
      <c r="D1149" t="s">
        <v>24</v>
      </c>
      <c r="E1149" t="s">
        <v>446</v>
      </c>
      <c r="F1149" t="s">
        <v>26</v>
      </c>
      <c r="G1149" t="str">
        <f>HYPERLINK("https://vk.com/wall-197114981_31?reply=1270&amp;thread=1269")</f>
        <v>https://vk.com/wall-197114981_31?reply=1270&amp;thread=1269</v>
      </c>
      <c r="H1149" t="s">
        <v>13</v>
      </c>
      <c r="I1149" t="s">
        <v>27</v>
      </c>
      <c r="J1149" t="str">
        <f>HYPERLINK("http://vk.com/club197114981")</f>
        <v>http://vk.com/club197114981</v>
      </c>
      <c r="K1149">
        <v>38</v>
      </c>
      <c r="L1149" t="s">
        <v>28</v>
      </c>
      <c r="N1149" t="s">
        <v>16</v>
      </c>
      <c r="O1149" t="s">
        <v>27</v>
      </c>
      <c r="P1149" t="str">
        <f>HYPERLINK("http://vk.com/club197114981")</f>
        <v>http://vk.com/club197114981</v>
      </c>
      <c r="Q1149">
        <v>38</v>
      </c>
      <c r="R1149" t="s">
        <v>17</v>
      </c>
      <c r="AJ1149" t="s">
        <v>10</v>
      </c>
      <c r="AK1149" t="s">
        <v>21</v>
      </c>
      <c r="AM1149" t="s">
        <v>3238</v>
      </c>
    </row>
    <row r="1150" spans="1:50" x14ac:dyDescent="0.25">
      <c r="A1150" t="s">
        <v>414</v>
      </c>
      <c r="B1150" t="s">
        <v>619</v>
      </c>
      <c r="C1150" t="s">
        <v>620</v>
      </c>
      <c r="D1150" t="s">
        <v>24</v>
      </c>
      <c r="E1150" t="s">
        <v>443</v>
      </c>
      <c r="F1150" t="s">
        <v>26</v>
      </c>
      <c r="G1150" t="str">
        <f>HYPERLINK("https://vk.com/wall-197114981_31?reply=1208&amp;thread=1206")</f>
        <v>https://vk.com/wall-197114981_31?reply=1208&amp;thread=1206</v>
      </c>
      <c r="H1150" t="s">
        <v>13</v>
      </c>
      <c r="I1150" t="s">
        <v>27</v>
      </c>
      <c r="J1150" t="str">
        <f>HYPERLINK("http://vk.com/club197114981")</f>
        <v>http://vk.com/club197114981</v>
      </c>
      <c r="K1150">
        <v>38</v>
      </c>
      <c r="L1150" t="s">
        <v>28</v>
      </c>
      <c r="N1150" t="s">
        <v>16</v>
      </c>
      <c r="O1150" t="s">
        <v>27</v>
      </c>
      <c r="P1150" t="str">
        <f>HYPERLINK("http://vk.com/club197114981")</f>
        <v>http://vk.com/club197114981</v>
      </c>
      <c r="Q1150">
        <v>38</v>
      </c>
      <c r="R1150" t="s">
        <v>17</v>
      </c>
      <c r="AJ1150" t="s">
        <v>10</v>
      </c>
      <c r="AK1150" t="s">
        <v>21</v>
      </c>
      <c r="AM1150" t="s">
        <v>3238</v>
      </c>
      <c r="AO1150" t="s">
        <v>3240</v>
      </c>
      <c r="AW1150" t="s">
        <v>3248</v>
      </c>
      <c r="AX1150" t="s">
        <v>3249</v>
      </c>
    </row>
    <row r="1151" spans="1:50" x14ac:dyDescent="0.25">
      <c r="A1151" t="s">
        <v>2767</v>
      </c>
      <c r="B1151" t="s">
        <v>2822</v>
      </c>
      <c r="C1151" t="s">
        <v>968</v>
      </c>
      <c r="D1151" t="s">
        <v>2823</v>
      </c>
      <c r="E1151" t="s">
        <v>2824</v>
      </c>
      <c r="F1151" t="s">
        <v>26</v>
      </c>
      <c r="G1151" t="str">
        <f>HYPERLINK("https://vk.com/wall-125331076_727733?reply=752317")</f>
        <v>https://vk.com/wall-125331076_727733?reply=752317</v>
      </c>
      <c r="H1151" t="s">
        <v>889</v>
      </c>
      <c r="I1151" t="s">
        <v>2309</v>
      </c>
      <c r="J1151" t="str">
        <f>HYPERLINK("http://vk.com/id14737732")</f>
        <v>http://vk.com/id14737732</v>
      </c>
      <c r="K1151">
        <v>1091</v>
      </c>
      <c r="L1151" t="s">
        <v>80</v>
      </c>
      <c r="N1151" t="s">
        <v>16</v>
      </c>
      <c r="O1151" t="s">
        <v>1154</v>
      </c>
      <c r="P1151" t="str">
        <f>HYPERLINK("http://vk.com/club125331076")</f>
        <v>http://vk.com/club125331076</v>
      </c>
      <c r="Q1151">
        <v>38231</v>
      </c>
      <c r="R1151" t="s">
        <v>17</v>
      </c>
      <c r="AJ1151" t="s">
        <v>10</v>
      </c>
      <c r="AK1151" t="s">
        <v>21</v>
      </c>
      <c r="AO1151" t="s">
        <v>3240</v>
      </c>
      <c r="AW1151" t="s">
        <v>3248</v>
      </c>
      <c r="AX1151" t="s">
        <v>3249</v>
      </c>
    </row>
    <row r="1152" spans="1:50" x14ac:dyDescent="0.25">
      <c r="A1152" t="s">
        <v>1017</v>
      </c>
      <c r="B1152" t="s">
        <v>732</v>
      </c>
      <c r="C1152" t="s">
        <v>1119</v>
      </c>
      <c r="D1152" t="s">
        <v>10</v>
      </c>
      <c r="E1152" t="s">
        <v>1120</v>
      </c>
      <c r="F1152" t="s">
        <v>45</v>
      </c>
      <c r="G1152" t="str">
        <f>HYPERLINK("https://www.facebook.com/permalink.php?story_fbid=3374574459433628&amp;id=1562014524022973")</f>
        <v>https://www.facebook.com/permalink.php?story_fbid=3374574459433628&amp;id=1562014524022973</v>
      </c>
      <c r="H1152" t="s">
        <v>13</v>
      </c>
      <c r="I1152" t="s">
        <v>1121</v>
      </c>
      <c r="J1152" t="str">
        <f>HYPERLINK("https://www.facebook.com/1562014524022973")</f>
        <v>https://www.facebook.com/1562014524022973</v>
      </c>
      <c r="K1152">
        <v>153</v>
      </c>
      <c r="L1152" t="s">
        <v>28</v>
      </c>
      <c r="N1152" t="s">
        <v>179</v>
      </c>
      <c r="O1152" t="s">
        <v>1121</v>
      </c>
      <c r="P1152" t="str">
        <f>HYPERLINK("https://www.facebook.com/1562014524022973")</f>
        <v>https://www.facebook.com/1562014524022973</v>
      </c>
      <c r="Q1152">
        <v>153</v>
      </c>
      <c r="R1152" t="s">
        <v>17</v>
      </c>
      <c r="W1152">
        <v>0</v>
      </c>
      <c r="X1152">
        <v>0</v>
      </c>
      <c r="Y1152">
        <v>0</v>
      </c>
      <c r="Z1152">
        <v>0</v>
      </c>
      <c r="AA1152">
        <v>0</v>
      </c>
      <c r="AB1152">
        <v>0</v>
      </c>
      <c r="AC1152">
        <v>0</v>
      </c>
      <c r="AE1152">
        <v>0</v>
      </c>
      <c r="AF1152">
        <v>0</v>
      </c>
      <c r="AI1152" t="str">
        <f>HYPERLINK("http://khabarovsk-news.net/img/20200807/95a74499a1b625762f77f1cf328d36c8.jpg")</f>
        <v>http://khabarovsk-news.net/img/20200807/95a74499a1b625762f77f1cf328d36c8.jpg</v>
      </c>
      <c r="AJ1152" t="s">
        <v>10</v>
      </c>
      <c r="AK1152" t="s">
        <v>21</v>
      </c>
      <c r="AO1152" t="s">
        <v>3240</v>
      </c>
      <c r="AW1152" t="s">
        <v>3248</v>
      </c>
    </row>
    <row r="1153" spans="1:50" x14ac:dyDescent="0.25">
      <c r="A1153" t="s">
        <v>1225</v>
      </c>
      <c r="B1153" t="s">
        <v>1226</v>
      </c>
      <c r="C1153" t="s">
        <v>984</v>
      </c>
      <c r="D1153" t="s">
        <v>1227</v>
      </c>
      <c r="E1153" t="s">
        <v>1228</v>
      </c>
      <c r="F1153" t="s">
        <v>26</v>
      </c>
      <c r="G1153" t="str">
        <f>HYPERLINK("https://www.facebook.com/donnews/posts/3063132773784542?comment_id=3064721796958973")</f>
        <v>https://www.facebook.com/donnews/posts/3063132773784542?comment_id=3064721796958973</v>
      </c>
      <c r="H1153" t="s">
        <v>885</v>
      </c>
      <c r="I1153" t="s">
        <v>1229</v>
      </c>
      <c r="J1153" t="str">
        <f>HYPERLINK("https://www.facebook.com/100009330916971")</f>
        <v>https://www.facebook.com/100009330916971</v>
      </c>
      <c r="K1153">
        <v>337</v>
      </c>
      <c r="L1153" t="s">
        <v>80</v>
      </c>
      <c r="N1153" t="s">
        <v>179</v>
      </c>
      <c r="O1153" t="s">
        <v>1230</v>
      </c>
      <c r="P1153" t="str">
        <f>HYPERLINK("https://www.facebook.com/484774944953684")</f>
        <v>https://www.facebook.com/484774944953684</v>
      </c>
      <c r="Q1153">
        <v>4143</v>
      </c>
      <c r="R1153" t="s">
        <v>17</v>
      </c>
      <c r="S1153" t="s">
        <v>18</v>
      </c>
      <c r="T1153" t="s">
        <v>126</v>
      </c>
      <c r="U1153" t="s">
        <v>127</v>
      </c>
      <c r="AJ1153" t="s">
        <v>10</v>
      </c>
      <c r="AK1153" t="s">
        <v>21</v>
      </c>
      <c r="AL1153" t="s">
        <v>3237</v>
      </c>
      <c r="AO1153" t="s">
        <v>3240</v>
      </c>
    </row>
    <row r="1154" spans="1:50" x14ac:dyDescent="0.25">
      <c r="A1154" t="s">
        <v>1277</v>
      </c>
      <c r="B1154" t="s">
        <v>1327</v>
      </c>
      <c r="C1154" t="s">
        <v>984</v>
      </c>
      <c r="D1154" t="s">
        <v>10</v>
      </c>
      <c r="E1154" t="s">
        <v>1328</v>
      </c>
      <c r="F1154" t="s">
        <v>45</v>
      </c>
      <c r="G1154" t="str">
        <f>HYPERLINK("https://www.instagram.com/p/CDbAo1Mj3tN")</f>
        <v>https://www.instagram.com/p/CDbAo1Mj3tN</v>
      </c>
      <c r="H1154" t="s">
        <v>889</v>
      </c>
      <c r="I1154" t="s">
        <v>1329</v>
      </c>
      <c r="J1154" t="str">
        <f>HYPERLINK("http://instagram.com/mrt.expert.petrozavodsk")</f>
        <v>http://instagram.com/mrt.expert.petrozavodsk</v>
      </c>
      <c r="K1154">
        <v>550</v>
      </c>
      <c r="N1154" t="s">
        <v>69</v>
      </c>
      <c r="O1154" t="s">
        <v>1329</v>
      </c>
      <c r="P1154" t="str">
        <f>HYPERLINK("http://instagram.com/mrt.expert.petrozavodsk")</f>
        <v>http://instagram.com/mrt.expert.petrozavodsk</v>
      </c>
      <c r="Q1154">
        <v>550</v>
      </c>
      <c r="R1154" t="s">
        <v>17</v>
      </c>
      <c r="S1154" t="s">
        <v>18</v>
      </c>
      <c r="AI1154" t="str">
        <f>HYPERLINK("https://www.instagram.com/p/CDbAo1Mj3tN/media/?size=l")</f>
        <v>https://www.instagram.com/p/CDbAo1Mj3tN/media/?size=l</v>
      </c>
      <c r="AJ1154" t="s">
        <v>10</v>
      </c>
      <c r="AK1154" t="s">
        <v>21</v>
      </c>
      <c r="AO1154" t="s">
        <v>3240</v>
      </c>
      <c r="AW1154" t="s">
        <v>3248</v>
      </c>
      <c r="AX1154" t="s">
        <v>3249</v>
      </c>
    </row>
    <row r="1155" spans="1:50" x14ac:dyDescent="0.25">
      <c r="A1155" t="s">
        <v>1277</v>
      </c>
      <c r="B1155" t="s">
        <v>277</v>
      </c>
      <c r="C1155" t="s">
        <v>984</v>
      </c>
      <c r="D1155" t="s">
        <v>10</v>
      </c>
      <c r="E1155" t="s">
        <v>1346</v>
      </c>
      <c r="F1155" t="s">
        <v>12</v>
      </c>
      <c r="G1155" t="str">
        <f>HYPERLINK("https://www.facebook.com/568390943273818/posts/3036373863142168")</f>
        <v>https://www.facebook.com/568390943273818/posts/3036373863142168</v>
      </c>
      <c r="H1155" t="s">
        <v>885</v>
      </c>
      <c r="I1155" t="s">
        <v>280</v>
      </c>
      <c r="J1155" t="str">
        <f>HYPERLINK("https://www.facebook.com/568390943273818")</f>
        <v>https://www.facebook.com/568390943273818</v>
      </c>
      <c r="K1155">
        <v>18918</v>
      </c>
      <c r="L1155" t="s">
        <v>28</v>
      </c>
      <c r="N1155" t="s">
        <v>179</v>
      </c>
      <c r="O1155" t="s">
        <v>280</v>
      </c>
      <c r="P1155" t="str">
        <f>HYPERLINK("https://www.facebook.com/568390943273818")</f>
        <v>https://www.facebook.com/568390943273818</v>
      </c>
      <c r="Q1155">
        <v>18918</v>
      </c>
      <c r="R1155" t="s">
        <v>17</v>
      </c>
      <c r="S1155" t="s">
        <v>281</v>
      </c>
      <c r="T1155" t="s">
        <v>282</v>
      </c>
      <c r="U1155" t="s">
        <v>282</v>
      </c>
      <c r="AI1155" t="str">
        <f>HYPERLINK("https://scontent-cdg2-1.xx.fbcdn.net/v/t1.0-9/p720x720/116495503_3036373133142241_6839873244089885435_o.jpg?_nc_cat=104&amp;_nc_sid=8024bb&amp;_nc_ohc=qwwh1IsoFwIAX8FqD6y&amp;_nc_ht=scontent-cdg2-1.xx&amp;_nc_tp=6&amp;oh=164e7df78a827d81415d09245caf9882&amp;oe=5F4BE1D1")</f>
        <v>https://scontent-cdg2-1.xx.fbcdn.net/v/t1.0-9/p720x720/116495503_3036373133142241_6839873244089885435_o.jpg?_nc_cat=104&amp;_nc_sid=8024bb&amp;_nc_ohc=qwwh1IsoFwIAX8FqD6y&amp;_nc_ht=scontent-cdg2-1.xx&amp;_nc_tp=6&amp;oh=164e7df78a827d81415d09245caf9882&amp;oe=5F4BE1D1</v>
      </c>
      <c r="AJ1155" t="s">
        <v>10</v>
      </c>
      <c r="AK1155" t="s">
        <v>21</v>
      </c>
    </row>
    <row r="1156" spans="1:50" x14ac:dyDescent="0.25">
      <c r="A1156" t="s">
        <v>1425</v>
      </c>
      <c r="B1156" t="s">
        <v>1426</v>
      </c>
      <c r="C1156" t="s">
        <v>984</v>
      </c>
      <c r="D1156" t="s">
        <v>10</v>
      </c>
      <c r="E1156" t="s">
        <v>1387</v>
      </c>
      <c r="F1156" t="s">
        <v>12</v>
      </c>
      <c r="G1156" t="str">
        <f>HYPERLINK("https://www.facebook.com/nfilipenok/posts/2937866103107539")</f>
        <v>https://www.facebook.com/nfilipenok/posts/2937866103107539</v>
      </c>
      <c r="H1156" t="s">
        <v>885</v>
      </c>
      <c r="I1156" t="s">
        <v>990</v>
      </c>
      <c r="J1156" t="str">
        <f>HYPERLINK("https://www.facebook.com/100006525343027")</f>
        <v>https://www.facebook.com/100006525343027</v>
      </c>
      <c r="K1156">
        <v>415</v>
      </c>
      <c r="L1156" t="s">
        <v>80</v>
      </c>
      <c r="N1156" t="s">
        <v>179</v>
      </c>
      <c r="O1156" t="s">
        <v>990</v>
      </c>
      <c r="P1156" t="str">
        <f>HYPERLINK("https://www.facebook.com/100006525343027")</f>
        <v>https://www.facebook.com/100006525343027</v>
      </c>
      <c r="Q1156">
        <v>415</v>
      </c>
      <c r="R1156" t="s">
        <v>17</v>
      </c>
      <c r="S1156" t="s">
        <v>18</v>
      </c>
      <c r="T1156" t="s">
        <v>354</v>
      </c>
      <c r="U1156" t="s">
        <v>354</v>
      </c>
      <c r="W1156">
        <v>0</v>
      </c>
      <c r="X1156">
        <v>0</v>
      </c>
      <c r="Y1156">
        <v>0</v>
      </c>
      <c r="Z1156">
        <v>0</v>
      </c>
      <c r="AA1156">
        <v>0</v>
      </c>
      <c r="AB1156">
        <v>0</v>
      </c>
      <c r="AC1156">
        <v>0</v>
      </c>
      <c r="AE1156">
        <v>0</v>
      </c>
      <c r="AI1156" t="str">
        <f>HYPERLINK("https://scontent-hel2-1.xx.fbcdn.net/v/t1.0-0/p526x296/116884113_3236120083121113_5139901714793828146_o.jpg?_nc_cat=107&amp;_nc_sid=730e14&amp;_nc_ohc=WQal7HkBKxgAX8pHcvc&amp;_nc_ht=scontent-hel2-1.xx&amp;_nc_tp=6&amp;oh=acce8d2f2e1b3205352668e0ede54773&amp;oe=5F5021D7")</f>
        <v>https://scontent-hel2-1.xx.fbcdn.net/v/t1.0-0/p526x296/116884113_3236120083121113_5139901714793828146_o.jpg?_nc_cat=107&amp;_nc_sid=730e14&amp;_nc_ohc=WQal7HkBKxgAX8pHcvc&amp;_nc_ht=scontent-hel2-1.xx&amp;_nc_tp=6&amp;oh=acce8d2f2e1b3205352668e0ede54773&amp;oe=5F5021D7</v>
      </c>
      <c r="AJ1156" t="s">
        <v>10</v>
      </c>
      <c r="AK1156" t="s">
        <v>21</v>
      </c>
    </row>
    <row r="1157" spans="1:50" x14ac:dyDescent="0.25">
      <c r="A1157" t="s">
        <v>1518</v>
      </c>
      <c r="B1157" t="s">
        <v>1570</v>
      </c>
      <c r="C1157" t="s">
        <v>984</v>
      </c>
      <c r="D1157" t="s">
        <v>10</v>
      </c>
      <c r="E1157" t="s">
        <v>1571</v>
      </c>
      <c r="F1157" t="s">
        <v>45</v>
      </c>
      <c r="G1157" t="str">
        <f>HYPERLINK("https://www.facebook.com/permalink.php?story_fbid=1407545862778354&amp;id=578632422336373")</f>
        <v>https://www.facebook.com/permalink.php?story_fbid=1407545862778354&amp;id=578632422336373</v>
      </c>
      <c r="H1157" t="s">
        <v>885</v>
      </c>
      <c r="I1157" t="s">
        <v>1572</v>
      </c>
      <c r="J1157" t="str">
        <f>HYPERLINK("https://www.facebook.com/578632422336373")</f>
        <v>https://www.facebook.com/578632422336373</v>
      </c>
      <c r="K1157">
        <v>82</v>
      </c>
      <c r="L1157" t="s">
        <v>28</v>
      </c>
      <c r="N1157" t="s">
        <v>179</v>
      </c>
      <c r="O1157" t="s">
        <v>1572</v>
      </c>
      <c r="P1157" t="str">
        <f>HYPERLINK("https://www.facebook.com/578632422336373")</f>
        <v>https://www.facebook.com/578632422336373</v>
      </c>
      <c r="Q1157">
        <v>82</v>
      </c>
      <c r="R1157" t="s">
        <v>17</v>
      </c>
      <c r="S1157" t="s">
        <v>18</v>
      </c>
      <c r="T1157" t="s">
        <v>126</v>
      </c>
      <c r="U1157" t="s">
        <v>127</v>
      </c>
      <c r="W1157">
        <v>2</v>
      </c>
      <c r="X1157">
        <v>1</v>
      </c>
      <c r="Y1157">
        <v>1</v>
      </c>
      <c r="Z1157">
        <v>0</v>
      </c>
      <c r="AA1157">
        <v>0</v>
      </c>
      <c r="AB1157">
        <v>0</v>
      </c>
      <c r="AC1157">
        <v>0</v>
      </c>
      <c r="AE1157">
        <v>0</v>
      </c>
      <c r="AI1157" t="str">
        <f>HYPERLINK("https://scontent-hel2-1.xx.fbcdn.net/v/t1.0-0/s640x640/116870626_1407545812778359_8012851934455095949_o.jpg?_nc_cat=106&amp;_nc_sid=a26aad&amp;_nc_ohc=5xzc5LuPCkcAX9yrPxn&amp;_nc_ht=scontent-hel2-1.xx&amp;_nc_tp=7&amp;oh=5e320d65f53c08184f351d8f7e685c0a&amp;oe=5F4A5933")</f>
        <v>https://scontent-hel2-1.xx.fbcdn.net/v/t1.0-0/s640x640/116870626_1407545812778359_8012851934455095949_o.jpg?_nc_cat=106&amp;_nc_sid=a26aad&amp;_nc_ohc=5xzc5LuPCkcAX9yrPxn&amp;_nc_ht=scontent-hel2-1.xx&amp;_nc_tp=7&amp;oh=5e320d65f53c08184f351d8f7e685c0a&amp;oe=5F4A5933</v>
      </c>
      <c r="AJ1157" t="s">
        <v>10</v>
      </c>
      <c r="AK1157" t="s">
        <v>21</v>
      </c>
    </row>
    <row r="1158" spans="1:50" x14ac:dyDescent="0.25">
      <c r="A1158" t="s">
        <v>414</v>
      </c>
      <c r="B1158" t="s">
        <v>759</v>
      </c>
      <c r="C1158" t="s">
        <v>760</v>
      </c>
      <c r="D1158" t="s">
        <v>24</v>
      </c>
      <c r="E1158" t="s">
        <v>25</v>
      </c>
      <c r="F1158" t="s">
        <v>26</v>
      </c>
      <c r="G1158" t="str">
        <f>HYPERLINK("https://vk.com/wall-197114981_31?reply=1167&amp;thread=1128")</f>
        <v>https://vk.com/wall-197114981_31?reply=1167&amp;thread=1128</v>
      </c>
      <c r="H1158" t="s">
        <v>13</v>
      </c>
      <c r="I1158" t="s">
        <v>27</v>
      </c>
      <c r="J1158" t="str">
        <f>HYPERLINK("http://vk.com/club197114981")</f>
        <v>http://vk.com/club197114981</v>
      </c>
      <c r="K1158">
        <v>38</v>
      </c>
      <c r="L1158" t="s">
        <v>28</v>
      </c>
      <c r="N1158" t="s">
        <v>16</v>
      </c>
      <c r="O1158" t="s">
        <v>27</v>
      </c>
      <c r="P1158" t="str">
        <f>HYPERLINK("http://vk.com/club197114981")</f>
        <v>http://vk.com/club197114981</v>
      </c>
      <c r="Q1158">
        <v>38</v>
      </c>
      <c r="R1158" t="s">
        <v>17</v>
      </c>
      <c r="AJ1158" t="s">
        <v>10</v>
      </c>
      <c r="AK1158" t="s">
        <v>21</v>
      </c>
    </row>
    <row r="1159" spans="1:50" x14ac:dyDescent="0.25">
      <c r="A1159" t="s">
        <v>1597</v>
      </c>
      <c r="B1159" t="s">
        <v>1696</v>
      </c>
      <c r="C1159" t="s">
        <v>984</v>
      </c>
      <c r="D1159" t="s">
        <v>1697</v>
      </c>
      <c r="E1159" t="s">
        <v>1698</v>
      </c>
      <c r="F1159" t="s">
        <v>45</v>
      </c>
      <c r="G1159" t="str">
        <f>HYPERLINK("https://www.hockessincommunitynews.com/story/news/coronavirus/2020/07/28/covid-northeast-better-prepared-second-spike/5449927002")</f>
        <v>https://www.hockessincommunitynews.com/story/news/coronavirus/2020/07/28/covid-northeast-better-prepared-second-spike/5449927002</v>
      </c>
      <c r="H1159" t="s">
        <v>885</v>
      </c>
      <c r="I1159" t="s">
        <v>1625</v>
      </c>
      <c r="J1159" t="str">
        <f>HYPERLINK("https://www.hockessincommunitynews.com/story/news/coronavirus/2020/07/28/covid-northeast-better-prepared-second-spike/5449927002/")</f>
        <v>https://www.hockessincommunitynews.com/story/news/coronavirus/2020/07/28/covid-northeast-better-prepared-second-spike/5449927002/</v>
      </c>
      <c r="L1159" t="s">
        <v>15</v>
      </c>
      <c r="N1159" t="s">
        <v>1699</v>
      </c>
      <c r="R1159" t="s">
        <v>239</v>
      </c>
      <c r="S1159" t="s">
        <v>425</v>
      </c>
      <c r="AJ1159" t="s">
        <v>10</v>
      </c>
      <c r="AK1159" t="s">
        <v>21</v>
      </c>
    </row>
    <row r="1160" spans="1:50" x14ac:dyDescent="0.25">
      <c r="A1160" t="s">
        <v>1723</v>
      </c>
      <c r="B1160" t="s">
        <v>1783</v>
      </c>
      <c r="C1160" t="s">
        <v>984</v>
      </c>
      <c r="D1160" t="s">
        <v>1697</v>
      </c>
      <c r="E1160" t="s">
        <v>1778</v>
      </c>
      <c r="F1160" t="s">
        <v>45</v>
      </c>
      <c r="G1160" t="str">
        <f>HYPERLINK("https://eu.ithacajournal.com/story/news/coronavirus/2020/07/28/covid-northeast-better-prepared-second-spike/5449927002")</f>
        <v>https://eu.ithacajournal.com/story/news/coronavirus/2020/07/28/covid-northeast-better-prepared-second-spike/5449927002</v>
      </c>
      <c r="H1160" t="s">
        <v>885</v>
      </c>
      <c r="I1160" t="s">
        <v>1786</v>
      </c>
      <c r="J1160" t="str">
        <f>HYPERLINK("http://www.ithacajournal.com")</f>
        <v>http://www.ithacajournal.com</v>
      </c>
      <c r="N1160" t="s">
        <v>1787</v>
      </c>
      <c r="R1160" t="s">
        <v>239</v>
      </c>
      <c r="S1160" t="s">
        <v>425</v>
      </c>
      <c r="AJ1160" t="s">
        <v>10</v>
      </c>
      <c r="AK1160" t="s">
        <v>21</v>
      </c>
    </row>
    <row r="1161" spans="1:50" x14ac:dyDescent="0.25">
      <c r="A1161" t="s">
        <v>2472</v>
      </c>
      <c r="B1161" t="s">
        <v>2529</v>
      </c>
      <c r="C1161" t="s">
        <v>968</v>
      </c>
      <c r="D1161" t="s">
        <v>421</v>
      </c>
      <c r="E1161" t="s">
        <v>2530</v>
      </c>
      <c r="F1161" t="s">
        <v>26</v>
      </c>
      <c r="G1161" t="str">
        <f>HYPERLINK("https://www.youtube.com/watch?v=gaka1vqYFNs&amp;lc=UgwX2XVMVp3M0jXuu3N4AaABAg")</f>
        <v>https://www.youtube.com/watch?v=gaka1vqYFNs&amp;lc=UgwX2XVMVp3M0jXuu3N4AaABAg</v>
      </c>
      <c r="H1161" t="s">
        <v>885</v>
      </c>
      <c r="I1161" t="s">
        <v>2531</v>
      </c>
      <c r="J1161" t="str">
        <f>HYPERLINK("https://www.youtube.com/channel/UCtSTD8-qEUy3hSvgDFmrN5w")</f>
        <v>https://www.youtube.com/channel/UCtSTD8-qEUy3hSvgDFmrN5w</v>
      </c>
      <c r="K1161">
        <v>0</v>
      </c>
      <c r="N1161" t="s">
        <v>162</v>
      </c>
      <c r="O1161" t="s">
        <v>424</v>
      </c>
      <c r="P1161" t="str">
        <f>HYPERLINK("https://www.youtube.com/channel/UC8fQzKHIhSoZeSq3bwQx4mw")</f>
        <v>https://www.youtube.com/channel/UC8fQzKHIhSoZeSq3bwQx4mw</v>
      </c>
      <c r="Q1161">
        <v>517000</v>
      </c>
      <c r="R1161" t="s">
        <v>17</v>
      </c>
      <c r="S1161" t="s">
        <v>425</v>
      </c>
      <c r="W1161">
        <v>5</v>
      </c>
      <c r="X1161">
        <v>5</v>
      </c>
      <c r="AE1161">
        <v>0</v>
      </c>
      <c r="AJ1161" t="s">
        <v>10</v>
      </c>
      <c r="AK1161" t="s">
        <v>21</v>
      </c>
    </row>
    <row r="1162" spans="1:50" x14ac:dyDescent="0.25">
      <c r="A1162" t="s">
        <v>3021</v>
      </c>
      <c r="B1162" t="s">
        <v>3032</v>
      </c>
      <c r="C1162" t="s">
        <v>968</v>
      </c>
      <c r="D1162" t="s">
        <v>3033</v>
      </c>
      <c r="E1162" t="s">
        <v>3034</v>
      </c>
      <c r="F1162" t="s">
        <v>45</v>
      </c>
      <c r="G1162" t="str">
        <f>HYPERLINK("https://www.google.com/maps/reviews/data=!4m5!14m4!1m3!1m2!1s104509350732805879759!2s0x0:0x966a2951519cb7b9?hl=en-NL")</f>
        <v>https://www.google.com/maps/reviews/data=!4m5!14m4!1m3!1m2!1s104509350732805879759!2s0x0:0x966a2951519cb7b9?hl=en-NL</v>
      </c>
      <c r="H1162" t="s">
        <v>889</v>
      </c>
      <c r="I1162" t="s">
        <v>3035</v>
      </c>
      <c r="J1162" t="str">
        <f>HYPERLINK("https://maps.google.com/maps/contrib/104509350732805879759")</f>
        <v>https://maps.google.com/maps/contrib/104509350732805879759</v>
      </c>
      <c r="N1162" t="s">
        <v>615</v>
      </c>
      <c r="O1162" t="s">
        <v>3033</v>
      </c>
      <c r="P1162" t="str">
        <f>HYPERLINK("https://maps.google.com/maps/place/data=!3m1!4b1!4m5!3m4!1s0x0:0x966a2951519cb7b9!8m2!3d53.336540!4d-9.180236")</f>
        <v>https://maps.google.com/maps/place/data=!3m1!4b1!4m5!3m4!1s0x0:0x966a2951519cb7b9!8m2!3d53.336540!4d-9.180236</v>
      </c>
      <c r="R1162" t="s">
        <v>616</v>
      </c>
      <c r="S1162" t="s">
        <v>1522</v>
      </c>
      <c r="U1162" t="s">
        <v>3036</v>
      </c>
      <c r="AH1162">
        <v>5</v>
      </c>
      <c r="AJ1162" t="s">
        <v>10</v>
      </c>
      <c r="AK1162" t="s">
        <v>21</v>
      </c>
    </row>
    <row r="1163" spans="1:50" x14ac:dyDescent="0.25">
      <c r="A1163" t="s">
        <v>414</v>
      </c>
      <c r="B1163" t="s">
        <v>457</v>
      </c>
      <c r="C1163" t="s">
        <v>458</v>
      </c>
      <c r="D1163" t="s">
        <v>24</v>
      </c>
      <c r="E1163" t="s">
        <v>459</v>
      </c>
      <c r="F1163" t="s">
        <v>26</v>
      </c>
      <c r="G1163" t="str">
        <f>HYPERLINK("https://vk.com/wall-197114981_31?reply=1264&amp;thread=1263")</f>
        <v>https://vk.com/wall-197114981_31?reply=1264&amp;thread=1263</v>
      </c>
      <c r="H1163" t="s">
        <v>13</v>
      </c>
      <c r="I1163" t="s">
        <v>27</v>
      </c>
      <c r="J1163" t="str">
        <f>HYPERLINK("http://vk.com/club197114981")</f>
        <v>http://vk.com/club197114981</v>
      </c>
      <c r="K1163">
        <v>38</v>
      </c>
      <c r="L1163" t="s">
        <v>28</v>
      </c>
      <c r="N1163" t="s">
        <v>16</v>
      </c>
      <c r="O1163" t="s">
        <v>27</v>
      </c>
      <c r="P1163" t="str">
        <f>HYPERLINK("http://vk.com/club197114981")</f>
        <v>http://vk.com/club197114981</v>
      </c>
      <c r="Q1163">
        <v>38</v>
      </c>
      <c r="R1163" t="s">
        <v>17</v>
      </c>
      <c r="AJ1163" t="s">
        <v>10</v>
      </c>
      <c r="AK1163" t="s">
        <v>21</v>
      </c>
      <c r="AL1163" t="s">
        <v>3237</v>
      </c>
    </row>
    <row r="1164" spans="1:50" x14ac:dyDescent="0.25">
      <c r="A1164" t="s">
        <v>1425</v>
      </c>
      <c r="B1164" t="s">
        <v>539</v>
      </c>
      <c r="C1164" t="s">
        <v>984</v>
      </c>
      <c r="D1164" t="s">
        <v>10</v>
      </c>
      <c r="E1164" t="s">
        <v>1387</v>
      </c>
      <c r="F1164" t="s">
        <v>45</v>
      </c>
      <c r="G1164" t="str">
        <f>HYPERLINK("https://www.facebook.com/mriexpert/posts/3236120283121093")</f>
        <v>https://www.facebook.com/mriexpert/posts/3236120283121093</v>
      </c>
      <c r="H1164" t="s">
        <v>885</v>
      </c>
      <c r="I1164" t="s">
        <v>46</v>
      </c>
      <c r="J1164" t="str">
        <f>HYPERLINK("https://www.facebook.com/902980129768465")</f>
        <v>https://www.facebook.com/902980129768465</v>
      </c>
      <c r="K1164">
        <v>1509</v>
      </c>
      <c r="L1164" t="s">
        <v>28</v>
      </c>
      <c r="N1164" t="s">
        <v>179</v>
      </c>
      <c r="O1164" t="s">
        <v>46</v>
      </c>
      <c r="P1164" t="str">
        <f>HYPERLINK("https://www.facebook.com/902980129768465")</f>
        <v>https://www.facebook.com/902980129768465</v>
      </c>
      <c r="Q1164">
        <v>1509</v>
      </c>
      <c r="R1164" t="s">
        <v>17</v>
      </c>
      <c r="W1164">
        <v>11</v>
      </c>
      <c r="X1164">
        <v>11</v>
      </c>
      <c r="Y1164">
        <v>0</v>
      </c>
      <c r="Z1164">
        <v>0</v>
      </c>
      <c r="AA1164">
        <v>0</v>
      </c>
      <c r="AB1164">
        <v>0</v>
      </c>
      <c r="AC1164">
        <v>0</v>
      </c>
      <c r="AE1164">
        <v>0</v>
      </c>
      <c r="AF1164">
        <v>8</v>
      </c>
      <c r="AI1164" t="str">
        <f>HYPERLINK("https://scontent-hel2-1.xx.fbcdn.net/v/t1.0-0/p526x296/116884113_3236120083121113_5139901714793828146_o.jpg?_nc_cat=107&amp;_nc_sid=730e14&amp;_nc_ohc=WQal7HkBKxgAX8sQK6k&amp;_nc_ht=scontent-hel2-1.xx&amp;_nc_tp=6&amp;oh=cf74aad75134a23cd13cc55075661b73&amp;oe=5F4C2D57")</f>
        <v>https://scontent-hel2-1.xx.fbcdn.net/v/t1.0-0/p526x296/116884113_3236120083121113_5139901714793828146_o.jpg?_nc_cat=107&amp;_nc_sid=730e14&amp;_nc_ohc=WQal7HkBKxgAX8sQK6k&amp;_nc_ht=scontent-hel2-1.xx&amp;_nc_tp=6&amp;oh=cf74aad75134a23cd13cc55075661b73&amp;oe=5F4C2D57</v>
      </c>
      <c r="AJ1164" t="s">
        <v>10</v>
      </c>
      <c r="AK1164" t="s">
        <v>21</v>
      </c>
      <c r="AV1164" t="s">
        <v>3247</v>
      </c>
    </row>
    <row r="1165" spans="1:50" x14ac:dyDescent="0.25">
      <c r="A1165" t="s">
        <v>1930</v>
      </c>
      <c r="B1165" t="s">
        <v>1496</v>
      </c>
      <c r="C1165" t="s">
        <v>984</v>
      </c>
      <c r="D1165" t="s">
        <v>10</v>
      </c>
      <c r="E1165" t="s">
        <v>1979</v>
      </c>
      <c r="F1165" t="s">
        <v>45</v>
      </c>
      <c r="G1165" t="str">
        <f>HYPERLINK("https://www.instagram.com/p/CDGCnHFF0sP")</f>
        <v>https://www.instagram.com/p/CDGCnHFF0sP</v>
      </c>
      <c r="H1165" t="s">
        <v>885</v>
      </c>
      <c r="I1165" t="s">
        <v>1128</v>
      </c>
      <c r="J1165" t="str">
        <f>HYPERLINK("http://instagram.com/mrt_ekspert_sochi")</f>
        <v>http://instagram.com/mrt_ekspert_sochi</v>
      </c>
      <c r="K1165">
        <v>657</v>
      </c>
      <c r="L1165" t="s">
        <v>28</v>
      </c>
      <c r="N1165" t="s">
        <v>69</v>
      </c>
      <c r="O1165" t="s">
        <v>1128</v>
      </c>
      <c r="P1165" t="str">
        <f>HYPERLINK("http://instagram.com/mrt_ekspert_sochi")</f>
        <v>http://instagram.com/mrt_ekspert_sochi</v>
      </c>
      <c r="Q1165">
        <v>657</v>
      </c>
      <c r="R1165" t="s">
        <v>17</v>
      </c>
      <c r="S1165" t="s">
        <v>18</v>
      </c>
      <c r="T1165" t="s">
        <v>617</v>
      </c>
      <c r="U1165" t="s">
        <v>1034</v>
      </c>
      <c r="AI1165" t="str">
        <f>HYPERLINK("https://www.instagram.com/p/CDGCnHFF0sP/media/?size=l")</f>
        <v>https://www.instagram.com/p/CDGCnHFF0sP/media/?size=l</v>
      </c>
      <c r="AJ1165" t="s">
        <v>10</v>
      </c>
      <c r="AK1165" t="s">
        <v>21</v>
      </c>
      <c r="AM1165" t="s">
        <v>3238</v>
      </c>
      <c r="AO1165" t="s">
        <v>3240</v>
      </c>
    </row>
    <row r="1166" spans="1:50" x14ac:dyDescent="0.25">
      <c r="A1166" t="s">
        <v>2122</v>
      </c>
      <c r="B1166" t="s">
        <v>277</v>
      </c>
      <c r="C1166" t="s">
        <v>968</v>
      </c>
      <c r="D1166" t="s">
        <v>10</v>
      </c>
      <c r="E1166" t="s">
        <v>2187</v>
      </c>
      <c r="F1166" t="s">
        <v>12</v>
      </c>
      <c r="G1166" t="str">
        <f>HYPERLINK("https://www.facebook.com/568390943273818/posts/3008099085969646")</f>
        <v>https://www.facebook.com/568390943273818/posts/3008099085969646</v>
      </c>
      <c r="H1166" t="s">
        <v>885</v>
      </c>
      <c r="I1166" t="s">
        <v>280</v>
      </c>
      <c r="J1166" t="str">
        <f>HYPERLINK("https://www.facebook.com/568390943273818")</f>
        <v>https://www.facebook.com/568390943273818</v>
      </c>
      <c r="K1166">
        <v>18918</v>
      </c>
      <c r="L1166" t="s">
        <v>28</v>
      </c>
      <c r="N1166" t="s">
        <v>179</v>
      </c>
      <c r="O1166" t="s">
        <v>280</v>
      </c>
      <c r="P1166" t="str">
        <f>HYPERLINK("https://www.facebook.com/568390943273818")</f>
        <v>https://www.facebook.com/568390943273818</v>
      </c>
      <c r="Q1166">
        <v>18918</v>
      </c>
      <c r="R1166" t="s">
        <v>17</v>
      </c>
      <c r="S1166" t="s">
        <v>281</v>
      </c>
      <c r="T1166" t="s">
        <v>282</v>
      </c>
      <c r="U1166" t="s">
        <v>282</v>
      </c>
      <c r="W1166">
        <v>3</v>
      </c>
      <c r="X1166">
        <v>3</v>
      </c>
      <c r="Y1166">
        <v>0</v>
      </c>
      <c r="Z1166">
        <v>0</v>
      </c>
      <c r="AA1166">
        <v>0</v>
      </c>
      <c r="AB1166">
        <v>0</v>
      </c>
      <c r="AC1166">
        <v>0</v>
      </c>
      <c r="AE1166">
        <v>0</v>
      </c>
      <c r="AI1166" t="str">
        <f>HYPERLINK("https://scontent-iad3-1.xx.fbcdn.net/v/t15.5256-10/115887413_291324465312790_6931194195921481860_n.jpg?_nc_cat=102&amp;_nc_sid=ad6a45&amp;_nc_ohc=m4ruc-fPagAAX_ma_qK&amp;_nc_ht=scontent-iad3-1.xx&amp;oh=2c8448566059b39db652378adc4d7407&amp;oe=5F3D227B")</f>
        <v>https://scontent-iad3-1.xx.fbcdn.net/v/t15.5256-10/115887413_291324465312790_6931194195921481860_n.jpg?_nc_cat=102&amp;_nc_sid=ad6a45&amp;_nc_ohc=m4ruc-fPagAAX_ma_qK&amp;_nc_ht=scontent-iad3-1.xx&amp;oh=2c8448566059b39db652378adc4d7407&amp;oe=5F3D227B</v>
      </c>
      <c r="AJ1166" t="s">
        <v>10</v>
      </c>
      <c r="AK1166" t="s">
        <v>21</v>
      </c>
      <c r="AO1166" t="s">
        <v>3240</v>
      </c>
    </row>
    <row r="1167" spans="1:50" x14ac:dyDescent="0.25">
      <c r="A1167" t="s">
        <v>2472</v>
      </c>
      <c r="B1167" t="s">
        <v>2519</v>
      </c>
      <c r="C1167" t="s">
        <v>968</v>
      </c>
      <c r="D1167" t="s">
        <v>10</v>
      </c>
      <c r="E1167" t="s">
        <v>2520</v>
      </c>
      <c r="F1167" t="s">
        <v>26</v>
      </c>
      <c r="G1167" t="str">
        <f>HYPERLINK("https://twitter.com/2974140089/status/1284017726588162050")</f>
        <v>https://twitter.com/2974140089/status/1284017726588162050</v>
      </c>
      <c r="H1167" t="s">
        <v>885</v>
      </c>
      <c r="I1167" t="s">
        <v>2516</v>
      </c>
      <c r="J1167" t="str">
        <f>HYPERLINK("http://twitter.com/emubirb")</f>
        <v>http://twitter.com/emubirb</v>
      </c>
      <c r="K1167">
        <v>97</v>
      </c>
      <c r="N1167" t="s">
        <v>54</v>
      </c>
      <c r="R1167" t="s">
        <v>17</v>
      </c>
      <c r="S1167" t="s">
        <v>2150</v>
      </c>
      <c r="T1167" t="s">
        <v>2517</v>
      </c>
      <c r="U1167" t="s">
        <v>2518</v>
      </c>
      <c r="W1167">
        <v>1</v>
      </c>
      <c r="X1167">
        <v>1</v>
      </c>
      <c r="AE1167">
        <v>4</v>
      </c>
      <c r="AF1167">
        <v>0</v>
      </c>
      <c r="AJ1167" t="s">
        <v>10</v>
      </c>
      <c r="AK1167" t="s">
        <v>21</v>
      </c>
      <c r="AO1167" t="s">
        <v>3240</v>
      </c>
    </row>
    <row r="1168" spans="1:50" x14ac:dyDescent="0.25">
      <c r="A1168" t="s">
        <v>2472</v>
      </c>
      <c r="B1168" t="s">
        <v>2522</v>
      </c>
      <c r="C1168" t="s">
        <v>968</v>
      </c>
      <c r="D1168" t="s">
        <v>2523</v>
      </c>
      <c r="E1168" t="s">
        <v>2524</v>
      </c>
      <c r="F1168" t="s">
        <v>26</v>
      </c>
      <c r="G1168" t="str">
        <f>HYPERLINK("https://www.thegatewaypundit.com/2020/07/watch-city-official-cancels-meeting-crowd-refuses-wear-masks-video/#comment-4995021503")</f>
        <v>https://www.thegatewaypundit.com/2020/07/watch-city-official-cancels-meeting-crowd-refuses-wear-masks-video/#comment-4995021503</v>
      </c>
      <c r="H1168" t="s">
        <v>885</v>
      </c>
      <c r="I1168" t="s">
        <v>2525</v>
      </c>
      <c r="J1168" t="str">
        <f>HYPERLINK("https://disqus.com/by/disqus_QpfstsGJRJ/")</f>
        <v>https://disqus.com/by/disqus_QpfstsGJRJ/</v>
      </c>
      <c r="K1168">
        <v>54</v>
      </c>
      <c r="N1168" t="s">
        <v>2526</v>
      </c>
      <c r="O1168" t="s">
        <v>2527</v>
      </c>
      <c r="P1168" t="str">
        <f>HYPERLINK("https://disqus.com/home/forum/thegatewaypundit/")</f>
        <v>https://disqus.com/home/forum/thegatewaypundit/</v>
      </c>
      <c r="R1168" t="s">
        <v>966</v>
      </c>
      <c r="AJ1168" t="s">
        <v>10</v>
      </c>
      <c r="AK1168" t="s">
        <v>21</v>
      </c>
      <c r="AL1168" t="s">
        <v>3237</v>
      </c>
      <c r="AO1168" t="s">
        <v>3240</v>
      </c>
    </row>
    <row r="1169" spans="1:50" x14ac:dyDescent="0.25">
      <c r="A1169" t="s">
        <v>7</v>
      </c>
      <c r="B1169" t="s">
        <v>302</v>
      </c>
      <c r="C1169" t="s">
        <v>303</v>
      </c>
      <c r="D1169" t="s">
        <v>24</v>
      </c>
      <c r="E1169" t="s">
        <v>308</v>
      </c>
      <c r="F1169" t="s">
        <v>26</v>
      </c>
      <c r="G1169" t="str">
        <f>HYPERLINK("https://vk.com/wall-197114981_31?reply=1338&amp;thread=1335")</f>
        <v>https://vk.com/wall-197114981_31?reply=1338&amp;thread=1335</v>
      </c>
      <c r="H1169" t="s">
        <v>13</v>
      </c>
      <c r="I1169" t="s">
        <v>306</v>
      </c>
      <c r="J1169" t="str">
        <f>HYPERLINK("http://vk.com/id150258338")</f>
        <v>http://vk.com/id150258338</v>
      </c>
      <c r="K1169">
        <v>125</v>
      </c>
      <c r="L1169" t="s">
        <v>15</v>
      </c>
      <c r="N1169" t="s">
        <v>16</v>
      </c>
      <c r="O1169" t="s">
        <v>27</v>
      </c>
      <c r="P1169" t="str">
        <f>HYPERLINK("http://vk.com/club197114981")</f>
        <v>http://vk.com/club197114981</v>
      </c>
      <c r="Q1169">
        <v>38</v>
      </c>
      <c r="R1169" t="s">
        <v>17</v>
      </c>
      <c r="S1169" t="s">
        <v>18</v>
      </c>
      <c r="AJ1169" t="s">
        <v>10</v>
      </c>
      <c r="AK1169" t="s">
        <v>21</v>
      </c>
      <c r="AL1169" t="s">
        <v>3237</v>
      </c>
      <c r="AO1169" t="s">
        <v>3240</v>
      </c>
    </row>
    <row r="1170" spans="1:50" x14ac:dyDescent="0.25">
      <c r="A1170" t="s">
        <v>7</v>
      </c>
      <c r="B1170" t="s">
        <v>345</v>
      </c>
      <c r="C1170" t="s">
        <v>346</v>
      </c>
      <c r="D1170" t="s">
        <v>24</v>
      </c>
      <c r="E1170" t="s">
        <v>25</v>
      </c>
      <c r="F1170" t="s">
        <v>26</v>
      </c>
      <c r="G1170" t="str">
        <f>HYPERLINK("https://vk.com/wall-197114981_31?reply=1320&amp;thread=1243")</f>
        <v>https://vk.com/wall-197114981_31?reply=1320&amp;thread=1243</v>
      </c>
      <c r="H1170" t="s">
        <v>13</v>
      </c>
      <c r="I1170" t="s">
        <v>27</v>
      </c>
      <c r="J1170" t="str">
        <f>HYPERLINK("http://vk.com/club197114981")</f>
        <v>http://vk.com/club197114981</v>
      </c>
      <c r="K1170">
        <v>38</v>
      </c>
      <c r="L1170" t="s">
        <v>28</v>
      </c>
      <c r="N1170" t="s">
        <v>16</v>
      </c>
      <c r="O1170" t="s">
        <v>27</v>
      </c>
      <c r="P1170" t="str">
        <f>HYPERLINK("http://vk.com/club197114981")</f>
        <v>http://vk.com/club197114981</v>
      </c>
      <c r="Q1170">
        <v>38</v>
      </c>
      <c r="R1170" t="s">
        <v>17</v>
      </c>
      <c r="AJ1170" t="s">
        <v>10</v>
      </c>
      <c r="AK1170" t="s">
        <v>21</v>
      </c>
      <c r="AL1170" t="s">
        <v>3237</v>
      </c>
      <c r="AO1170" t="s">
        <v>3240</v>
      </c>
    </row>
    <row r="1171" spans="1:50" x14ac:dyDescent="0.25">
      <c r="A1171" t="s">
        <v>7</v>
      </c>
      <c r="B1171" t="s">
        <v>358</v>
      </c>
      <c r="C1171" t="s">
        <v>359</v>
      </c>
      <c r="D1171" t="s">
        <v>24</v>
      </c>
      <c r="E1171" t="s">
        <v>360</v>
      </c>
      <c r="F1171" t="s">
        <v>26</v>
      </c>
      <c r="G1171" t="str">
        <f>HYPERLINK("https://vk.com/wall-197114981_31?reply=1315&amp;thread=1278")</f>
        <v>https://vk.com/wall-197114981_31?reply=1315&amp;thread=1278</v>
      </c>
      <c r="H1171" t="s">
        <v>13</v>
      </c>
      <c r="I1171" t="s">
        <v>27</v>
      </c>
      <c r="J1171" t="str">
        <f>HYPERLINK("http://vk.com/club197114981")</f>
        <v>http://vk.com/club197114981</v>
      </c>
      <c r="K1171">
        <v>38</v>
      </c>
      <c r="L1171" t="s">
        <v>28</v>
      </c>
      <c r="N1171" t="s">
        <v>16</v>
      </c>
      <c r="O1171" t="s">
        <v>27</v>
      </c>
      <c r="P1171" t="str">
        <f>HYPERLINK("http://vk.com/club197114981")</f>
        <v>http://vk.com/club197114981</v>
      </c>
      <c r="Q1171">
        <v>38</v>
      </c>
      <c r="R1171" t="s">
        <v>17</v>
      </c>
      <c r="AJ1171" t="s">
        <v>10</v>
      </c>
      <c r="AK1171" t="s">
        <v>21</v>
      </c>
      <c r="AO1171" t="s">
        <v>3240</v>
      </c>
    </row>
    <row r="1172" spans="1:50" x14ac:dyDescent="0.25">
      <c r="A1172" t="s">
        <v>7</v>
      </c>
      <c r="B1172" t="s">
        <v>381</v>
      </c>
      <c r="C1172" t="s">
        <v>382</v>
      </c>
      <c r="D1172" t="s">
        <v>262</v>
      </c>
      <c r="E1172" t="s">
        <v>383</v>
      </c>
      <c r="F1172" t="s">
        <v>26</v>
      </c>
      <c r="G1172" t="str">
        <f>HYPERLINK("https://vk.com/wall-92972218_1535?reply=1554")</f>
        <v>https://vk.com/wall-92972218_1535?reply=1554</v>
      </c>
      <c r="H1172" t="s">
        <v>13</v>
      </c>
      <c r="I1172" t="s">
        <v>264</v>
      </c>
      <c r="J1172" t="str">
        <f>HYPERLINK("http://vk.com/id469960421")</f>
        <v>http://vk.com/id469960421</v>
      </c>
      <c r="K1172">
        <v>346</v>
      </c>
      <c r="L1172" t="s">
        <v>15</v>
      </c>
      <c r="M1172">
        <v>44</v>
      </c>
      <c r="N1172" t="s">
        <v>16</v>
      </c>
      <c r="O1172" t="s">
        <v>265</v>
      </c>
      <c r="P1172" t="str">
        <f>HYPERLINK("http://vk.com/club92972218")</f>
        <v>http://vk.com/club92972218</v>
      </c>
      <c r="Q1172">
        <v>5227</v>
      </c>
      <c r="R1172" t="s">
        <v>17</v>
      </c>
      <c r="S1172" t="s">
        <v>18</v>
      </c>
      <c r="T1172" t="s">
        <v>266</v>
      </c>
      <c r="U1172" t="s">
        <v>266</v>
      </c>
      <c r="AJ1172" t="s">
        <v>10</v>
      </c>
      <c r="AK1172" t="s">
        <v>21</v>
      </c>
      <c r="AO1172" t="s">
        <v>3240</v>
      </c>
      <c r="AT1172" t="s">
        <v>3245</v>
      </c>
      <c r="AU1172" t="s">
        <v>3246</v>
      </c>
      <c r="AX1172" t="s">
        <v>3249</v>
      </c>
    </row>
    <row r="1173" spans="1:50" x14ac:dyDescent="0.25">
      <c r="A1173" t="s">
        <v>1158</v>
      </c>
      <c r="B1173" t="s">
        <v>122</v>
      </c>
      <c r="C1173" t="s">
        <v>984</v>
      </c>
      <c r="D1173" t="s">
        <v>10</v>
      </c>
      <c r="E1173" t="s">
        <v>1190</v>
      </c>
      <c r="F1173" t="s">
        <v>45</v>
      </c>
      <c r="G1173" t="str">
        <f>HYPERLINK("https://www.facebook.com/clinicexpertrnd/posts/788836305194001")</f>
        <v>https://www.facebook.com/clinicexpertrnd/posts/788836305194001</v>
      </c>
      <c r="H1173" t="s">
        <v>889</v>
      </c>
      <c r="I1173" t="s">
        <v>125</v>
      </c>
      <c r="J1173" t="str">
        <f>HYPERLINK("https://www.facebook.com/156600068417631")</f>
        <v>https://www.facebook.com/156600068417631</v>
      </c>
      <c r="K1173">
        <v>236</v>
      </c>
      <c r="L1173" t="s">
        <v>28</v>
      </c>
      <c r="N1173" t="s">
        <v>179</v>
      </c>
      <c r="O1173" t="s">
        <v>125</v>
      </c>
      <c r="P1173" t="str">
        <f>HYPERLINK("https://www.facebook.com/156600068417631")</f>
        <v>https://www.facebook.com/156600068417631</v>
      </c>
      <c r="Q1173">
        <v>236</v>
      </c>
      <c r="R1173" t="s">
        <v>17</v>
      </c>
      <c r="S1173" t="s">
        <v>18</v>
      </c>
      <c r="T1173" t="s">
        <v>126</v>
      </c>
      <c r="U1173" t="s">
        <v>127</v>
      </c>
      <c r="W1173">
        <v>0</v>
      </c>
      <c r="X1173">
        <v>0</v>
      </c>
      <c r="Y1173">
        <v>0</v>
      </c>
      <c r="Z1173">
        <v>0</v>
      </c>
      <c r="AA1173">
        <v>0</v>
      </c>
      <c r="AB1173">
        <v>0</v>
      </c>
      <c r="AC1173">
        <v>0</v>
      </c>
      <c r="AE1173">
        <v>0</v>
      </c>
      <c r="AI1173" t="str">
        <f>HYPERLINK("https://scontent-hel2-1.xx.fbcdn.net/v/t1.0-9/116848214_788836168527348_7957773183284817971_o.jpg?_nc_cat=102&amp;_nc_sid=730e14&amp;_nc_ohc=IP3SZH_nvFAAX_6u9gW&amp;_nc_ht=scontent-hel2-1.xx&amp;oh=91b81627d9bd53499fc30ad282b57d91&amp;oe=5F4EEE66")</f>
        <v>https://scontent-hel2-1.xx.fbcdn.net/v/t1.0-9/116848214_788836168527348_7957773183284817971_o.jpg?_nc_cat=102&amp;_nc_sid=730e14&amp;_nc_ohc=IP3SZH_nvFAAX_6u9gW&amp;_nc_ht=scontent-hel2-1.xx&amp;oh=91b81627d9bd53499fc30ad282b57d91&amp;oe=5F4EEE66</v>
      </c>
      <c r="AJ1173" t="s">
        <v>10</v>
      </c>
      <c r="AK1173" t="s">
        <v>21</v>
      </c>
      <c r="AO1173" t="s">
        <v>3240</v>
      </c>
      <c r="AT1173" t="s">
        <v>3245</v>
      </c>
      <c r="AU1173" t="s">
        <v>3246</v>
      </c>
      <c r="AV1173" t="s">
        <v>3247</v>
      </c>
      <c r="AW1173" t="s">
        <v>3248</v>
      </c>
    </row>
    <row r="1174" spans="1:50" x14ac:dyDescent="0.25">
      <c r="A1174" t="s">
        <v>1225</v>
      </c>
      <c r="B1174" t="s">
        <v>277</v>
      </c>
      <c r="C1174" t="s">
        <v>984</v>
      </c>
      <c r="D1174" t="s">
        <v>10</v>
      </c>
      <c r="E1174" t="s">
        <v>1274</v>
      </c>
      <c r="F1174" t="s">
        <v>12</v>
      </c>
      <c r="G1174" t="str">
        <f>HYPERLINK("https://www.facebook.com/568390943273818/posts/3036402639805957")</f>
        <v>https://www.facebook.com/568390943273818/posts/3036402639805957</v>
      </c>
      <c r="H1174" t="s">
        <v>885</v>
      </c>
      <c r="I1174" t="s">
        <v>280</v>
      </c>
      <c r="J1174" t="str">
        <f>HYPERLINK("https://www.facebook.com/568390943273818")</f>
        <v>https://www.facebook.com/568390943273818</v>
      </c>
      <c r="K1174">
        <v>18918</v>
      </c>
      <c r="L1174" t="s">
        <v>28</v>
      </c>
      <c r="N1174" t="s">
        <v>179</v>
      </c>
      <c r="O1174" t="s">
        <v>280</v>
      </c>
      <c r="P1174" t="str">
        <f>HYPERLINK("https://www.facebook.com/568390943273818")</f>
        <v>https://www.facebook.com/568390943273818</v>
      </c>
      <c r="Q1174">
        <v>18918</v>
      </c>
      <c r="R1174" t="s">
        <v>17</v>
      </c>
      <c r="S1174" t="s">
        <v>281</v>
      </c>
      <c r="T1174" t="s">
        <v>282</v>
      </c>
      <c r="U1174" t="s">
        <v>282</v>
      </c>
      <c r="AI1174" t="str">
        <f>HYPERLINK("https://scontent-mrs2-1.xx.fbcdn.net/v/t1.0-9/p720x720/116938327_3044238125689075_5087092481818600767_o.jpg?_nc_cat=111&amp;_nc_sid=8024bb&amp;_nc_ohc=ldMa-TWxMYwAX9T7KkK&amp;_nc_ht=scontent-mrs2-1.xx&amp;_nc_tp=6&amp;oh=049e7a63dfdbe246ce2b66cecf8c8185&amp;oe=5F5013FE")</f>
        <v>https://scontent-mrs2-1.xx.fbcdn.net/v/t1.0-9/p720x720/116938327_3044238125689075_5087092481818600767_o.jpg?_nc_cat=111&amp;_nc_sid=8024bb&amp;_nc_ohc=ldMa-TWxMYwAX9T7KkK&amp;_nc_ht=scontent-mrs2-1.xx&amp;_nc_tp=6&amp;oh=049e7a63dfdbe246ce2b66cecf8c8185&amp;oe=5F5013FE</v>
      </c>
      <c r="AJ1174" t="s">
        <v>10</v>
      </c>
      <c r="AK1174" t="s">
        <v>21</v>
      </c>
      <c r="AL1174" t="s">
        <v>3237</v>
      </c>
      <c r="AN1174" t="s">
        <v>3239</v>
      </c>
    </row>
    <row r="1175" spans="1:50" x14ac:dyDescent="0.25">
      <c r="A1175" t="s">
        <v>1462</v>
      </c>
      <c r="B1175" t="s">
        <v>175</v>
      </c>
      <c r="C1175" t="s">
        <v>984</v>
      </c>
      <c r="D1175" t="s">
        <v>10</v>
      </c>
      <c r="E1175" t="s">
        <v>1487</v>
      </c>
      <c r="F1175" t="s">
        <v>45</v>
      </c>
      <c r="G1175" t="str">
        <f>HYPERLINK("https://www.instagram.com/p/CDTH_jSns-y")</f>
        <v>https://www.instagram.com/p/CDTH_jSns-y</v>
      </c>
      <c r="H1175" t="s">
        <v>889</v>
      </c>
      <c r="I1175" t="s">
        <v>146</v>
      </c>
      <c r="J1175" t="str">
        <f>HYPERLINK("http://instagram.com/clinic_expert_")</f>
        <v>http://instagram.com/clinic_expert_</v>
      </c>
      <c r="K1175">
        <v>4164</v>
      </c>
      <c r="N1175" t="s">
        <v>69</v>
      </c>
      <c r="O1175" t="s">
        <v>146</v>
      </c>
      <c r="P1175" t="str">
        <f>HYPERLINK("http://instagram.com/clinic_expert_")</f>
        <v>http://instagram.com/clinic_expert_</v>
      </c>
      <c r="Q1175">
        <v>4164</v>
      </c>
      <c r="R1175" t="s">
        <v>17</v>
      </c>
      <c r="AI1175" t="str">
        <f>HYPERLINK("https://www.instagram.com/p/CDTH_jSns-y/media/?size=l")</f>
        <v>https://www.instagram.com/p/CDTH_jSns-y/media/?size=l</v>
      </c>
      <c r="AJ1175" t="s">
        <v>10</v>
      </c>
      <c r="AK1175" t="s">
        <v>21</v>
      </c>
      <c r="AL1175" t="s">
        <v>3237</v>
      </c>
      <c r="AN1175" t="s">
        <v>3239</v>
      </c>
    </row>
    <row r="1176" spans="1:50" x14ac:dyDescent="0.25">
      <c r="A1176" t="s">
        <v>1518</v>
      </c>
      <c r="B1176" t="s">
        <v>1021</v>
      </c>
      <c r="C1176" t="s">
        <v>984</v>
      </c>
      <c r="D1176" t="s">
        <v>1519</v>
      </c>
      <c r="E1176" t="s">
        <v>1520</v>
      </c>
      <c r="F1176" t="s">
        <v>45</v>
      </c>
      <c r="G1176" t="str">
        <f>HYPERLINK("https://www.google.com/maps/reviews/data=!4m5!14m4!1m3!1m2!1s112611781400614267275!2s0x0:0x7ef43925e4afda91?hl=en-NL")</f>
        <v>https://www.google.com/maps/reviews/data=!4m5!14m4!1m3!1m2!1s112611781400614267275!2s0x0:0x7ef43925e4afda91?hl=en-NL</v>
      </c>
      <c r="H1176" t="s">
        <v>889</v>
      </c>
      <c r="I1176" t="s">
        <v>1521</v>
      </c>
      <c r="J1176" t="str">
        <f>HYPERLINK("https://maps.google.com/maps/contrib/112611781400614267275")</f>
        <v>https://maps.google.com/maps/contrib/112611781400614267275</v>
      </c>
      <c r="L1176" t="s">
        <v>80</v>
      </c>
      <c r="N1176" t="s">
        <v>615</v>
      </c>
      <c r="O1176" t="s">
        <v>1519</v>
      </c>
      <c r="P1176" t="str">
        <f>HYPERLINK("https://maps.google.com/maps/place/data=!3m1!4b1!4m5!3m4!1s0x0:0x7ef43925e4afda91!8m2!3d53.299510!4d-6.284749")</f>
        <v>https://maps.google.com/maps/place/data=!3m1!4b1!4m5!3m4!1s0x0:0x7ef43925e4afda91!8m2!3d53.299510!4d-6.284749</v>
      </c>
      <c r="R1176" t="s">
        <v>616</v>
      </c>
      <c r="S1176" t="s">
        <v>1522</v>
      </c>
      <c r="U1176" t="s">
        <v>1523</v>
      </c>
      <c r="AH1176">
        <v>5</v>
      </c>
      <c r="AJ1176" t="s">
        <v>10</v>
      </c>
      <c r="AK1176" t="s">
        <v>21</v>
      </c>
      <c r="AL1176" t="s">
        <v>3237</v>
      </c>
      <c r="AN1176" t="s">
        <v>3239</v>
      </c>
    </row>
    <row r="1177" spans="1:50" x14ac:dyDescent="0.25">
      <c r="A1177" t="s">
        <v>1518</v>
      </c>
      <c r="B1177" t="s">
        <v>1546</v>
      </c>
      <c r="C1177" t="s">
        <v>984</v>
      </c>
      <c r="D1177" t="s">
        <v>10</v>
      </c>
      <c r="E1177" t="s">
        <v>1544</v>
      </c>
      <c r="F1177" t="s">
        <v>45</v>
      </c>
      <c r="G1177" t="str">
        <f>HYPERLINK("https://vk.com/wall239497422_691")</f>
        <v>https://vk.com/wall239497422_691</v>
      </c>
      <c r="H1177" t="s">
        <v>885</v>
      </c>
      <c r="I1177" t="s">
        <v>1547</v>
      </c>
      <c r="J1177" t="str">
        <f>HYPERLINK("http://vk.com/id239497422")</f>
        <v>http://vk.com/id239497422</v>
      </c>
      <c r="K1177">
        <v>313</v>
      </c>
      <c r="L1177" t="s">
        <v>80</v>
      </c>
      <c r="N1177" t="s">
        <v>16</v>
      </c>
      <c r="O1177" t="s">
        <v>1547</v>
      </c>
      <c r="P1177" t="str">
        <f>HYPERLINK("http://vk.com/id239497422")</f>
        <v>http://vk.com/id239497422</v>
      </c>
      <c r="Q1177">
        <v>313</v>
      </c>
      <c r="R1177" t="s">
        <v>17</v>
      </c>
      <c r="S1177" t="s">
        <v>18</v>
      </c>
      <c r="T1177" t="s">
        <v>1015</v>
      </c>
      <c r="U1177" t="s">
        <v>1016</v>
      </c>
      <c r="W1177">
        <v>1</v>
      </c>
      <c r="X1177">
        <v>1</v>
      </c>
      <c r="AE1177">
        <v>0</v>
      </c>
      <c r="AF1177">
        <v>1</v>
      </c>
      <c r="AG1177">
        <v>90</v>
      </c>
      <c r="AI1177" t="str">
        <f>HYPERLINK("https://sun6-14.userapi.com/c851424/v851424169/1f72eb/_tQDhstx_c4.jpg")</f>
        <v>https://sun6-14.userapi.com/c851424/v851424169/1f72eb/_tQDhstx_c4.jpg</v>
      </c>
      <c r="AJ1177" t="s">
        <v>10</v>
      </c>
      <c r="AK1177" t="s">
        <v>21</v>
      </c>
      <c r="AL1177" t="s">
        <v>3237</v>
      </c>
      <c r="AN1177" t="s">
        <v>3239</v>
      </c>
    </row>
    <row r="1178" spans="1:50" x14ac:dyDescent="0.25">
      <c r="A1178" t="s">
        <v>1518</v>
      </c>
      <c r="B1178" t="s">
        <v>1574</v>
      </c>
      <c r="C1178" t="s">
        <v>984</v>
      </c>
      <c r="D1178" t="s">
        <v>1575</v>
      </c>
      <c r="E1178" t="s">
        <v>1576</v>
      </c>
      <c r="F1178" t="s">
        <v>45</v>
      </c>
      <c r="G1178" t="str">
        <f>HYPERLINK("https://www.youtube.com/watch?v=59bVAAGhcQ4")</f>
        <v>https://www.youtube.com/watch?v=59bVAAGhcQ4</v>
      </c>
      <c r="H1178" t="s">
        <v>885</v>
      </c>
      <c r="I1178" t="s">
        <v>1417</v>
      </c>
      <c r="J1178" t="str">
        <f>HYPERLINK("https://www.youtube.com/channel/UCgWzxf09OkFTERutHdZTQdg")</f>
        <v>https://www.youtube.com/channel/UCgWzxf09OkFTERutHdZTQdg</v>
      </c>
      <c r="K1178">
        <v>224</v>
      </c>
      <c r="N1178" t="s">
        <v>162</v>
      </c>
      <c r="O1178" t="s">
        <v>1417</v>
      </c>
      <c r="P1178" t="str">
        <f>HYPERLINK("https://www.youtube.com/channel/UCgWzxf09OkFTERutHdZTQdg")</f>
        <v>https://www.youtube.com/channel/UCgWzxf09OkFTERutHdZTQdg</v>
      </c>
      <c r="Q1178">
        <v>224</v>
      </c>
      <c r="R1178" t="s">
        <v>17</v>
      </c>
      <c r="W1178">
        <v>0</v>
      </c>
      <c r="X1178">
        <v>0</v>
      </c>
      <c r="AD1178">
        <v>0</v>
      </c>
      <c r="AE1178">
        <v>1</v>
      </c>
      <c r="AG1178">
        <v>16</v>
      </c>
      <c r="AI1178" t="str">
        <f>HYPERLINK("https://i.ytimg.com/vi/59bVAAGhcQ4/maxresdefault.jpg")</f>
        <v>https://i.ytimg.com/vi/59bVAAGhcQ4/maxresdefault.jpg</v>
      </c>
      <c r="AJ1178" t="s">
        <v>10</v>
      </c>
      <c r="AK1178" t="s">
        <v>21</v>
      </c>
      <c r="AN1178" t="s">
        <v>3239</v>
      </c>
    </row>
    <row r="1179" spans="1:50" x14ac:dyDescent="0.25">
      <c r="A1179" t="s">
        <v>1723</v>
      </c>
      <c r="B1179" t="s">
        <v>277</v>
      </c>
      <c r="C1179" t="s">
        <v>984</v>
      </c>
      <c r="D1179" t="s">
        <v>10</v>
      </c>
      <c r="E1179" t="s">
        <v>1813</v>
      </c>
      <c r="F1179" t="s">
        <v>45</v>
      </c>
      <c r="G1179" t="str">
        <f>HYPERLINK("https://vk.com/wall-121026450_24768")</f>
        <v>https://vk.com/wall-121026450_24768</v>
      </c>
      <c r="H1179" t="s">
        <v>885</v>
      </c>
      <c r="I1179" t="s">
        <v>1822</v>
      </c>
      <c r="J1179" t="str">
        <f>HYPERLINK("http://vk.com/club121026450")</f>
        <v>http://vk.com/club121026450</v>
      </c>
      <c r="K1179">
        <v>11822</v>
      </c>
      <c r="L1179" t="s">
        <v>28</v>
      </c>
      <c r="N1179" t="s">
        <v>16</v>
      </c>
      <c r="O1179" t="s">
        <v>1822</v>
      </c>
      <c r="P1179" t="str">
        <f>HYPERLINK("http://vk.com/club121026450")</f>
        <v>http://vk.com/club121026450</v>
      </c>
      <c r="Q1179">
        <v>11822</v>
      </c>
      <c r="R1179" t="s">
        <v>17</v>
      </c>
      <c r="W1179">
        <v>6</v>
      </c>
      <c r="X1179">
        <v>6</v>
      </c>
      <c r="AE1179">
        <v>0</v>
      </c>
      <c r="AF1179">
        <v>2</v>
      </c>
      <c r="AG1179">
        <v>2070</v>
      </c>
      <c r="AI1179" t="str">
        <f>HYPERLINK("https://sun9-12.userapi.com/dBZNOMsavd6eqTof62YcT1OMIU9e6kK3a-qkNw/v41qL4rTBs4.jpg")</f>
        <v>https://sun9-12.userapi.com/dBZNOMsavd6eqTof62YcT1OMIU9e6kK3a-qkNw/v41qL4rTBs4.jpg</v>
      </c>
      <c r="AJ1179" t="s">
        <v>10</v>
      </c>
      <c r="AK1179" t="s">
        <v>21</v>
      </c>
      <c r="AN1179" t="s">
        <v>3239</v>
      </c>
      <c r="AT1179" t="s">
        <v>3245</v>
      </c>
    </row>
    <row r="1180" spans="1:50" x14ac:dyDescent="0.25">
      <c r="A1180" t="s">
        <v>1838</v>
      </c>
      <c r="B1180" t="s">
        <v>1849</v>
      </c>
      <c r="C1180" t="s">
        <v>984</v>
      </c>
      <c r="D1180" t="s">
        <v>1850</v>
      </c>
      <c r="E1180" t="s">
        <v>1851</v>
      </c>
      <c r="F1180" t="s">
        <v>45</v>
      </c>
      <c r="G1180" t="str">
        <f>HYPERLINK("https://www.google.com/maps/reviews/data=!4m5!14m4!1m3!1m2!1s108725860642506076321!2s0x0:0xcab6c82ffcaf9d04?hl=en-NL")</f>
        <v>https://www.google.com/maps/reviews/data=!4m5!14m4!1m3!1m2!1s108725860642506076321!2s0x0:0xcab6c82ffcaf9d04?hl=en-NL</v>
      </c>
      <c r="H1180" t="s">
        <v>889</v>
      </c>
      <c r="I1180" t="s">
        <v>1852</v>
      </c>
      <c r="J1180" t="str">
        <f>HYPERLINK("https://maps.google.com/maps/contrib/108725860642506076321")</f>
        <v>https://maps.google.com/maps/contrib/108725860642506076321</v>
      </c>
      <c r="N1180" t="s">
        <v>615</v>
      </c>
      <c r="O1180" t="s">
        <v>1850</v>
      </c>
      <c r="P1180" t="str">
        <f>HYPERLINK("https://maps.google.com/maps/place/data=!3m1!4b1!4m5!3m4!1s0x0:0xcab6c82ffcaf9d04!8m2!3d28.716800!4d77.138150")</f>
        <v>https://maps.google.com/maps/place/data=!3m1!4b1!4m5!3m4!1s0x0:0xcab6c82ffcaf9d04!8m2!3d28.716800!4d77.138150</v>
      </c>
      <c r="R1180" t="s">
        <v>616</v>
      </c>
      <c r="S1180" t="s">
        <v>1206</v>
      </c>
      <c r="T1180" t="s">
        <v>1207</v>
      </c>
      <c r="U1180" t="s">
        <v>1207</v>
      </c>
      <c r="AH1180">
        <v>5</v>
      </c>
      <c r="AJ1180" t="s">
        <v>10</v>
      </c>
      <c r="AK1180" t="s">
        <v>21</v>
      </c>
      <c r="AN1180" t="s">
        <v>3239</v>
      </c>
      <c r="AT1180" t="s">
        <v>3245</v>
      </c>
      <c r="AW1180" t="s">
        <v>3248</v>
      </c>
      <c r="AX1180" t="s">
        <v>3249</v>
      </c>
    </row>
    <row r="1181" spans="1:50" x14ac:dyDescent="0.25">
      <c r="A1181" t="s">
        <v>1838</v>
      </c>
      <c r="B1181" t="s">
        <v>42</v>
      </c>
      <c r="C1181" t="s">
        <v>984</v>
      </c>
      <c r="D1181" t="s">
        <v>10</v>
      </c>
      <c r="E1181" t="s">
        <v>1879</v>
      </c>
      <c r="F1181" t="s">
        <v>45</v>
      </c>
      <c r="G1181" t="str">
        <f>HYPERLINK("https://vk.com/wall-48669646_10222")</f>
        <v>https://vk.com/wall-48669646_10222</v>
      </c>
      <c r="H1181" t="s">
        <v>885</v>
      </c>
      <c r="I1181" t="s">
        <v>46</v>
      </c>
      <c r="J1181" t="str">
        <f>HYPERLINK("http://vk.com/club48669646")</f>
        <v>http://vk.com/club48669646</v>
      </c>
      <c r="K1181">
        <v>5795</v>
      </c>
      <c r="L1181" t="s">
        <v>28</v>
      </c>
      <c r="N1181" t="s">
        <v>16</v>
      </c>
      <c r="O1181" t="s">
        <v>46</v>
      </c>
      <c r="P1181" t="str">
        <f>HYPERLINK("http://vk.com/club48669646")</f>
        <v>http://vk.com/club48669646</v>
      </c>
      <c r="Q1181">
        <v>5795</v>
      </c>
      <c r="R1181" t="s">
        <v>17</v>
      </c>
      <c r="S1181" t="s">
        <v>18</v>
      </c>
      <c r="W1181">
        <v>1</v>
      </c>
      <c r="X1181">
        <v>1</v>
      </c>
      <c r="AE1181">
        <v>0</v>
      </c>
      <c r="AF1181">
        <v>0</v>
      </c>
      <c r="AG1181">
        <v>319</v>
      </c>
      <c r="AI1181" t="str">
        <f>HYPERLINK("https://sun9-56.userapi.com/Hdr67vNQoWXMiwFt0-rBaIU2qPYgJHfBdnkZQw/QKfrJwCt92U.jpg")</f>
        <v>https://sun9-56.userapi.com/Hdr67vNQoWXMiwFt0-rBaIU2qPYgJHfBdnkZQw/QKfrJwCt92U.jpg</v>
      </c>
      <c r="AJ1181" t="s">
        <v>10</v>
      </c>
      <c r="AK1181" t="s">
        <v>21</v>
      </c>
      <c r="AN1181" t="s">
        <v>3239</v>
      </c>
      <c r="AU1181" t="s">
        <v>3246</v>
      </c>
      <c r="AV1181" t="s">
        <v>3247</v>
      </c>
      <c r="AX1181" t="s">
        <v>3249</v>
      </c>
    </row>
    <row r="1182" spans="1:50" x14ac:dyDescent="0.25">
      <c r="A1182" t="s">
        <v>1930</v>
      </c>
      <c r="B1182" t="s">
        <v>1369</v>
      </c>
      <c r="C1182" t="s">
        <v>984</v>
      </c>
      <c r="D1182" t="s">
        <v>10</v>
      </c>
      <c r="E1182" t="s">
        <v>1947</v>
      </c>
      <c r="F1182" t="s">
        <v>45</v>
      </c>
      <c r="G1182" t="str">
        <f>HYPERLINK("https://www.facebook.com/mrtexpertrnd/photos/a.565935020817465/782079422536356/?type=3")</f>
        <v>https://www.facebook.com/mrtexpertrnd/photos/a.565935020817465/782079422536356/?type=3</v>
      </c>
      <c r="H1182" t="s">
        <v>889</v>
      </c>
      <c r="I1182" t="s">
        <v>125</v>
      </c>
      <c r="J1182" t="str">
        <f>HYPERLINK("https://www.facebook.com/156600068417631")</f>
        <v>https://www.facebook.com/156600068417631</v>
      </c>
      <c r="K1182">
        <v>236</v>
      </c>
      <c r="L1182" t="s">
        <v>28</v>
      </c>
      <c r="N1182" t="s">
        <v>179</v>
      </c>
      <c r="O1182" t="s">
        <v>125</v>
      </c>
      <c r="P1182" t="str">
        <f>HYPERLINK("https://www.facebook.com/156600068417631")</f>
        <v>https://www.facebook.com/156600068417631</v>
      </c>
      <c r="Q1182">
        <v>236</v>
      </c>
      <c r="R1182" t="s">
        <v>17</v>
      </c>
      <c r="S1182" t="s">
        <v>18</v>
      </c>
      <c r="T1182" t="s">
        <v>126</v>
      </c>
      <c r="U1182" t="s">
        <v>127</v>
      </c>
      <c r="W1182">
        <v>0</v>
      </c>
      <c r="X1182">
        <v>0</v>
      </c>
      <c r="Y1182">
        <v>0</v>
      </c>
      <c r="Z1182">
        <v>0</v>
      </c>
      <c r="AA1182">
        <v>0</v>
      </c>
      <c r="AB1182">
        <v>0</v>
      </c>
      <c r="AC1182">
        <v>0</v>
      </c>
      <c r="AE1182">
        <v>0</v>
      </c>
      <c r="AI1182" t="str">
        <f>HYPERLINK("https://scontent-hel2-1.xx.fbcdn.net/v/t1.0-0/p526x296/114624376_782079425869689_5302635236431488680_o.jpg?_nc_cat=102&amp;_nc_sid=9267fe&amp;_nc_ohc=FhL0E8v6fYAAX9NaJKs&amp;_nc_ht=scontent-hel2-1.xx&amp;_nc_tp=6&amp;oh=1eb8d88f066f43ef5e81d45ee1d78089&amp;oe=5F43813D")</f>
        <v>https://scontent-hel2-1.xx.fbcdn.net/v/t1.0-0/p526x296/114624376_782079425869689_5302635236431488680_o.jpg?_nc_cat=102&amp;_nc_sid=9267fe&amp;_nc_ohc=FhL0E8v6fYAAX9NaJKs&amp;_nc_ht=scontent-hel2-1.xx&amp;_nc_tp=6&amp;oh=1eb8d88f066f43ef5e81d45ee1d78089&amp;oe=5F43813D</v>
      </c>
      <c r="AJ1182" t="s">
        <v>10</v>
      </c>
      <c r="AK1182" t="s">
        <v>21</v>
      </c>
      <c r="AT1182" t="s">
        <v>3245</v>
      </c>
      <c r="AU1182" t="s">
        <v>3246</v>
      </c>
      <c r="AV1182" t="s">
        <v>3247</v>
      </c>
      <c r="AW1182" t="s">
        <v>3248</v>
      </c>
      <c r="AX1182" t="s">
        <v>3249</v>
      </c>
    </row>
    <row r="1183" spans="1:50" x14ac:dyDescent="0.25">
      <c r="A1183" t="s">
        <v>1930</v>
      </c>
      <c r="B1183" t="s">
        <v>1972</v>
      </c>
      <c r="C1183" t="s">
        <v>984</v>
      </c>
      <c r="D1183" t="s">
        <v>1341</v>
      </c>
      <c r="E1183" t="s">
        <v>1977</v>
      </c>
      <c r="F1183" t="s">
        <v>26</v>
      </c>
      <c r="G1183" t="str">
        <f>HYPERLINK("https://www.youtube.com/watch?v=bqdhre76Jdo&amp;lc=UgyzRkIORIBzXz-6N-d4AaABAg")</f>
        <v>https://www.youtube.com/watch?v=bqdhre76Jdo&amp;lc=UgyzRkIORIBzXz-6N-d4AaABAg</v>
      </c>
      <c r="H1183" t="s">
        <v>885</v>
      </c>
      <c r="I1183" t="s">
        <v>1978</v>
      </c>
      <c r="J1183" t="str">
        <f>HYPERLINK("https://www.youtube.com/channel/UC2x65KftEm9CL6efeBKCcKQ")</f>
        <v>https://www.youtube.com/channel/UC2x65KftEm9CL6efeBKCcKQ</v>
      </c>
      <c r="K1183">
        <v>0</v>
      </c>
      <c r="N1183" t="s">
        <v>162</v>
      </c>
      <c r="O1183" t="s">
        <v>424</v>
      </c>
      <c r="P1183" t="str">
        <f>HYPERLINK("https://www.youtube.com/channel/UC8fQzKHIhSoZeSq3bwQx4mw")</f>
        <v>https://www.youtube.com/channel/UC8fQzKHIhSoZeSq3bwQx4mw</v>
      </c>
      <c r="Q1183">
        <v>517000</v>
      </c>
      <c r="R1183" t="s">
        <v>17</v>
      </c>
      <c r="S1183" t="s">
        <v>425</v>
      </c>
      <c r="W1183">
        <v>0</v>
      </c>
      <c r="X1183">
        <v>0</v>
      </c>
      <c r="AE1183">
        <v>1</v>
      </c>
      <c r="AJ1183" t="s">
        <v>10</v>
      </c>
      <c r="AK1183" t="s">
        <v>21</v>
      </c>
      <c r="AM1183" t="s">
        <v>3238</v>
      </c>
      <c r="AT1183" t="s">
        <v>3245</v>
      </c>
      <c r="AV1183" t="s">
        <v>3247</v>
      </c>
    </row>
    <row r="1184" spans="1:50" x14ac:dyDescent="0.25">
      <c r="A1184" t="s">
        <v>1982</v>
      </c>
      <c r="B1184" t="s">
        <v>2040</v>
      </c>
      <c r="C1184" t="s">
        <v>968</v>
      </c>
      <c r="D1184" t="s">
        <v>992</v>
      </c>
      <c r="E1184" t="s">
        <v>2041</v>
      </c>
      <c r="F1184" t="s">
        <v>45</v>
      </c>
      <c r="G1184" t="str">
        <f>HYPERLINK("https://www.google.com/maps/reviews/data=!4m5!14m4!1m3!1m2!1s102791268603209300431!2s0x0:0x3ef00829f836955d?hl=en-NL")</f>
        <v>https://www.google.com/maps/reviews/data=!4m5!14m4!1m3!1m2!1s102791268603209300431!2s0x0:0x3ef00829f836955d?hl=en-NL</v>
      </c>
      <c r="H1184" t="s">
        <v>1057</v>
      </c>
      <c r="I1184" t="s">
        <v>2042</v>
      </c>
      <c r="J1184" t="str">
        <f>HYPERLINK("https://maps.google.com/maps/contrib/102791268603209300431")</f>
        <v>https://maps.google.com/maps/contrib/102791268603209300431</v>
      </c>
      <c r="L1184" t="s">
        <v>80</v>
      </c>
      <c r="N1184" t="s">
        <v>615</v>
      </c>
      <c r="O1184" t="s">
        <v>992</v>
      </c>
      <c r="P1184" t="str">
        <f>HYPERLINK("https://maps.google.com/maps/place/data=!3m1!4b1!4m5!3m4!1s0x0:0x3ef00829f836955d!8m2!3d56.139930!4d40.384660")</f>
        <v>https://maps.google.com/maps/place/data=!3m1!4b1!4m5!3m4!1s0x0:0x3ef00829f836955d!8m2!3d56.139930!4d40.384660</v>
      </c>
      <c r="R1184" t="s">
        <v>616</v>
      </c>
      <c r="S1184" t="s">
        <v>18</v>
      </c>
      <c r="T1184" t="s">
        <v>725</v>
      </c>
      <c r="U1184" t="s">
        <v>726</v>
      </c>
      <c r="AH1184">
        <v>3</v>
      </c>
      <c r="AJ1184" t="s">
        <v>10</v>
      </c>
      <c r="AK1184" t="s">
        <v>21</v>
      </c>
    </row>
    <row r="1185" spans="1:50" x14ac:dyDescent="0.25">
      <c r="A1185" t="s">
        <v>2057</v>
      </c>
      <c r="B1185" t="s">
        <v>934</v>
      </c>
      <c r="C1185" t="s">
        <v>968</v>
      </c>
      <c r="D1185" t="s">
        <v>2082</v>
      </c>
      <c r="E1185" t="s">
        <v>2083</v>
      </c>
      <c r="F1185" t="s">
        <v>26</v>
      </c>
      <c r="G1185" t="str">
        <f>HYPERLINK("https://www.youtube.com/watch?v=aToexg1KRx0&amp;lc=Ugy45DZ0UtgQHFg_R6R4AaABAg")</f>
        <v>https://www.youtube.com/watch?v=aToexg1KRx0&amp;lc=Ugy45DZ0UtgQHFg_R6R4AaABAg</v>
      </c>
      <c r="H1185" t="s">
        <v>1057</v>
      </c>
      <c r="I1185" t="s">
        <v>2084</v>
      </c>
      <c r="J1185" t="str">
        <f>HYPERLINK("https://www.youtube.com/channel/UCvIUJA4NrUYTsDf5IBCoWrA")</f>
        <v>https://www.youtube.com/channel/UCvIUJA4NrUYTsDf5IBCoWrA</v>
      </c>
      <c r="K1185">
        <v>0</v>
      </c>
      <c r="L1185" t="s">
        <v>80</v>
      </c>
      <c r="N1185" t="s">
        <v>162</v>
      </c>
      <c r="O1185" t="s">
        <v>424</v>
      </c>
      <c r="P1185" t="str">
        <f>HYPERLINK("https://www.youtube.com/channel/UC8fQzKHIhSoZeSq3bwQx4mw")</f>
        <v>https://www.youtube.com/channel/UC8fQzKHIhSoZeSq3bwQx4mw</v>
      </c>
      <c r="Q1185">
        <v>517000</v>
      </c>
      <c r="R1185" t="s">
        <v>17</v>
      </c>
      <c r="S1185" t="s">
        <v>425</v>
      </c>
      <c r="W1185">
        <v>0</v>
      </c>
      <c r="X1185">
        <v>0</v>
      </c>
      <c r="AE1185">
        <v>0</v>
      </c>
      <c r="AJ1185" t="s">
        <v>10</v>
      </c>
      <c r="AK1185" t="s">
        <v>21</v>
      </c>
    </row>
    <row r="1186" spans="1:50" x14ac:dyDescent="0.25">
      <c r="A1186" t="s">
        <v>2057</v>
      </c>
      <c r="B1186" t="s">
        <v>1093</v>
      </c>
      <c r="C1186" t="s">
        <v>968</v>
      </c>
      <c r="D1186" t="s">
        <v>10</v>
      </c>
      <c r="E1186" t="s">
        <v>2102</v>
      </c>
      <c r="F1186" t="s">
        <v>45</v>
      </c>
      <c r="G1186" t="str">
        <f>HYPERLINK("https://vk.com/wall-158633337_944")</f>
        <v>https://vk.com/wall-158633337_944</v>
      </c>
      <c r="H1186" t="s">
        <v>889</v>
      </c>
      <c r="I1186" t="s">
        <v>125</v>
      </c>
      <c r="J1186" t="str">
        <f>HYPERLINK("http://vk.com/club158633337")</f>
        <v>http://vk.com/club158633337</v>
      </c>
      <c r="K1186">
        <v>4852</v>
      </c>
      <c r="L1186" t="s">
        <v>28</v>
      </c>
      <c r="N1186" t="s">
        <v>16</v>
      </c>
      <c r="O1186" t="s">
        <v>125</v>
      </c>
      <c r="P1186" t="str">
        <f>HYPERLINK("http://vk.com/club158633337")</f>
        <v>http://vk.com/club158633337</v>
      </c>
      <c r="Q1186">
        <v>4852</v>
      </c>
      <c r="R1186" t="s">
        <v>17</v>
      </c>
      <c r="S1186" t="s">
        <v>18</v>
      </c>
      <c r="T1186" t="s">
        <v>126</v>
      </c>
      <c r="U1186" t="s">
        <v>127</v>
      </c>
      <c r="W1186">
        <v>0</v>
      </c>
      <c r="X1186">
        <v>0</v>
      </c>
      <c r="AE1186">
        <v>0</v>
      </c>
      <c r="AF1186">
        <v>0</v>
      </c>
      <c r="AG1186">
        <v>118</v>
      </c>
      <c r="AI1186" t="str">
        <f>HYPERLINK("https://sun1-16.userapi.com/psuCOW4hWnd8yqQIzhlIxOzuH8m9fqI5ipaOcw/efs3k_Zo0QA.jpg")</f>
        <v>https://sun1-16.userapi.com/psuCOW4hWnd8yqQIzhlIxOzuH8m9fqI5ipaOcw/efs3k_Zo0QA.jpg</v>
      </c>
      <c r="AJ1186" t="s">
        <v>10</v>
      </c>
      <c r="AK1186" t="s">
        <v>21</v>
      </c>
    </row>
    <row r="1187" spans="1:50" x14ac:dyDescent="0.25">
      <c r="A1187" t="s">
        <v>2122</v>
      </c>
      <c r="B1187" t="s">
        <v>2128</v>
      </c>
      <c r="C1187" t="s">
        <v>968</v>
      </c>
      <c r="D1187" t="s">
        <v>10</v>
      </c>
      <c r="E1187" t="s">
        <v>2129</v>
      </c>
      <c r="F1187" t="s">
        <v>45</v>
      </c>
      <c r="G1187" t="str">
        <f>HYPERLINK("https://twitter.com/379671572/status/1286368576467881985")</f>
        <v>https://twitter.com/379671572/status/1286368576467881985</v>
      </c>
      <c r="H1187" t="s">
        <v>885</v>
      </c>
      <c r="I1187" t="s">
        <v>2130</v>
      </c>
      <c r="J1187" t="str">
        <f>HYPERLINK("http://twitter.com/athomejohn")</f>
        <v>http://twitter.com/athomejohn</v>
      </c>
      <c r="K1187">
        <v>31</v>
      </c>
      <c r="L1187" t="s">
        <v>15</v>
      </c>
      <c r="N1187" t="s">
        <v>54</v>
      </c>
      <c r="R1187" t="s">
        <v>17</v>
      </c>
      <c r="S1187" t="s">
        <v>671</v>
      </c>
      <c r="T1187" t="s">
        <v>2126</v>
      </c>
      <c r="U1187" t="s">
        <v>2131</v>
      </c>
      <c r="W1187">
        <v>0</v>
      </c>
      <c r="X1187">
        <v>0</v>
      </c>
      <c r="AF1187">
        <v>0</v>
      </c>
      <c r="AJ1187" t="s">
        <v>10</v>
      </c>
      <c r="AK1187" t="s">
        <v>21</v>
      </c>
    </row>
    <row r="1188" spans="1:50" x14ac:dyDescent="0.25">
      <c r="A1188" t="s">
        <v>2260</v>
      </c>
      <c r="B1188" t="s">
        <v>42</v>
      </c>
      <c r="C1188" t="s">
        <v>968</v>
      </c>
      <c r="D1188" t="s">
        <v>10</v>
      </c>
      <c r="E1188" t="s">
        <v>2268</v>
      </c>
      <c r="F1188" t="s">
        <v>45</v>
      </c>
      <c r="G1188" t="str">
        <f>HYPERLINK("https://www.facebook.com/mriexpert/photos/a.902990326434112/3204083506324771/?type=3")</f>
        <v>https://www.facebook.com/mriexpert/photos/a.902990326434112/3204083506324771/?type=3</v>
      </c>
      <c r="H1188" t="s">
        <v>885</v>
      </c>
      <c r="I1188" t="s">
        <v>46</v>
      </c>
      <c r="J1188" t="str">
        <f>HYPERLINK("https://www.facebook.com/902980129768465")</f>
        <v>https://www.facebook.com/902980129768465</v>
      </c>
      <c r="K1188">
        <v>1509</v>
      </c>
      <c r="L1188" t="s">
        <v>28</v>
      </c>
      <c r="N1188" t="s">
        <v>179</v>
      </c>
      <c r="O1188" t="s">
        <v>46</v>
      </c>
      <c r="P1188" t="str">
        <f>HYPERLINK("https://www.facebook.com/902980129768465")</f>
        <v>https://www.facebook.com/902980129768465</v>
      </c>
      <c r="Q1188">
        <v>1509</v>
      </c>
      <c r="R1188" t="s">
        <v>17</v>
      </c>
      <c r="W1188">
        <v>3</v>
      </c>
      <c r="X1188">
        <v>3</v>
      </c>
      <c r="Y1188">
        <v>0</v>
      </c>
      <c r="Z1188">
        <v>0</v>
      </c>
      <c r="AA1188">
        <v>0</v>
      </c>
      <c r="AB1188">
        <v>0</v>
      </c>
      <c r="AC1188">
        <v>0</v>
      </c>
      <c r="AE1188">
        <v>0</v>
      </c>
      <c r="AF1188">
        <v>1</v>
      </c>
      <c r="AI1188" t="str">
        <f>HYPERLINK("https://scontent-hel2-1.xx.fbcdn.net/v/t1.0-9/s960x960/115739131_3204083509658104_3732854020691969609_o.jpg?_nc_cat=105&amp;_nc_sid=9267fe&amp;_nc_ohc=ZhxMd3d6KvMAX8zWg-O&amp;_nc_ht=scontent-hel2-1.xx&amp;_nc_tp=7&amp;oh=988a96ecae5f2829f061abdcbe0100c8&amp;oe=5F3E63E8")</f>
        <v>https://scontent-hel2-1.xx.fbcdn.net/v/t1.0-9/s960x960/115739131_3204083509658104_3732854020691969609_o.jpg?_nc_cat=105&amp;_nc_sid=9267fe&amp;_nc_ohc=ZhxMd3d6KvMAX8zWg-O&amp;_nc_ht=scontent-hel2-1.xx&amp;_nc_tp=7&amp;oh=988a96ecae5f2829f061abdcbe0100c8&amp;oe=5F3E63E8</v>
      </c>
      <c r="AJ1188" t="s">
        <v>10</v>
      </c>
      <c r="AK1188" t="s">
        <v>21</v>
      </c>
      <c r="AW1188" t="s">
        <v>3248</v>
      </c>
    </row>
    <row r="1189" spans="1:50" x14ac:dyDescent="0.25">
      <c r="A1189" t="s">
        <v>2260</v>
      </c>
      <c r="B1189" t="s">
        <v>1489</v>
      </c>
      <c r="C1189" t="s">
        <v>968</v>
      </c>
      <c r="D1189" t="s">
        <v>10</v>
      </c>
      <c r="E1189" t="s">
        <v>1508</v>
      </c>
      <c r="F1189" t="s">
        <v>12</v>
      </c>
      <c r="G1189" t="str">
        <f>HYPERLINK("https://vk.com/wall375616639_98")</f>
        <v>https://vk.com/wall375616639_98</v>
      </c>
      <c r="H1189" t="s">
        <v>885</v>
      </c>
      <c r="I1189" t="s">
        <v>2280</v>
      </c>
      <c r="J1189" t="str">
        <f>HYPERLINK("http://vk.com/id375616639")</f>
        <v>http://vk.com/id375616639</v>
      </c>
      <c r="K1189">
        <v>122</v>
      </c>
      <c r="L1189" t="s">
        <v>80</v>
      </c>
      <c r="N1189" t="s">
        <v>16</v>
      </c>
      <c r="O1189" t="s">
        <v>2280</v>
      </c>
      <c r="P1189" t="str">
        <f>HYPERLINK("http://vk.com/id375616639")</f>
        <v>http://vk.com/id375616639</v>
      </c>
      <c r="Q1189">
        <v>122</v>
      </c>
      <c r="R1189" t="s">
        <v>17</v>
      </c>
      <c r="S1189" t="s">
        <v>18</v>
      </c>
      <c r="T1189" t="s">
        <v>272</v>
      </c>
      <c r="U1189" t="s">
        <v>1300</v>
      </c>
      <c r="W1189">
        <v>0</v>
      </c>
      <c r="X1189">
        <v>0</v>
      </c>
      <c r="AE1189">
        <v>0</v>
      </c>
      <c r="AF1189">
        <v>0</v>
      </c>
      <c r="AG1189">
        <v>12</v>
      </c>
      <c r="AI1189" t="str">
        <f>HYPERLINK("https://sun9-21.userapi.com/3CxntEX446taLw8Wq523-U72FnEsypIoiB36aA/vb0dh1lZOxg.jpg")</f>
        <v>https://sun9-21.userapi.com/3CxntEX446taLw8Wq523-U72FnEsypIoiB36aA/vb0dh1lZOxg.jpg</v>
      </c>
      <c r="AJ1189" t="s">
        <v>10</v>
      </c>
      <c r="AK1189" t="s">
        <v>21</v>
      </c>
      <c r="AV1189" t="s">
        <v>3247</v>
      </c>
      <c r="AX1189" t="s">
        <v>3249</v>
      </c>
    </row>
    <row r="1190" spans="1:50" x14ac:dyDescent="0.25">
      <c r="A1190" t="s">
        <v>2290</v>
      </c>
      <c r="B1190" t="s">
        <v>2317</v>
      </c>
      <c r="C1190" t="s">
        <v>968</v>
      </c>
      <c r="D1190" t="s">
        <v>2318</v>
      </c>
      <c r="E1190" t="s">
        <v>2319</v>
      </c>
      <c r="F1190" t="s">
        <v>45</v>
      </c>
      <c r="G1190" t="str">
        <f>HYPERLINK("https://www.youtube.com/watch?v=cL32QfYrkdw")</f>
        <v>https://www.youtube.com/watch?v=cL32QfYrkdw</v>
      </c>
      <c r="H1190" t="s">
        <v>889</v>
      </c>
      <c r="I1190" t="s">
        <v>2320</v>
      </c>
      <c r="J1190" t="str">
        <f>HYPERLINK("https://www.youtube.com/channel/UCM5aAMJrEaY1iTxlqPOe8Rg")</f>
        <v>https://www.youtube.com/channel/UCM5aAMJrEaY1iTxlqPOe8Rg</v>
      </c>
      <c r="K1190">
        <v>1430</v>
      </c>
      <c r="L1190" t="s">
        <v>80</v>
      </c>
      <c r="N1190" t="s">
        <v>162</v>
      </c>
      <c r="O1190" t="s">
        <v>2320</v>
      </c>
      <c r="P1190" t="str">
        <f>HYPERLINK("https://www.youtube.com/channel/UCM5aAMJrEaY1iTxlqPOe8Rg")</f>
        <v>https://www.youtube.com/channel/UCM5aAMJrEaY1iTxlqPOe8Rg</v>
      </c>
      <c r="Q1190">
        <v>1430</v>
      </c>
      <c r="R1190" t="s">
        <v>17</v>
      </c>
      <c r="S1190" t="s">
        <v>18</v>
      </c>
      <c r="W1190">
        <v>168</v>
      </c>
      <c r="X1190">
        <v>168</v>
      </c>
      <c r="AD1190">
        <v>4</v>
      </c>
      <c r="AE1190">
        <v>160</v>
      </c>
      <c r="AG1190">
        <v>2142</v>
      </c>
      <c r="AI1190" t="str">
        <f>HYPERLINK("https://i.ytimg.com/vi/cL32QfYrkdw/maxresdefault.jpg")</f>
        <v>https://i.ytimg.com/vi/cL32QfYrkdw/maxresdefault.jpg</v>
      </c>
      <c r="AJ1190" t="s">
        <v>10</v>
      </c>
      <c r="AK1190" t="s">
        <v>21</v>
      </c>
      <c r="AV1190" t="s">
        <v>3247</v>
      </c>
      <c r="AW1190" t="s">
        <v>3248</v>
      </c>
      <c r="AX1190" t="s">
        <v>3249</v>
      </c>
    </row>
    <row r="1191" spans="1:50" x14ac:dyDescent="0.25">
      <c r="A1191" t="s">
        <v>2290</v>
      </c>
      <c r="B1191" t="s">
        <v>1552</v>
      </c>
      <c r="C1191" t="s">
        <v>968</v>
      </c>
      <c r="D1191" t="s">
        <v>10</v>
      </c>
      <c r="E1191" t="s">
        <v>1508</v>
      </c>
      <c r="F1191" t="s">
        <v>12</v>
      </c>
      <c r="G1191" t="str">
        <f>HYPERLINK("https://vk.com/wall50283993_2987")</f>
        <v>https://vk.com/wall50283993_2987</v>
      </c>
      <c r="H1191" t="s">
        <v>885</v>
      </c>
      <c r="I1191" t="s">
        <v>1814</v>
      </c>
      <c r="J1191" t="str">
        <f>HYPERLINK("http://vk.com/id50283993")</f>
        <v>http://vk.com/id50283993</v>
      </c>
      <c r="K1191">
        <v>342</v>
      </c>
      <c r="L1191" t="s">
        <v>80</v>
      </c>
      <c r="M1191">
        <v>22</v>
      </c>
      <c r="N1191" t="s">
        <v>16</v>
      </c>
      <c r="O1191" t="s">
        <v>1814</v>
      </c>
      <c r="P1191" t="str">
        <f>HYPERLINK("http://vk.com/id50283993")</f>
        <v>http://vk.com/id50283993</v>
      </c>
      <c r="Q1191">
        <v>342</v>
      </c>
      <c r="R1191" t="s">
        <v>17</v>
      </c>
      <c r="S1191" t="s">
        <v>18</v>
      </c>
      <c r="AI1191" t="str">
        <f>HYPERLINK("https://sun3-13.userapi.com/3CxntEX446taLw8Wq523-U72FnEsypIoiB36aA/vb0dh1lZOxg.jpg")</f>
        <v>https://sun3-13.userapi.com/3CxntEX446taLw8Wq523-U72FnEsypIoiB36aA/vb0dh1lZOxg.jpg</v>
      </c>
      <c r="AJ1191" t="s">
        <v>10</v>
      </c>
      <c r="AK1191" t="s">
        <v>21</v>
      </c>
      <c r="AV1191" t="s">
        <v>3247</v>
      </c>
      <c r="AW1191" t="s">
        <v>3248</v>
      </c>
    </row>
    <row r="1192" spans="1:50" x14ac:dyDescent="0.25">
      <c r="A1192" t="s">
        <v>3100</v>
      </c>
      <c r="B1192" t="s">
        <v>3130</v>
      </c>
      <c r="C1192" t="s">
        <v>968</v>
      </c>
      <c r="D1192" t="s">
        <v>10</v>
      </c>
      <c r="E1192" t="s">
        <v>3131</v>
      </c>
      <c r="F1192" t="s">
        <v>45</v>
      </c>
      <c r="G1192" t="str">
        <f>HYPERLINK("https://www.instagram.com/p/CCYXdSnD7Yd")</f>
        <v>https://www.instagram.com/p/CCYXdSnD7Yd</v>
      </c>
      <c r="H1192" t="s">
        <v>885</v>
      </c>
      <c r="I1192" t="s">
        <v>3132</v>
      </c>
      <c r="J1192" t="str">
        <f>HYPERLINK("http://instagram.com/puresportsmed")</f>
        <v>http://instagram.com/puresportsmed</v>
      </c>
      <c r="K1192">
        <v>2888</v>
      </c>
      <c r="L1192" t="s">
        <v>28</v>
      </c>
      <c r="N1192" t="s">
        <v>69</v>
      </c>
      <c r="O1192" t="s">
        <v>3132</v>
      </c>
      <c r="P1192" t="str">
        <f>HYPERLINK("http://instagram.com/puresportsmed")</f>
        <v>http://instagram.com/puresportsmed</v>
      </c>
      <c r="Q1192">
        <v>2888</v>
      </c>
      <c r="R1192" t="s">
        <v>17</v>
      </c>
      <c r="S1192" t="s">
        <v>671</v>
      </c>
      <c r="AI1192" t="str">
        <f>HYPERLINK("https://www.instagram.com/p/CCYXdSnD7Yd/media/?size=l")</f>
        <v>https://www.instagram.com/p/CCYXdSnD7Yd/media/?size=l</v>
      </c>
      <c r="AJ1192" t="s">
        <v>10</v>
      </c>
      <c r="AK1192" t="s">
        <v>21</v>
      </c>
      <c r="AW1192" t="s">
        <v>3248</v>
      </c>
    </row>
    <row r="1193" spans="1:50" x14ac:dyDescent="0.25">
      <c r="A1193" t="s">
        <v>3100</v>
      </c>
      <c r="B1193" t="s">
        <v>1762</v>
      </c>
      <c r="C1193" t="s">
        <v>968</v>
      </c>
      <c r="D1193" t="s">
        <v>10</v>
      </c>
      <c r="E1193" t="s">
        <v>3133</v>
      </c>
      <c r="F1193" t="s">
        <v>45</v>
      </c>
      <c r="G1193" t="str">
        <f>HYPERLINK("https://vk.com/wall-48669646_10141")</f>
        <v>https://vk.com/wall-48669646_10141</v>
      </c>
      <c r="H1193" t="s">
        <v>885</v>
      </c>
      <c r="I1193" t="s">
        <v>46</v>
      </c>
      <c r="J1193" t="str">
        <f>HYPERLINK("http://vk.com/club48669646")</f>
        <v>http://vk.com/club48669646</v>
      </c>
      <c r="K1193">
        <v>5795</v>
      </c>
      <c r="L1193" t="s">
        <v>28</v>
      </c>
      <c r="N1193" t="s">
        <v>16</v>
      </c>
      <c r="O1193" t="s">
        <v>46</v>
      </c>
      <c r="P1193" t="str">
        <f>HYPERLINK("http://vk.com/club48669646")</f>
        <v>http://vk.com/club48669646</v>
      </c>
      <c r="Q1193">
        <v>5795</v>
      </c>
      <c r="R1193" t="s">
        <v>17</v>
      </c>
      <c r="S1193" t="s">
        <v>18</v>
      </c>
      <c r="W1193">
        <v>1</v>
      </c>
      <c r="X1193">
        <v>1</v>
      </c>
      <c r="AE1193">
        <v>0</v>
      </c>
      <c r="AF1193">
        <v>0</v>
      </c>
      <c r="AG1193">
        <v>324</v>
      </c>
      <c r="AI1193" t="str">
        <f>HYPERLINK("https://sun1-29.userapi.com/n5fIB-jiqLf9XtgRsxK5w3rPkmyKKPGVOQnw4Q/yhMMyYeGlXw.jpg")</f>
        <v>https://sun1-29.userapi.com/n5fIB-jiqLf9XtgRsxK5w3rPkmyKKPGVOQnw4Q/yhMMyYeGlXw.jpg</v>
      </c>
      <c r="AJ1193" t="s">
        <v>10</v>
      </c>
      <c r="AK1193" t="s">
        <v>21</v>
      </c>
      <c r="AV1193" t="s">
        <v>3247</v>
      </c>
      <c r="AW1193" t="s">
        <v>3248</v>
      </c>
    </row>
    <row r="1194" spans="1:50" x14ac:dyDescent="0.25">
      <c r="A1194" t="s">
        <v>3100</v>
      </c>
      <c r="B1194" t="s">
        <v>3151</v>
      </c>
      <c r="C1194" t="s">
        <v>968</v>
      </c>
      <c r="D1194" t="s">
        <v>10</v>
      </c>
      <c r="E1194" t="s">
        <v>3152</v>
      </c>
      <c r="F1194" t="s">
        <v>45</v>
      </c>
      <c r="G1194" t="str">
        <f>HYPERLINK("https://www.instagram.com/p/CCYA33yFQ9T")</f>
        <v>https://www.instagram.com/p/CCYA33yFQ9T</v>
      </c>
      <c r="H1194" t="s">
        <v>889</v>
      </c>
      <c r="I1194" t="s">
        <v>68</v>
      </c>
      <c r="J1194" t="str">
        <f>HYPERLINK("http://instagram.com/mrt_expert_62")</f>
        <v>http://instagram.com/mrt_expert_62</v>
      </c>
      <c r="K1194">
        <v>484</v>
      </c>
      <c r="L1194" t="s">
        <v>28</v>
      </c>
      <c r="N1194" t="s">
        <v>69</v>
      </c>
      <c r="O1194" t="s">
        <v>68</v>
      </c>
      <c r="P1194" t="str">
        <f>HYPERLINK("http://instagram.com/mrt_expert_62")</f>
        <v>http://instagram.com/mrt_expert_62</v>
      </c>
      <c r="Q1194">
        <v>484</v>
      </c>
      <c r="R1194" t="s">
        <v>17</v>
      </c>
      <c r="S1194" t="s">
        <v>18</v>
      </c>
      <c r="T1194" t="s">
        <v>70</v>
      </c>
      <c r="U1194" t="s">
        <v>71</v>
      </c>
      <c r="AI1194" t="str">
        <f>HYPERLINK("https://www.instagram.com/p/CCYA33yFQ9T/media/?size=l")</f>
        <v>https://www.instagram.com/p/CCYA33yFQ9T/media/?size=l</v>
      </c>
      <c r="AJ1194" t="s">
        <v>10</v>
      </c>
      <c r="AK1194" t="s">
        <v>21</v>
      </c>
      <c r="AV1194" t="s">
        <v>3247</v>
      </c>
      <c r="AW1194" t="s">
        <v>3248</v>
      </c>
      <c r="AX1194" t="s">
        <v>3249</v>
      </c>
    </row>
    <row r="1195" spans="1:50" x14ac:dyDescent="0.25">
      <c r="A1195" t="s">
        <v>7</v>
      </c>
      <c r="B1195" t="s">
        <v>130</v>
      </c>
      <c r="C1195" t="s">
        <v>131</v>
      </c>
      <c r="D1195" t="s">
        <v>132</v>
      </c>
      <c r="E1195" t="s">
        <v>133</v>
      </c>
      <c r="F1195" t="s">
        <v>45</v>
      </c>
      <c r="G1195" t="str">
        <f>HYPERLINK("https://ok.ru/group/54498203336811/topic/152008057609579")</f>
        <v>https://ok.ru/group/54498203336811/topic/152008057609579</v>
      </c>
      <c r="H1195" t="s">
        <v>13</v>
      </c>
      <c r="I1195" t="s">
        <v>134</v>
      </c>
      <c r="J1195" t="str">
        <f>HYPERLINK("https://ok.ru/group/54498203336811")</f>
        <v>https://ok.ru/group/54498203336811</v>
      </c>
      <c r="K1195">
        <v>2543</v>
      </c>
      <c r="L1195" t="s">
        <v>28</v>
      </c>
      <c r="N1195" t="s">
        <v>135</v>
      </c>
      <c r="O1195" t="s">
        <v>134</v>
      </c>
      <c r="P1195" t="str">
        <f>HYPERLINK("https://ok.ru/group/54498203336811")</f>
        <v>https://ok.ru/group/54498203336811</v>
      </c>
      <c r="Q1195">
        <v>2543</v>
      </c>
      <c r="R1195" t="s">
        <v>17</v>
      </c>
      <c r="S1195" t="s">
        <v>18</v>
      </c>
      <c r="T1195" t="s">
        <v>136</v>
      </c>
      <c r="U1195" t="s">
        <v>137</v>
      </c>
      <c r="W1195">
        <v>0</v>
      </c>
      <c r="X1195">
        <v>0</v>
      </c>
      <c r="AE1195">
        <v>0</v>
      </c>
      <c r="AF1195">
        <v>1</v>
      </c>
      <c r="AI1195" t="str">
        <f>HYPERLINK("https://i.mycdn.me/image?id=904933499243&amp;t=20&amp;plc=API&amp;aid=1131601408&amp;tkn=*SOH3A20_T_GaqBcwzgGvCdLmFYg")</f>
        <v>https://i.mycdn.me/image?id=904933499243&amp;t=20&amp;plc=API&amp;aid=1131601408&amp;tkn=*SOH3A20_T_GaqBcwzgGvCdLmFYg</v>
      </c>
      <c r="AJ1195" t="s">
        <v>10</v>
      </c>
      <c r="AK1195" t="s">
        <v>21</v>
      </c>
      <c r="AV1195" t="s">
        <v>3247</v>
      </c>
      <c r="AX1195" t="s">
        <v>3249</v>
      </c>
    </row>
    <row r="1196" spans="1:50" x14ac:dyDescent="0.25">
      <c r="A1196" t="s">
        <v>7</v>
      </c>
      <c r="B1196" t="s">
        <v>394</v>
      </c>
      <c r="C1196" t="s">
        <v>396</v>
      </c>
      <c r="D1196" t="s">
        <v>24</v>
      </c>
      <c r="E1196" t="s">
        <v>392</v>
      </c>
      <c r="F1196" t="s">
        <v>26</v>
      </c>
      <c r="G1196" t="str">
        <f>HYPERLINK("https://vk.com/wall-197114981_31?reply=1294&amp;thread=1293")</f>
        <v>https://vk.com/wall-197114981_31?reply=1294&amp;thread=1293</v>
      </c>
      <c r="H1196" t="s">
        <v>13</v>
      </c>
      <c r="I1196" t="s">
        <v>27</v>
      </c>
      <c r="J1196" t="str">
        <f>HYPERLINK("http://vk.com/club197114981")</f>
        <v>http://vk.com/club197114981</v>
      </c>
      <c r="K1196">
        <v>38</v>
      </c>
      <c r="L1196" t="s">
        <v>28</v>
      </c>
      <c r="N1196" t="s">
        <v>16</v>
      </c>
      <c r="O1196" t="s">
        <v>27</v>
      </c>
      <c r="P1196" t="str">
        <f>HYPERLINK("http://vk.com/club197114981")</f>
        <v>http://vk.com/club197114981</v>
      </c>
      <c r="Q1196">
        <v>38</v>
      </c>
      <c r="R1196" t="s">
        <v>17</v>
      </c>
      <c r="AJ1196" t="s">
        <v>10</v>
      </c>
      <c r="AK1196" t="s">
        <v>21</v>
      </c>
      <c r="AV1196" t="s">
        <v>3247</v>
      </c>
      <c r="AX1196" t="s">
        <v>3249</v>
      </c>
    </row>
    <row r="1197" spans="1:50" x14ac:dyDescent="0.25">
      <c r="A1197" t="s">
        <v>1982</v>
      </c>
      <c r="B1197" t="s">
        <v>1235</v>
      </c>
      <c r="C1197" t="s">
        <v>968</v>
      </c>
      <c r="D1197" t="s">
        <v>10</v>
      </c>
      <c r="E1197" t="s">
        <v>1998</v>
      </c>
      <c r="F1197" t="s">
        <v>12</v>
      </c>
      <c r="G1197" t="str">
        <f>HYPERLINK("https://vk.com/wall52949648_2056")</f>
        <v>https://vk.com/wall52949648_2056</v>
      </c>
      <c r="H1197" t="s">
        <v>885</v>
      </c>
      <c r="I1197" t="s">
        <v>1076</v>
      </c>
      <c r="J1197" t="str">
        <f>HYPERLINK("http://vk.com/id52949648")</f>
        <v>http://vk.com/id52949648</v>
      </c>
      <c r="K1197">
        <v>389</v>
      </c>
      <c r="L1197" t="s">
        <v>80</v>
      </c>
      <c r="N1197" t="s">
        <v>16</v>
      </c>
      <c r="O1197" t="s">
        <v>1076</v>
      </c>
      <c r="P1197" t="str">
        <f>HYPERLINK("http://vk.com/id52949648")</f>
        <v>http://vk.com/id52949648</v>
      </c>
      <c r="Q1197">
        <v>389</v>
      </c>
      <c r="R1197" t="s">
        <v>17</v>
      </c>
      <c r="S1197" t="s">
        <v>18</v>
      </c>
      <c r="T1197" t="s">
        <v>1015</v>
      </c>
      <c r="U1197" t="s">
        <v>1016</v>
      </c>
      <c r="W1197">
        <v>0</v>
      </c>
      <c r="X1197">
        <v>0</v>
      </c>
      <c r="AE1197">
        <v>0</v>
      </c>
      <c r="AF1197">
        <v>0</v>
      </c>
      <c r="AG1197">
        <v>19</v>
      </c>
      <c r="AI1197" t="str">
        <f>HYPERLINK("https://sun2-4.userapi.com/gwvYVfGnKCHOZRW_wIj5mZ6dR_pyypSbIegNmg/W7kq48TGQgk.jpg")</f>
        <v>https://sun2-4.userapi.com/gwvYVfGnKCHOZRW_wIj5mZ6dR_pyypSbIegNmg/W7kq48TGQgk.jpg</v>
      </c>
      <c r="AJ1197" t="s">
        <v>10</v>
      </c>
      <c r="AK1197" t="s">
        <v>21</v>
      </c>
      <c r="AV1197" t="s">
        <v>3247</v>
      </c>
      <c r="AW1197" t="s">
        <v>3248</v>
      </c>
      <c r="AX1197" t="s">
        <v>3249</v>
      </c>
    </row>
    <row r="1198" spans="1:50" x14ac:dyDescent="0.25">
      <c r="A1198" t="s">
        <v>1982</v>
      </c>
      <c r="B1198" t="s">
        <v>2043</v>
      </c>
      <c r="C1198" t="s">
        <v>968</v>
      </c>
      <c r="D1198" t="s">
        <v>2044</v>
      </c>
      <c r="E1198" t="s">
        <v>2045</v>
      </c>
      <c r="F1198" t="s">
        <v>45</v>
      </c>
      <c r="G1198" t="str">
        <f>HYPERLINK("http://krasnoyarsk.flamp.ru/firm/mrt_ehkspert_diagnosticheskijj_centr-985690700539342/otzyv-6291588")</f>
        <v>http://krasnoyarsk.flamp.ru/firm/mrt_ehkspert_diagnosticheskijj_centr-985690700539342/otzyv-6291588</v>
      </c>
      <c r="H1198" t="s">
        <v>1057</v>
      </c>
      <c r="I1198" t="s">
        <v>2046</v>
      </c>
      <c r="J1198" t="str">
        <f>HYPERLINK("http://flamp.ru/user3004675")</f>
        <v>http://flamp.ru/user3004675</v>
      </c>
      <c r="K1198">
        <v>0</v>
      </c>
      <c r="L1198" t="s">
        <v>80</v>
      </c>
      <c r="N1198" t="s">
        <v>1752</v>
      </c>
      <c r="O1198" t="s">
        <v>2044</v>
      </c>
      <c r="P1198" t="str">
        <f>HYPERLINK("https://krasnoyarsk.flamp.ru/firm/mrt_ehkspert_diagnosticheskijj_centr-985690700539342")</f>
        <v>https://krasnoyarsk.flamp.ru/firm/mrt_ehkspert_diagnosticheskijj_centr-985690700539342</v>
      </c>
      <c r="R1198" t="s">
        <v>616</v>
      </c>
      <c r="S1198" t="s">
        <v>18</v>
      </c>
      <c r="T1198" t="s">
        <v>1214</v>
      </c>
      <c r="U1198" t="s">
        <v>2047</v>
      </c>
      <c r="AH1198">
        <v>2</v>
      </c>
      <c r="AJ1198" t="s">
        <v>10</v>
      </c>
      <c r="AK1198" t="s">
        <v>21</v>
      </c>
      <c r="AV1198" t="s">
        <v>3247</v>
      </c>
    </row>
    <row r="1199" spans="1:50" x14ac:dyDescent="0.25">
      <c r="A1199" t="s">
        <v>2057</v>
      </c>
      <c r="B1199" t="s">
        <v>2087</v>
      </c>
      <c r="C1199" t="s">
        <v>968</v>
      </c>
      <c r="D1199" t="s">
        <v>10</v>
      </c>
      <c r="E1199" t="s">
        <v>2088</v>
      </c>
      <c r="F1199" t="s">
        <v>45</v>
      </c>
      <c r="G1199" t="str">
        <f>HYPERLINK("https://www.instagram.com/p/CDBkkH6FMtw")</f>
        <v>https://www.instagram.com/p/CDBkkH6FMtw</v>
      </c>
      <c r="H1199" t="s">
        <v>885</v>
      </c>
      <c r="I1199" t="s">
        <v>68</v>
      </c>
      <c r="J1199" t="str">
        <f>HYPERLINK("http://instagram.com/mrt_expert_62")</f>
        <v>http://instagram.com/mrt_expert_62</v>
      </c>
      <c r="K1199">
        <v>484</v>
      </c>
      <c r="L1199" t="s">
        <v>28</v>
      </c>
      <c r="N1199" t="s">
        <v>69</v>
      </c>
      <c r="O1199" t="s">
        <v>68</v>
      </c>
      <c r="P1199" t="str">
        <f>HYPERLINK("http://instagram.com/mrt_expert_62")</f>
        <v>http://instagram.com/mrt_expert_62</v>
      </c>
      <c r="Q1199">
        <v>484</v>
      </c>
      <c r="R1199" t="s">
        <v>17</v>
      </c>
      <c r="S1199" t="s">
        <v>18</v>
      </c>
      <c r="T1199" t="s">
        <v>70</v>
      </c>
      <c r="U1199" t="s">
        <v>71</v>
      </c>
      <c r="AI1199" t="str">
        <f>HYPERLINK("https://www.instagram.com/p/CDBkkH6FMtw/media/?size=l")</f>
        <v>https://www.instagram.com/p/CDBkkH6FMtw/media/?size=l</v>
      </c>
      <c r="AJ1199" t="s">
        <v>10</v>
      </c>
      <c r="AK1199" t="s">
        <v>21</v>
      </c>
      <c r="AV1199" t="s">
        <v>3247</v>
      </c>
      <c r="AW1199" t="s">
        <v>3248</v>
      </c>
      <c r="AX1199" t="s">
        <v>3249</v>
      </c>
    </row>
    <row r="1200" spans="1:50" x14ac:dyDescent="0.25">
      <c r="A1200" t="s">
        <v>2428</v>
      </c>
      <c r="B1200" t="s">
        <v>277</v>
      </c>
      <c r="C1200" t="s">
        <v>968</v>
      </c>
      <c r="D1200" t="s">
        <v>10</v>
      </c>
      <c r="E1200" t="s">
        <v>2468</v>
      </c>
      <c r="F1200" t="s">
        <v>12</v>
      </c>
      <c r="G1200" t="str">
        <f>HYPERLINK("https://www.facebook.com/568390943273818/posts/2994682060644682")</f>
        <v>https://www.facebook.com/568390943273818/posts/2994682060644682</v>
      </c>
      <c r="H1200" t="s">
        <v>885</v>
      </c>
      <c r="I1200" t="s">
        <v>280</v>
      </c>
      <c r="J1200" t="str">
        <f>HYPERLINK("https://www.facebook.com/568390943273818")</f>
        <v>https://www.facebook.com/568390943273818</v>
      </c>
      <c r="K1200">
        <v>18918</v>
      </c>
      <c r="L1200" t="s">
        <v>28</v>
      </c>
      <c r="N1200" t="s">
        <v>179</v>
      </c>
      <c r="O1200" t="s">
        <v>280</v>
      </c>
      <c r="P1200" t="str">
        <f>HYPERLINK("https://www.facebook.com/568390943273818")</f>
        <v>https://www.facebook.com/568390943273818</v>
      </c>
      <c r="Q1200">
        <v>18918</v>
      </c>
      <c r="R1200" t="s">
        <v>17</v>
      </c>
      <c r="S1200" t="s">
        <v>281</v>
      </c>
      <c r="T1200" t="s">
        <v>282</v>
      </c>
      <c r="U1200" t="s">
        <v>282</v>
      </c>
      <c r="W1200">
        <v>7</v>
      </c>
      <c r="X1200">
        <v>7</v>
      </c>
      <c r="Y1200">
        <v>0</v>
      </c>
      <c r="Z1200">
        <v>0</v>
      </c>
      <c r="AA1200">
        <v>0</v>
      </c>
      <c r="AB1200">
        <v>0</v>
      </c>
      <c r="AC1200">
        <v>0</v>
      </c>
      <c r="AE1200">
        <v>0</v>
      </c>
      <c r="AF1200">
        <v>1</v>
      </c>
      <c r="AI1200" t="str">
        <f>HYPERLINK("https://scontent-waw1-1.xx.fbcdn.net/v/t15.5256-10/109788803_362262141410940_8116999691180387401_n.jpg?_nc_cat=110&amp;_nc_sid=ad6a45&amp;_nc_ohc=qqnfcP03zqoAX-trH1M&amp;_nc_ht=scontent-waw1-1.xx&amp;oh=7aae1f64f2774409a030251b7dcf5036&amp;oe=5F3A04C8")</f>
        <v>https://scontent-waw1-1.xx.fbcdn.net/v/t15.5256-10/109788803_362262141410940_8116999691180387401_n.jpg?_nc_cat=110&amp;_nc_sid=ad6a45&amp;_nc_ohc=qqnfcP03zqoAX-trH1M&amp;_nc_ht=scontent-waw1-1.xx&amp;oh=7aae1f64f2774409a030251b7dcf5036&amp;oe=5F3A04C8</v>
      </c>
      <c r="AJ1200" t="s">
        <v>10</v>
      </c>
      <c r="AK1200" t="s">
        <v>21</v>
      </c>
      <c r="AM1200" t="s">
        <v>3238</v>
      </c>
      <c r="AX1200" t="s">
        <v>3249</v>
      </c>
    </row>
    <row r="1201" spans="1:50" x14ac:dyDescent="0.25">
      <c r="A1201" t="s">
        <v>2472</v>
      </c>
      <c r="B1201" t="s">
        <v>2473</v>
      </c>
      <c r="C1201" t="s">
        <v>968</v>
      </c>
      <c r="D1201" t="s">
        <v>421</v>
      </c>
      <c r="E1201" t="s">
        <v>2474</v>
      </c>
      <c r="F1201" t="s">
        <v>26</v>
      </c>
      <c r="G1201" t="str">
        <f>HYPERLINK("https://www.youtube.com/watch?v=gaka1vqYFNs&amp;lc=Ugz6-e5pffYx8qRW0Np4AaABAg")</f>
        <v>https://www.youtube.com/watch?v=gaka1vqYFNs&amp;lc=Ugz6-e5pffYx8qRW0Np4AaABAg</v>
      </c>
      <c r="H1201" t="s">
        <v>889</v>
      </c>
      <c r="I1201" t="s">
        <v>2475</v>
      </c>
      <c r="J1201" t="str">
        <f>HYPERLINK("https://www.youtube.com/channel/UCaPOc1L9S2tFhoucQOijtlg")</f>
        <v>https://www.youtube.com/channel/UCaPOc1L9S2tFhoucQOijtlg</v>
      </c>
      <c r="K1201">
        <v>38</v>
      </c>
      <c r="N1201" t="s">
        <v>162</v>
      </c>
      <c r="O1201" t="s">
        <v>424</v>
      </c>
      <c r="P1201" t="str">
        <f>HYPERLINK("https://www.youtube.com/channel/UC8fQzKHIhSoZeSq3bwQx4mw")</f>
        <v>https://www.youtube.com/channel/UC8fQzKHIhSoZeSq3bwQx4mw</v>
      </c>
      <c r="Q1201">
        <v>517000</v>
      </c>
      <c r="R1201" t="s">
        <v>17</v>
      </c>
      <c r="S1201" t="s">
        <v>425</v>
      </c>
      <c r="W1201">
        <v>1</v>
      </c>
      <c r="X1201">
        <v>1</v>
      </c>
      <c r="AE1201">
        <v>1</v>
      </c>
      <c r="AJ1201" t="s">
        <v>10</v>
      </c>
      <c r="AK1201" t="s">
        <v>21</v>
      </c>
      <c r="AM1201" t="s">
        <v>3238</v>
      </c>
      <c r="AV1201" t="s">
        <v>3247</v>
      </c>
      <c r="AW1201" t="s">
        <v>3248</v>
      </c>
      <c r="AX1201" t="s">
        <v>3249</v>
      </c>
    </row>
    <row r="1202" spans="1:50" x14ac:dyDescent="0.25">
      <c r="A1202" t="s">
        <v>2472</v>
      </c>
      <c r="B1202" t="s">
        <v>2480</v>
      </c>
      <c r="C1202" t="s">
        <v>968</v>
      </c>
      <c r="D1202" t="s">
        <v>10</v>
      </c>
      <c r="E1202" t="s">
        <v>2481</v>
      </c>
      <c r="F1202" t="s">
        <v>45</v>
      </c>
      <c r="G1202" t="str">
        <f>HYPERLINK("https://vk.com/wall-8241837_1305")</f>
        <v>https://vk.com/wall-8241837_1305</v>
      </c>
      <c r="H1202" t="s">
        <v>885</v>
      </c>
      <c r="I1202" t="s">
        <v>1058</v>
      </c>
      <c r="J1202" t="str">
        <f>HYPERLINK("http://vk.com/id71191578")</f>
        <v>http://vk.com/id71191578</v>
      </c>
      <c r="K1202">
        <v>1008</v>
      </c>
      <c r="L1202" t="s">
        <v>15</v>
      </c>
      <c r="M1202">
        <v>55</v>
      </c>
      <c r="N1202" t="s">
        <v>16</v>
      </c>
      <c r="O1202" t="s">
        <v>1279</v>
      </c>
      <c r="P1202" t="str">
        <f>HYPERLINK("http://vk.com/club8241837")</f>
        <v>http://vk.com/club8241837</v>
      </c>
      <c r="Q1202">
        <v>3195</v>
      </c>
      <c r="R1202" t="s">
        <v>17</v>
      </c>
      <c r="S1202" t="s">
        <v>18</v>
      </c>
      <c r="T1202" t="s">
        <v>1060</v>
      </c>
      <c r="U1202" t="s">
        <v>1061</v>
      </c>
      <c r="W1202">
        <v>1</v>
      </c>
      <c r="X1202">
        <v>1</v>
      </c>
      <c r="AE1202">
        <v>0</v>
      </c>
      <c r="AF1202">
        <v>0</v>
      </c>
      <c r="AJ1202" t="s">
        <v>10</v>
      </c>
      <c r="AK1202" t="s">
        <v>21</v>
      </c>
      <c r="AM1202" t="s">
        <v>3238</v>
      </c>
      <c r="AV1202" t="s">
        <v>3247</v>
      </c>
      <c r="AX1202" t="s">
        <v>3249</v>
      </c>
    </row>
    <row r="1203" spans="1:50" x14ac:dyDescent="0.25">
      <c r="A1203" t="s">
        <v>2472</v>
      </c>
      <c r="B1203" t="s">
        <v>1615</v>
      </c>
      <c r="C1203" t="s">
        <v>968</v>
      </c>
      <c r="D1203" t="s">
        <v>10</v>
      </c>
      <c r="E1203" t="s">
        <v>2483</v>
      </c>
      <c r="F1203" t="s">
        <v>26</v>
      </c>
      <c r="G1203" t="str">
        <f>HYPERLINK("https://twitter.com/450945920/status/1284184854029115393")</f>
        <v>https://twitter.com/450945920/status/1284184854029115393</v>
      </c>
      <c r="H1203" t="s">
        <v>885</v>
      </c>
      <c r="I1203" t="s">
        <v>2266</v>
      </c>
      <c r="J1203" t="str">
        <f>HYPERLINK("http://twitter.com/wealthianloring")</f>
        <v>http://twitter.com/wealthianloring</v>
      </c>
      <c r="K1203">
        <v>196</v>
      </c>
      <c r="L1203" t="s">
        <v>80</v>
      </c>
      <c r="N1203" t="s">
        <v>54</v>
      </c>
      <c r="R1203" t="s">
        <v>17</v>
      </c>
      <c r="AJ1203" t="s">
        <v>10</v>
      </c>
      <c r="AK1203" t="s">
        <v>21</v>
      </c>
      <c r="AV1203" t="s">
        <v>3247</v>
      </c>
    </row>
    <row r="1204" spans="1:50" x14ac:dyDescent="0.25">
      <c r="A1204" t="s">
        <v>2472</v>
      </c>
      <c r="B1204" t="s">
        <v>277</v>
      </c>
      <c r="C1204" t="s">
        <v>968</v>
      </c>
      <c r="D1204" t="s">
        <v>10</v>
      </c>
      <c r="E1204" t="s">
        <v>2528</v>
      </c>
      <c r="F1204" t="s">
        <v>12</v>
      </c>
      <c r="G1204" t="str">
        <f>HYPERLINK("https://www.facebook.com/568390943273818/posts/2992221330890755")</f>
        <v>https://www.facebook.com/568390943273818/posts/2992221330890755</v>
      </c>
      <c r="H1204" t="s">
        <v>885</v>
      </c>
      <c r="I1204" t="s">
        <v>280</v>
      </c>
      <c r="J1204" t="str">
        <f>HYPERLINK("https://www.facebook.com/568390943273818")</f>
        <v>https://www.facebook.com/568390943273818</v>
      </c>
      <c r="K1204">
        <v>18918</v>
      </c>
      <c r="L1204" t="s">
        <v>28</v>
      </c>
      <c r="N1204" t="s">
        <v>179</v>
      </c>
      <c r="O1204" t="s">
        <v>280</v>
      </c>
      <c r="P1204" t="str">
        <f>HYPERLINK("https://www.facebook.com/568390943273818")</f>
        <v>https://www.facebook.com/568390943273818</v>
      </c>
      <c r="Q1204">
        <v>18918</v>
      </c>
      <c r="R1204" t="s">
        <v>17</v>
      </c>
      <c r="S1204" t="s">
        <v>281</v>
      </c>
      <c r="T1204" t="s">
        <v>282</v>
      </c>
      <c r="U1204" t="s">
        <v>282</v>
      </c>
      <c r="AI1204" t="str">
        <f>HYPERLINK("https://scontent-ams4-1.xx.fbcdn.net/v/t1.0-9/s720x720/110316685_2992166960896192_4584938200521802413_n.jpg?_nc_cat=103&amp;_nc_sid=8024bb&amp;_nc_ohc=Oci43xogsf0AX-gF8vF&amp;_nc_ht=scontent-ams4-1.xx&amp;_nc_tp=7&amp;oh=1b1362f923a12417c221039c7bf8d36b&amp;oe=5F378FD7")</f>
        <v>https://scontent-ams4-1.xx.fbcdn.net/v/t1.0-9/s720x720/110316685_2992166960896192_4584938200521802413_n.jpg?_nc_cat=103&amp;_nc_sid=8024bb&amp;_nc_ohc=Oci43xogsf0AX-gF8vF&amp;_nc_ht=scontent-ams4-1.xx&amp;_nc_tp=7&amp;oh=1b1362f923a12417c221039c7bf8d36b&amp;oe=5F378FD7</v>
      </c>
      <c r="AJ1204" t="s">
        <v>10</v>
      </c>
      <c r="AK1204" t="s">
        <v>21</v>
      </c>
      <c r="AM1204" t="s">
        <v>3238</v>
      </c>
      <c r="AV1204" t="s">
        <v>3247</v>
      </c>
    </row>
    <row r="1205" spans="1:50" x14ac:dyDescent="0.25">
      <c r="A1205" t="s">
        <v>2541</v>
      </c>
      <c r="B1205" t="s">
        <v>2006</v>
      </c>
      <c r="C1205" t="s">
        <v>968</v>
      </c>
      <c r="D1205" t="s">
        <v>10</v>
      </c>
      <c r="E1205" t="s">
        <v>2552</v>
      </c>
      <c r="F1205" t="s">
        <v>45</v>
      </c>
      <c r="G1205" t="str">
        <f>HYPERLINK("https://www.facebook.com/mriexpert/photos/a.902990326434112/3190513847681737/?type=3")</f>
        <v>https://www.facebook.com/mriexpert/photos/a.902990326434112/3190513847681737/?type=3</v>
      </c>
      <c r="H1205" t="s">
        <v>885</v>
      </c>
      <c r="I1205" t="s">
        <v>46</v>
      </c>
      <c r="J1205" t="str">
        <f>HYPERLINK("https://www.facebook.com/902980129768465")</f>
        <v>https://www.facebook.com/902980129768465</v>
      </c>
      <c r="K1205">
        <v>1509</v>
      </c>
      <c r="L1205" t="s">
        <v>28</v>
      </c>
      <c r="N1205" t="s">
        <v>179</v>
      </c>
      <c r="O1205" t="s">
        <v>46</v>
      </c>
      <c r="P1205" t="str">
        <f>HYPERLINK("https://www.facebook.com/902980129768465")</f>
        <v>https://www.facebook.com/902980129768465</v>
      </c>
      <c r="Q1205">
        <v>1509</v>
      </c>
      <c r="R1205" t="s">
        <v>17</v>
      </c>
      <c r="W1205">
        <v>0</v>
      </c>
      <c r="X1205">
        <v>0</v>
      </c>
      <c r="Y1205">
        <v>0</v>
      </c>
      <c r="Z1205">
        <v>0</v>
      </c>
      <c r="AA1205">
        <v>0</v>
      </c>
      <c r="AB1205">
        <v>0</v>
      </c>
      <c r="AC1205">
        <v>0</v>
      </c>
      <c r="AE1205">
        <v>0</v>
      </c>
      <c r="AI1205" t="str">
        <f>HYPERLINK("https://scontent-hel2-1.xx.fbcdn.net/v/t1.0-9/s960x960/109489550_3190513854348403_1398429180250825344_o.jpg?_nc_cat=103&amp;_nc_sid=9267fe&amp;_nc_ohc=PlTRBv4lksoAX9ywKRy&amp;_nc_ht=scontent-hel2-1.xx&amp;_nc_tp=7&amp;oh=d5b5dca2de4969b76057d8ba0ae3c9a0&amp;oe=5F37E433")</f>
        <v>https://scontent-hel2-1.xx.fbcdn.net/v/t1.0-9/s960x960/109489550_3190513854348403_1398429180250825344_o.jpg?_nc_cat=103&amp;_nc_sid=9267fe&amp;_nc_ohc=PlTRBv4lksoAX9ywKRy&amp;_nc_ht=scontent-hel2-1.xx&amp;_nc_tp=7&amp;oh=d5b5dca2de4969b76057d8ba0ae3c9a0&amp;oe=5F37E433</v>
      </c>
      <c r="AJ1205" t="s">
        <v>10</v>
      </c>
      <c r="AK1205" t="s">
        <v>21</v>
      </c>
      <c r="AM1205" t="s">
        <v>3238</v>
      </c>
      <c r="AW1205" t="s">
        <v>3248</v>
      </c>
      <c r="AX1205" t="s">
        <v>3249</v>
      </c>
    </row>
    <row r="1206" spans="1:50" x14ac:dyDescent="0.25">
      <c r="A1206" t="s">
        <v>2684</v>
      </c>
      <c r="B1206" t="s">
        <v>2712</v>
      </c>
      <c r="C1206" t="s">
        <v>968</v>
      </c>
      <c r="D1206" t="s">
        <v>10</v>
      </c>
      <c r="E1206" t="s">
        <v>2713</v>
      </c>
      <c r="F1206" t="s">
        <v>1020</v>
      </c>
      <c r="G1206" t="str">
        <f>HYPERLINK("https://www.facebook.com/gyumrimc/posts/2672266769720421")</f>
        <v>https://www.facebook.com/gyumrimc/posts/2672266769720421</v>
      </c>
      <c r="H1206" t="s">
        <v>885</v>
      </c>
      <c r="I1206" t="s">
        <v>2714</v>
      </c>
      <c r="J1206" t="str">
        <f>HYPERLINK("https://www.facebook.com/1552457898367986")</f>
        <v>https://www.facebook.com/1552457898367986</v>
      </c>
      <c r="K1206">
        <v>3016</v>
      </c>
      <c r="L1206" t="s">
        <v>28</v>
      </c>
      <c r="N1206" t="s">
        <v>179</v>
      </c>
      <c r="O1206" t="s">
        <v>2714</v>
      </c>
      <c r="P1206" t="str">
        <f>HYPERLINK("https://www.facebook.com/1552457898367986")</f>
        <v>https://www.facebook.com/1552457898367986</v>
      </c>
      <c r="Q1206">
        <v>3016</v>
      </c>
      <c r="R1206" t="s">
        <v>17</v>
      </c>
      <c r="S1206" t="s">
        <v>2690</v>
      </c>
      <c r="T1206" t="s">
        <v>2691</v>
      </c>
      <c r="U1206" t="s">
        <v>2692</v>
      </c>
      <c r="W1206">
        <v>9</v>
      </c>
      <c r="X1206">
        <v>9</v>
      </c>
      <c r="Y1206">
        <v>0</v>
      </c>
      <c r="Z1206">
        <v>0</v>
      </c>
      <c r="AA1206">
        <v>0</v>
      </c>
      <c r="AB1206">
        <v>0</v>
      </c>
      <c r="AC1206">
        <v>0</v>
      </c>
      <c r="AE1206">
        <v>0</v>
      </c>
      <c r="AI1206" t="s">
        <v>2715</v>
      </c>
      <c r="AJ1206" t="s">
        <v>10</v>
      </c>
      <c r="AK1206" t="s">
        <v>21</v>
      </c>
      <c r="AM1206" t="s">
        <v>3238</v>
      </c>
      <c r="AW1206" t="s">
        <v>3248</v>
      </c>
      <c r="AX1206" t="s">
        <v>3249</v>
      </c>
    </row>
    <row r="1207" spans="1:50" x14ac:dyDescent="0.25">
      <c r="A1207" t="s">
        <v>2684</v>
      </c>
      <c r="B1207" t="s">
        <v>2735</v>
      </c>
      <c r="C1207" t="s">
        <v>968</v>
      </c>
      <c r="D1207" t="s">
        <v>10</v>
      </c>
      <c r="E1207" t="s">
        <v>2688</v>
      </c>
      <c r="F1207" t="s">
        <v>12</v>
      </c>
      <c r="G1207" t="str">
        <f>HYPERLINK("https://www.facebook.com/Gegham.Kh/posts/3044682018983116")</f>
        <v>https://www.facebook.com/Gegham.Kh/posts/3044682018983116</v>
      </c>
      <c r="H1207" t="s">
        <v>885</v>
      </c>
      <c r="I1207" t="s">
        <v>2736</v>
      </c>
      <c r="J1207" t="str">
        <f>HYPERLINK("https://www.facebook.com/100003240426316")</f>
        <v>https://www.facebook.com/100003240426316</v>
      </c>
      <c r="K1207">
        <v>140</v>
      </c>
      <c r="L1207" t="s">
        <v>15</v>
      </c>
      <c r="M1207">
        <v>57</v>
      </c>
      <c r="N1207" t="s">
        <v>179</v>
      </c>
      <c r="O1207" t="s">
        <v>2736</v>
      </c>
      <c r="P1207" t="str">
        <f>HYPERLINK("https://www.facebook.com/100003240426316")</f>
        <v>https://www.facebook.com/100003240426316</v>
      </c>
      <c r="Q1207">
        <v>140</v>
      </c>
      <c r="R1207" t="s">
        <v>17</v>
      </c>
      <c r="S1207" t="s">
        <v>2690</v>
      </c>
      <c r="T1207" t="s">
        <v>2737</v>
      </c>
      <c r="U1207" t="s">
        <v>2738</v>
      </c>
      <c r="W1207">
        <v>3</v>
      </c>
      <c r="X1207">
        <v>3</v>
      </c>
      <c r="Y1207">
        <v>0</v>
      </c>
      <c r="Z1207">
        <v>0</v>
      </c>
      <c r="AA1207">
        <v>0</v>
      </c>
      <c r="AB1207">
        <v>0</v>
      </c>
      <c r="AC1207">
        <v>0</v>
      </c>
      <c r="AE1207">
        <v>0</v>
      </c>
      <c r="AI1207" t="str">
        <f>HYPERLINK("https://scontent-hel2-1.xx.fbcdn.net/v/t15.13418-10/107718255_3109660389083815_8825691245568026571_n.jpg?_nc_cat=108&amp;_nc_sid=ad6a45&amp;_nc_ohc=fyWVkB1ebcUAX8kUfBs&amp;_nc_ht=scontent-hel2-1.xx&amp;oh=d7b6c4df9a69899780cd75d1460f6d5b&amp;oe=5F34D9DA")</f>
        <v>https://scontent-hel2-1.xx.fbcdn.net/v/t15.13418-10/107718255_3109660389083815_8825691245568026571_n.jpg?_nc_cat=108&amp;_nc_sid=ad6a45&amp;_nc_ohc=fyWVkB1ebcUAX8kUfBs&amp;_nc_ht=scontent-hel2-1.xx&amp;oh=d7b6c4df9a69899780cd75d1460f6d5b&amp;oe=5F34D9DA</v>
      </c>
      <c r="AJ1207" t="s">
        <v>10</v>
      </c>
      <c r="AK1207" t="s">
        <v>21</v>
      </c>
      <c r="AW1207" t="s">
        <v>3248</v>
      </c>
      <c r="AX1207" t="s">
        <v>3249</v>
      </c>
    </row>
    <row r="1208" spans="1:50" x14ac:dyDescent="0.25">
      <c r="A1208" t="s">
        <v>2684</v>
      </c>
      <c r="B1208" t="s">
        <v>42</v>
      </c>
      <c r="C1208" t="s">
        <v>968</v>
      </c>
      <c r="D1208" t="s">
        <v>10</v>
      </c>
      <c r="E1208" t="s">
        <v>2746</v>
      </c>
      <c r="F1208" t="s">
        <v>45</v>
      </c>
      <c r="G1208" t="str">
        <f>HYPERLINK("https://vk.com/wall-48669646_10166")</f>
        <v>https://vk.com/wall-48669646_10166</v>
      </c>
      <c r="H1208" t="s">
        <v>885</v>
      </c>
      <c r="I1208" t="s">
        <v>46</v>
      </c>
      <c r="J1208" t="str">
        <f>HYPERLINK("http://vk.com/club48669646")</f>
        <v>http://vk.com/club48669646</v>
      </c>
      <c r="K1208">
        <v>5795</v>
      </c>
      <c r="L1208" t="s">
        <v>28</v>
      </c>
      <c r="N1208" t="s">
        <v>16</v>
      </c>
      <c r="O1208" t="s">
        <v>46</v>
      </c>
      <c r="P1208" t="str">
        <f>HYPERLINK("http://vk.com/club48669646")</f>
        <v>http://vk.com/club48669646</v>
      </c>
      <c r="Q1208">
        <v>5795</v>
      </c>
      <c r="R1208" t="s">
        <v>17</v>
      </c>
      <c r="S1208" t="s">
        <v>18</v>
      </c>
      <c r="W1208">
        <v>1</v>
      </c>
      <c r="X1208">
        <v>1</v>
      </c>
      <c r="AE1208">
        <v>0</v>
      </c>
      <c r="AF1208">
        <v>0</v>
      </c>
      <c r="AG1208">
        <v>330</v>
      </c>
      <c r="AI1208" t="str">
        <f>HYPERLINK("https://sun1-25.userapi.com/4PrhdZ6Rb_QrfBy_8PiNVt4SCwcMvhg4l5GfLg/0sR94HXUODk.jpg")</f>
        <v>https://sun1-25.userapi.com/4PrhdZ6Rb_QrfBy_8PiNVt4SCwcMvhg4l5GfLg/0sR94HXUODk.jpg</v>
      </c>
      <c r="AJ1208" t="s">
        <v>10</v>
      </c>
      <c r="AK1208" t="s">
        <v>21</v>
      </c>
      <c r="AW1208" t="s">
        <v>3248</v>
      </c>
    </row>
    <row r="1209" spans="1:50" x14ac:dyDescent="0.25">
      <c r="A1209" t="s">
        <v>2767</v>
      </c>
      <c r="B1209" t="s">
        <v>706</v>
      </c>
      <c r="C1209" t="s">
        <v>968</v>
      </c>
      <c r="D1209" t="s">
        <v>10</v>
      </c>
      <c r="E1209" t="s">
        <v>2856</v>
      </c>
      <c r="F1209" t="s">
        <v>45</v>
      </c>
      <c r="G1209" t="str">
        <f>HYPERLINK("https://vk.com/wall-48669646_10160")</f>
        <v>https://vk.com/wall-48669646_10160</v>
      </c>
      <c r="H1209" t="s">
        <v>885</v>
      </c>
      <c r="I1209" t="s">
        <v>46</v>
      </c>
      <c r="J1209" t="str">
        <f>HYPERLINK("http://vk.com/club48669646")</f>
        <v>http://vk.com/club48669646</v>
      </c>
      <c r="K1209">
        <v>5795</v>
      </c>
      <c r="L1209" t="s">
        <v>28</v>
      </c>
      <c r="N1209" t="s">
        <v>16</v>
      </c>
      <c r="O1209" t="s">
        <v>46</v>
      </c>
      <c r="P1209" t="str">
        <f>HYPERLINK("http://vk.com/club48669646")</f>
        <v>http://vk.com/club48669646</v>
      </c>
      <c r="Q1209">
        <v>5795</v>
      </c>
      <c r="R1209" t="s">
        <v>17</v>
      </c>
      <c r="S1209" t="s">
        <v>18</v>
      </c>
      <c r="W1209">
        <v>5</v>
      </c>
      <c r="X1209">
        <v>5</v>
      </c>
      <c r="AE1209">
        <v>0</v>
      </c>
      <c r="AF1209">
        <v>0</v>
      </c>
      <c r="AG1209">
        <v>496</v>
      </c>
      <c r="AI1209" t="str">
        <f>HYPERLINK("https://sun1-27.userapi.com/P5JLTmbV9EcVDeS95HUpVWR-MnkMyJGR2ghA7g/fQOSmWw-YDw.jpg")</f>
        <v>https://sun1-27.userapi.com/P5JLTmbV9EcVDeS95HUpVWR-MnkMyJGR2ghA7g/fQOSmWw-YDw.jpg</v>
      </c>
      <c r="AJ1209" t="s">
        <v>10</v>
      </c>
      <c r="AK1209" t="s">
        <v>21</v>
      </c>
      <c r="AM1209" t="s">
        <v>3238</v>
      </c>
      <c r="AX1209" t="s">
        <v>3249</v>
      </c>
    </row>
    <row r="1210" spans="1:50" x14ac:dyDescent="0.25">
      <c r="A1210" t="s">
        <v>3021</v>
      </c>
      <c r="B1210" t="s">
        <v>2695</v>
      </c>
      <c r="C1210" t="s">
        <v>968</v>
      </c>
      <c r="D1210" t="s">
        <v>10</v>
      </c>
      <c r="E1210" t="s">
        <v>3029</v>
      </c>
      <c r="F1210" t="s">
        <v>12</v>
      </c>
      <c r="G1210" t="str">
        <f>HYPERLINK("https://twitter.com/934920511506616321/status/1281303742948794370")</f>
        <v>https://twitter.com/934920511506616321/status/1281303742948794370</v>
      </c>
      <c r="H1210" t="s">
        <v>885</v>
      </c>
      <c r="I1210" t="s">
        <v>3030</v>
      </c>
      <c r="J1210" t="str">
        <f>HYPERLINK("http://twitter.com/tedwlsn31")</f>
        <v>http://twitter.com/tedwlsn31</v>
      </c>
      <c r="K1210">
        <v>598</v>
      </c>
      <c r="L1210" t="s">
        <v>15</v>
      </c>
      <c r="N1210" t="s">
        <v>54</v>
      </c>
      <c r="R1210" t="s">
        <v>17</v>
      </c>
      <c r="S1210" t="s">
        <v>425</v>
      </c>
      <c r="T1210" t="s">
        <v>1294</v>
      </c>
      <c r="U1210" t="s">
        <v>3031</v>
      </c>
      <c r="W1210">
        <v>0</v>
      </c>
      <c r="X1210">
        <v>0</v>
      </c>
      <c r="AI1210" t="str">
        <f>HYPERLINK("https://pbs.twimg.com/media/Ea9mbKSXkAElfpm.jpg")</f>
        <v>https://pbs.twimg.com/media/Ea9mbKSXkAElfpm.jpg</v>
      </c>
      <c r="AJ1210" t="s">
        <v>10</v>
      </c>
      <c r="AK1210" t="s">
        <v>21</v>
      </c>
      <c r="AX1210" t="s">
        <v>3249</v>
      </c>
    </row>
    <row r="1211" spans="1:50" x14ac:dyDescent="0.25">
      <c r="A1211" t="s">
        <v>3021</v>
      </c>
      <c r="B1211" t="s">
        <v>1093</v>
      </c>
      <c r="C1211" t="s">
        <v>968</v>
      </c>
      <c r="D1211" t="s">
        <v>10</v>
      </c>
      <c r="E1211" t="s">
        <v>3074</v>
      </c>
      <c r="F1211" t="s">
        <v>45</v>
      </c>
      <c r="G1211" t="str">
        <f>HYPERLINK("https://www.facebook.com/mriexpert/photos/a.902990326434112/3169932803073175/?type=3")</f>
        <v>https://www.facebook.com/mriexpert/photos/a.902990326434112/3169932803073175/?type=3</v>
      </c>
      <c r="H1211" t="s">
        <v>885</v>
      </c>
      <c r="I1211" t="s">
        <v>46</v>
      </c>
      <c r="J1211" t="str">
        <f>HYPERLINK("https://www.facebook.com/902980129768465")</f>
        <v>https://www.facebook.com/902980129768465</v>
      </c>
      <c r="K1211">
        <v>1509</v>
      </c>
      <c r="L1211" t="s">
        <v>28</v>
      </c>
      <c r="N1211" t="s">
        <v>179</v>
      </c>
      <c r="O1211" t="s">
        <v>46</v>
      </c>
      <c r="P1211" t="str">
        <f>HYPERLINK("https://www.facebook.com/902980129768465")</f>
        <v>https://www.facebook.com/902980129768465</v>
      </c>
      <c r="Q1211">
        <v>1509</v>
      </c>
      <c r="R1211" t="s">
        <v>17</v>
      </c>
      <c r="W1211">
        <v>0</v>
      </c>
      <c r="X1211">
        <v>0</v>
      </c>
      <c r="Y1211">
        <v>0</v>
      </c>
      <c r="Z1211">
        <v>0</v>
      </c>
      <c r="AA1211">
        <v>0</v>
      </c>
      <c r="AB1211">
        <v>0</v>
      </c>
      <c r="AC1211">
        <v>0</v>
      </c>
      <c r="AE1211">
        <v>0</v>
      </c>
      <c r="AI1211" t="str">
        <f>HYPERLINK("https://scontent-hel2-1.xx.fbcdn.net/v/t1.0-9/s960x960/108001418_3169932813073174_5229594939459651781_o.jpg?_nc_cat=100&amp;_nc_sid=9267fe&amp;_nc_ohc=ybyYtdaMpTsAX-URwm-&amp;_nc_ht=scontent-hel2-1.xx&amp;_nc_tp=7&amp;oh=d80d8c291bec330a6735d005d199c753&amp;oe=5F2CEE31")</f>
        <v>https://scontent-hel2-1.xx.fbcdn.net/v/t1.0-9/s960x960/108001418_3169932813073174_5229594939459651781_o.jpg?_nc_cat=100&amp;_nc_sid=9267fe&amp;_nc_ohc=ybyYtdaMpTsAX-URwm-&amp;_nc_ht=scontent-hel2-1.xx&amp;_nc_tp=7&amp;oh=d80d8c291bec330a6735d005d199c753&amp;oe=5F2CEE31</v>
      </c>
      <c r="AJ1211" t="s">
        <v>10</v>
      </c>
      <c r="AK1211" t="s">
        <v>21</v>
      </c>
      <c r="AW1211" t="s">
        <v>3248</v>
      </c>
      <c r="AX1211" t="s">
        <v>3249</v>
      </c>
    </row>
    <row r="1212" spans="1:50" x14ac:dyDescent="0.25">
      <c r="A1212" t="s">
        <v>3021</v>
      </c>
      <c r="B1212" t="s">
        <v>3092</v>
      </c>
      <c r="C1212" t="s">
        <v>968</v>
      </c>
      <c r="D1212" t="s">
        <v>3093</v>
      </c>
      <c r="E1212" t="s">
        <v>3094</v>
      </c>
      <c r="F1212" t="s">
        <v>45</v>
      </c>
      <c r="G1212" t="str">
        <f>HYPERLINK("https://www.google.com/maps/reviews/data=!4m5!14m4!1m3!1m2!1s116841989410164115502!2s0x0:0x213839ec70992cb7?hl=en-NL")</f>
        <v>https://www.google.com/maps/reviews/data=!4m5!14m4!1m3!1m2!1s116841989410164115502!2s0x0:0x213839ec70992cb7?hl=en-NL</v>
      </c>
      <c r="H1212" t="s">
        <v>889</v>
      </c>
      <c r="I1212" t="s">
        <v>3095</v>
      </c>
      <c r="J1212" t="str">
        <f>HYPERLINK("https://maps.google.com/maps/contrib/116841989410164115502")</f>
        <v>https://maps.google.com/maps/contrib/116841989410164115502</v>
      </c>
      <c r="L1212" t="s">
        <v>15</v>
      </c>
      <c r="N1212" t="s">
        <v>615</v>
      </c>
      <c r="O1212" t="s">
        <v>3093</v>
      </c>
      <c r="P1212" t="str">
        <f>HYPERLINK("https://maps.google.com/maps/place/data=!3m1!4b1!4m5!3m4!1s0x0:0x213839ec70992cb7!8m2!3d46.178110!4d-119.191000")</f>
        <v>https://maps.google.com/maps/place/data=!3m1!4b1!4m5!3m4!1s0x0:0x213839ec70992cb7!8m2!3d46.178110!4d-119.191000</v>
      </c>
      <c r="R1212" t="s">
        <v>616</v>
      </c>
      <c r="S1212" t="s">
        <v>425</v>
      </c>
      <c r="T1212" t="s">
        <v>1717</v>
      </c>
      <c r="U1212" t="s">
        <v>3096</v>
      </c>
      <c r="AH1212">
        <v>5</v>
      </c>
      <c r="AJ1212" t="s">
        <v>10</v>
      </c>
      <c r="AK1212" t="s">
        <v>21</v>
      </c>
    </row>
    <row r="1213" spans="1:50" x14ac:dyDescent="0.25">
      <c r="A1213" t="s">
        <v>3100</v>
      </c>
      <c r="B1213" t="s">
        <v>676</v>
      </c>
      <c r="C1213" t="s">
        <v>968</v>
      </c>
      <c r="D1213" t="s">
        <v>10</v>
      </c>
      <c r="E1213" t="s">
        <v>3163</v>
      </c>
      <c r="F1213" t="s">
        <v>45</v>
      </c>
      <c r="G1213" t="str">
        <f>HYPERLINK("https://www.instagram.com/p/CCXzmEhh6M5")</f>
        <v>https://www.instagram.com/p/CCXzmEhh6M5</v>
      </c>
      <c r="H1213" t="s">
        <v>889</v>
      </c>
      <c r="I1213" t="s">
        <v>1145</v>
      </c>
      <c r="J1213" t="str">
        <f>HYPERLINK("http://instagram.com/dr_kosmetolog_kursk")</f>
        <v>http://instagram.com/dr_kosmetolog_kursk</v>
      </c>
      <c r="K1213">
        <v>1296</v>
      </c>
      <c r="N1213" t="s">
        <v>69</v>
      </c>
      <c r="O1213" t="s">
        <v>1145</v>
      </c>
      <c r="P1213" t="str">
        <f>HYPERLINK("http://instagram.com/dr_kosmetolog_kursk")</f>
        <v>http://instagram.com/dr_kosmetolog_kursk</v>
      </c>
      <c r="Q1213">
        <v>1296</v>
      </c>
      <c r="R1213" t="s">
        <v>17</v>
      </c>
      <c r="S1213" t="s">
        <v>18</v>
      </c>
      <c r="T1213" t="s">
        <v>231</v>
      </c>
      <c r="U1213" t="s">
        <v>1266</v>
      </c>
      <c r="AI1213" t="str">
        <f>HYPERLINK("https://www.instagram.com/p/CCXzmEhh6M5/media/?size=l")</f>
        <v>https://www.instagram.com/p/CCXzmEhh6M5/media/?size=l</v>
      </c>
      <c r="AJ1213" t="s">
        <v>10</v>
      </c>
      <c r="AK1213" t="s">
        <v>21</v>
      </c>
      <c r="AX1213" t="s">
        <v>3249</v>
      </c>
    </row>
    <row r="1214" spans="1:50" x14ac:dyDescent="0.25">
      <c r="A1214" t="s">
        <v>7</v>
      </c>
      <c r="B1214" t="s">
        <v>108</v>
      </c>
      <c r="C1214" t="s">
        <v>103</v>
      </c>
      <c r="D1214" t="s">
        <v>24</v>
      </c>
      <c r="E1214" t="s">
        <v>107</v>
      </c>
      <c r="F1214" t="s">
        <v>26</v>
      </c>
      <c r="G1214" t="str">
        <f>HYPERLINK("https://vk.com/wall-197114981_31?reply=1360")</f>
        <v>https://vk.com/wall-197114981_31?reply=1360</v>
      </c>
      <c r="H1214" t="s">
        <v>13</v>
      </c>
      <c r="I1214" t="s">
        <v>79</v>
      </c>
      <c r="J1214" t="str">
        <f>HYPERLINK("http://vk.com/id95456096")</f>
        <v>http://vk.com/id95456096</v>
      </c>
      <c r="K1214">
        <v>1176</v>
      </c>
      <c r="L1214" t="s">
        <v>80</v>
      </c>
      <c r="N1214" t="s">
        <v>16</v>
      </c>
      <c r="O1214" t="s">
        <v>27</v>
      </c>
      <c r="P1214" t="str">
        <f>HYPERLINK("http://vk.com/club197114981")</f>
        <v>http://vk.com/club197114981</v>
      </c>
      <c r="Q1214">
        <v>38</v>
      </c>
      <c r="R1214" t="s">
        <v>17</v>
      </c>
      <c r="S1214" t="s">
        <v>18</v>
      </c>
      <c r="AJ1214" t="s">
        <v>10</v>
      </c>
      <c r="AK1214" t="s">
        <v>21</v>
      </c>
    </row>
    <row r="1215" spans="1:50" x14ac:dyDescent="0.25">
      <c r="A1215" t="s">
        <v>7</v>
      </c>
      <c r="B1215" t="s">
        <v>116</v>
      </c>
      <c r="C1215" t="s">
        <v>117</v>
      </c>
      <c r="D1215" t="s">
        <v>10</v>
      </c>
      <c r="E1215" t="s">
        <v>118</v>
      </c>
      <c r="F1215" t="s">
        <v>45</v>
      </c>
      <c r="G1215" t="str">
        <f>HYPERLINK("https://vk.com/wall-177615840_1544")</f>
        <v>https://vk.com/wall-177615840_1544</v>
      </c>
      <c r="H1215" t="s">
        <v>13</v>
      </c>
      <c r="I1215" t="s">
        <v>119</v>
      </c>
      <c r="J1215" t="str">
        <f>HYPERLINK("http://vk.com/club177615840")</f>
        <v>http://vk.com/club177615840</v>
      </c>
      <c r="K1215">
        <v>401</v>
      </c>
      <c r="L1215" t="s">
        <v>28</v>
      </c>
      <c r="N1215" t="s">
        <v>16</v>
      </c>
      <c r="O1215" t="s">
        <v>119</v>
      </c>
      <c r="P1215" t="str">
        <f>HYPERLINK("http://vk.com/club177615840")</f>
        <v>http://vk.com/club177615840</v>
      </c>
      <c r="Q1215">
        <v>401</v>
      </c>
      <c r="R1215" t="s">
        <v>17</v>
      </c>
      <c r="W1215">
        <v>0</v>
      </c>
      <c r="X1215">
        <v>0</v>
      </c>
      <c r="AE1215">
        <v>0</v>
      </c>
      <c r="AF1215">
        <v>0</v>
      </c>
      <c r="AG1215">
        <v>24</v>
      </c>
      <c r="AI1215" t="str">
        <f>HYPERLINK("https://sun9-46.userapi.com/c857036/v857036628/186d01/XggeQxEtYpU.jpg")</f>
        <v>https://sun9-46.userapi.com/c857036/v857036628/186d01/XggeQxEtYpU.jpg</v>
      </c>
      <c r="AJ1215" t="s">
        <v>10</v>
      </c>
      <c r="AK1215" t="s">
        <v>21</v>
      </c>
    </row>
    <row r="1216" spans="1:50" x14ac:dyDescent="0.25">
      <c r="A1216" t="s">
        <v>7</v>
      </c>
      <c r="B1216" t="s">
        <v>300</v>
      </c>
      <c r="C1216" t="s">
        <v>301</v>
      </c>
      <c r="D1216" t="s">
        <v>24</v>
      </c>
      <c r="E1216" t="s">
        <v>259</v>
      </c>
      <c r="F1216" t="s">
        <v>26</v>
      </c>
      <c r="G1216" t="str">
        <f>HYPERLINK("https://vk.com/wall-197114981_31?reply=1342&amp;thread=1273")</f>
        <v>https://vk.com/wall-197114981_31?reply=1342&amp;thread=1273</v>
      </c>
      <c r="H1216" t="s">
        <v>13</v>
      </c>
      <c r="I1216" t="s">
        <v>27</v>
      </c>
      <c r="J1216" t="str">
        <f>HYPERLINK("http://vk.com/club197114981")</f>
        <v>http://vk.com/club197114981</v>
      </c>
      <c r="K1216">
        <v>38</v>
      </c>
      <c r="L1216" t="s">
        <v>28</v>
      </c>
      <c r="N1216" t="s">
        <v>16</v>
      </c>
      <c r="O1216" t="s">
        <v>27</v>
      </c>
      <c r="P1216" t="str">
        <f>HYPERLINK("http://vk.com/club197114981")</f>
        <v>http://vk.com/club197114981</v>
      </c>
      <c r="Q1216">
        <v>38</v>
      </c>
      <c r="R1216" t="s">
        <v>17</v>
      </c>
      <c r="AJ1216" t="s">
        <v>10</v>
      </c>
      <c r="AK1216" t="s">
        <v>21</v>
      </c>
    </row>
    <row r="1217" spans="1:50" x14ac:dyDescent="0.25">
      <c r="A1217" t="s">
        <v>7</v>
      </c>
      <c r="B1217" t="s">
        <v>312</v>
      </c>
      <c r="C1217" t="s">
        <v>313</v>
      </c>
      <c r="D1217" t="s">
        <v>24</v>
      </c>
      <c r="E1217" t="s">
        <v>314</v>
      </c>
      <c r="F1217" t="s">
        <v>26</v>
      </c>
      <c r="G1217" t="str">
        <f>HYPERLINK("https://vk.com/wall-197114981_31?reply=1336&amp;thread=1335")</f>
        <v>https://vk.com/wall-197114981_31?reply=1336&amp;thread=1335</v>
      </c>
      <c r="H1217" t="s">
        <v>13</v>
      </c>
      <c r="I1217" t="s">
        <v>27</v>
      </c>
      <c r="J1217" t="str">
        <f>HYPERLINK("http://vk.com/club197114981")</f>
        <v>http://vk.com/club197114981</v>
      </c>
      <c r="K1217">
        <v>38</v>
      </c>
      <c r="L1217" t="s">
        <v>28</v>
      </c>
      <c r="N1217" t="s">
        <v>16</v>
      </c>
      <c r="O1217" t="s">
        <v>27</v>
      </c>
      <c r="P1217" t="str">
        <f>HYPERLINK("http://vk.com/club197114981")</f>
        <v>http://vk.com/club197114981</v>
      </c>
      <c r="Q1217">
        <v>38</v>
      </c>
      <c r="R1217" t="s">
        <v>17</v>
      </c>
      <c r="AJ1217" t="s">
        <v>10</v>
      </c>
      <c r="AK1217" t="s">
        <v>21</v>
      </c>
    </row>
    <row r="1218" spans="1:50" x14ac:dyDescent="0.25">
      <c r="A1218" t="s">
        <v>7</v>
      </c>
      <c r="B1218" t="s">
        <v>317</v>
      </c>
      <c r="C1218" t="s">
        <v>318</v>
      </c>
      <c r="D1218" t="s">
        <v>24</v>
      </c>
      <c r="E1218" t="s">
        <v>320</v>
      </c>
      <c r="F1218" t="s">
        <v>26</v>
      </c>
      <c r="G1218" t="str">
        <f>HYPERLINK("https://vk.com/wall-197114981_31?reply=1333")</f>
        <v>https://vk.com/wall-197114981_31?reply=1333</v>
      </c>
      <c r="H1218" t="s">
        <v>13</v>
      </c>
      <c r="I1218" t="s">
        <v>306</v>
      </c>
      <c r="J1218" t="str">
        <f>HYPERLINK("http://vk.com/id150258338")</f>
        <v>http://vk.com/id150258338</v>
      </c>
      <c r="K1218">
        <v>125</v>
      </c>
      <c r="L1218" t="s">
        <v>15</v>
      </c>
      <c r="N1218" t="s">
        <v>16</v>
      </c>
      <c r="O1218" t="s">
        <v>27</v>
      </c>
      <c r="P1218" t="str">
        <f>HYPERLINK("http://vk.com/club197114981")</f>
        <v>http://vk.com/club197114981</v>
      </c>
      <c r="Q1218">
        <v>38</v>
      </c>
      <c r="R1218" t="s">
        <v>17</v>
      </c>
      <c r="S1218" t="s">
        <v>18</v>
      </c>
      <c r="AJ1218" t="s">
        <v>10</v>
      </c>
      <c r="AK1218" t="s">
        <v>21</v>
      </c>
    </row>
    <row r="1219" spans="1:50" x14ac:dyDescent="0.25">
      <c r="A1219" t="s">
        <v>7</v>
      </c>
      <c r="B1219" t="s">
        <v>394</v>
      </c>
      <c r="C1219" t="s">
        <v>396</v>
      </c>
      <c r="D1219" t="s">
        <v>24</v>
      </c>
      <c r="E1219" t="s">
        <v>389</v>
      </c>
      <c r="F1219" t="s">
        <v>26</v>
      </c>
      <c r="G1219" t="str">
        <f>HYPERLINK("https://vk.com/wall-197114981_31?reply=1296&amp;thread=1293")</f>
        <v>https://vk.com/wall-197114981_31?reply=1296&amp;thread=1293</v>
      </c>
      <c r="H1219" t="s">
        <v>13</v>
      </c>
      <c r="I1219" t="s">
        <v>27</v>
      </c>
      <c r="J1219" t="str">
        <f>HYPERLINK("http://vk.com/club197114981")</f>
        <v>http://vk.com/club197114981</v>
      </c>
      <c r="K1219">
        <v>38</v>
      </c>
      <c r="L1219" t="s">
        <v>28</v>
      </c>
      <c r="N1219" t="s">
        <v>16</v>
      </c>
      <c r="O1219" t="s">
        <v>27</v>
      </c>
      <c r="P1219" t="str">
        <f>HYPERLINK("http://vk.com/club197114981")</f>
        <v>http://vk.com/club197114981</v>
      </c>
      <c r="Q1219">
        <v>38</v>
      </c>
      <c r="R1219" t="s">
        <v>17</v>
      </c>
      <c r="AJ1219" t="s">
        <v>10</v>
      </c>
      <c r="AK1219" t="s">
        <v>21</v>
      </c>
    </row>
    <row r="1220" spans="1:50" x14ac:dyDescent="0.25">
      <c r="A1220" t="s">
        <v>1838</v>
      </c>
      <c r="B1220" t="s">
        <v>1925</v>
      </c>
      <c r="C1220" t="s">
        <v>984</v>
      </c>
      <c r="D1220" t="s">
        <v>421</v>
      </c>
      <c r="E1220" t="s">
        <v>1926</v>
      </c>
      <c r="F1220" t="s">
        <v>26</v>
      </c>
      <c r="G1220" t="str">
        <f>HYPERLINK("https://www.youtube.com/watch?v=gaka1vqYFNs&amp;lc=Ugwzsib9N4qItA980oB4AaABAg")</f>
        <v>https://www.youtube.com/watch?v=gaka1vqYFNs&amp;lc=Ugwzsib9N4qItA980oB4AaABAg</v>
      </c>
      <c r="H1220" t="s">
        <v>885</v>
      </c>
      <c r="I1220" t="s">
        <v>1927</v>
      </c>
      <c r="J1220" t="str">
        <f>HYPERLINK("https://www.youtube.com/channel/UCMmIMS4UF9zXBY04vk3upQA")</f>
        <v>https://www.youtube.com/channel/UCMmIMS4UF9zXBY04vk3upQA</v>
      </c>
      <c r="K1220">
        <v>0</v>
      </c>
      <c r="L1220" t="s">
        <v>15</v>
      </c>
      <c r="N1220" t="s">
        <v>162</v>
      </c>
      <c r="O1220" t="s">
        <v>424</v>
      </c>
      <c r="P1220" t="str">
        <f>HYPERLINK("https://www.youtube.com/channel/UC8fQzKHIhSoZeSq3bwQx4mw")</f>
        <v>https://www.youtube.com/channel/UC8fQzKHIhSoZeSq3bwQx4mw</v>
      </c>
      <c r="Q1220">
        <v>517000</v>
      </c>
      <c r="R1220" t="s">
        <v>17</v>
      </c>
      <c r="S1220" t="s">
        <v>425</v>
      </c>
      <c r="W1220">
        <v>0</v>
      </c>
      <c r="X1220">
        <v>0</v>
      </c>
      <c r="AE1220">
        <v>2</v>
      </c>
      <c r="AJ1220" t="s">
        <v>10</v>
      </c>
      <c r="AK1220" t="s">
        <v>21</v>
      </c>
    </row>
    <row r="1221" spans="1:50" x14ac:dyDescent="0.25">
      <c r="A1221" t="s">
        <v>1930</v>
      </c>
      <c r="B1221" t="s">
        <v>1937</v>
      </c>
      <c r="C1221" t="s">
        <v>984</v>
      </c>
      <c r="D1221" t="s">
        <v>1938</v>
      </c>
      <c r="E1221" t="s">
        <v>1939</v>
      </c>
      <c r="F1221" t="s">
        <v>45</v>
      </c>
      <c r="G1221" t="str">
        <f>HYPERLINK("https://www.youtube.com/watch?v=HuNJ6P0Fv4Y")</f>
        <v>https://www.youtube.com/watch?v=HuNJ6P0Fv4Y</v>
      </c>
      <c r="H1221" t="s">
        <v>885</v>
      </c>
      <c r="I1221" t="s">
        <v>1417</v>
      </c>
      <c r="J1221" t="str">
        <f>HYPERLINK("https://www.youtube.com/channel/UCgWzxf09OkFTERutHdZTQdg")</f>
        <v>https://www.youtube.com/channel/UCgWzxf09OkFTERutHdZTQdg</v>
      </c>
      <c r="K1221">
        <v>224</v>
      </c>
      <c r="N1221" t="s">
        <v>162</v>
      </c>
      <c r="O1221" t="s">
        <v>1417</v>
      </c>
      <c r="P1221" t="str">
        <f>HYPERLINK("https://www.youtube.com/channel/UCgWzxf09OkFTERutHdZTQdg")</f>
        <v>https://www.youtube.com/channel/UCgWzxf09OkFTERutHdZTQdg</v>
      </c>
      <c r="Q1221">
        <v>224</v>
      </c>
      <c r="R1221" t="s">
        <v>17</v>
      </c>
      <c r="W1221">
        <v>0</v>
      </c>
      <c r="X1221">
        <v>0</v>
      </c>
      <c r="AD1221">
        <v>0</v>
      </c>
      <c r="AE1221">
        <v>0</v>
      </c>
      <c r="AG1221">
        <v>34</v>
      </c>
      <c r="AI1221" t="str">
        <f>HYPERLINK("https://i.ytimg.com/vi/HuNJ6P0Fv4Y/sddefault.jpg")</f>
        <v>https://i.ytimg.com/vi/HuNJ6P0Fv4Y/sddefault.jpg</v>
      </c>
      <c r="AJ1221" t="s">
        <v>10</v>
      </c>
      <c r="AK1221" t="s">
        <v>21</v>
      </c>
      <c r="AT1221" t="s">
        <v>3245</v>
      </c>
      <c r="AU1221" t="s">
        <v>3246</v>
      </c>
      <c r="AW1221" t="s">
        <v>3248</v>
      </c>
      <c r="AX1221" t="s">
        <v>3249</v>
      </c>
    </row>
    <row r="1222" spans="1:50" x14ac:dyDescent="0.25">
      <c r="A1222" t="s">
        <v>1930</v>
      </c>
      <c r="B1222" t="s">
        <v>1369</v>
      </c>
      <c r="C1222" t="s">
        <v>984</v>
      </c>
      <c r="D1222" t="s">
        <v>10</v>
      </c>
      <c r="E1222" t="s">
        <v>1948</v>
      </c>
      <c r="F1222" t="s">
        <v>45</v>
      </c>
      <c r="G1222" t="str">
        <f>HYPERLINK("https://vk.com/wall-158633337_949")</f>
        <v>https://vk.com/wall-158633337_949</v>
      </c>
      <c r="H1222" t="s">
        <v>889</v>
      </c>
      <c r="I1222" t="s">
        <v>125</v>
      </c>
      <c r="J1222" t="str">
        <f>HYPERLINK("http://vk.com/club158633337")</f>
        <v>http://vk.com/club158633337</v>
      </c>
      <c r="K1222">
        <v>4852</v>
      </c>
      <c r="L1222" t="s">
        <v>28</v>
      </c>
      <c r="N1222" t="s">
        <v>16</v>
      </c>
      <c r="O1222" t="s">
        <v>125</v>
      </c>
      <c r="P1222" t="str">
        <f>HYPERLINK("http://vk.com/club158633337")</f>
        <v>http://vk.com/club158633337</v>
      </c>
      <c r="Q1222">
        <v>4852</v>
      </c>
      <c r="R1222" t="s">
        <v>17</v>
      </c>
      <c r="S1222" t="s">
        <v>18</v>
      </c>
      <c r="T1222" t="s">
        <v>126</v>
      </c>
      <c r="U1222" t="s">
        <v>127</v>
      </c>
      <c r="W1222">
        <v>0</v>
      </c>
      <c r="X1222">
        <v>0</v>
      </c>
      <c r="AE1222">
        <v>0</v>
      </c>
      <c r="AF1222">
        <v>0</v>
      </c>
      <c r="AG1222">
        <v>103</v>
      </c>
      <c r="AI1222" t="str">
        <f>HYPERLINK("https://sun1-26.userapi.com/yMGuTIeCdpv9fT7_A9Inyqx6HE6n9jy7yqwE_w/MExu17Xz1OQ.jpg")</f>
        <v>https://sun1-26.userapi.com/yMGuTIeCdpv9fT7_A9Inyqx6HE6n9jy7yqwE_w/MExu17Xz1OQ.jpg</v>
      </c>
      <c r="AJ1222" t="s">
        <v>10</v>
      </c>
      <c r="AK1222" t="s">
        <v>21</v>
      </c>
      <c r="AT1222" t="s">
        <v>3245</v>
      </c>
      <c r="AW1222" t="s">
        <v>3248</v>
      </c>
      <c r="AX1222" t="s">
        <v>3249</v>
      </c>
    </row>
    <row r="1223" spans="1:50" x14ac:dyDescent="0.25">
      <c r="A1223" t="s">
        <v>1982</v>
      </c>
      <c r="B1223" t="s">
        <v>1652</v>
      </c>
      <c r="C1223" t="s">
        <v>968</v>
      </c>
      <c r="D1223" t="s">
        <v>10</v>
      </c>
      <c r="E1223" t="s">
        <v>1701</v>
      </c>
      <c r="F1223" t="s">
        <v>12</v>
      </c>
      <c r="G1223" t="str">
        <f>HYPERLINK("https://twitter.com/242292041/status/1287010351284752384")</f>
        <v>https://twitter.com/242292041/status/1287010351284752384</v>
      </c>
      <c r="H1223" t="s">
        <v>885</v>
      </c>
      <c r="I1223" t="s">
        <v>2017</v>
      </c>
      <c r="J1223" t="str">
        <f>HYPERLINK("http://twitter.com/jitukumarchopra")</f>
        <v>http://twitter.com/jitukumarchopra</v>
      </c>
      <c r="K1223">
        <v>21</v>
      </c>
      <c r="N1223" t="s">
        <v>54</v>
      </c>
      <c r="R1223" t="s">
        <v>17</v>
      </c>
      <c r="S1223" t="s">
        <v>1206</v>
      </c>
      <c r="T1223" t="s">
        <v>2018</v>
      </c>
      <c r="U1223" t="s">
        <v>2019</v>
      </c>
      <c r="W1223">
        <v>0</v>
      </c>
      <c r="X1223">
        <v>0</v>
      </c>
      <c r="AJ1223" t="s">
        <v>10</v>
      </c>
      <c r="AK1223" t="s">
        <v>21</v>
      </c>
      <c r="AU1223" t="s">
        <v>3246</v>
      </c>
      <c r="AV1223" t="s">
        <v>3247</v>
      </c>
    </row>
    <row r="1224" spans="1:50" x14ac:dyDescent="0.25">
      <c r="A1224" t="s">
        <v>1982</v>
      </c>
      <c r="B1224" t="s">
        <v>2037</v>
      </c>
      <c r="C1224" t="s">
        <v>968</v>
      </c>
      <c r="D1224" t="s">
        <v>10</v>
      </c>
      <c r="E1224" t="s">
        <v>2038</v>
      </c>
      <c r="F1224" t="s">
        <v>45</v>
      </c>
      <c r="G1224" t="str">
        <f>HYPERLINK("https://www.facebook.com/mriexpert/photos/a.902990326434112/3214686691931119/?type=3")</f>
        <v>https://www.facebook.com/mriexpert/photos/a.902990326434112/3214686691931119/?type=3</v>
      </c>
      <c r="H1224" t="s">
        <v>885</v>
      </c>
      <c r="I1224" t="s">
        <v>46</v>
      </c>
      <c r="J1224" t="str">
        <f>HYPERLINK("https://www.facebook.com/902980129768465")</f>
        <v>https://www.facebook.com/902980129768465</v>
      </c>
      <c r="K1224">
        <v>1509</v>
      </c>
      <c r="L1224" t="s">
        <v>28</v>
      </c>
      <c r="N1224" t="s">
        <v>179</v>
      </c>
      <c r="O1224" t="s">
        <v>46</v>
      </c>
      <c r="P1224" t="str">
        <f>HYPERLINK("https://www.facebook.com/902980129768465")</f>
        <v>https://www.facebook.com/902980129768465</v>
      </c>
      <c r="Q1224">
        <v>1509</v>
      </c>
      <c r="R1224" t="s">
        <v>17</v>
      </c>
      <c r="W1224">
        <v>2</v>
      </c>
      <c r="X1224">
        <v>2</v>
      </c>
      <c r="Y1224">
        <v>0</v>
      </c>
      <c r="Z1224">
        <v>0</v>
      </c>
      <c r="AA1224">
        <v>0</v>
      </c>
      <c r="AB1224">
        <v>0</v>
      </c>
      <c r="AC1224">
        <v>0</v>
      </c>
      <c r="AE1224">
        <v>0</v>
      </c>
      <c r="AI1224" t="str">
        <f>HYPERLINK("https://scontent-hel2-1.xx.fbcdn.net/v/t1.0-9/s960x960/116106912_3214686695264452_4016747792855298581_o.jpg?_nc_cat=104&amp;_nc_sid=9267fe&amp;_nc_ohc=2ODhvZoxH5sAX-Mpjan&amp;_nc_ht=scontent-hel2-1.xx&amp;_nc_tp=7&amp;oh=3cd59ae8ded948c7d0b294fe88e69096&amp;oe=5F429DAB")</f>
        <v>https://scontent-hel2-1.xx.fbcdn.net/v/t1.0-9/s960x960/116106912_3214686695264452_4016747792855298581_o.jpg?_nc_cat=104&amp;_nc_sid=9267fe&amp;_nc_ohc=2ODhvZoxH5sAX-Mpjan&amp;_nc_ht=scontent-hel2-1.xx&amp;_nc_tp=7&amp;oh=3cd59ae8ded948c7d0b294fe88e69096&amp;oe=5F429DAB</v>
      </c>
      <c r="AJ1224" t="s">
        <v>10</v>
      </c>
      <c r="AK1224" t="s">
        <v>21</v>
      </c>
      <c r="AT1224" t="s">
        <v>3245</v>
      </c>
      <c r="AW1224" t="s">
        <v>3248</v>
      </c>
      <c r="AX1224" t="s">
        <v>3249</v>
      </c>
    </row>
    <row r="1225" spans="1:50" x14ac:dyDescent="0.25">
      <c r="A1225" t="s">
        <v>1982</v>
      </c>
      <c r="B1225" t="s">
        <v>2048</v>
      </c>
      <c r="C1225" t="s">
        <v>968</v>
      </c>
      <c r="D1225" t="s">
        <v>421</v>
      </c>
      <c r="E1225" t="s">
        <v>2049</v>
      </c>
      <c r="F1225" t="s">
        <v>26</v>
      </c>
      <c r="G1225" t="str">
        <f>HYPERLINK("https://www.youtube.com/watch?v=gaka1vqYFNs&amp;lc=UgzXqNksGKCBuwtduJh4AaABAg")</f>
        <v>https://www.youtube.com/watch?v=gaka1vqYFNs&amp;lc=UgzXqNksGKCBuwtduJh4AaABAg</v>
      </c>
      <c r="H1225" t="s">
        <v>885</v>
      </c>
      <c r="I1225" t="s">
        <v>2050</v>
      </c>
      <c r="J1225" t="str">
        <f>HYPERLINK("https://www.youtube.com/channel/UC9yF_wsy0BVHezLsLYx7MJA")</f>
        <v>https://www.youtube.com/channel/UC9yF_wsy0BVHezLsLYx7MJA</v>
      </c>
      <c r="K1225">
        <v>5</v>
      </c>
      <c r="N1225" t="s">
        <v>162</v>
      </c>
      <c r="O1225" t="s">
        <v>424</v>
      </c>
      <c r="P1225" t="str">
        <f>HYPERLINK("https://www.youtube.com/channel/UC8fQzKHIhSoZeSq3bwQx4mw")</f>
        <v>https://www.youtube.com/channel/UC8fQzKHIhSoZeSq3bwQx4mw</v>
      </c>
      <c r="Q1225">
        <v>517000</v>
      </c>
      <c r="R1225" t="s">
        <v>17</v>
      </c>
      <c r="S1225" t="s">
        <v>425</v>
      </c>
      <c r="W1225">
        <v>1</v>
      </c>
      <c r="X1225">
        <v>1</v>
      </c>
      <c r="AE1225">
        <v>0</v>
      </c>
      <c r="AJ1225" t="s">
        <v>10</v>
      </c>
      <c r="AK1225" t="s">
        <v>21</v>
      </c>
      <c r="AL1225" t="s">
        <v>3237</v>
      </c>
      <c r="AT1225" t="s">
        <v>3245</v>
      </c>
      <c r="AV1225" t="s">
        <v>3247</v>
      </c>
      <c r="AX1225" t="s">
        <v>3249</v>
      </c>
    </row>
    <row r="1226" spans="1:50" x14ac:dyDescent="0.25">
      <c r="A1226" t="s">
        <v>2057</v>
      </c>
      <c r="B1226" t="s">
        <v>791</v>
      </c>
      <c r="C1226" t="s">
        <v>968</v>
      </c>
      <c r="D1226" t="s">
        <v>2052</v>
      </c>
      <c r="E1226" t="s">
        <v>2062</v>
      </c>
      <c r="F1226" t="s">
        <v>26</v>
      </c>
      <c r="G1226" t="str">
        <f>HYPERLINK("https://vk.com/wall-131222876_322930?reply=322952")</f>
        <v>https://vk.com/wall-131222876_322930?reply=322952</v>
      </c>
      <c r="H1226" t="s">
        <v>885</v>
      </c>
      <c r="I1226" t="s">
        <v>2063</v>
      </c>
      <c r="J1226" t="str">
        <f>HYPERLINK("http://vk.com/id101643695")</f>
        <v>http://vk.com/id101643695</v>
      </c>
      <c r="K1226">
        <v>1107</v>
      </c>
      <c r="L1226" t="s">
        <v>80</v>
      </c>
      <c r="N1226" t="s">
        <v>16</v>
      </c>
      <c r="O1226" t="s">
        <v>2055</v>
      </c>
      <c r="P1226" t="str">
        <f>HYPERLINK("http://vk.com/club131222876")</f>
        <v>http://vk.com/club131222876</v>
      </c>
      <c r="Q1226">
        <v>9285</v>
      </c>
      <c r="R1226" t="s">
        <v>17</v>
      </c>
      <c r="S1226" t="s">
        <v>18</v>
      </c>
      <c r="T1226" t="s">
        <v>37</v>
      </c>
      <c r="U1226" t="s">
        <v>2064</v>
      </c>
      <c r="AJ1226" t="s">
        <v>10</v>
      </c>
      <c r="AK1226" t="s">
        <v>21</v>
      </c>
      <c r="AL1226" t="s">
        <v>3237</v>
      </c>
      <c r="AT1226" t="s">
        <v>3245</v>
      </c>
      <c r="AV1226" t="s">
        <v>3247</v>
      </c>
      <c r="AX1226" t="s">
        <v>3249</v>
      </c>
    </row>
    <row r="1227" spans="1:50" x14ac:dyDescent="0.25">
      <c r="A1227" t="s">
        <v>2057</v>
      </c>
      <c r="B1227" t="s">
        <v>42</v>
      </c>
      <c r="C1227" t="s">
        <v>968</v>
      </c>
      <c r="D1227" t="s">
        <v>10</v>
      </c>
      <c r="E1227" t="s">
        <v>2089</v>
      </c>
      <c r="F1227" t="s">
        <v>12</v>
      </c>
      <c r="G1227" t="str">
        <f>HYPERLINK("https://www.facebook.com/568390943273818/posts/3011069945672560")</f>
        <v>https://www.facebook.com/568390943273818/posts/3011069945672560</v>
      </c>
      <c r="H1227" t="s">
        <v>885</v>
      </c>
      <c r="I1227" t="s">
        <v>280</v>
      </c>
      <c r="J1227" t="str">
        <f>HYPERLINK("https://www.facebook.com/568390943273818")</f>
        <v>https://www.facebook.com/568390943273818</v>
      </c>
      <c r="K1227">
        <v>18918</v>
      </c>
      <c r="L1227" t="s">
        <v>28</v>
      </c>
      <c r="N1227" t="s">
        <v>179</v>
      </c>
      <c r="O1227" t="s">
        <v>280</v>
      </c>
      <c r="P1227" t="str">
        <f>HYPERLINK("https://www.facebook.com/568390943273818")</f>
        <v>https://www.facebook.com/568390943273818</v>
      </c>
      <c r="Q1227">
        <v>18918</v>
      </c>
      <c r="R1227" t="s">
        <v>17</v>
      </c>
      <c r="S1227" t="s">
        <v>281</v>
      </c>
      <c r="T1227" t="s">
        <v>282</v>
      </c>
      <c r="U1227" t="s">
        <v>282</v>
      </c>
      <c r="AI1227" t="str">
        <f>HYPERLINK("https://scontent-fml2-1.xx.fbcdn.net/v/t1.0-0/p480x480/111341566_3011060215673533_2629016189551923185_o.jpg?_nc_cat=103&amp;_nc_sid=8024bb&amp;_nc_ohc=IjHQ_p-sILwAX9NyesS&amp;_nc_ht=scontent-fml2-1.xx&amp;_nc_tp=6&amp;oh=0504b81cf2d935fa18d12fb6616f6060&amp;oe=5F41410A")</f>
        <v>https://scontent-fml2-1.xx.fbcdn.net/v/t1.0-0/p480x480/111341566_3011060215673533_2629016189551923185_o.jpg?_nc_cat=103&amp;_nc_sid=8024bb&amp;_nc_ohc=IjHQ_p-sILwAX9NyesS&amp;_nc_ht=scontent-fml2-1.xx&amp;_nc_tp=6&amp;oh=0504b81cf2d935fa18d12fb6616f6060&amp;oe=5F41410A</v>
      </c>
      <c r="AJ1227" t="s">
        <v>10</v>
      </c>
      <c r="AK1227" t="s">
        <v>21</v>
      </c>
      <c r="AL1227" t="s">
        <v>3237</v>
      </c>
      <c r="AT1227" t="s">
        <v>3245</v>
      </c>
      <c r="AU1227" t="s">
        <v>3246</v>
      </c>
      <c r="AV1227" t="s">
        <v>3247</v>
      </c>
      <c r="AX1227" t="s">
        <v>3249</v>
      </c>
    </row>
    <row r="1228" spans="1:50" x14ac:dyDescent="0.25">
      <c r="A1228" t="s">
        <v>2057</v>
      </c>
      <c r="B1228" t="s">
        <v>590</v>
      </c>
      <c r="C1228" t="s">
        <v>968</v>
      </c>
      <c r="D1228" t="s">
        <v>1959</v>
      </c>
      <c r="E1228" t="s">
        <v>2097</v>
      </c>
      <c r="F1228" t="s">
        <v>26</v>
      </c>
      <c r="G1228" t="str">
        <f>HYPERLINK("https://www.facebook.com/permalink.php?story_fbid=2626249161024079&amp;id=100009170625998&amp;comment_id=2626383384343990")</f>
        <v>https://www.facebook.com/permalink.php?story_fbid=2626249161024079&amp;id=100009170625998&amp;comment_id=2626383384343990</v>
      </c>
      <c r="H1228" t="s">
        <v>885</v>
      </c>
      <c r="I1228" t="s">
        <v>2098</v>
      </c>
      <c r="J1228" t="str">
        <f>HYPERLINK("https://www.facebook.com/100012358872682")</f>
        <v>https://www.facebook.com/100012358872682</v>
      </c>
      <c r="K1228">
        <v>1501</v>
      </c>
      <c r="L1228" t="s">
        <v>80</v>
      </c>
      <c r="N1228" t="s">
        <v>179</v>
      </c>
      <c r="O1228" t="s">
        <v>1961</v>
      </c>
      <c r="P1228" t="str">
        <f>HYPERLINK("https://www.facebook.com/100009170625998")</f>
        <v>https://www.facebook.com/100009170625998</v>
      </c>
      <c r="Q1228">
        <v>759</v>
      </c>
      <c r="R1228" t="s">
        <v>17</v>
      </c>
      <c r="S1228" t="s">
        <v>18</v>
      </c>
      <c r="T1228" t="s">
        <v>1015</v>
      </c>
      <c r="U1228" t="s">
        <v>1016</v>
      </c>
      <c r="AJ1228" t="s">
        <v>10</v>
      </c>
      <c r="AK1228" t="s">
        <v>21</v>
      </c>
      <c r="AL1228" t="s">
        <v>3237</v>
      </c>
      <c r="AT1228" t="s">
        <v>3245</v>
      </c>
      <c r="AW1228" t="s">
        <v>3248</v>
      </c>
    </row>
    <row r="1229" spans="1:50" x14ac:dyDescent="0.25">
      <c r="A1229" t="s">
        <v>2122</v>
      </c>
      <c r="B1229" t="s">
        <v>2132</v>
      </c>
      <c r="C1229" t="s">
        <v>968</v>
      </c>
      <c r="D1229" t="s">
        <v>10</v>
      </c>
      <c r="E1229" t="s">
        <v>2133</v>
      </c>
      <c r="F1229" t="s">
        <v>45</v>
      </c>
      <c r="G1229" t="str">
        <f>HYPERLINK("https://www.instagram.com/p/CC_lvNFoauy")</f>
        <v>https://www.instagram.com/p/CC_lvNFoauy</v>
      </c>
      <c r="H1229" t="s">
        <v>889</v>
      </c>
      <c r="I1229" t="s">
        <v>2134</v>
      </c>
      <c r="J1229" t="str">
        <f>HYPERLINK("http://instagram.com/zaloznykh.n")</f>
        <v>http://instagram.com/zaloznykh.n</v>
      </c>
      <c r="K1229">
        <v>64</v>
      </c>
      <c r="L1229" t="s">
        <v>80</v>
      </c>
      <c r="N1229" t="s">
        <v>69</v>
      </c>
      <c r="O1229" t="s">
        <v>2134</v>
      </c>
      <c r="P1229" t="str">
        <f>HYPERLINK("http://instagram.com/zaloznykh.n")</f>
        <v>http://instagram.com/zaloznykh.n</v>
      </c>
      <c r="Q1229">
        <v>64</v>
      </c>
      <c r="R1229" t="s">
        <v>17</v>
      </c>
      <c r="AI1229" t="str">
        <f>HYPERLINK("https://www.instagram.com/p/CC_lvNFoauy/media/?size=l")</f>
        <v>https://www.instagram.com/p/CC_lvNFoauy/media/?size=l</v>
      </c>
      <c r="AJ1229" t="s">
        <v>10</v>
      </c>
      <c r="AK1229" t="s">
        <v>21</v>
      </c>
      <c r="AU1229" t="s">
        <v>3246</v>
      </c>
      <c r="AV1229" t="s">
        <v>3247</v>
      </c>
    </row>
    <row r="1230" spans="1:50" x14ac:dyDescent="0.25">
      <c r="A1230" t="s">
        <v>2122</v>
      </c>
      <c r="B1230" t="s">
        <v>2141</v>
      </c>
      <c r="C1230" t="s">
        <v>968</v>
      </c>
      <c r="D1230" t="s">
        <v>10</v>
      </c>
      <c r="E1230" t="s">
        <v>2142</v>
      </c>
      <c r="F1230" t="s">
        <v>26</v>
      </c>
      <c r="G1230" t="str">
        <f>HYPERLINK("https://twitter.com/244273031/status/1286323303448223748")</f>
        <v>https://twitter.com/244273031/status/1286323303448223748</v>
      </c>
      <c r="H1230" t="s">
        <v>885</v>
      </c>
      <c r="I1230" t="s">
        <v>2143</v>
      </c>
      <c r="J1230" t="str">
        <f>HYPERLINK("http://twitter.com/esbarnardmn")</f>
        <v>http://twitter.com/esbarnardmn</v>
      </c>
      <c r="K1230">
        <v>764</v>
      </c>
      <c r="L1230" t="s">
        <v>15</v>
      </c>
      <c r="N1230" t="s">
        <v>54</v>
      </c>
      <c r="R1230" t="s">
        <v>17</v>
      </c>
      <c r="S1230" t="s">
        <v>425</v>
      </c>
      <c r="T1230" t="s">
        <v>1595</v>
      </c>
      <c r="U1230" t="s">
        <v>2144</v>
      </c>
      <c r="W1230">
        <v>0</v>
      </c>
      <c r="X1230">
        <v>0</v>
      </c>
      <c r="AF1230">
        <v>0</v>
      </c>
      <c r="AJ1230" t="s">
        <v>10</v>
      </c>
      <c r="AK1230" t="s">
        <v>21</v>
      </c>
      <c r="AW1230" t="s">
        <v>3248</v>
      </c>
      <c r="AX1230" t="s">
        <v>3249</v>
      </c>
    </row>
    <row r="1231" spans="1:50" x14ac:dyDescent="0.25">
      <c r="A1231" t="s">
        <v>2122</v>
      </c>
      <c r="B1231" t="s">
        <v>2147</v>
      </c>
      <c r="C1231" t="s">
        <v>968</v>
      </c>
      <c r="D1231" t="s">
        <v>10</v>
      </c>
      <c r="E1231" t="s">
        <v>2148</v>
      </c>
      <c r="F1231" t="s">
        <v>45</v>
      </c>
      <c r="G1231" t="str">
        <f>HYPERLINK("https://www.facebook.com/HyalualGlobal/posts/2722694931339708")</f>
        <v>https://www.facebook.com/HyalualGlobal/posts/2722694931339708</v>
      </c>
      <c r="H1231" t="s">
        <v>885</v>
      </c>
      <c r="I1231" t="s">
        <v>2149</v>
      </c>
      <c r="J1231" t="str">
        <f>HYPERLINK("https://www.facebook.com/1573465339596012")</f>
        <v>https://www.facebook.com/1573465339596012</v>
      </c>
      <c r="K1231">
        <v>31555</v>
      </c>
      <c r="L1231" t="s">
        <v>28</v>
      </c>
      <c r="N1231" t="s">
        <v>179</v>
      </c>
      <c r="O1231" t="s">
        <v>2149</v>
      </c>
      <c r="P1231" t="str">
        <f>HYPERLINK("https://www.facebook.com/1573465339596012")</f>
        <v>https://www.facebook.com/1573465339596012</v>
      </c>
      <c r="Q1231">
        <v>31555</v>
      </c>
      <c r="R1231" t="s">
        <v>17</v>
      </c>
      <c r="S1231" t="s">
        <v>2150</v>
      </c>
      <c r="T1231" t="s">
        <v>2151</v>
      </c>
      <c r="U1231" t="s">
        <v>2152</v>
      </c>
      <c r="W1231">
        <v>58</v>
      </c>
      <c r="X1231">
        <v>53</v>
      </c>
      <c r="Y1231">
        <v>4</v>
      </c>
      <c r="Z1231">
        <v>0</v>
      </c>
      <c r="AA1231">
        <v>1</v>
      </c>
      <c r="AB1231">
        <v>0</v>
      </c>
      <c r="AC1231">
        <v>0</v>
      </c>
      <c r="AE1231">
        <v>0</v>
      </c>
      <c r="AF1231">
        <v>1</v>
      </c>
      <c r="AI1231" t="str">
        <f>HYPERLINK("https://scontent-hel2-1.xx.fbcdn.net/v/t1.0-0/p526x296/116150157_2722694201339781_2518741103567868226_o.jpg?_nc_cat=105&amp;_nc_sid=730e14&amp;_nc_ohc=TywTFQ1D2YAAX-PTyej&amp;_nc_ht=scontent-hel2-1.xx&amp;_nc_tp=6&amp;oh=1b3d032dc4d72310d6777310144ba743&amp;oe=5F424BEF")</f>
        <v>https://scontent-hel2-1.xx.fbcdn.net/v/t1.0-0/p526x296/116150157_2722694201339781_2518741103567868226_o.jpg?_nc_cat=105&amp;_nc_sid=730e14&amp;_nc_ohc=TywTFQ1D2YAAX-PTyej&amp;_nc_ht=scontent-hel2-1.xx&amp;_nc_tp=6&amp;oh=1b3d032dc4d72310d6777310144ba743&amp;oe=5F424BEF</v>
      </c>
      <c r="AJ1231" t="s">
        <v>10</v>
      </c>
      <c r="AK1231" t="s">
        <v>21</v>
      </c>
      <c r="AX1231" t="s">
        <v>3249</v>
      </c>
    </row>
    <row r="1232" spans="1:50" x14ac:dyDescent="0.25">
      <c r="A1232" t="s">
        <v>2193</v>
      </c>
      <c r="B1232" t="s">
        <v>2199</v>
      </c>
      <c r="C1232" t="s">
        <v>968</v>
      </c>
      <c r="D1232" t="s">
        <v>10</v>
      </c>
      <c r="E1232" t="s">
        <v>2191</v>
      </c>
      <c r="F1232" t="s">
        <v>26</v>
      </c>
      <c r="G1232" t="str">
        <f>HYPERLINK("https://twitter.com/1248321815811850243/status/1286027555661914113")</f>
        <v>https://twitter.com/1248321815811850243/status/1286027555661914113</v>
      </c>
      <c r="H1232" t="s">
        <v>885</v>
      </c>
      <c r="I1232" t="s">
        <v>2200</v>
      </c>
      <c r="J1232" t="str">
        <f>HYPERLINK("http://twitter.com/MiloMac")</f>
        <v>http://twitter.com/MiloMac</v>
      </c>
      <c r="K1232">
        <v>704</v>
      </c>
      <c r="N1232" t="s">
        <v>54</v>
      </c>
      <c r="R1232" t="s">
        <v>17</v>
      </c>
      <c r="W1232">
        <v>3</v>
      </c>
      <c r="X1232">
        <v>3</v>
      </c>
      <c r="AE1232">
        <v>1</v>
      </c>
      <c r="AF1232">
        <v>1</v>
      </c>
      <c r="AJ1232" t="s">
        <v>10</v>
      </c>
      <c r="AK1232" t="s">
        <v>21</v>
      </c>
      <c r="AU1232" t="s">
        <v>3246</v>
      </c>
      <c r="AW1232" t="s">
        <v>3248</v>
      </c>
      <c r="AX1232" t="s">
        <v>3249</v>
      </c>
    </row>
    <row r="1233" spans="1:50" x14ac:dyDescent="0.25">
      <c r="A1233" t="s">
        <v>2193</v>
      </c>
      <c r="B1233" t="s">
        <v>1957</v>
      </c>
      <c r="C1233" t="s">
        <v>968</v>
      </c>
      <c r="D1233" t="s">
        <v>10</v>
      </c>
      <c r="E1233" t="s">
        <v>1896</v>
      </c>
      <c r="F1233" t="s">
        <v>45</v>
      </c>
      <c r="G1233" t="str">
        <f>HYPERLINK("https://www.facebook.com/expert.klinika.stavropol/photos/a.108004590782008/167764551472678/?type=3")</f>
        <v>https://www.facebook.com/expert.klinika.stavropol/photos/a.108004590782008/167764551472678/?type=3</v>
      </c>
      <c r="H1233" t="s">
        <v>885</v>
      </c>
      <c r="I1233" t="s">
        <v>640</v>
      </c>
      <c r="J1233" t="str">
        <f>HYPERLINK("https://www.facebook.com/107325724183228")</f>
        <v>https://www.facebook.com/107325724183228</v>
      </c>
      <c r="K1233">
        <v>1</v>
      </c>
      <c r="L1233" t="s">
        <v>28</v>
      </c>
      <c r="N1233" t="s">
        <v>179</v>
      </c>
      <c r="O1233" t="s">
        <v>640</v>
      </c>
      <c r="P1233" t="str">
        <f>HYPERLINK("https://www.facebook.com/107325724183228")</f>
        <v>https://www.facebook.com/107325724183228</v>
      </c>
      <c r="Q1233">
        <v>1</v>
      </c>
      <c r="R1233" t="s">
        <v>17</v>
      </c>
      <c r="S1233" t="s">
        <v>18</v>
      </c>
      <c r="T1233" t="s">
        <v>641</v>
      </c>
      <c r="U1233" t="s">
        <v>642</v>
      </c>
      <c r="W1233">
        <v>0</v>
      </c>
      <c r="X1233">
        <v>0</v>
      </c>
      <c r="Y1233">
        <v>0</v>
      </c>
      <c r="Z1233">
        <v>0</v>
      </c>
      <c r="AA1233">
        <v>0</v>
      </c>
      <c r="AB1233">
        <v>0</v>
      </c>
      <c r="AC1233">
        <v>0</v>
      </c>
      <c r="AE1233">
        <v>0</v>
      </c>
      <c r="AI1233" t="str">
        <f>HYPERLINK("https://scontent-hel2-1.xx.fbcdn.net/v/t1.0-0/p526x296/110190490_167764554806011_3682773927721455566_o.jpg?_nc_cat=108&amp;_nc_sid=9267fe&amp;_nc_ohc=ASTUZ9tdUhAAX8N_SHp&amp;_nc_ht=scontent-hel2-1.xx&amp;_nc_tp=6&amp;oh=36a54e77af338ecc1fbd0326d1c8d1d8&amp;oe=5F3E46D4")</f>
        <v>https://scontent-hel2-1.xx.fbcdn.net/v/t1.0-0/p526x296/110190490_167764554806011_3682773927721455566_o.jpg?_nc_cat=108&amp;_nc_sid=9267fe&amp;_nc_ohc=ASTUZ9tdUhAAX8N_SHp&amp;_nc_ht=scontent-hel2-1.xx&amp;_nc_tp=6&amp;oh=36a54e77af338ecc1fbd0326d1c8d1d8&amp;oe=5F3E46D4</v>
      </c>
      <c r="AJ1233" t="s">
        <v>10</v>
      </c>
      <c r="AK1233" t="s">
        <v>21</v>
      </c>
      <c r="AT1233" t="s">
        <v>3245</v>
      </c>
      <c r="AU1233" t="s">
        <v>3246</v>
      </c>
    </row>
    <row r="1234" spans="1:50" x14ac:dyDescent="0.25">
      <c r="A1234" t="s">
        <v>2193</v>
      </c>
      <c r="B1234" t="s">
        <v>277</v>
      </c>
      <c r="C1234" t="s">
        <v>968</v>
      </c>
      <c r="D1234" t="s">
        <v>10</v>
      </c>
      <c r="E1234" t="s">
        <v>2248</v>
      </c>
      <c r="F1234" t="s">
        <v>12</v>
      </c>
      <c r="G1234" t="str">
        <f>HYPERLINK("https://www.facebook.com/568390943273818/posts/3005372616242293")</f>
        <v>https://www.facebook.com/568390943273818/posts/3005372616242293</v>
      </c>
      <c r="H1234" t="s">
        <v>885</v>
      </c>
      <c r="I1234" t="s">
        <v>280</v>
      </c>
      <c r="J1234" t="str">
        <f>HYPERLINK("https://www.facebook.com/568390943273818")</f>
        <v>https://www.facebook.com/568390943273818</v>
      </c>
      <c r="K1234">
        <v>18918</v>
      </c>
      <c r="L1234" t="s">
        <v>28</v>
      </c>
      <c r="N1234" t="s">
        <v>179</v>
      </c>
      <c r="O1234" t="s">
        <v>280</v>
      </c>
      <c r="P1234" t="str">
        <f>HYPERLINK("https://www.facebook.com/568390943273818")</f>
        <v>https://www.facebook.com/568390943273818</v>
      </c>
      <c r="Q1234">
        <v>18918</v>
      </c>
      <c r="R1234" t="s">
        <v>17</v>
      </c>
      <c r="S1234" t="s">
        <v>281</v>
      </c>
      <c r="T1234" t="s">
        <v>282</v>
      </c>
      <c r="U1234" t="s">
        <v>282</v>
      </c>
      <c r="W1234">
        <v>4</v>
      </c>
      <c r="X1234">
        <v>4</v>
      </c>
      <c r="Y1234">
        <v>0</v>
      </c>
      <c r="Z1234">
        <v>0</v>
      </c>
      <c r="AA1234">
        <v>0</v>
      </c>
      <c r="AB1234">
        <v>0</v>
      </c>
      <c r="AC1234">
        <v>0</v>
      </c>
      <c r="AE1234">
        <v>0</v>
      </c>
      <c r="AI1234" t="str">
        <f>HYPERLINK("https://scontent-lht6-1.xx.fbcdn.net/v/t15.13418-10/109666108_925016711352272_1693318465525627560_n.jpg?_nc_cat=108&amp;_nc_sid=ad6a45&amp;_nc_ohc=cGPg6at3lx8AX-OzPpB&amp;_nc_ht=scontent-lht6-1.xx&amp;oh=857c1979e369ccfbbdea460b418ece51&amp;oe=5F3E5EE6")</f>
        <v>https://scontent-lht6-1.xx.fbcdn.net/v/t15.13418-10/109666108_925016711352272_1693318465525627560_n.jpg?_nc_cat=108&amp;_nc_sid=ad6a45&amp;_nc_ohc=cGPg6at3lx8AX-OzPpB&amp;_nc_ht=scontent-lht6-1.xx&amp;oh=857c1979e369ccfbbdea460b418ece51&amp;oe=5F3E5EE6</v>
      </c>
      <c r="AJ1234" t="s">
        <v>10</v>
      </c>
      <c r="AK1234" t="s">
        <v>21</v>
      </c>
      <c r="AT1234" t="s">
        <v>3245</v>
      </c>
      <c r="AU1234" t="s">
        <v>3246</v>
      </c>
      <c r="AX1234" t="s">
        <v>3249</v>
      </c>
    </row>
    <row r="1235" spans="1:50" x14ac:dyDescent="0.25">
      <c r="A1235" t="s">
        <v>2260</v>
      </c>
      <c r="B1235" t="s">
        <v>1239</v>
      </c>
      <c r="C1235" t="s">
        <v>968</v>
      </c>
      <c r="D1235" t="s">
        <v>10</v>
      </c>
      <c r="E1235" t="s">
        <v>2261</v>
      </c>
      <c r="F1235" t="s">
        <v>45</v>
      </c>
      <c r="G1235" t="str">
        <f>HYPERLINK("https://www.instagram.com/p/CC6SdLBIx4E")</f>
        <v>https://www.instagram.com/p/CC6SdLBIx4E</v>
      </c>
      <c r="H1235" t="s">
        <v>885</v>
      </c>
      <c r="I1235" t="s">
        <v>1329</v>
      </c>
      <c r="J1235" t="str">
        <f>HYPERLINK("http://instagram.com/mrt.expert.petrozavodsk")</f>
        <v>http://instagram.com/mrt.expert.petrozavodsk</v>
      </c>
      <c r="K1235">
        <v>550</v>
      </c>
      <c r="L1235" t="s">
        <v>28</v>
      </c>
      <c r="N1235" t="s">
        <v>69</v>
      </c>
      <c r="O1235" t="s">
        <v>1329</v>
      </c>
      <c r="P1235" t="str">
        <f>HYPERLINK("http://instagram.com/mrt.expert.petrozavodsk")</f>
        <v>http://instagram.com/mrt.expert.petrozavodsk</v>
      </c>
      <c r="Q1235">
        <v>550</v>
      </c>
      <c r="R1235" t="s">
        <v>17</v>
      </c>
      <c r="S1235" t="s">
        <v>18</v>
      </c>
      <c r="AI1235" t="str">
        <f>HYPERLINK("https://www.instagram.com/p/CC6SdLBIx4E/media/?size=l")</f>
        <v>https://www.instagram.com/p/CC6SdLBIx4E/media/?size=l</v>
      </c>
      <c r="AJ1235" t="s">
        <v>10</v>
      </c>
      <c r="AK1235" t="s">
        <v>21</v>
      </c>
    </row>
    <row r="1236" spans="1:50" x14ac:dyDescent="0.25">
      <c r="A1236" t="s">
        <v>2260</v>
      </c>
      <c r="B1236" t="s">
        <v>2262</v>
      </c>
      <c r="C1236" t="s">
        <v>968</v>
      </c>
      <c r="D1236" t="s">
        <v>10</v>
      </c>
      <c r="E1236" t="s">
        <v>2263</v>
      </c>
      <c r="F1236" t="s">
        <v>26</v>
      </c>
      <c r="G1236" t="str">
        <f>HYPERLINK("https://twitter.com/3074190089/status/1285610184803520520")</f>
        <v>https://twitter.com/3074190089/status/1285610184803520520</v>
      </c>
      <c r="H1236" t="s">
        <v>885</v>
      </c>
      <c r="I1236" t="s">
        <v>2264</v>
      </c>
      <c r="J1236" t="str">
        <f>HYPERLINK("http://twitter.com/PieKnapple")</f>
        <v>http://twitter.com/PieKnapple</v>
      </c>
      <c r="K1236">
        <v>90</v>
      </c>
      <c r="L1236" t="s">
        <v>15</v>
      </c>
      <c r="N1236" t="s">
        <v>54</v>
      </c>
      <c r="R1236" t="s">
        <v>17</v>
      </c>
      <c r="S1236" t="s">
        <v>425</v>
      </c>
      <c r="T1236" t="s">
        <v>1881</v>
      </c>
      <c r="U1236" t="s">
        <v>1881</v>
      </c>
      <c r="W1236">
        <v>0</v>
      </c>
      <c r="X1236">
        <v>0</v>
      </c>
      <c r="AE1236">
        <v>2</v>
      </c>
      <c r="AF1236">
        <v>0</v>
      </c>
      <c r="AJ1236" t="s">
        <v>10</v>
      </c>
      <c r="AK1236" t="s">
        <v>21</v>
      </c>
    </row>
    <row r="1237" spans="1:50" x14ac:dyDescent="0.25">
      <c r="A1237" t="s">
        <v>2260</v>
      </c>
      <c r="B1237" t="s">
        <v>637</v>
      </c>
      <c r="C1237" t="s">
        <v>968</v>
      </c>
      <c r="D1237" t="s">
        <v>10</v>
      </c>
      <c r="E1237" t="s">
        <v>2271</v>
      </c>
      <c r="F1237" t="s">
        <v>45</v>
      </c>
      <c r="G1237" t="str">
        <f>HYPERLINK("https://vk.com/wall-48669646_10196")</f>
        <v>https://vk.com/wall-48669646_10196</v>
      </c>
      <c r="H1237" t="s">
        <v>885</v>
      </c>
      <c r="I1237" t="s">
        <v>46</v>
      </c>
      <c r="J1237" t="str">
        <f>HYPERLINK("http://vk.com/club48669646")</f>
        <v>http://vk.com/club48669646</v>
      </c>
      <c r="K1237">
        <v>5795</v>
      </c>
      <c r="L1237" t="s">
        <v>28</v>
      </c>
      <c r="N1237" t="s">
        <v>16</v>
      </c>
      <c r="O1237" t="s">
        <v>46</v>
      </c>
      <c r="P1237" t="str">
        <f>HYPERLINK("http://vk.com/club48669646")</f>
        <v>http://vk.com/club48669646</v>
      </c>
      <c r="Q1237">
        <v>5795</v>
      </c>
      <c r="R1237" t="s">
        <v>17</v>
      </c>
      <c r="S1237" t="s">
        <v>18</v>
      </c>
      <c r="W1237">
        <v>1</v>
      </c>
      <c r="X1237">
        <v>1</v>
      </c>
      <c r="AE1237">
        <v>0</v>
      </c>
      <c r="AF1237">
        <v>0</v>
      </c>
      <c r="AG1237">
        <v>390</v>
      </c>
      <c r="AI1237" t="str">
        <f>HYPERLINK("https://sun9-19.userapi.com/w6QsGXKsR9xCOzp7WgY8lFvJwVWgQGL20Cn-cA/lBF6SFRWoQA.jpg")</f>
        <v>https://sun9-19.userapi.com/w6QsGXKsR9xCOzp7WgY8lFvJwVWgQGL20Cn-cA/lBF6SFRWoQA.jpg</v>
      </c>
      <c r="AJ1237" t="s">
        <v>10</v>
      </c>
      <c r="AK1237" t="s">
        <v>21</v>
      </c>
    </row>
    <row r="1238" spans="1:50" x14ac:dyDescent="0.25">
      <c r="A1238" t="s">
        <v>2260</v>
      </c>
      <c r="B1238" t="s">
        <v>128</v>
      </c>
      <c r="C1238" t="s">
        <v>968</v>
      </c>
      <c r="D1238" t="s">
        <v>2272</v>
      </c>
      <c r="E1238" t="s">
        <v>2273</v>
      </c>
      <c r="F1238" t="s">
        <v>45</v>
      </c>
      <c r="G1238" t="str">
        <f>HYPERLINK("https://59.ru/text/health/69377755")</f>
        <v>https://59.ru/text/health/69377755</v>
      </c>
      <c r="H1238" t="s">
        <v>889</v>
      </c>
      <c r="I1238" t="s">
        <v>2274</v>
      </c>
      <c r="J1238" t="str">
        <f>HYPERLINK("http://59.ru")</f>
        <v>http://59.ru</v>
      </c>
      <c r="N1238" t="s">
        <v>2274</v>
      </c>
      <c r="R1238" t="s">
        <v>239</v>
      </c>
      <c r="S1238" t="s">
        <v>18</v>
      </c>
      <c r="AJ1238" t="s">
        <v>10</v>
      </c>
      <c r="AK1238" t="s">
        <v>21</v>
      </c>
    </row>
    <row r="1239" spans="1:50" x14ac:dyDescent="0.25">
      <c r="A1239" t="s">
        <v>2260</v>
      </c>
      <c r="B1239" t="s">
        <v>1967</v>
      </c>
      <c r="C1239" t="s">
        <v>968</v>
      </c>
      <c r="D1239" t="s">
        <v>2277</v>
      </c>
      <c r="E1239" t="s">
        <v>2278</v>
      </c>
      <c r="F1239" t="s">
        <v>26</v>
      </c>
      <c r="G1239" t="str">
        <f>HYPERLINK("https://vk.com/wall-89829959_561025?reply=561088")</f>
        <v>https://vk.com/wall-89829959_561025?reply=561088</v>
      </c>
      <c r="H1239" t="s">
        <v>885</v>
      </c>
      <c r="I1239" t="s">
        <v>2279</v>
      </c>
      <c r="J1239" t="str">
        <f>HYPERLINK("http://vk.com/id397121331")</f>
        <v>http://vk.com/id397121331</v>
      </c>
      <c r="K1239">
        <v>529</v>
      </c>
      <c r="L1239" t="s">
        <v>80</v>
      </c>
      <c r="N1239" t="s">
        <v>16</v>
      </c>
      <c r="O1239" t="s">
        <v>1213</v>
      </c>
      <c r="P1239" t="str">
        <f>HYPERLINK("http://vk.com/club89829959")</f>
        <v>http://vk.com/club89829959</v>
      </c>
      <c r="Q1239">
        <v>21091</v>
      </c>
      <c r="R1239" t="s">
        <v>17</v>
      </c>
      <c r="S1239" t="s">
        <v>18</v>
      </c>
      <c r="T1239" t="s">
        <v>1214</v>
      </c>
      <c r="U1239" t="s">
        <v>1215</v>
      </c>
      <c r="AJ1239" t="s">
        <v>10</v>
      </c>
      <c r="AK1239" t="s">
        <v>21</v>
      </c>
    </row>
    <row r="1240" spans="1:50" x14ac:dyDescent="0.25">
      <c r="A1240" t="s">
        <v>2290</v>
      </c>
      <c r="B1240" t="s">
        <v>2291</v>
      </c>
      <c r="C1240" t="s">
        <v>968</v>
      </c>
      <c r="D1240" t="s">
        <v>10</v>
      </c>
      <c r="E1240" t="s">
        <v>1508</v>
      </c>
      <c r="F1240" t="s">
        <v>12</v>
      </c>
      <c r="G1240" t="str">
        <f>HYPERLINK("https://vk.com/wall218670975_2705")</f>
        <v>https://vk.com/wall218670975_2705</v>
      </c>
      <c r="H1240" t="s">
        <v>885</v>
      </c>
      <c r="I1240" t="s">
        <v>2292</v>
      </c>
      <c r="J1240" t="str">
        <f>HYPERLINK("http://vk.com/id218670975")</f>
        <v>http://vk.com/id218670975</v>
      </c>
      <c r="K1240">
        <v>114</v>
      </c>
      <c r="L1240" t="s">
        <v>15</v>
      </c>
      <c r="M1240">
        <v>38</v>
      </c>
      <c r="N1240" t="s">
        <v>16</v>
      </c>
      <c r="O1240" t="s">
        <v>2292</v>
      </c>
      <c r="P1240" t="str">
        <f>HYPERLINK("http://vk.com/id218670975")</f>
        <v>http://vk.com/id218670975</v>
      </c>
      <c r="Q1240">
        <v>114</v>
      </c>
      <c r="R1240" t="s">
        <v>17</v>
      </c>
      <c r="S1240" t="s">
        <v>18</v>
      </c>
      <c r="T1240" t="s">
        <v>272</v>
      </c>
      <c r="U1240" t="s">
        <v>1300</v>
      </c>
      <c r="W1240">
        <v>0</v>
      </c>
      <c r="X1240">
        <v>0</v>
      </c>
      <c r="AE1240">
        <v>0</v>
      </c>
      <c r="AF1240">
        <v>0</v>
      </c>
      <c r="AG1240">
        <v>4</v>
      </c>
      <c r="AI1240" t="str">
        <f>HYPERLINK("https://sun3-13.userapi.com/3CxntEX446taLw8Wq523-U72FnEsypIoiB36aA/vb0dh1lZOxg.jpg")</f>
        <v>https://sun3-13.userapi.com/3CxntEX446taLw8Wq523-U72FnEsypIoiB36aA/vb0dh1lZOxg.jpg</v>
      </c>
      <c r="AJ1240" t="s">
        <v>10</v>
      </c>
      <c r="AK1240" t="s">
        <v>21</v>
      </c>
    </row>
    <row r="1241" spans="1:50" x14ac:dyDescent="0.25">
      <c r="A1241" t="s">
        <v>2290</v>
      </c>
      <c r="B1241" t="s">
        <v>122</v>
      </c>
      <c r="C1241" t="s">
        <v>968</v>
      </c>
      <c r="D1241" t="s">
        <v>10</v>
      </c>
      <c r="E1241" t="s">
        <v>2347</v>
      </c>
      <c r="F1241" t="s">
        <v>45</v>
      </c>
      <c r="G1241" t="str">
        <f>HYPERLINK("https://www.facebook.com/mrtexpertrnd/posts/777697132974585")</f>
        <v>https://www.facebook.com/mrtexpertrnd/posts/777697132974585</v>
      </c>
      <c r="H1241" t="s">
        <v>885</v>
      </c>
      <c r="I1241" t="s">
        <v>125</v>
      </c>
      <c r="J1241" t="str">
        <f>HYPERLINK("https://www.facebook.com/156600068417631")</f>
        <v>https://www.facebook.com/156600068417631</v>
      </c>
      <c r="K1241">
        <v>236</v>
      </c>
      <c r="L1241" t="s">
        <v>28</v>
      </c>
      <c r="N1241" t="s">
        <v>179</v>
      </c>
      <c r="O1241" t="s">
        <v>125</v>
      </c>
      <c r="P1241" t="str">
        <f>HYPERLINK("https://www.facebook.com/156600068417631")</f>
        <v>https://www.facebook.com/156600068417631</v>
      </c>
      <c r="Q1241">
        <v>236</v>
      </c>
      <c r="R1241" t="s">
        <v>17</v>
      </c>
      <c r="S1241" t="s">
        <v>18</v>
      </c>
      <c r="T1241" t="s">
        <v>126</v>
      </c>
      <c r="U1241" t="s">
        <v>127</v>
      </c>
      <c r="W1241">
        <v>0</v>
      </c>
      <c r="X1241">
        <v>0</v>
      </c>
      <c r="Y1241">
        <v>0</v>
      </c>
      <c r="Z1241">
        <v>0</v>
      </c>
      <c r="AA1241">
        <v>0</v>
      </c>
      <c r="AB1241">
        <v>0</v>
      </c>
      <c r="AC1241">
        <v>0</v>
      </c>
      <c r="AE1241">
        <v>0</v>
      </c>
      <c r="AI1241" t="str">
        <f>HYPERLINK("https://scontent-hel2-1.xx.fbcdn.net/v/t1.0-9/115928868_777697066307925_1172652402546953208_o.jpg?_nc_cat=111&amp;_nc_sid=730e14&amp;_nc_ohc=ilSJiPQXLGEAX9a3a2z&amp;_nc_ht=scontent-hel2-1.xx&amp;oh=0f96502dcce196f8b6d8d1af32804e9f&amp;oe=5F3C5127")</f>
        <v>https://scontent-hel2-1.xx.fbcdn.net/v/t1.0-9/115928868_777697066307925_1172652402546953208_o.jpg?_nc_cat=111&amp;_nc_sid=730e14&amp;_nc_ohc=ilSJiPQXLGEAX9a3a2z&amp;_nc_ht=scontent-hel2-1.xx&amp;oh=0f96502dcce196f8b6d8d1af32804e9f&amp;oe=5F3C5127</v>
      </c>
      <c r="AJ1241" t="s">
        <v>10</v>
      </c>
      <c r="AK1241" t="s">
        <v>21</v>
      </c>
    </row>
    <row r="1242" spans="1:50" x14ac:dyDescent="0.25">
      <c r="A1242" t="s">
        <v>2380</v>
      </c>
      <c r="B1242" t="s">
        <v>2381</v>
      </c>
      <c r="C1242" t="s">
        <v>968</v>
      </c>
      <c r="D1242" t="s">
        <v>10</v>
      </c>
      <c r="E1242" t="s">
        <v>2382</v>
      </c>
      <c r="F1242" t="s">
        <v>12</v>
      </c>
      <c r="G1242" t="str">
        <f>HYPERLINK("https://vk.com/wall177394877_586")</f>
        <v>https://vk.com/wall177394877_586</v>
      </c>
      <c r="H1242" t="s">
        <v>885</v>
      </c>
      <c r="I1242" t="s">
        <v>1535</v>
      </c>
      <c r="J1242" t="str">
        <f>HYPERLINK("http://vk.com/id177394877")</f>
        <v>http://vk.com/id177394877</v>
      </c>
      <c r="K1242">
        <v>129</v>
      </c>
      <c r="L1242" t="s">
        <v>80</v>
      </c>
      <c r="M1242">
        <v>42</v>
      </c>
      <c r="N1242" t="s">
        <v>16</v>
      </c>
      <c r="O1242" t="s">
        <v>1535</v>
      </c>
      <c r="P1242" t="str">
        <f>HYPERLINK("http://vk.com/id177394877")</f>
        <v>http://vk.com/id177394877</v>
      </c>
      <c r="Q1242">
        <v>129</v>
      </c>
      <c r="R1242" t="s">
        <v>17</v>
      </c>
      <c r="S1242" t="s">
        <v>18</v>
      </c>
      <c r="T1242" t="s">
        <v>231</v>
      </c>
      <c r="U1242" t="s">
        <v>232</v>
      </c>
      <c r="W1242">
        <v>0</v>
      </c>
      <c r="X1242">
        <v>0</v>
      </c>
      <c r="AE1242">
        <v>0</v>
      </c>
      <c r="AF1242">
        <v>0</v>
      </c>
      <c r="AG1242">
        <v>22</v>
      </c>
      <c r="AI1242" t="str">
        <f>HYPERLINK("https://sun1-84.userapi.com/JuWuwN7NeHfTrVjTImimKV5V78VxY1UCdAd5Kw/_cP025Sz5rA.jpg")</f>
        <v>https://sun1-84.userapi.com/JuWuwN7NeHfTrVjTImimKV5V78VxY1UCdAd5Kw/_cP025Sz5rA.jpg</v>
      </c>
      <c r="AJ1242" t="s">
        <v>10</v>
      </c>
      <c r="AK1242" t="s">
        <v>21</v>
      </c>
    </row>
    <row r="1243" spans="1:50" x14ac:dyDescent="0.25">
      <c r="A1243" t="s">
        <v>2380</v>
      </c>
      <c r="B1243" t="s">
        <v>864</v>
      </c>
      <c r="C1243" t="s">
        <v>968</v>
      </c>
      <c r="D1243" t="s">
        <v>10</v>
      </c>
      <c r="E1243" t="s">
        <v>2212</v>
      </c>
      <c r="F1243" t="s">
        <v>45</v>
      </c>
      <c r="G1243" t="str">
        <f>HYPERLINK("https://www.facebook.com/mrtexpertrnd/photos/a.565935020817465/777254979685467/?type=3")</f>
        <v>https://www.facebook.com/mrtexpertrnd/photos/a.565935020817465/777254979685467/?type=3</v>
      </c>
      <c r="H1243" t="s">
        <v>889</v>
      </c>
      <c r="I1243" t="s">
        <v>125</v>
      </c>
      <c r="J1243" t="str">
        <f>HYPERLINK("https://www.facebook.com/156600068417631")</f>
        <v>https://www.facebook.com/156600068417631</v>
      </c>
      <c r="K1243">
        <v>236</v>
      </c>
      <c r="L1243" t="s">
        <v>28</v>
      </c>
      <c r="N1243" t="s">
        <v>179</v>
      </c>
      <c r="O1243" t="s">
        <v>125</v>
      </c>
      <c r="P1243" t="str">
        <f>HYPERLINK("https://www.facebook.com/156600068417631")</f>
        <v>https://www.facebook.com/156600068417631</v>
      </c>
      <c r="Q1243">
        <v>236</v>
      </c>
      <c r="R1243" t="s">
        <v>17</v>
      </c>
      <c r="S1243" t="s">
        <v>18</v>
      </c>
      <c r="T1243" t="s">
        <v>126</v>
      </c>
      <c r="U1243" t="s">
        <v>127</v>
      </c>
      <c r="W1243">
        <v>0</v>
      </c>
      <c r="X1243">
        <v>0</v>
      </c>
      <c r="Y1243">
        <v>0</v>
      </c>
      <c r="Z1243">
        <v>0</v>
      </c>
      <c r="AA1243">
        <v>0</v>
      </c>
      <c r="AB1243">
        <v>0</v>
      </c>
      <c r="AC1243">
        <v>0</v>
      </c>
      <c r="AE1243">
        <v>0</v>
      </c>
      <c r="AI1243" t="str">
        <f>HYPERLINK("https://scontent-hel2-1.xx.fbcdn.net/v/t1.0-0/p526x296/115747856_777254983018800_2236784421242002350_o.jpg?_nc_cat=100&amp;_nc_sid=9267fe&amp;_nc_ohc=-aUQO6T0uUYAX_cxebM&amp;_nc_ht=scontent-hel2-1.xx&amp;_nc_tp=6&amp;oh=7c9490adc3895cc37034f6f73dede8c1&amp;oe=5F3AF499")</f>
        <v>https://scontent-hel2-1.xx.fbcdn.net/v/t1.0-0/p526x296/115747856_777254983018800_2236784421242002350_o.jpg?_nc_cat=100&amp;_nc_sid=9267fe&amp;_nc_ohc=-aUQO6T0uUYAX_cxebM&amp;_nc_ht=scontent-hel2-1.xx&amp;_nc_tp=6&amp;oh=7c9490adc3895cc37034f6f73dede8c1&amp;oe=5F3AF499</v>
      </c>
      <c r="AJ1243" t="s">
        <v>10</v>
      </c>
      <c r="AK1243" t="s">
        <v>21</v>
      </c>
    </row>
    <row r="1244" spans="1:50" x14ac:dyDescent="0.25">
      <c r="A1244" t="s">
        <v>2428</v>
      </c>
      <c r="B1244" t="s">
        <v>1615</v>
      </c>
      <c r="C1244" t="s">
        <v>968</v>
      </c>
      <c r="D1244" t="s">
        <v>2388</v>
      </c>
      <c r="E1244" t="s">
        <v>2431</v>
      </c>
      <c r="F1244" t="s">
        <v>26</v>
      </c>
      <c r="G1244" t="str">
        <f>HYPERLINK("https://vk.com/wall-55131656_181733?reply=181757")</f>
        <v>https://vk.com/wall-55131656_181733?reply=181757</v>
      </c>
      <c r="H1244" t="s">
        <v>889</v>
      </c>
      <c r="I1244" t="s">
        <v>2432</v>
      </c>
      <c r="J1244" t="str">
        <f>HYPERLINK("http://vk.com/id61430864")</f>
        <v>http://vk.com/id61430864</v>
      </c>
      <c r="K1244">
        <v>1383</v>
      </c>
      <c r="L1244" t="s">
        <v>80</v>
      </c>
      <c r="N1244" t="s">
        <v>16</v>
      </c>
      <c r="O1244" t="s">
        <v>1493</v>
      </c>
      <c r="P1244" t="str">
        <f>HYPERLINK("http://vk.com/club55131656")</f>
        <v>http://vk.com/club55131656</v>
      </c>
      <c r="Q1244">
        <v>33584</v>
      </c>
      <c r="R1244" t="s">
        <v>17</v>
      </c>
      <c r="S1244" t="s">
        <v>18</v>
      </c>
      <c r="T1244" t="s">
        <v>272</v>
      </c>
      <c r="U1244" t="s">
        <v>1300</v>
      </c>
      <c r="AJ1244" t="s">
        <v>10</v>
      </c>
      <c r="AK1244" t="s">
        <v>21</v>
      </c>
    </row>
    <row r="1245" spans="1:50" x14ac:dyDescent="0.25">
      <c r="A1245" t="s">
        <v>2428</v>
      </c>
      <c r="B1245" t="s">
        <v>890</v>
      </c>
      <c r="C1245" t="s">
        <v>968</v>
      </c>
      <c r="D1245" t="s">
        <v>10</v>
      </c>
      <c r="E1245" t="s">
        <v>2435</v>
      </c>
      <c r="F1245" t="s">
        <v>12</v>
      </c>
      <c r="G1245" t="str">
        <f>HYPERLINK("https://www.facebook.com/902980129768465/posts/3196139943785794")</f>
        <v>https://www.facebook.com/902980129768465/posts/3196139943785794</v>
      </c>
      <c r="H1245" t="s">
        <v>885</v>
      </c>
      <c r="I1245" t="s">
        <v>46</v>
      </c>
      <c r="J1245" t="str">
        <f>HYPERLINK("https://www.facebook.com/902980129768465")</f>
        <v>https://www.facebook.com/902980129768465</v>
      </c>
      <c r="K1245">
        <v>1509</v>
      </c>
      <c r="L1245" t="s">
        <v>28</v>
      </c>
      <c r="N1245" t="s">
        <v>179</v>
      </c>
      <c r="O1245" t="s">
        <v>46</v>
      </c>
      <c r="P1245" t="str">
        <f>HYPERLINK("https://www.facebook.com/902980129768465")</f>
        <v>https://www.facebook.com/902980129768465</v>
      </c>
      <c r="Q1245">
        <v>1509</v>
      </c>
      <c r="R1245" t="s">
        <v>17</v>
      </c>
      <c r="S1245" t="s">
        <v>18</v>
      </c>
      <c r="T1245" t="s">
        <v>354</v>
      </c>
      <c r="U1245" t="s">
        <v>354</v>
      </c>
      <c r="W1245">
        <v>0</v>
      </c>
      <c r="X1245">
        <v>0</v>
      </c>
      <c r="Y1245">
        <v>0</v>
      </c>
      <c r="Z1245">
        <v>0</v>
      </c>
      <c r="AA1245">
        <v>0</v>
      </c>
      <c r="AB1245">
        <v>0</v>
      </c>
      <c r="AC1245">
        <v>0</v>
      </c>
      <c r="AE1245">
        <v>0</v>
      </c>
      <c r="AF1245">
        <v>1</v>
      </c>
      <c r="AI1245" t="str">
        <f>HYPERLINK("https://scontent-cdg2-1.xx.fbcdn.net/v/t1.0-9/s720x720/110128857_3196139950452460_7267986695388842032_o.jpg?_nc_cat=104&amp;_nc_sid=2d5d41&amp;_nc_ohc=3nzgju35z_YAX8fbS94&amp;_nc_ht=scontent-cdg2-1.xx&amp;_nc_tp=7&amp;oh=a6aced2a2ba09ab970795e484385bc49&amp;oe=5F393D85")</f>
        <v>https://scontent-cdg2-1.xx.fbcdn.net/v/t1.0-9/s720x720/110128857_3196139950452460_7267986695388842032_o.jpg?_nc_cat=104&amp;_nc_sid=2d5d41&amp;_nc_ohc=3nzgju35z_YAX8fbS94&amp;_nc_ht=scontent-cdg2-1.xx&amp;_nc_tp=7&amp;oh=a6aced2a2ba09ab970795e484385bc49&amp;oe=5F393D85</v>
      </c>
      <c r="AJ1245" t="s">
        <v>10</v>
      </c>
      <c r="AK1245" t="s">
        <v>21</v>
      </c>
    </row>
    <row r="1246" spans="1:50" x14ac:dyDescent="0.25">
      <c r="A1246" t="s">
        <v>2428</v>
      </c>
      <c r="B1246" t="s">
        <v>2436</v>
      </c>
      <c r="C1246" t="s">
        <v>968</v>
      </c>
      <c r="D1246" t="s">
        <v>2388</v>
      </c>
      <c r="E1246" t="s">
        <v>2437</v>
      </c>
      <c r="F1246" t="s">
        <v>26</v>
      </c>
      <c r="G1246" t="str">
        <f>HYPERLINK("https://vk.com/wall-55131656_181733?reply=181738")</f>
        <v>https://vk.com/wall-55131656_181733?reply=181738</v>
      </c>
      <c r="H1246" t="s">
        <v>889</v>
      </c>
      <c r="I1246" t="s">
        <v>2438</v>
      </c>
      <c r="J1246" t="str">
        <f>HYPERLINK("http://vk.com/id312614324")</f>
        <v>http://vk.com/id312614324</v>
      </c>
      <c r="K1246">
        <v>348</v>
      </c>
      <c r="L1246" t="s">
        <v>80</v>
      </c>
      <c r="N1246" t="s">
        <v>16</v>
      </c>
      <c r="O1246" t="s">
        <v>1493</v>
      </c>
      <c r="P1246" t="str">
        <f>HYPERLINK("http://vk.com/club55131656")</f>
        <v>http://vk.com/club55131656</v>
      </c>
      <c r="Q1246">
        <v>33584</v>
      </c>
      <c r="R1246" t="s">
        <v>17</v>
      </c>
      <c r="S1246" t="s">
        <v>18</v>
      </c>
      <c r="T1246" t="s">
        <v>272</v>
      </c>
      <c r="U1246" t="s">
        <v>1300</v>
      </c>
      <c r="AJ1246" t="s">
        <v>10</v>
      </c>
      <c r="AK1246" t="s">
        <v>21</v>
      </c>
    </row>
    <row r="1247" spans="1:50" x14ac:dyDescent="0.25">
      <c r="A1247" t="s">
        <v>2428</v>
      </c>
      <c r="B1247" t="s">
        <v>2439</v>
      </c>
      <c r="C1247" t="s">
        <v>968</v>
      </c>
      <c r="D1247" t="s">
        <v>10</v>
      </c>
      <c r="E1247" t="s">
        <v>2388</v>
      </c>
      <c r="F1247" t="s">
        <v>12</v>
      </c>
      <c r="G1247" t="str">
        <f>HYPERLINK("https://vk.com/wall413405250_16497")</f>
        <v>https://vk.com/wall413405250_16497</v>
      </c>
      <c r="H1247" t="s">
        <v>885</v>
      </c>
      <c r="I1247" t="s">
        <v>1504</v>
      </c>
      <c r="J1247" t="str">
        <f>HYPERLINK("http://vk.com/id413405250")</f>
        <v>http://vk.com/id413405250</v>
      </c>
      <c r="K1247">
        <v>453</v>
      </c>
      <c r="L1247" t="s">
        <v>80</v>
      </c>
      <c r="N1247" t="s">
        <v>16</v>
      </c>
      <c r="O1247" t="s">
        <v>1504</v>
      </c>
      <c r="P1247" t="str">
        <f>HYPERLINK("http://vk.com/id413405250")</f>
        <v>http://vk.com/id413405250</v>
      </c>
      <c r="Q1247">
        <v>453</v>
      </c>
      <c r="R1247" t="s">
        <v>17</v>
      </c>
      <c r="S1247" t="s">
        <v>18</v>
      </c>
      <c r="T1247" t="s">
        <v>272</v>
      </c>
      <c r="U1247" t="s">
        <v>1300</v>
      </c>
      <c r="W1247">
        <v>0</v>
      </c>
      <c r="X1247">
        <v>0</v>
      </c>
      <c r="AE1247">
        <v>0</v>
      </c>
      <c r="AF1247">
        <v>0</v>
      </c>
      <c r="AG1247">
        <v>1</v>
      </c>
      <c r="AI1247" t="str">
        <f>HYPERLINK("https://sun9-29.userapi.com/gFc6d3yZcEgg0XH8DyUn75HEceQKbAB_Nv7KkQ/CaUZut2MJYY.jpg")</f>
        <v>https://sun9-29.userapi.com/gFc6d3yZcEgg0XH8DyUn75HEceQKbAB_Nv7KkQ/CaUZut2MJYY.jpg</v>
      </c>
      <c r="AJ1247" t="s">
        <v>10</v>
      </c>
      <c r="AK1247" t="s">
        <v>21</v>
      </c>
    </row>
    <row r="1248" spans="1:50" x14ac:dyDescent="0.25">
      <c r="A1248" t="s">
        <v>2428</v>
      </c>
      <c r="B1248" t="s">
        <v>2441</v>
      </c>
      <c r="C1248" t="s">
        <v>968</v>
      </c>
      <c r="D1248" t="s">
        <v>10</v>
      </c>
      <c r="E1248" t="s">
        <v>2442</v>
      </c>
      <c r="F1248" t="s">
        <v>26</v>
      </c>
      <c r="G1248" t="str">
        <f>HYPERLINK("https://twitter.com/1248014507257053184/status/1284476745484242945")</f>
        <v>https://twitter.com/1248014507257053184/status/1284476745484242945</v>
      </c>
      <c r="H1248" t="s">
        <v>885</v>
      </c>
      <c r="I1248" t="s">
        <v>2443</v>
      </c>
      <c r="J1248" t="str">
        <f>HYPERLINK("http://twitter.com/CalatoNicholas")</f>
        <v>http://twitter.com/CalatoNicholas</v>
      </c>
      <c r="K1248">
        <v>3</v>
      </c>
      <c r="L1248" t="s">
        <v>15</v>
      </c>
      <c r="N1248" t="s">
        <v>54</v>
      </c>
      <c r="R1248" t="s">
        <v>17</v>
      </c>
      <c r="W1248">
        <v>3</v>
      </c>
      <c r="X1248">
        <v>3</v>
      </c>
      <c r="AE1248">
        <v>3</v>
      </c>
      <c r="AF1248">
        <v>0</v>
      </c>
      <c r="AJ1248" t="s">
        <v>10</v>
      </c>
      <c r="AK1248" t="s">
        <v>21</v>
      </c>
    </row>
    <row r="1249" spans="1:37" x14ac:dyDescent="0.25">
      <c r="A1249" t="s">
        <v>3021</v>
      </c>
      <c r="B1249" t="s">
        <v>277</v>
      </c>
      <c r="C1249" t="s">
        <v>968</v>
      </c>
      <c r="D1249" t="s">
        <v>10</v>
      </c>
      <c r="E1249" t="s">
        <v>3087</v>
      </c>
      <c r="F1249" t="s">
        <v>12</v>
      </c>
      <c r="G1249" t="str">
        <f>HYPERLINK("https://www.facebook.com/568390943273818/posts/2971194206326801")</f>
        <v>https://www.facebook.com/568390943273818/posts/2971194206326801</v>
      </c>
      <c r="H1249" t="s">
        <v>885</v>
      </c>
      <c r="I1249" t="s">
        <v>280</v>
      </c>
      <c r="J1249" t="str">
        <f>HYPERLINK("https://www.facebook.com/568390943273818")</f>
        <v>https://www.facebook.com/568390943273818</v>
      </c>
      <c r="K1249">
        <v>18918</v>
      </c>
      <c r="L1249" t="s">
        <v>28</v>
      </c>
      <c r="N1249" t="s">
        <v>179</v>
      </c>
      <c r="O1249" t="s">
        <v>280</v>
      </c>
      <c r="P1249" t="str">
        <f>HYPERLINK("https://www.facebook.com/568390943273818")</f>
        <v>https://www.facebook.com/568390943273818</v>
      </c>
      <c r="Q1249">
        <v>18918</v>
      </c>
      <c r="R1249" t="s">
        <v>17</v>
      </c>
      <c r="S1249" t="s">
        <v>281</v>
      </c>
      <c r="T1249" t="s">
        <v>282</v>
      </c>
      <c r="U1249" t="s">
        <v>282</v>
      </c>
      <c r="AI1249" t="str">
        <f>HYPERLINK("https://scontent-waw1-1.xx.fbcdn.net/v/t1.0-9/p720x720/106911615_2971192166327005_6276328743724677928_o.jpg?_nc_cat=100&amp;_nc_sid=8024bb&amp;_nc_ohc=yTQktPZwlo8AX-lQ-SJ&amp;_nc_ht=scontent-waw1-1.xx&amp;_nc_tp=6&amp;oh=6f690c31119c34605b74adfeb184d026&amp;oe=5F2ADA1B")</f>
        <v>https://scontent-waw1-1.xx.fbcdn.net/v/t1.0-9/p720x720/106911615_2971192166327005_6276328743724677928_o.jpg?_nc_cat=100&amp;_nc_sid=8024bb&amp;_nc_ohc=yTQktPZwlo8AX-lQ-SJ&amp;_nc_ht=scontent-waw1-1.xx&amp;_nc_tp=6&amp;oh=6f690c31119c34605b74adfeb184d026&amp;oe=5F2ADA1B</v>
      </c>
      <c r="AJ1249" t="s">
        <v>10</v>
      </c>
      <c r="AK1249" t="s">
        <v>21</v>
      </c>
    </row>
    <row r="1250" spans="1:37" x14ac:dyDescent="0.25">
      <c r="A1250" t="s">
        <v>3100</v>
      </c>
      <c r="B1250" t="s">
        <v>3104</v>
      </c>
      <c r="C1250" t="s">
        <v>968</v>
      </c>
      <c r="D1250" t="s">
        <v>10</v>
      </c>
      <c r="E1250" t="s">
        <v>3105</v>
      </c>
      <c r="F1250" t="s">
        <v>45</v>
      </c>
      <c r="G1250" t="str">
        <f>HYPERLINK("https://vk.com/wall-8241837_1298")</f>
        <v>https://vk.com/wall-8241837_1298</v>
      </c>
      <c r="H1250" t="s">
        <v>885</v>
      </c>
      <c r="I1250" t="s">
        <v>1058</v>
      </c>
      <c r="J1250" t="str">
        <f>HYPERLINK("http://vk.com/id71191578")</f>
        <v>http://vk.com/id71191578</v>
      </c>
      <c r="K1250">
        <v>1008</v>
      </c>
      <c r="L1250" t="s">
        <v>15</v>
      </c>
      <c r="M1250">
        <v>55</v>
      </c>
      <c r="N1250" t="s">
        <v>16</v>
      </c>
      <c r="O1250" t="s">
        <v>1279</v>
      </c>
      <c r="P1250" t="str">
        <f>HYPERLINK("http://vk.com/club8241837")</f>
        <v>http://vk.com/club8241837</v>
      </c>
      <c r="Q1250">
        <v>3195</v>
      </c>
      <c r="R1250" t="s">
        <v>17</v>
      </c>
      <c r="S1250" t="s">
        <v>18</v>
      </c>
      <c r="T1250" t="s">
        <v>1060</v>
      </c>
      <c r="U1250" t="s">
        <v>1061</v>
      </c>
      <c r="W1250">
        <v>1</v>
      </c>
      <c r="X1250">
        <v>1</v>
      </c>
      <c r="AE1250">
        <v>0</v>
      </c>
      <c r="AF1250">
        <v>0</v>
      </c>
      <c r="AJ1250" t="s">
        <v>10</v>
      </c>
      <c r="AK1250" t="s">
        <v>21</v>
      </c>
    </row>
    <row r="1251" spans="1:37" x14ac:dyDescent="0.25">
      <c r="A1251" t="s">
        <v>3100</v>
      </c>
      <c r="B1251" t="s">
        <v>1484</v>
      </c>
      <c r="C1251" t="s">
        <v>968</v>
      </c>
      <c r="D1251" t="s">
        <v>10</v>
      </c>
      <c r="E1251" t="s">
        <v>3149</v>
      </c>
      <c r="F1251" t="s">
        <v>45</v>
      </c>
      <c r="G1251" t="str">
        <f>HYPERLINK("https://www.facebook.com/expert.klinika.stavropol/photos/a.108004590782008/163894451859688/?type=3")</f>
        <v>https://www.facebook.com/expert.klinika.stavropol/photos/a.108004590782008/163894451859688/?type=3</v>
      </c>
      <c r="H1251" t="s">
        <v>889</v>
      </c>
      <c r="I1251" t="s">
        <v>640</v>
      </c>
      <c r="J1251" t="str">
        <f>HYPERLINK("https://www.facebook.com/107325724183228")</f>
        <v>https://www.facebook.com/107325724183228</v>
      </c>
      <c r="K1251">
        <v>1</v>
      </c>
      <c r="L1251" t="s">
        <v>28</v>
      </c>
      <c r="N1251" t="s">
        <v>179</v>
      </c>
      <c r="O1251" t="s">
        <v>640</v>
      </c>
      <c r="P1251" t="str">
        <f>HYPERLINK("https://www.facebook.com/107325724183228")</f>
        <v>https://www.facebook.com/107325724183228</v>
      </c>
      <c r="Q1251">
        <v>1</v>
      </c>
      <c r="R1251" t="s">
        <v>17</v>
      </c>
      <c r="S1251" t="s">
        <v>18</v>
      </c>
      <c r="T1251" t="s">
        <v>641</v>
      </c>
      <c r="U1251" t="s">
        <v>642</v>
      </c>
      <c r="W1251">
        <v>0</v>
      </c>
      <c r="X1251">
        <v>0</v>
      </c>
      <c r="Y1251">
        <v>0</v>
      </c>
      <c r="Z1251">
        <v>0</v>
      </c>
      <c r="AA1251">
        <v>0</v>
      </c>
      <c r="AB1251">
        <v>0</v>
      </c>
      <c r="AC1251">
        <v>0</v>
      </c>
      <c r="AE1251">
        <v>0</v>
      </c>
      <c r="AI1251" t="str">
        <f>HYPERLINK("https://scontent-hel2-1.xx.fbcdn.net/v/t1.0-0/p180x540/107367881_163894455193021_3457783673012330277_n.jpg?_nc_cat=105&amp;_nc_sid=9267fe&amp;_nc_ohc=IuzwpANS1isAX-tW5zi&amp;_nc_ht=scontent-hel2-1.xx&amp;_nc_tp=6&amp;oh=37d6266dcf9e5849c1cc465df84cfb0a&amp;oe=5F2BBD59")</f>
        <v>https://scontent-hel2-1.xx.fbcdn.net/v/t1.0-0/p180x540/107367881_163894455193021_3457783673012330277_n.jpg?_nc_cat=105&amp;_nc_sid=9267fe&amp;_nc_ohc=IuzwpANS1isAX-tW5zi&amp;_nc_ht=scontent-hel2-1.xx&amp;_nc_tp=6&amp;oh=37d6266dcf9e5849c1cc465df84cfb0a&amp;oe=5F2BBD59</v>
      </c>
      <c r="AJ1251" t="s">
        <v>10</v>
      </c>
      <c r="AK1251" t="s">
        <v>21</v>
      </c>
    </row>
    <row r="1252" spans="1:37" x14ac:dyDescent="0.25">
      <c r="A1252" t="s">
        <v>3100</v>
      </c>
      <c r="B1252" t="s">
        <v>3153</v>
      </c>
      <c r="C1252" t="s">
        <v>968</v>
      </c>
      <c r="D1252" t="s">
        <v>10</v>
      </c>
      <c r="E1252" t="s">
        <v>3154</v>
      </c>
      <c r="F1252" t="s">
        <v>12</v>
      </c>
      <c r="G1252" t="str">
        <f>HYPERLINK("https://vk.com/wall367451629_391")</f>
        <v>https://vk.com/wall367451629_391</v>
      </c>
      <c r="H1252" t="s">
        <v>885</v>
      </c>
      <c r="I1252" t="s">
        <v>1173</v>
      </c>
      <c r="J1252" t="str">
        <f>HYPERLINK("http://vk.com/id367451629")</f>
        <v>http://vk.com/id367451629</v>
      </c>
      <c r="K1252">
        <v>402</v>
      </c>
      <c r="L1252" t="s">
        <v>15</v>
      </c>
      <c r="N1252" t="s">
        <v>16</v>
      </c>
      <c r="O1252" t="s">
        <v>1173</v>
      </c>
      <c r="P1252" t="str">
        <f>HYPERLINK("http://vk.com/id367451629")</f>
        <v>http://vk.com/id367451629</v>
      </c>
      <c r="Q1252">
        <v>402</v>
      </c>
      <c r="R1252" t="s">
        <v>17</v>
      </c>
      <c r="S1252" t="s">
        <v>18</v>
      </c>
      <c r="T1252" t="s">
        <v>70</v>
      </c>
      <c r="U1252" t="s">
        <v>71</v>
      </c>
      <c r="W1252">
        <v>0</v>
      </c>
      <c r="X1252">
        <v>0</v>
      </c>
      <c r="AE1252">
        <v>0</v>
      </c>
      <c r="AF1252">
        <v>0</v>
      </c>
      <c r="AG1252">
        <v>9</v>
      </c>
      <c r="AI1252" t="str">
        <f>HYPERLINK("https://sun1-84.userapi.com/9qp9HsOMXrRuykRQ_tYY_9z3tDCJOLlm1T6XJA/G4sFarxGGAs.jpg")</f>
        <v>https://sun1-84.userapi.com/9qp9HsOMXrRuykRQ_tYY_9z3tDCJOLlm1T6XJA/G4sFarxGGAs.jpg</v>
      </c>
      <c r="AJ1252" t="s">
        <v>10</v>
      </c>
      <c r="AK1252" t="s">
        <v>21</v>
      </c>
    </row>
    <row r="1253" spans="1:37" x14ac:dyDescent="0.25">
      <c r="A1253" t="s">
        <v>3100</v>
      </c>
      <c r="B1253" t="s">
        <v>3156</v>
      </c>
      <c r="C1253" t="s">
        <v>968</v>
      </c>
      <c r="D1253" t="s">
        <v>10</v>
      </c>
      <c r="E1253" t="s">
        <v>3157</v>
      </c>
      <c r="F1253" t="s">
        <v>45</v>
      </c>
      <c r="G1253" t="str">
        <f>HYPERLINK("https://vk.com/wall-122327832_622")</f>
        <v>https://vk.com/wall-122327832_622</v>
      </c>
      <c r="H1253" t="s">
        <v>885</v>
      </c>
      <c r="I1253" t="s">
        <v>1170</v>
      </c>
      <c r="J1253" t="str">
        <f>HYPERLINK("http://vk.com/club122327832")</f>
        <v>http://vk.com/club122327832</v>
      </c>
      <c r="K1253">
        <v>891</v>
      </c>
      <c r="L1253" t="s">
        <v>28</v>
      </c>
      <c r="N1253" t="s">
        <v>16</v>
      </c>
      <c r="O1253" t="s">
        <v>1170</v>
      </c>
      <c r="P1253" t="str">
        <f>HYPERLINK("http://vk.com/club122327832")</f>
        <v>http://vk.com/club122327832</v>
      </c>
      <c r="Q1253">
        <v>891</v>
      </c>
      <c r="R1253" t="s">
        <v>17</v>
      </c>
      <c r="S1253" t="s">
        <v>18</v>
      </c>
      <c r="T1253" t="s">
        <v>70</v>
      </c>
      <c r="U1253" t="s">
        <v>71</v>
      </c>
      <c r="W1253">
        <v>2</v>
      </c>
      <c r="X1253">
        <v>2</v>
      </c>
      <c r="AE1253">
        <v>0</v>
      </c>
      <c r="AF1253">
        <v>1</v>
      </c>
      <c r="AG1253">
        <v>159</v>
      </c>
      <c r="AI1253" t="str">
        <f>HYPERLINK("https://sun1-84.userapi.com/9qp9HsOMXrRuykRQ_tYY_9z3tDCJOLlm1T6XJA/G4sFarxGGAs.jpg")</f>
        <v>https://sun1-84.userapi.com/9qp9HsOMXrRuykRQ_tYY_9z3tDCJOLlm1T6XJA/G4sFarxGGAs.jpg</v>
      </c>
      <c r="AJ1253" t="s">
        <v>10</v>
      </c>
      <c r="AK1253" t="s">
        <v>21</v>
      </c>
    </row>
    <row r="1254" spans="1:37" x14ac:dyDescent="0.25">
      <c r="A1254" t="s">
        <v>3100</v>
      </c>
      <c r="B1254" t="s">
        <v>3201</v>
      </c>
      <c r="C1254" t="s">
        <v>968</v>
      </c>
      <c r="D1254" t="s">
        <v>3202</v>
      </c>
      <c r="E1254" t="s">
        <v>3203</v>
      </c>
      <c r="F1254" t="s">
        <v>45</v>
      </c>
      <c r="G1254" t="str">
        <f>HYPERLINK("https://www.youtube.com/watch?v=N2PCpVFnFhc")</f>
        <v>https://www.youtube.com/watch?v=N2PCpVFnFhc</v>
      </c>
      <c r="H1254" t="s">
        <v>889</v>
      </c>
      <c r="I1254" t="s">
        <v>2294</v>
      </c>
      <c r="J1254" t="str">
        <f>HYPERLINK("https://www.youtube.com/channel/UC7CCLGuvHnJvLJRa0rGeksw")</f>
        <v>https://www.youtube.com/channel/UC7CCLGuvHnJvLJRa0rGeksw</v>
      </c>
      <c r="K1254">
        <v>2850</v>
      </c>
      <c r="N1254" t="s">
        <v>162</v>
      </c>
      <c r="O1254" t="s">
        <v>2294</v>
      </c>
      <c r="P1254" t="str">
        <f>HYPERLINK("https://www.youtube.com/channel/UC7CCLGuvHnJvLJRa0rGeksw")</f>
        <v>https://www.youtube.com/channel/UC7CCLGuvHnJvLJRa0rGeksw</v>
      </c>
      <c r="Q1254">
        <v>2850</v>
      </c>
      <c r="R1254" t="s">
        <v>17</v>
      </c>
      <c r="S1254" t="s">
        <v>2297</v>
      </c>
      <c r="W1254">
        <v>1</v>
      </c>
      <c r="X1254">
        <v>1</v>
      </c>
      <c r="AD1254">
        <v>0</v>
      </c>
      <c r="AE1254">
        <v>0</v>
      </c>
      <c r="AG1254">
        <v>18</v>
      </c>
      <c r="AI1254" t="str">
        <f>HYPERLINK("https://i.ytimg.com/vi/N2PCpVFnFhc/sddefault.jpg")</f>
        <v>https://i.ytimg.com/vi/N2PCpVFnFhc/sddefault.jpg</v>
      </c>
      <c r="AJ1254" t="s">
        <v>10</v>
      </c>
      <c r="AK1254" t="s">
        <v>21</v>
      </c>
    </row>
    <row r="1255" spans="1:37" x14ac:dyDescent="0.25">
      <c r="A1255" t="s">
        <v>7</v>
      </c>
      <c r="B1255" t="s">
        <v>243</v>
      </c>
      <c r="C1255" t="s">
        <v>244</v>
      </c>
      <c r="D1255" t="s">
        <v>24</v>
      </c>
      <c r="E1255" t="s">
        <v>245</v>
      </c>
      <c r="F1255" t="s">
        <v>26</v>
      </c>
      <c r="G1255" t="str">
        <f>HYPERLINK("https://vk.com/wall-197114981_31?reply=1353&amp;thread=1352")</f>
        <v>https://vk.com/wall-197114981_31?reply=1353&amp;thread=1352</v>
      </c>
      <c r="H1255" t="s">
        <v>13</v>
      </c>
      <c r="I1255" t="s">
        <v>27</v>
      </c>
      <c r="J1255" t="str">
        <f>HYPERLINK("http://vk.com/club197114981")</f>
        <v>http://vk.com/club197114981</v>
      </c>
      <c r="K1255">
        <v>38</v>
      </c>
      <c r="L1255" t="s">
        <v>28</v>
      </c>
      <c r="N1255" t="s">
        <v>16</v>
      </c>
      <c r="O1255" t="s">
        <v>27</v>
      </c>
      <c r="P1255" t="str">
        <f>HYPERLINK("http://vk.com/club197114981")</f>
        <v>http://vk.com/club197114981</v>
      </c>
      <c r="Q1255">
        <v>38</v>
      </c>
      <c r="R1255" t="s">
        <v>17</v>
      </c>
      <c r="AJ1255" t="s">
        <v>10</v>
      </c>
      <c r="AK1255" t="s">
        <v>21</v>
      </c>
    </row>
    <row r="1256" spans="1:37" x14ac:dyDescent="0.25">
      <c r="A1256" t="s">
        <v>7</v>
      </c>
      <c r="B1256" t="s">
        <v>338</v>
      </c>
      <c r="C1256" t="s">
        <v>339</v>
      </c>
      <c r="D1256" t="s">
        <v>24</v>
      </c>
      <c r="E1256" t="s">
        <v>285</v>
      </c>
      <c r="F1256" t="s">
        <v>26</v>
      </c>
      <c r="G1256" t="str">
        <f>HYPERLINK("https://vk.com/wall-197114981_31?reply=1323&amp;thread=1317")</f>
        <v>https://vk.com/wall-197114981_31?reply=1323&amp;thread=1317</v>
      </c>
      <c r="H1256" t="s">
        <v>13</v>
      </c>
      <c r="I1256" t="s">
        <v>27</v>
      </c>
      <c r="J1256" t="str">
        <f>HYPERLINK("http://vk.com/club197114981")</f>
        <v>http://vk.com/club197114981</v>
      </c>
      <c r="K1256">
        <v>38</v>
      </c>
      <c r="L1256" t="s">
        <v>28</v>
      </c>
      <c r="N1256" t="s">
        <v>16</v>
      </c>
      <c r="O1256" t="s">
        <v>27</v>
      </c>
      <c r="P1256" t="str">
        <f>HYPERLINK("http://vk.com/club197114981")</f>
        <v>http://vk.com/club197114981</v>
      </c>
      <c r="Q1256">
        <v>38</v>
      </c>
      <c r="R1256" t="s">
        <v>17</v>
      </c>
      <c r="AJ1256" t="s">
        <v>10</v>
      </c>
      <c r="AK1256" t="s">
        <v>21</v>
      </c>
    </row>
    <row r="1257" spans="1:37" x14ac:dyDescent="0.25">
      <c r="A1257" t="s">
        <v>7</v>
      </c>
      <c r="B1257" t="s">
        <v>384</v>
      </c>
      <c r="C1257" t="s">
        <v>385</v>
      </c>
      <c r="D1257" t="s">
        <v>24</v>
      </c>
      <c r="E1257" t="s">
        <v>389</v>
      </c>
      <c r="F1257" t="s">
        <v>26</v>
      </c>
      <c r="G1257" t="str">
        <f>HYPERLINK("https://vk.com/wall-197114981_31?reply=1304&amp;thread=1293")</f>
        <v>https://vk.com/wall-197114981_31?reply=1304&amp;thread=1293</v>
      </c>
      <c r="H1257" t="s">
        <v>13</v>
      </c>
      <c r="I1257" t="s">
        <v>27</v>
      </c>
      <c r="J1257" t="str">
        <f>HYPERLINK("http://vk.com/club197114981")</f>
        <v>http://vk.com/club197114981</v>
      </c>
      <c r="K1257">
        <v>38</v>
      </c>
      <c r="L1257" t="s">
        <v>28</v>
      </c>
      <c r="N1257" t="s">
        <v>16</v>
      </c>
      <c r="O1257" t="s">
        <v>27</v>
      </c>
      <c r="P1257" t="str">
        <f>HYPERLINK("http://vk.com/club197114981")</f>
        <v>http://vk.com/club197114981</v>
      </c>
      <c r="Q1257">
        <v>38</v>
      </c>
      <c r="R1257" t="s">
        <v>17</v>
      </c>
      <c r="AJ1257" t="s">
        <v>10</v>
      </c>
      <c r="AK1257" t="s">
        <v>21</v>
      </c>
    </row>
    <row r="1258" spans="1:37" x14ac:dyDescent="0.25">
      <c r="A1258" t="s">
        <v>414</v>
      </c>
      <c r="B1258" t="s">
        <v>481</v>
      </c>
      <c r="C1258" t="s">
        <v>482</v>
      </c>
      <c r="D1258" t="s">
        <v>24</v>
      </c>
      <c r="E1258" t="s">
        <v>484</v>
      </c>
      <c r="F1258" t="s">
        <v>26</v>
      </c>
      <c r="G1258" t="str">
        <f>HYPERLINK("https://vk.com/wall-197114981_31?reply=1250")</f>
        <v>https://vk.com/wall-197114981_31?reply=1250</v>
      </c>
      <c r="H1258" t="s">
        <v>13</v>
      </c>
      <c r="I1258" t="s">
        <v>461</v>
      </c>
      <c r="J1258" t="str">
        <f>HYPERLINK("http://vk.com/id17469829")</f>
        <v>http://vk.com/id17469829</v>
      </c>
      <c r="K1258">
        <v>374</v>
      </c>
      <c r="L1258" t="s">
        <v>80</v>
      </c>
      <c r="M1258">
        <v>28</v>
      </c>
      <c r="N1258" t="s">
        <v>16</v>
      </c>
      <c r="O1258" t="s">
        <v>27</v>
      </c>
      <c r="P1258" t="str">
        <f>HYPERLINK("http://vk.com/club197114981")</f>
        <v>http://vk.com/club197114981</v>
      </c>
      <c r="Q1258">
        <v>38</v>
      </c>
      <c r="R1258" t="s">
        <v>17</v>
      </c>
      <c r="S1258" t="s">
        <v>18</v>
      </c>
      <c r="AJ1258" t="s">
        <v>10</v>
      </c>
      <c r="AK1258" t="s">
        <v>21</v>
      </c>
    </row>
    <row r="1259" spans="1:37" x14ac:dyDescent="0.25">
      <c r="A1259" t="s">
        <v>414</v>
      </c>
      <c r="B1259" t="s">
        <v>503</v>
      </c>
      <c r="C1259" t="s">
        <v>504</v>
      </c>
      <c r="D1259" t="s">
        <v>24</v>
      </c>
      <c r="E1259" t="s">
        <v>506</v>
      </c>
      <c r="F1259" t="s">
        <v>26</v>
      </c>
      <c r="G1259" t="str">
        <f>HYPERLINK("https://vk.com/wall-197114981_31?reply=1243")</f>
        <v>https://vk.com/wall-197114981_31?reply=1243</v>
      </c>
      <c r="H1259" t="s">
        <v>13</v>
      </c>
      <c r="I1259" t="s">
        <v>247</v>
      </c>
      <c r="J1259" t="str">
        <f>HYPERLINK("http://vk.com/id38095165")</f>
        <v>http://vk.com/id38095165</v>
      </c>
      <c r="K1259">
        <v>1193</v>
      </c>
      <c r="L1259" t="s">
        <v>80</v>
      </c>
      <c r="N1259" t="s">
        <v>16</v>
      </c>
      <c r="O1259" t="s">
        <v>27</v>
      </c>
      <c r="P1259" t="str">
        <f>HYPERLINK("http://vk.com/club197114981")</f>
        <v>http://vk.com/club197114981</v>
      </c>
      <c r="Q1259">
        <v>38</v>
      </c>
      <c r="R1259" t="s">
        <v>17</v>
      </c>
      <c r="S1259" t="s">
        <v>18</v>
      </c>
      <c r="T1259" t="s">
        <v>248</v>
      </c>
      <c r="U1259" t="s">
        <v>249</v>
      </c>
      <c r="AJ1259" t="s">
        <v>10</v>
      </c>
      <c r="AK1259" t="s">
        <v>21</v>
      </c>
    </row>
    <row r="1260" spans="1:37" x14ac:dyDescent="0.25">
      <c r="A1260" t="s">
        <v>414</v>
      </c>
      <c r="B1260" t="s">
        <v>565</v>
      </c>
      <c r="C1260" t="s">
        <v>566</v>
      </c>
      <c r="D1260" t="s">
        <v>24</v>
      </c>
      <c r="E1260" t="s">
        <v>568</v>
      </c>
      <c r="F1260" t="s">
        <v>26</v>
      </c>
      <c r="G1260" t="str">
        <f>HYPERLINK("https://vk.com/wall-197114981_31?reply=1228")</f>
        <v>https://vk.com/wall-197114981_31?reply=1228</v>
      </c>
      <c r="H1260" t="s">
        <v>13</v>
      </c>
      <c r="I1260" t="s">
        <v>438</v>
      </c>
      <c r="J1260" t="str">
        <f>HYPERLINK("http://vk.com/id321391081")</f>
        <v>http://vk.com/id321391081</v>
      </c>
      <c r="K1260">
        <v>418</v>
      </c>
      <c r="L1260" t="s">
        <v>80</v>
      </c>
      <c r="N1260" t="s">
        <v>16</v>
      </c>
      <c r="O1260" t="s">
        <v>27</v>
      </c>
      <c r="P1260" t="str">
        <f>HYPERLINK("http://vk.com/club197114981")</f>
        <v>http://vk.com/club197114981</v>
      </c>
      <c r="Q1260">
        <v>38</v>
      </c>
      <c r="R1260" t="s">
        <v>17</v>
      </c>
      <c r="S1260" t="s">
        <v>18</v>
      </c>
      <c r="T1260" t="s">
        <v>231</v>
      </c>
      <c r="U1260" t="s">
        <v>232</v>
      </c>
      <c r="AJ1260" t="s">
        <v>10</v>
      </c>
      <c r="AK1260" t="s">
        <v>21</v>
      </c>
    </row>
    <row r="1261" spans="1:37" x14ac:dyDescent="0.25">
      <c r="A1261" t="s">
        <v>414</v>
      </c>
      <c r="B1261" t="s">
        <v>120</v>
      </c>
      <c r="C1261" t="s">
        <v>630</v>
      </c>
      <c r="D1261" t="s">
        <v>24</v>
      </c>
      <c r="E1261" t="s">
        <v>632</v>
      </c>
      <c r="F1261" t="s">
        <v>26</v>
      </c>
      <c r="G1261" t="str">
        <f>HYPERLINK("https://vk.com/wall-197114981_31?reply=1203")</f>
        <v>https://vk.com/wall-197114981_31?reply=1203</v>
      </c>
      <c r="H1261" t="s">
        <v>13</v>
      </c>
      <c r="I1261" t="s">
        <v>633</v>
      </c>
      <c r="J1261" t="str">
        <f>HYPERLINK("http://vk.com/id531667777")</f>
        <v>http://vk.com/id531667777</v>
      </c>
      <c r="K1261">
        <v>756</v>
      </c>
      <c r="L1261" t="s">
        <v>80</v>
      </c>
      <c r="M1261">
        <v>24</v>
      </c>
      <c r="N1261" t="s">
        <v>16</v>
      </c>
      <c r="O1261" t="s">
        <v>27</v>
      </c>
      <c r="P1261" t="str">
        <f>HYPERLINK("http://vk.com/club197114981")</f>
        <v>http://vk.com/club197114981</v>
      </c>
      <c r="Q1261">
        <v>38</v>
      </c>
      <c r="R1261" t="s">
        <v>17</v>
      </c>
      <c r="S1261" t="s">
        <v>18</v>
      </c>
      <c r="T1261" t="s">
        <v>231</v>
      </c>
      <c r="U1261" t="s">
        <v>232</v>
      </c>
      <c r="AJ1261" t="s">
        <v>10</v>
      </c>
      <c r="AK1261" t="s">
        <v>21</v>
      </c>
    </row>
    <row r="1262" spans="1:37" x14ac:dyDescent="0.25">
      <c r="A1262" t="s">
        <v>414</v>
      </c>
      <c r="B1262" t="s">
        <v>676</v>
      </c>
      <c r="C1262" t="s">
        <v>677</v>
      </c>
      <c r="D1262" t="s">
        <v>24</v>
      </c>
      <c r="E1262" t="s">
        <v>678</v>
      </c>
      <c r="F1262" t="s">
        <v>26</v>
      </c>
      <c r="G1262" t="str">
        <f>HYPERLINK("https://vk.com/wall12541741_5205?reply=5206")</f>
        <v>https://vk.com/wall12541741_5205?reply=5206</v>
      </c>
      <c r="H1262" t="s">
        <v>13</v>
      </c>
      <c r="I1262" t="s">
        <v>679</v>
      </c>
      <c r="J1262" t="str">
        <f>HYPERLINK("http://vk.com/id12541741")</f>
        <v>http://vk.com/id12541741</v>
      </c>
      <c r="K1262">
        <v>5833</v>
      </c>
      <c r="L1262" t="s">
        <v>80</v>
      </c>
      <c r="M1262">
        <v>37</v>
      </c>
      <c r="N1262" t="s">
        <v>16</v>
      </c>
      <c r="O1262" t="s">
        <v>679</v>
      </c>
      <c r="P1262" t="str">
        <f>HYPERLINK("http://vk.com/id12541741")</f>
        <v>http://vk.com/id12541741</v>
      </c>
      <c r="Q1262">
        <v>5833</v>
      </c>
      <c r="R1262" t="s">
        <v>17</v>
      </c>
      <c r="S1262" t="s">
        <v>18</v>
      </c>
      <c r="T1262" t="s">
        <v>231</v>
      </c>
      <c r="U1262" t="s">
        <v>232</v>
      </c>
      <c r="W1262">
        <v>1</v>
      </c>
      <c r="X1262">
        <v>1</v>
      </c>
      <c r="AI1262" t="str">
        <f>HYPERLINK("https://sun1-22.userapi.com/cmPz-6NGvnpuBIRC4GHWkHlyfaPUtOqMyTkDiA/JB_psLQ-VJE.jpg")</f>
        <v>https://sun1-22.userapi.com/cmPz-6NGvnpuBIRC4GHWkHlyfaPUtOqMyTkDiA/JB_psLQ-VJE.jpg</v>
      </c>
      <c r="AJ1262" t="s">
        <v>10</v>
      </c>
      <c r="AK1262" t="s">
        <v>21</v>
      </c>
    </row>
    <row r="1263" spans="1:37" x14ac:dyDescent="0.25">
      <c r="A1263" t="s">
        <v>414</v>
      </c>
      <c r="B1263" t="s">
        <v>220</v>
      </c>
      <c r="C1263" t="s">
        <v>686</v>
      </c>
      <c r="D1263" t="s">
        <v>687</v>
      </c>
      <c r="E1263" t="s">
        <v>688</v>
      </c>
      <c r="F1263" t="s">
        <v>26</v>
      </c>
      <c r="G1263" t="str">
        <f>HYPERLINK("https://vk.com/wall-131414345_315051?reply=315057")</f>
        <v>https://vk.com/wall-131414345_315051?reply=315057</v>
      </c>
      <c r="H1263" t="s">
        <v>13</v>
      </c>
      <c r="I1263" t="s">
        <v>689</v>
      </c>
      <c r="J1263" t="str">
        <f>HYPERLINK("http://vk.com/id48074067")</f>
        <v>http://vk.com/id48074067</v>
      </c>
      <c r="K1263">
        <v>804</v>
      </c>
      <c r="L1263" t="s">
        <v>80</v>
      </c>
      <c r="M1263">
        <v>33</v>
      </c>
      <c r="N1263" t="s">
        <v>16</v>
      </c>
      <c r="O1263" t="s">
        <v>690</v>
      </c>
      <c r="P1263" t="str">
        <f>HYPERLINK("http://vk.com/club131414345")</f>
        <v>http://vk.com/club131414345</v>
      </c>
      <c r="Q1263">
        <v>8446</v>
      </c>
      <c r="R1263" t="s">
        <v>17</v>
      </c>
      <c r="S1263" t="s">
        <v>18</v>
      </c>
      <c r="T1263" t="s">
        <v>189</v>
      </c>
      <c r="U1263" t="s">
        <v>190</v>
      </c>
      <c r="AJ1263" t="s">
        <v>10</v>
      </c>
      <c r="AK1263" t="s">
        <v>21</v>
      </c>
    </row>
    <row r="1264" spans="1:37" x14ac:dyDescent="0.25">
      <c r="A1264" t="s">
        <v>772</v>
      </c>
      <c r="B1264" t="s">
        <v>798</v>
      </c>
      <c r="C1264" t="s">
        <v>799</v>
      </c>
      <c r="D1264" t="s">
        <v>24</v>
      </c>
      <c r="E1264" t="s">
        <v>801</v>
      </c>
      <c r="F1264" t="s">
        <v>26</v>
      </c>
      <c r="G1264" t="str">
        <f>HYPERLINK("https://vk.com/wall-197114981_31?reply=1150")</f>
        <v>https://vk.com/wall-197114981_31?reply=1150</v>
      </c>
      <c r="H1264" t="s">
        <v>13</v>
      </c>
      <c r="I1264" t="s">
        <v>679</v>
      </c>
      <c r="J1264" t="str">
        <f>HYPERLINK("http://vk.com/id12541741")</f>
        <v>http://vk.com/id12541741</v>
      </c>
      <c r="K1264">
        <v>5833</v>
      </c>
      <c r="L1264" t="s">
        <v>80</v>
      </c>
      <c r="M1264">
        <v>37</v>
      </c>
      <c r="N1264" t="s">
        <v>16</v>
      </c>
      <c r="O1264" t="s">
        <v>27</v>
      </c>
      <c r="P1264" t="str">
        <f>HYPERLINK("http://vk.com/club197114981")</f>
        <v>http://vk.com/club197114981</v>
      </c>
      <c r="Q1264">
        <v>38</v>
      </c>
      <c r="R1264" t="s">
        <v>17</v>
      </c>
      <c r="S1264" t="s">
        <v>18</v>
      </c>
      <c r="T1264" t="s">
        <v>231</v>
      </c>
      <c r="U1264" t="s">
        <v>232</v>
      </c>
      <c r="AJ1264" t="s">
        <v>10</v>
      </c>
      <c r="AK1264" t="s">
        <v>21</v>
      </c>
    </row>
    <row r="1265" spans="1:39" x14ac:dyDescent="0.25">
      <c r="A1265" t="s">
        <v>772</v>
      </c>
      <c r="B1265" t="s">
        <v>835</v>
      </c>
      <c r="C1265" t="s">
        <v>836</v>
      </c>
      <c r="D1265" t="s">
        <v>24</v>
      </c>
      <c r="E1265" t="s">
        <v>838</v>
      </c>
      <c r="F1265" t="s">
        <v>26</v>
      </c>
      <c r="G1265" t="str">
        <f>HYPERLINK("https://vk.com/wall-197114981_31?reply=1142&amp;thread=294")</f>
        <v>https://vk.com/wall-197114981_31?reply=1142&amp;thread=294</v>
      </c>
      <c r="H1265" t="s">
        <v>13</v>
      </c>
      <c r="I1265" t="s">
        <v>817</v>
      </c>
      <c r="J1265" t="str">
        <f>HYPERLINK("http://vk.com/id143266537")</f>
        <v>http://vk.com/id143266537</v>
      </c>
      <c r="K1265">
        <v>668</v>
      </c>
      <c r="L1265" t="s">
        <v>80</v>
      </c>
      <c r="N1265" t="s">
        <v>16</v>
      </c>
      <c r="O1265" t="s">
        <v>27</v>
      </c>
      <c r="P1265" t="str">
        <f>HYPERLINK("http://vk.com/club197114981")</f>
        <v>http://vk.com/club197114981</v>
      </c>
      <c r="Q1265">
        <v>38</v>
      </c>
      <c r="R1265" t="s">
        <v>17</v>
      </c>
      <c r="S1265" t="s">
        <v>18</v>
      </c>
      <c r="T1265" t="s">
        <v>231</v>
      </c>
      <c r="U1265" t="s">
        <v>232</v>
      </c>
      <c r="AJ1265" t="s">
        <v>10</v>
      </c>
      <c r="AK1265" t="s">
        <v>21</v>
      </c>
    </row>
    <row r="1266" spans="1:39" x14ac:dyDescent="0.25">
      <c r="A1266" t="s">
        <v>772</v>
      </c>
      <c r="B1266" t="s">
        <v>928</v>
      </c>
      <c r="C1266" t="s">
        <v>929</v>
      </c>
      <c r="D1266" t="s">
        <v>24</v>
      </c>
      <c r="E1266" t="s">
        <v>930</v>
      </c>
      <c r="F1266" t="s">
        <v>26</v>
      </c>
      <c r="G1266" t="str">
        <f>HYPERLINK("https://vk.com/wall-197114981_31?reply=1108&amp;thread=294")</f>
        <v>https://vk.com/wall-197114981_31?reply=1108&amp;thread=294</v>
      </c>
      <c r="H1266" t="s">
        <v>885</v>
      </c>
      <c r="I1266" t="s">
        <v>27</v>
      </c>
      <c r="J1266" t="str">
        <f>HYPERLINK("http://vk.com/club197114981")</f>
        <v>http://vk.com/club197114981</v>
      </c>
      <c r="K1266">
        <v>38</v>
      </c>
      <c r="L1266" t="s">
        <v>28</v>
      </c>
      <c r="N1266" t="s">
        <v>16</v>
      </c>
      <c r="O1266" t="s">
        <v>27</v>
      </c>
      <c r="P1266" t="str">
        <f>HYPERLINK("http://vk.com/club197114981")</f>
        <v>http://vk.com/club197114981</v>
      </c>
      <c r="Q1266">
        <v>38</v>
      </c>
      <c r="R1266" t="s">
        <v>17</v>
      </c>
      <c r="AJ1266" t="s">
        <v>10</v>
      </c>
      <c r="AK1266" t="s">
        <v>21</v>
      </c>
    </row>
    <row r="1267" spans="1:39" x14ac:dyDescent="0.25">
      <c r="A1267" t="s">
        <v>772</v>
      </c>
      <c r="B1267" t="s">
        <v>559</v>
      </c>
      <c r="C1267" t="s">
        <v>936</v>
      </c>
      <c r="D1267" t="s">
        <v>24</v>
      </c>
      <c r="E1267" t="s">
        <v>938</v>
      </c>
      <c r="F1267" t="s">
        <v>26</v>
      </c>
      <c r="G1267" t="str">
        <f>HYPERLINK("https://vk.com/wall-197114981_31?reply=1103&amp;thread=294")</f>
        <v>https://vk.com/wall-197114981_31?reply=1103&amp;thread=294</v>
      </c>
      <c r="H1267" t="s">
        <v>885</v>
      </c>
      <c r="I1267" t="s">
        <v>817</v>
      </c>
      <c r="J1267" t="str">
        <f>HYPERLINK("http://vk.com/id143266537")</f>
        <v>http://vk.com/id143266537</v>
      </c>
      <c r="K1267">
        <v>668</v>
      </c>
      <c r="L1267" t="s">
        <v>80</v>
      </c>
      <c r="N1267" t="s">
        <v>16</v>
      </c>
      <c r="O1267" t="s">
        <v>27</v>
      </c>
      <c r="P1267" t="str">
        <f>HYPERLINK("http://vk.com/club197114981")</f>
        <v>http://vk.com/club197114981</v>
      </c>
      <c r="Q1267">
        <v>38</v>
      </c>
      <c r="R1267" t="s">
        <v>17</v>
      </c>
      <c r="S1267" t="s">
        <v>18</v>
      </c>
      <c r="T1267" t="s">
        <v>231</v>
      </c>
      <c r="U1267" t="s">
        <v>232</v>
      </c>
      <c r="AJ1267" t="s">
        <v>10</v>
      </c>
      <c r="AK1267" t="s">
        <v>21</v>
      </c>
    </row>
    <row r="1268" spans="1:39" x14ac:dyDescent="0.25">
      <c r="A1268" t="s">
        <v>1017</v>
      </c>
      <c r="B1268" t="s">
        <v>1025</v>
      </c>
      <c r="C1268" t="s">
        <v>984</v>
      </c>
      <c r="D1268" t="s">
        <v>1028</v>
      </c>
      <c r="E1268" t="s">
        <v>1029</v>
      </c>
      <c r="F1268" t="s">
        <v>45</v>
      </c>
      <c r="G1268" t="str">
        <f>HYPERLINK("https://vademec.ru/news/2020/08/07/gk-ekspert-otkryla-medtsentr-v-belgorode")</f>
        <v>https://vademec.ru/news/2020/08/07/gk-ekspert-otkryla-medtsentr-v-belgorode</v>
      </c>
      <c r="H1268" t="s">
        <v>885</v>
      </c>
      <c r="N1268" t="s">
        <v>1030</v>
      </c>
      <c r="R1268" t="s">
        <v>239</v>
      </c>
      <c r="S1268" t="s">
        <v>18</v>
      </c>
      <c r="AJ1268" t="s">
        <v>10</v>
      </c>
      <c r="AK1268" t="s">
        <v>21</v>
      </c>
    </row>
    <row r="1269" spans="1:39" x14ac:dyDescent="0.25">
      <c r="A1269" t="s">
        <v>1017</v>
      </c>
      <c r="B1269" t="s">
        <v>1067</v>
      </c>
      <c r="C1269" t="s">
        <v>984</v>
      </c>
      <c r="D1269" t="s">
        <v>10</v>
      </c>
      <c r="E1269" t="s">
        <v>1068</v>
      </c>
      <c r="F1269" t="s">
        <v>45</v>
      </c>
      <c r="G1269" t="str">
        <f>HYPERLINK("https://vk.com/wall-97208796_931")</f>
        <v>https://vk.com/wall-97208796_931</v>
      </c>
      <c r="H1269" t="s">
        <v>885</v>
      </c>
      <c r="I1269" t="s">
        <v>36</v>
      </c>
      <c r="J1269" t="str">
        <f>HYPERLINK("http://vk.com/club97208796")</f>
        <v>http://vk.com/club97208796</v>
      </c>
      <c r="K1269">
        <v>3425</v>
      </c>
      <c r="L1269" t="s">
        <v>28</v>
      </c>
      <c r="N1269" t="s">
        <v>16</v>
      </c>
      <c r="O1269" t="s">
        <v>36</v>
      </c>
      <c r="P1269" t="str">
        <f>HYPERLINK("http://vk.com/club97208796")</f>
        <v>http://vk.com/club97208796</v>
      </c>
      <c r="Q1269">
        <v>3425</v>
      </c>
      <c r="R1269" t="s">
        <v>17</v>
      </c>
      <c r="S1269" t="s">
        <v>18</v>
      </c>
      <c r="T1269" t="s">
        <v>37</v>
      </c>
      <c r="U1269" t="s">
        <v>38</v>
      </c>
      <c r="W1269">
        <v>14</v>
      </c>
      <c r="X1269">
        <v>14</v>
      </c>
      <c r="AE1269">
        <v>1</v>
      </c>
      <c r="AF1269">
        <v>1</v>
      </c>
      <c r="AG1269">
        <v>541</v>
      </c>
      <c r="AI1269" t="str">
        <f>HYPERLINK("https://sun9-61.userapi.com/c857328/v857328168/1e783b/fb187oklh5c.jpg")</f>
        <v>https://sun9-61.userapi.com/c857328/v857328168/1e783b/fb187oklh5c.jpg</v>
      </c>
      <c r="AJ1269" t="s">
        <v>10</v>
      </c>
      <c r="AK1269" t="s">
        <v>21</v>
      </c>
    </row>
    <row r="1270" spans="1:39" x14ac:dyDescent="0.25">
      <c r="A1270" t="s">
        <v>1425</v>
      </c>
      <c r="B1270" t="s">
        <v>1432</v>
      </c>
      <c r="C1270" t="s">
        <v>984</v>
      </c>
      <c r="D1270" t="s">
        <v>10</v>
      </c>
      <c r="E1270" t="s">
        <v>1433</v>
      </c>
      <c r="F1270" t="s">
        <v>45</v>
      </c>
      <c r="G1270" t="str">
        <f>HYPERLINK("https://vk.com/wall-48669646_10245")</f>
        <v>https://vk.com/wall-48669646_10245</v>
      </c>
      <c r="H1270" t="s">
        <v>885</v>
      </c>
      <c r="I1270" t="s">
        <v>46</v>
      </c>
      <c r="J1270" t="str">
        <f>HYPERLINK("http://vk.com/club48669646")</f>
        <v>http://vk.com/club48669646</v>
      </c>
      <c r="K1270">
        <v>5795</v>
      </c>
      <c r="L1270" t="s">
        <v>28</v>
      </c>
      <c r="N1270" t="s">
        <v>16</v>
      </c>
      <c r="O1270" t="s">
        <v>46</v>
      </c>
      <c r="P1270" t="str">
        <f>HYPERLINK("http://vk.com/club48669646")</f>
        <v>http://vk.com/club48669646</v>
      </c>
      <c r="Q1270">
        <v>5795</v>
      </c>
      <c r="R1270" t="s">
        <v>17</v>
      </c>
      <c r="S1270" t="s">
        <v>18</v>
      </c>
      <c r="W1270">
        <v>18</v>
      </c>
      <c r="X1270">
        <v>18</v>
      </c>
      <c r="AE1270">
        <v>18</v>
      </c>
      <c r="AF1270">
        <v>0</v>
      </c>
      <c r="AG1270">
        <v>1247</v>
      </c>
      <c r="AI1270" t="str">
        <f>HYPERLINK("https://sun9-4.userapi.com/fSb3dXjub0FVdwn_nKCEsvxAzErlHcEn4cN_7w/tr8ZCAnSoJc.jpg")</f>
        <v>https://sun9-4.userapi.com/fSb3dXjub0FVdwn_nKCEsvxAzErlHcEn4cN_7w/tr8ZCAnSoJc.jpg</v>
      </c>
      <c r="AJ1270" t="s">
        <v>10</v>
      </c>
      <c r="AK1270" t="s">
        <v>21</v>
      </c>
      <c r="AL1270" t="s">
        <v>3237</v>
      </c>
    </row>
    <row r="1271" spans="1:39" x14ac:dyDescent="0.25">
      <c r="A1271" t="s">
        <v>2193</v>
      </c>
      <c r="B1271" t="s">
        <v>2246</v>
      </c>
      <c r="C1271" t="s">
        <v>968</v>
      </c>
      <c r="D1271" t="s">
        <v>10</v>
      </c>
      <c r="E1271" t="s">
        <v>2244</v>
      </c>
      <c r="F1271" t="s">
        <v>45</v>
      </c>
      <c r="G1271" t="str">
        <f>HYPERLINK("https://www.instagram.com/p/CC7mDRtqZcD")</f>
        <v>https://www.instagram.com/p/CC7mDRtqZcD</v>
      </c>
      <c r="H1271" t="s">
        <v>885</v>
      </c>
      <c r="I1271" t="s">
        <v>2247</v>
      </c>
      <c r="J1271" t="str">
        <f>HYPERLINK("http://instagram.com/mrtvladikavkaz")</f>
        <v>http://instagram.com/mrtvladikavkaz</v>
      </c>
      <c r="K1271">
        <v>1222</v>
      </c>
      <c r="N1271" t="s">
        <v>69</v>
      </c>
      <c r="O1271" t="s">
        <v>2247</v>
      </c>
      <c r="P1271" t="str">
        <f>HYPERLINK("http://instagram.com/mrtvladikavkaz")</f>
        <v>http://instagram.com/mrtvladikavkaz</v>
      </c>
      <c r="Q1271">
        <v>1222</v>
      </c>
      <c r="R1271" t="s">
        <v>17</v>
      </c>
      <c r="S1271" t="s">
        <v>18</v>
      </c>
      <c r="T1271" t="s">
        <v>825</v>
      </c>
      <c r="U1271" t="s">
        <v>826</v>
      </c>
      <c r="AI1271" t="str">
        <f>HYPERLINK("https://www.instagram.com/p/CC7mDRtqZcD/media/?size=l")</f>
        <v>https://www.instagram.com/p/CC7mDRtqZcD/media/?size=l</v>
      </c>
      <c r="AJ1271" t="s">
        <v>10</v>
      </c>
      <c r="AK1271" t="s">
        <v>21</v>
      </c>
    </row>
    <row r="1272" spans="1:39" x14ac:dyDescent="0.25">
      <c r="A1272" t="s">
        <v>2290</v>
      </c>
      <c r="B1272" t="s">
        <v>2334</v>
      </c>
      <c r="C1272" t="s">
        <v>968</v>
      </c>
      <c r="D1272" t="s">
        <v>992</v>
      </c>
      <c r="E1272" t="s">
        <v>2335</v>
      </c>
      <c r="F1272" t="s">
        <v>45</v>
      </c>
      <c r="G1272" t="str">
        <f>HYPERLINK("https://www.google.com/maps/reviews/data=!4m5!14m4!1m3!1m2!1s106423036588878858558!2s0x0:0x1ba2d4b9e8f0f1fc?hl=en-GB")</f>
        <v>https://www.google.com/maps/reviews/data=!4m5!14m4!1m3!1m2!1s106423036588878858558!2s0x0:0x1ba2d4b9e8f0f1fc?hl=en-GB</v>
      </c>
      <c r="H1272" t="s">
        <v>885</v>
      </c>
      <c r="I1272" t="s">
        <v>2336</v>
      </c>
      <c r="J1272" t="str">
        <f>HYPERLINK("https://maps.google.com/maps/contrib/106423036588878858558")</f>
        <v>https://maps.google.com/maps/contrib/106423036588878858558</v>
      </c>
      <c r="L1272" t="s">
        <v>80</v>
      </c>
      <c r="N1272" t="s">
        <v>615</v>
      </c>
      <c r="O1272" t="s">
        <v>992</v>
      </c>
      <c r="P1272" t="str">
        <f>HYPERLINK("https://maps.google.com/maps/place/data=!3m1!4b1!4m5!3m4!1s0x0:0x1ba2d4b9e8f0f1fc!8m2!3d56.463190!4d84.951810")</f>
        <v>https://maps.google.com/maps/place/data=!3m1!4b1!4m5!3m4!1s0x0:0x1ba2d4b9e8f0f1fc!8m2!3d56.463190!4d84.951810</v>
      </c>
      <c r="R1272" t="s">
        <v>616</v>
      </c>
      <c r="S1272" t="s">
        <v>18</v>
      </c>
      <c r="T1272" t="s">
        <v>291</v>
      </c>
      <c r="U1272" t="s">
        <v>1884</v>
      </c>
      <c r="AH1272">
        <v>4</v>
      </c>
      <c r="AJ1272" t="s">
        <v>10</v>
      </c>
      <c r="AK1272" t="s">
        <v>21</v>
      </c>
    </row>
    <row r="1273" spans="1:39" x14ac:dyDescent="0.25">
      <c r="A1273" t="s">
        <v>2290</v>
      </c>
      <c r="B1273" t="s">
        <v>2363</v>
      </c>
      <c r="C1273" t="s">
        <v>968</v>
      </c>
      <c r="D1273" t="s">
        <v>10</v>
      </c>
      <c r="E1273" t="s">
        <v>2364</v>
      </c>
      <c r="F1273" t="s">
        <v>45</v>
      </c>
      <c r="G1273" t="str">
        <f>HYPERLINK("https://www.facebook.com/permalink.php?story_fbid=773471113394651&amp;id=100021953076033")</f>
        <v>https://www.facebook.com/permalink.php?story_fbid=773471113394651&amp;id=100021953076033</v>
      </c>
      <c r="H1273" t="s">
        <v>889</v>
      </c>
      <c r="I1273" t="s">
        <v>2365</v>
      </c>
      <c r="J1273" t="str">
        <f>HYPERLINK("https://www.facebook.com/100021953076033")</f>
        <v>https://www.facebook.com/100021953076033</v>
      </c>
      <c r="K1273">
        <v>153</v>
      </c>
      <c r="L1273" t="s">
        <v>80</v>
      </c>
      <c r="N1273" t="s">
        <v>179</v>
      </c>
      <c r="O1273" t="s">
        <v>2365</v>
      </c>
      <c r="P1273" t="str">
        <f>HYPERLINK("https://www.facebook.com/100021953076033")</f>
        <v>https://www.facebook.com/100021953076033</v>
      </c>
      <c r="Q1273">
        <v>153</v>
      </c>
      <c r="R1273" t="s">
        <v>17</v>
      </c>
      <c r="S1273" t="s">
        <v>18</v>
      </c>
      <c r="T1273" t="s">
        <v>126</v>
      </c>
      <c r="U1273" t="s">
        <v>127</v>
      </c>
      <c r="W1273">
        <v>0</v>
      </c>
      <c r="X1273">
        <v>0</v>
      </c>
      <c r="Y1273">
        <v>0</v>
      </c>
      <c r="Z1273">
        <v>0</v>
      </c>
      <c r="AA1273">
        <v>0</v>
      </c>
      <c r="AB1273">
        <v>0</v>
      </c>
      <c r="AC1273">
        <v>0</v>
      </c>
      <c r="AE1273">
        <v>0</v>
      </c>
      <c r="AI1273" t="s">
        <v>2366</v>
      </c>
      <c r="AJ1273" t="s">
        <v>10</v>
      </c>
      <c r="AK1273" t="s">
        <v>21</v>
      </c>
      <c r="AM1273" t="s">
        <v>3238</v>
      </c>
    </row>
    <row r="1274" spans="1:39" x14ac:dyDescent="0.25">
      <c r="A1274" t="s">
        <v>2380</v>
      </c>
      <c r="B1274" t="s">
        <v>122</v>
      </c>
      <c r="C1274" t="s">
        <v>968</v>
      </c>
      <c r="D1274" t="s">
        <v>10</v>
      </c>
      <c r="E1274" t="s">
        <v>2406</v>
      </c>
      <c r="F1274" t="s">
        <v>45</v>
      </c>
      <c r="G1274" t="str">
        <f>HYPERLINK("https://www.facebook.com/mrtexpertrnd/photos/a.565935020817465/777041273040171/?type=3")</f>
        <v>https://www.facebook.com/mrtexpertrnd/photos/a.565935020817465/777041273040171/?type=3</v>
      </c>
      <c r="H1274" t="s">
        <v>885</v>
      </c>
      <c r="I1274" t="s">
        <v>125</v>
      </c>
      <c r="J1274" t="str">
        <f>HYPERLINK("https://www.facebook.com/156600068417631")</f>
        <v>https://www.facebook.com/156600068417631</v>
      </c>
      <c r="K1274">
        <v>236</v>
      </c>
      <c r="L1274" t="s">
        <v>28</v>
      </c>
      <c r="N1274" t="s">
        <v>179</v>
      </c>
      <c r="O1274" t="s">
        <v>125</v>
      </c>
      <c r="P1274" t="str">
        <f>HYPERLINK("https://www.facebook.com/156600068417631")</f>
        <v>https://www.facebook.com/156600068417631</v>
      </c>
      <c r="Q1274">
        <v>236</v>
      </c>
      <c r="R1274" t="s">
        <v>17</v>
      </c>
      <c r="S1274" t="s">
        <v>18</v>
      </c>
      <c r="T1274" t="s">
        <v>126</v>
      </c>
      <c r="U1274" t="s">
        <v>127</v>
      </c>
      <c r="W1274">
        <v>0</v>
      </c>
      <c r="X1274">
        <v>0</v>
      </c>
      <c r="Y1274">
        <v>0</v>
      </c>
      <c r="Z1274">
        <v>0</v>
      </c>
      <c r="AA1274">
        <v>0</v>
      </c>
      <c r="AB1274">
        <v>0</v>
      </c>
      <c r="AC1274">
        <v>0</v>
      </c>
      <c r="AE1274">
        <v>0</v>
      </c>
      <c r="AI1274" t="str">
        <f>HYPERLINK("https://scontent-hel2-1.xx.fbcdn.net/v/t1.0-0/p526x296/109808065_777041276373504_6550090215416104978_o.jpg?_nc_cat=108&amp;_nc_sid=9267fe&amp;_nc_ohc=XS3D1FURNCQAX9jw903&amp;_nc_ht=scontent-hel2-1.xx&amp;_nc_tp=6&amp;oh=0b0b6031eb229f1724c5426a0da86eac&amp;oe=5F396C06")</f>
        <v>https://scontent-hel2-1.xx.fbcdn.net/v/t1.0-0/p526x296/109808065_777041276373504_6550090215416104978_o.jpg?_nc_cat=108&amp;_nc_sid=9267fe&amp;_nc_ohc=XS3D1FURNCQAX9jw903&amp;_nc_ht=scontent-hel2-1.xx&amp;_nc_tp=6&amp;oh=0b0b6031eb229f1724c5426a0da86eac&amp;oe=5F396C06</v>
      </c>
      <c r="AJ1274" t="s">
        <v>10</v>
      </c>
      <c r="AK1274" t="s">
        <v>21</v>
      </c>
      <c r="AM1274" t="s">
        <v>3238</v>
      </c>
    </row>
    <row r="1275" spans="1:39" x14ac:dyDescent="0.25">
      <c r="A1275" t="s">
        <v>2380</v>
      </c>
      <c r="B1275" t="s">
        <v>2421</v>
      </c>
      <c r="C1275" t="s">
        <v>968</v>
      </c>
      <c r="D1275" t="s">
        <v>10</v>
      </c>
      <c r="E1275" t="s">
        <v>2422</v>
      </c>
      <c r="F1275" t="s">
        <v>45</v>
      </c>
      <c r="G1275" t="str">
        <f>HYPERLINK("https://twitter.com/2978272340/status/1284656624154447872")</f>
        <v>https://twitter.com/2978272340/status/1284656624154447872</v>
      </c>
      <c r="H1275" t="s">
        <v>885</v>
      </c>
      <c r="I1275" t="s">
        <v>2423</v>
      </c>
      <c r="J1275" t="str">
        <f>HYPERLINK("http://twitter.com/Rasyog_Ayurved")</f>
        <v>http://twitter.com/Rasyog_Ayurved</v>
      </c>
      <c r="K1275">
        <v>1</v>
      </c>
      <c r="N1275" t="s">
        <v>54</v>
      </c>
      <c r="R1275" t="s">
        <v>17</v>
      </c>
      <c r="S1275" t="s">
        <v>1206</v>
      </c>
      <c r="T1275" t="s">
        <v>1250</v>
      </c>
      <c r="U1275" t="s">
        <v>2424</v>
      </c>
      <c r="W1275">
        <v>0</v>
      </c>
      <c r="X1275">
        <v>0</v>
      </c>
      <c r="AF1275">
        <v>0</v>
      </c>
      <c r="AI1275" t="str">
        <f>HYPERLINK("https://pbs.twimg.com/media/EdQEWGrU8AAaJa4.png")</f>
        <v>https://pbs.twimg.com/media/EdQEWGrU8AAaJa4.png</v>
      </c>
      <c r="AJ1275" t="s">
        <v>10</v>
      </c>
      <c r="AK1275" t="s">
        <v>21</v>
      </c>
      <c r="AM1275" t="s">
        <v>3238</v>
      </c>
    </row>
    <row r="1276" spans="1:39" x14ac:dyDescent="0.25">
      <c r="A1276" t="s">
        <v>2428</v>
      </c>
      <c r="B1276" t="s">
        <v>2458</v>
      </c>
      <c r="C1276" t="s">
        <v>968</v>
      </c>
      <c r="D1276" t="s">
        <v>10</v>
      </c>
      <c r="E1276" t="s">
        <v>2459</v>
      </c>
      <c r="F1276" t="s">
        <v>12</v>
      </c>
      <c r="G1276" t="str">
        <f>HYPERLINK("https://vk.com/wall-83608935_3012")</f>
        <v>https://vk.com/wall-83608935_3012</v>
      </c>
      <c r="H1276" t="s">
        <v>889</v>
      </c>
      <c r="I1276" t="s">
        <v>2460</v>
      </c>
      <c r="J1276" t="str">
        <f>HYPERLINK("http://vk.com/club83608935")</f>
        <v>http://vk.com/club83608935</v>
      </c>
      <c r="K1276">
        <v>991</v>
      </c>
      <c r="L1276" t="s">
        <v>28</v>
      </c>
      <c r="N1276" t="s">
        <v>16</v>
      </c>
      <c r="O1276" t="s">
        <v>2460</v>
      </c>
      <c r="P1276" t="str">
        <f>HYPERLINK("http://vk.com/club83608935")</f>
        <v>http://vk.com/club83608935</v>
      </c>
      <c r="Q1276">
        <v>991</v>
      </c>
      <c r="R1276" t="s">
        <v>17</v>
      </c>
      <c r="S1276" t="s">
        <v>18</v>
      </c>
      <c r="T1276" t="s">
        <v>248</v>
      </c>
      <c r="U1276" t="s">
        <v>249</v>
      </c>
      <c r="AI1276" t="str">
        <f>HYPERLINK("https://sun9-74.userapi.com/ydz99I9PDKCjQc6mo-zqon1L9qeXzV50_DZiIg/u86OZE97qYk.jpg")</f>
        <v>https://sun9-74.userapi.com/ydz99I9PDKCjQc6mo-zqon1L9qeXzV50_DZiIg/u86OZE97qYk.jpg</v>
      </c>
      <c r="AJ1276" t="s">
        <v>10</v>
      </c>
      <c r="AK1276" t="s">
        <v>21</v>
      </c>
      <c r="AL1276" t="s">
        <v>3237</v>
      </c>
      <c r="AM1276" t="s">
        <v>3238</v>
      </c>
    </row>
    <row r="1277" spans="1:39" x14ac:dyDescent="0.25">
      <c r="A1277" t="s">
        <v>2865</v>
      </c>
      <c r="B1277" t="s">
        <v>2871</v>
      </c>
      <c r="C1277" t="s">
        <v>968</v>
      </c>
      <c r="D1277" t="s">
        <v>10</v>
      </c>
      <c r="E1277" t="s">
        <v>2872</v>
      </c>
      <c r="F1277" t="s">
        <v>45</v>
      </c>
      <c r="G1277" t="str">
        <f>HYPERLINK("https://www.instagram.com/p/CCi6P1bqLiX")</f>
        <v>https://www.instagram.com/p/CCi6P1bqLiX</v>
      </c>
      <c r="H1277" t="s">
        <v>885</v>
      </c>
      <c r="I1277" t="s">
        <v>2873</v>
      </c>
      <c r="J1277" t="str">
        <f>HYPERLINK("http://instagram.com/niyaz_rakhman")</f>
        <v>http://instagram.com/niyaz_rakhman</v>
      </c>
      <c r="K1277">
        <v>16424</v>
      </c>
      <c r="L1277" t="s">
        <v>15</v>
      </c>
      <c r="N1277" t="s">
        <v>69</v>
      </c>
      <c r="O1277" t="s">
        <v>2873</v>
      </c>
      <c r="P1277" t="str">
        <f>HYPERLINK("http://instagram.com/niyaz_rakhman")</f>
        <v>http://instagram.com/niyaz_rakhman</v>
      </c>
      <c r="Q1277">
        <v>16424</v>
      </c>
      <c r="R1277" t="s">
        <v>17</v>
      </c>
      <c r="S1277" t="s">
        <v>18</v>
      </c>
      <c r="T1277" t="s">
        <v>2874</v>
      </c>
      <c r="U1277" t="s">
        <v>2875</v>
      </c>
      <c r="AI1277" t="str">
        <f>HYPERLINK("https://www.instagram.com/p/CCi6P1bqLiX/media/?size=l")</f>
        <v>https://www.instagram.com/p/CCi6P1bqLiX/media/?size=l</v>
      </c>
      <c r="AJ1277" t="s">
        <v>10</v>
      </c>
      <c r="AK1277" t="s">
        <v>21</v>
      </c>
      <c r="AL1277" t="s">
        <v>3237</v>
      </c>
    </row>
    <row r="1278" spans="1:39" x14ac:dyDescent="0.25">
      <c r="A1278" t="s">
        <v>2865</v>
      </c>
      <c r="B1278" t="s">
        <v>2905</v>
      </c>
      <c r="C1278" t="s">
        <v>968</v>
      </c>
      <c r="D1278" t="s">
        <v>10</v>
      </c>
      <c r="E1278" t="s">
        <v>2906</v>
      </c>
      <c r="F1278" t="s">
        <v>45</v>
      </c>
      <c r="G1278" t="str">
        <f>HYPERLINK("https://twitter.com/364004647/status/1282066944930324482")</f>
        <v>https://twitter.com/364004647/status/1282066944930324482</v>
      </c>
      <c r="H1278" t="s">
        <v>885</v>
      </c>
      <c r="I1278" t="s">
        <v>2907</v>
      </c>
      <c r="J1278" t="str">
        <f>HYPERLINK("http://twitter.com/sttomper")</f>
        <v>http://twitter.com/sttomper</v>
      </c>
      <c r="K1278">
        <v>42</v>
      </c>
      <c r="N1278" t="s">
        <v>54</v>
      </c>
      <c r="R1278" t="s">
        <v>17</v>
      </c>
      <c r="S1278" t="s">
        <v>425</v>
      </c>
      <c r="T1278" t="s">
        <v>2908</v>
      </c>
      <c r="U1278" t="s">
        <v>2909</v>
      </c>
      <c r="W1278">
        <v>0</v>
      </c>
      <c r="X1278">
        <v>0</v>
      </c>
      <c r="AF1278">
        <v>0</v>
      </c>
      <c r="AJ1278" t="s">
        <v>10</v>
      </c>
      <c r="AK1278" t="s">
        <v>21</v>
      </c>
      <c r="AL1278" t="s">
        <v>3237</v>
      </c>
    </row>
    <row r="1279" spans="1:39" x14ac:dyDescent="0.25">
      <c r="A1279" t="s">
        <v>2915</v>
      </c>
      <c r="B1279" t="s">
        <v>2965</v>
      </c>
      <c r="C1279" t="s">
        <v>968</v>
      </c>
      <c r="D1279" t="s">
        <v>2966</v>
      </c>
      <c r="E1279" t="s">
        <v>2967</v>
      </c>
      <c r="F1279" t="s">
        <v>45</v>
      </c>
      <c r="G1279" t="str">
        <f>HYPERLINK("https://www.google.com/maps/reviews/data=!4m5!14m4!1m3!1m2!1s117710659874242613112!2s0x0:0x3d9677cb1e4a1bce?hl=en-NL")</f>
        <v>https://www.google.com/maps/reviews/data=!4m5!14m4!1m3!1m2!1s117710659874242613112!2s0x0:0x3d9677cb1e4a1bce?hl=en-NL</v>
      </c>
      <c r="H1279" t="s">
        <v>889</v>
      </c>
      <c r="I1279" t="s">
        <v>2968</v>
      </c>
      <c r="J1279" t="str">
        <f>HYPERLINK("https://maps.google.com/maps/contrib/117710659874242613112")</f>
        <v>https://maps.google.com/maps/contrib/117710659874242613112</v>
      </c>
      <c r="N1279" t="s">
        <v>615</v>
      </c>
      <c r="O1279" t="s">
        <v>2966</v>
      </c>
      <c r="P1279" t="str">
        <f>HYPERLINK("https://maps.google.com/maps/place/data=!3m1!4b1!4m5!3m4!1s0x0:0x3d9677cb1e4a1bce!8m2!3d45.498600!4d-73.706570")</f>
        <v>https://maps.google.com/maps/place/data=!3m1!4b1!4m5!3m4!1s0x0:0x3d9677cb1e4a1bce!8m2!3d45.498600!4d-73.706570</v>
      </c>
      <c r="R1279" t="s">
        <v>616</v>
      </c>
      <c r="S1279" t="s">
        <v>1165</v>
      </c>
      <c r="T1279" t="s">
        <v>2969</v>
      </c>
      <c r="U1279" t="s">
        <v>2970</v>
      </c>
      <c r="AH1279">
        <v>5</v>
      </c>
      <c r="AJ1279" t="s">
        <v>10</v>
      </c>
      <c r="AK1279" t="s">
        <v>21</v>
      </c>
      <c r="AL1279" t="s">
        <v>3237</v>
      </c>
    </row>
    <row r="1280" spans="1:39" x14ac:dyDescent="0.25">
      <c r="A1280" t="s">
        <v>3021</v>
      </c>
      <c r="B1280" t="s">
        <v>3039</v>
      </c>
      <c r="C1280" t="s">
        <v>968</v>
      </c>
      <c r="D1280" t="s">
        <v>10</v>
      </c>
      <c r="E1280" t="s">
        <v>3040</v>
      </c>
      <c r="F1280" t="s">
        <v>26</v>
      </c>
      <c r="G1280" t="str">
        <f>HYPERLINK("https://twitter.com/1271279517831696384/status/1281281761457188866")</f>
        <v>https://twitter.com/1271279517831696384/status/1281281761457188866</v>
      </c>
      <c r="H1280" t="s">
        <v>885</v>
      </c>
      <c r="I1280" t="s">
        <v>3041</v>
      </c>
      <c r="J1280" t="str">
        <f>HYPERLINK("http://twitter.com/Stephan22606190")</f>
        <v>http://twitter.com/Stephan22606190</v>
      </c>
      <c r="K1280">
        <v>16</v>
      </c>
      <c r="N1280" t="s">
        <v>54</v>
      </c>
      <c r="R1280" t="s">
        <v>17</v>
      </c>
      <c r="W1280">
        <v>0</v>
      </c>
      <c r="X1280">
        <v>0</v>
      </c>
      <c r="AF1280">
        <v>0</v>
      </c>
      <c r="AJ1280" t="s">
        <v>10</v>
      </c>
      <c r="AK1280" t="s">
        <v>21</v>
      </c>
      <c r="AL1280" t="s">
        <v>3237</v>
      </c>
    </row>
    <row r="1281" spans="1:49" x14ac:dyDescent="0.25">
      <c r="A1281" t="s">
        <v>7</v>
      </c>
      <c r="B1281" t="s">
        <v>195</v>
      </c>
      <c r="C1281" t="s">
        <v>196</v>
      </c>
      <c r="D1281" t="s">
        <v>10</v>
      </c>
      <c r="E1281" t="s">
        <v>198</v>
      </c>
      <c r="F1281" t="s">
        <v>45</v>
      </c>
      <c r="G1281" t="str">
        <f>HYPERLINK("https://vk.com/wall-29869354_118769")</f>
        <v>https://vk.com/wall-29869354_118769</v>
      </c>
      <c r="H1281" t="s">
        <v>13</v>
      </c>
      <c r="I1281" t="s">
        <v>199</v>
      </c>
      <c r="J1281" t="str">
        <f>HYPERLINK("http://vk.com/club29869354")</f>
        <v>http://vk.com/club29869354</v>
      </c>
      <c r="K1281">
        <v>3291</v>
      </c>
      <c r="L1281" t="s">
        <v>28</v>
      </c>
      <c r="N1281" t="s">
        <v>16</v>
      </c>
      <c r="O1281" t="s">
        <v>199</v>
      </c>
      <c r="P1281" t="str">
        <f>HYPERLINK("http://vk.com/club29869354")</f>
        <v>http://vk.com/club29869354</v>
      </c>
      <c r="Q1281">
        <v>3291</v>
      </c>
      <c r="R1281" t="s">
        <v>17</v>
      </c>
      <c r="AJ1281" t="s">
        <v>10</v>
      </c>
      <c r="AK1281" t="s">
        <v>21</v>
      </c>
    </row>
    <row r="1282" spans="1:49" x14ac:dyDescent="0.25">
      <c r="A1282" t="s">
        <v>414</v>
      </c>
      <c r="B1282" t="s">
        <v>450</v>
      </c>
      <c r="C1282" t="s">
        <v>451</v>
      </c>
      <c r="D1282" t="s">
        <v>24</v>
      </c>
      <c r="E1282" t="s">
        <v>453</v>
      </c>
      <c r="F1282" t="s">
        <v>26</v>
      </c>
      <c r="G1282" t="str">
        <f>HYPERLINK("https://vk.com/wall-197114981_31?reply=1266")</f>
        <v>https://vk.com/wall-197114981_31?reply=1266</v>
      </c>
      <c r="H1282" t="s">
        <v>13</v>
      </c>
      <c r="I1282" t="s">
        <v>454</v>
      </c>
      <c r="J1282" t="str">
        <f>HYPERLINK("http://vk.com/id188590236")</f>
        <v>http://vk.com/id188590236</v>
      </c>
      <c r="K1282">
        <v>199</v>
      </c>
      <c r="L1282" t="s">
        <v>80</v>
      </c>
      <c r="N1282" t="s">
        <v>16</v>
      </c>
      <c r="O1282" t="s">
        <v>27</v>
      </c>
      <c r="P1282" t="str">
        <f>HYPERLINK("http://vk.com/club197114981")</f>
        <v>http://vk.com/club197114981</v>
      </c>
      <c r="Q1282">
        <v>38</v>
      </c>
      <c r="R1282" t="s">
        <v>17</v>
      </c>
      <c r="S1282" t="s">
        <v>18</v>
      </c>
      <c r="T1282" t="s">
        <v>231</v>
      </c>
      <c r="U1282" t="s">
        <v>232</v>
      </c>
      <c r="AJ1282" t="s">
        <v>10</v>
      </c>
      <c r="AK1282" t="s">
        <v>21</v>
      </c>
    </row>
    <row r="1283" spans="1:49" x14ac:dyDescent="0.25">
      <c r="A1283" t="s">
        <v>414</v>
      </c>
      <c r="B1283" t="s">
        <v>500</v>
      </c>
      <c r="C1283" t="s">
        <v>501</v>
      </c>
      <c r="D1283" t="s">
        <v>24</v>
      </c>
      <c r="E1283" t="s">
        <v>502</v>
      </c>
      <c r="F1283" t="s">
        <v>26</v>
      </c>
      <c r="G1283" t="str">
        <f>HYPERLINK("https://vk.com/wall-197114981_31?reply=1245&amp;thread=1098")</f>
        <v>https://vk.com/wall-197114981_31?reply=1245&amp;thread=1098</v>
      </c>
      <c r="H1283" t="s">
        <v>13</v>
      </c>
      <c r="I1283" t="s">
        <v>27</v>
      </c>
      <c r="J1283" t="str">
        <f>HYPERLINK("http://vk.com/club197114981")</f>
        <v>http://vk.com/club197114981</v>
      </c>
      <c r="K1283">
        <v>38</v>
      </c>
      <c r="L1283" t="s">
        <v>28</v>
      </c>
      <c r="N1283" t="s">
        <v>16</v>
      </c>
      <c r="O1283" t="s">
        <v>27</v>
      </c>
      <c r="P1283" t="str">
        <f>HYPERLINK("http://vk.com/club197114981")</f>
        <v>http://vk.com/club197114981</v>
      </c>
      <c r="Q1283">
        <v>38</v>
      </c>
      <c r="R1283" t="s">
        <v>17</v>
      </c>
      <c r="AJ1283" t="s">
        <v>10</v>
      </c>
      <c r="AK1283" t="s">
        <v>21</v>
      </c>
    </row>
    <row r="1284" spans="1:49" x14ac:dyDescent="0.25">
      <c r="A1284" t="s">
        <v>772</v>
      </c>
      <c r="B1284" t="s">
        <v>845</v>
      </c>
      <c r="C1284" t="s">
        <v>846</v>
      </c>
      <c r="D1284" t="s">
        <v>10</v>
      </c>
      <c r="E1284" t="s">
        <v>847</v>
      </c>
      <c r="F1284" t="s">
        <v>45</v>
      </c>
      <c r="G1284" t="str">
        <f>HYPERLINK("https://www.facebook.com/permalink.php?story_fbid=640034786606311&amp;id=322395258370267")</f>
        <v>https://www.facebook.com/permalink.php?story_fbid=640034786606311&amp;id=322395258370267</v>
      </c>
      <c r="H1284" t="s">
        <v>13</v>
      </c>
      <c r="I1284" t="s">
        <v>848</v>
      </c>
      <c r="J1284" t="str">
        <f>HYPERLINK("https://www.facebook.com/322395258370267")</f>
        <v>https://www.facebook.com/322395258370267</v>
      </c>
      <c r="K1284">
        <v>316</v>
      </c>
      <c r="L1284" t="s">
        <v>28</v>
      </c>
      <c r="N1284" t="s">
        <v>179</v>
      </c>
      <c r="O1284" t="s">
        <v>848</v>
      </c>
      <c r="P1284" t="str">
        <f>HYPERLINK("https://www.facebook.com/322395258370267")</f>
        <v>https://www.facebook.com/322395258370267</v>
      </c>
      <c r="Q1284">
        <v>316</v>
      </c>
      <c r="R1284" t="s">
        <v>17</v>
      </c>
      <c r="S1284" t="s">
        <v>18</v>
      </c>
      <c r="T1284" t="s">
        <v>354</v>
      </c>
      <c r="U1284" t="s">
        <v>354</v>
      </c>
      <c r="W1284">
        <v>2</v>
      </c>
      <c r="X1284">
        <v>2</v>
      </c>
      <c r="Y1284">
        <v>0</v>
      </c>
      <c r="Z1284">
        <v>0</v>
      </c>
      <c r="AA1284">
        <v>0</v>
      </c>
      <c r="AB1284">
        <v>0</v>
      </c>
      <c r="AC1284">
        <v>0</v>
      </c>
      <c r="AE1284">
        <v>0</v>
      </c>
      <c r="AF1284">
        <v>0</v>
      </c>
      <c r="AI1284" t="str">
        <f>HYPERLINK("https://scontent-hel2-1.xx.fbcdn.net/v/t1.0-0/p526x296/117237070_640034763272980_8136047363239012806_o.jpg?_nc_cat=101&amp;_nc_sid=8bfeb9&amp;_nc_ohc=-sH5bfYfYYYAX8z9ATM&amp;_nc_ht=scontent-hel2-1.xx&amp;_nc_tp=6&amp;oh=40fe59e1854725d8ffb3e7602ca2e995&amp;oe=5F55DDCF")</f>
        <v>https://scontent-hel2-1.xx.fbcdn.net/v/t1.0-0/p526x296/117237070_640034763272980_8136047363239012806_o.jpg?_nc_cat=101&amp;_nc_sid=8bfeb9&amp;_nc_ohc=-sH5bfYfYYYAX8z9ATM&amp;_nc_ht=scontent-hel2-1.xx&amp;_nc_tp=6&amp;oh=40fe59e1854725d8ffb3e7602ca2e995&amp;oe=5F55DDCF</v>
      </c>
      <c r="AJ1284" t="s">
        <v>10</v>
      </c>
      <c r="AK1284" t="s">
        <v>21</v>
      </c>
    </row>
    <row r="1285" spans="1:49" x14ac:dyDescent="0.25">
      <c r="A1285" t="s">
        <v>1277</v>
      </c>
      <c r="B1285" t="s">
        <v>432</v>
      </c>
      <c r="C1285" t="s">
        <v>984</v>
      </c>
      <c r="D1285" t="s">
        <v>10</v>
      </c>
      <c r="E1285" t="s">
        <v>1278</v>
      </c>
      <c r="F1285" t="s">
        <v>45</v>
      </c>
      <c r="G1285" t="str">
        <f>HYPERLINK("https://vk.com/wall-8241837_1312")</f>
        <v>https://vk.com/wall-8241837_1312</v>
      </c>
      <c r="H1285" t="s">
        <v>885</v>
      </c>
      <c r="I1285" t="s">
        <v>1058</v>
      </c>
      <c r="J1285" t="str">
        <f>HYPERLINK("http://vk.com/id71191578")</f>
        <v>http://vk.com/id71191578</v>
      </c>
      <c r="K1285">
        <v>1008</v>
      </c>
      <c r="L1285" t="s">
        <v>15</v>
      </c>
      <c r="M1285">
        <v>55</v>
      </c>
      <c r="N1285" t="s">
        <v>16</v>
      </c>
      <c r="O1285" t="s">
        <v>1279</v>
      </c>
      <c r="P1285" t="str">
        <f>HYPERLINK("http://vk.com/club8241837")</f>
        <v>http://vk.com/club8241837</v>
      </c>
      <c r="Q1285">
        <v>3195</v>
      </c>
      <c r="R1285" t="s">
        <v>17</v>
      </c>
      <c r="S1285" t="s">
        <v>18</v>
      </c>
      <c r="T1285" t="s">
        <v>1060</v>
      </c>
      <c r="U1285" t="s">
        <v>1061</v>
      </c>
      <c r="W1285">
        <v>1</v>
      </c>
      <c r="X1285">
        <v>1</v>
      </c>
      <c r="AE1285">
        <v>0</v>
      </c>
      <c r="AF1285">
        <v>0</v>
      </c>
      <c r="AJ1285" t="s">
        <v>10</v>
      </c>
      <c r="AK1285" t="s">
        <v>21</v>
      </c>
      <c r="AL1285" t="s">
        <v>3237</v>
      </c>
    </row>
    <row r="1286" spans="1:49" x14ac:dyDescent="0.25">
      <c r="A1286" t="s">
        <v>1277</v>
      </c>
      <c r="B1286" t="s">
        <v>879</v>
      </c>
      <c r="C1286" t="s">
        <v>984</v>
      </c>
      <c r="D1286" t="s">
        <v>1288</v>
      </c>
      <c r="E1286" t="s">
        <v>1289</v>
      </c>
      <c r="F1286" t="s">
        <v>45</v>
      </c>
      <c r="G1286" t="str">
        <f>HYPERLINK("http://www.colorado4x4.org/vbb/showthread.php?221808-Pandemic!-2020-and-the-COVID-19-virus/page19")</f>
        <v>http://www.colorado4x4.org/vbb/showthread.php?221808-Pandemic!-2020-and-the-COVID-19-virus/page19</v>
      </c>
      <c r="H1286" t="s">
        <v>885</v>
      </c>
      <c r="I1286" t="s">
        <v>1290</v>
      </c>
      <c r="J1286" t="str">
        <f>HYPERLINK("http://www.colorado4x4.org/vbb/member.php?1416-ASCTLC")</f>
        <v>http://www.colorado4x4.org/vbb/member.php?1416-ASCTLC</v>
      </c>
      <c r="N1286" t="s">
        <v>1291</v>
      </c>
      <c r="O1286" t="s">
        <v>1292</v>
      </c>
      <c r="P1286" t="str">
        <f>HYPERLINK("http://www.colorado4x4.org/vbb/forumdisplay.php?15-General-Chit-Chat")</f>
        <v>http://www.colorado4x4.org/vbb/forumdisplay.php?15-General-Chit-Chat</v>
      </c>
      <c r="R1286" t="s">
        <v>1293</v>
      </c>
      <c r="S1286" t="s">
        <v>425</v>
      </c>
      <c r="T1286" t="s">
        <v>1294</v>
      </c>
      <c r="U1286" t="s">
        <v>1295</v>
      </c>
      <c r="AJ1286" t="s">
        <v>10</v>
      </c>
      <c r="AK1286" t="s">
        <v>21</v>
      </c>
    </row>
    <row r="1287" spans="1:49" x14ac:dyDescent="0.25">
      <c r="A1287" t="s">
        <v>1838</v>
      </c>
      <c r="B1287" t="s">
        <v>42</v>
      </c>
      <c r="C1287" t="s">
        <v>984</v>
      </c>
      <c r="D1287" t="s">
        <v>10</v>
      </c>
      <c r="E1287" t="s">
        <v>1878</v>
      </c>
      <c r="F1287" t="s">
        <v>45</v>
      </c>
      <c r="G1287" t="str">
        <f>HYPERLINK("https://www.facebook.com/mriexpert/photos/a.902990326434112/3221118834621238/?type=3")</f>
        <v>https://www.facebook.com/mriexpert/photos/a.902990326434112/3221118834621238/?type=3</v>
      </c>
      <c r="H1287" t="s">
        <v>885</v>
      </c>
      <c r="I1287" t="s">
        <v>46</v>
      </c>
      <c r="J1287" t="str">
        <f>HYPERLINK("https://www.facebook.com/902980129768465")</f>
        <v>https://www.facebook.com/902980129768465</v>
      </c>
      <c r="K1287">
        <v>1509</v>
      </c>
      <c r="L1287" t="s">
        <v>28</v>
      </c>
      <c r="N1287" t="s">
        <v>179</v>
      </c>
      <c r="O1287" t="s">
        <v>46</v>
      </c>
      <c r="P1287" t="str">
        <f>HYPERLINK("https://www.facebook.com/902980129768465")</f>
        <v>https://www.facebook.com/902980129768465</v>
      </c>
      <c r="Q1287">
        <v>1509</v>
      </c>
      <c r="R1287" t="s">
        <v>17</v>
      </c>
      <c r="W1287">
        <v>4</v>
      </c>
      <c r="X1287">
        <v>4</v>
      </c>
      <c r="Y1287">
        <v>0</v>
      </c>
      <c r="Z1287">
        <v>0</v>
      </c>
      <c r="AA1287">
        <v>0</v>
      </c>
      <c r="AB1287">
        <v>0</v>
      </c>
      <c r="AC1287">
        <v>0</v>
      </c>
      <c r="AE1287">
        <v>0</v>
      </c>
      <c r="AF1287">
        <v>1</v>
      </c>
      <c r="AI1287" t="str">
        <f>HYPERLINK("https://scontent-hel2-1.xx.fbcdn.net/v/t1.0-9/s960x960/116353134_3221118844621237_8932285977208812098_o.jpg?_nc_cat=107&amp;_nc_sid=9267fe&amp;_nc_ohc=pgN1ln_qtVAAX-XxpK_&amp;_nc_ht=scontent-hel2-1.xx&amp;_nc_tp=7&amp;oh=1120461fa34aa57f22d290aa30f92b04&amp;oe=5F4700EB")</f>
        <v>https://scontent-hel2-1.xx.fbcdn.net/v/t1.0-9/s960x960/116353134_3221118844621237_8932285977208812098_o.jpg?_nc_cat=107&amp;_nc_sid=9267fe&amp;_nc_ohc=pgN1ln_qtVAAX-XxpK_&amp;_nc_ht=scontent-hel2-1.xx&amp;_nc_tp=7&amp;oh=1120461fa34aa57f22d290aa30f92b04&amp;oe=5F4700EB</v>
      </c>
      <c r="AJ1287" t="s">
        <v>10</v>
      </c>
      <c r="AK1287" t="s">
        <v>21</v>
      </c>
    </row>
    <row r="1288" spans="1:49" x14ac:dyDescent="0.25">
      <c r="A1288" t="s">
        <v>2428</v>
      </c>
      <c r="B1288" t="s">
        <v>81</v>
      </c>
      <c r="C1288" t="s">
        <v>968</v>
      </c>
      <c r="D1288" t="s">
        <v>10</v>
      </c>
      <c r="E1288" t="s">
        <v>2455</v>
      </c>
      <c r="F1288" t="s">
        <v>45</v>
      </c>
      <c r="G1288" t="str">
        <f>HYPERLINK("https://www.facebook.com/116925858367427/posts/3209792179080764")</f>
        <v>https://www.facebook.com/116925858367427/posts/3209792179080764</v>
      </c>
      <c r="H1288" t="s">
        <v>885</v>
      </c>
      <c r="I1288" t="s">
        <v>2456</v>
      </c>
      <c r="J1288" t="str">
        <f>HYPERLINK("https://www.facebook.com/116925858367427")</f>
        <v>https://www.facebook.com/116925858367427</v>
      </c>
      <c r="K1288">
        <v>9660</v>
      </c>
      <c r="L1288" t="s">
        <v>28</v>
      </c>
      <c r="N1288" t="s">
        <v>179</v>
      </c>
      <c r="O1288" t="s">
        <v>2456</v>
      </c>
      <c r="P1288" t="str">
        <f>HYPERLINK("https://www.facebook.com/116925858367427")</f>
        <v>https://www.facebook.com/116925858367427</v>
      </c>
      <c r="Q1288">
        <v>9660</v>
      </c>
      <c r="R1288" t="s">
        <v>17</v>
      </c>
      <c r="S1288" t="s">
        <v>671</v>
      </c>
      <c r="T1288" t="s">
        <v>2126</v>
      </c>
      <c r="U1288" t="s">
        <v>2131</v>
      </c>
      <c r="W1288">
        <v>3</v>
      </c>
      <c r="X1288">
        <v>3</v>
      </c>
      <c r="Y1288">
        <v>0</v>
      </c>
      <c r="Z1288">
        <v>0</v>
      </c>
      <c r="AA1288">
        <v>0</v>
      </c>
      <c r="AB1288">
        <v>0</v>
      </c>
      <c r="AC1288">
        <v>0</v>
      </c>
      <c r="AE1288">
        <v>0</v>
      </c>
      <c r="AI1288" t="str">
        <f>HYPERLINK("https://external-cdt1-1.xx.fbcdn.net/safe_image.php?d=AQA7nxOk2Y_VXupj&amp;url=https%3A%2F%2Fwww.theprivateclinic.co.uk%2Fwp-content%2Fuploads%2Ftreatment-liposuction-the-private-clinic.jpg&amp;_nc_hash=AQA9Acri6yH8aOrK")</f>
        <v>https://external-cdt1-1.xx.fbcdn.net/safe_image.php?d=AQA7nxOk2Y_VXupj&amp;url=https%3A%2F%2Fwww.theprivateclinic.co.uk%2Fwp-content%2Fuploads%2Ftreatment-liposuction-the-private-clinic.jpg&amp;_nc_hash=AQA9Acri6yH8aOrK</v>
      </c>
      <c r="AJ1288" t="s">
        <v>10</v>
      </c>
      <c r="AK1288" t="s">
        <v>21</v>
      </c>
    </row>
    <row r="1289" spans="1:49" x14ac:dyDescent="0.25">
      <c r="A1289" t="s">
        <v>2428</v>
      </c>
      <c r="B1289" t="s">
        <v>1189</v>
      </c>
      <c r="C1289" t="s">
        <v>968</v>
      </c>
      <c r="D1289" t="s">
        <v>10</v>
      </c>
      <c r="E1289" t="s">
        <v>2457</v>
      </c>
      <c r="F1289" t="s">
        <v>45</v>
      </c>
      <c r="G1289" t="str">
        <f>HYPERLINK("https://vk.com/wall-158633337_932")</f>
        <v>https://vk.com/wall-158633337_932</v>
      </c>
      <c r="H1289" t="s">
        <v>889</v>
      </c>
      <c r="I1289" t="s">
        <v>125</v>
      </c>
      <c r="J1289" t="str">
        <f>HYPERLINK("http://vk.com/club158633337")</f>
        <v>http://vk.com/club158633337</v>
      </c>
      <c r="K1289">
        <v>4852</v>
      </c>
      <c r="L1289" t="s">
        <v>28</v>
      </c>
      <c r="N1289" t="s">
        <v>16</v>
      </c>
      <c r="O1289" t="s">
        <v>125</v>
      </c>
      <c r="P1289" t="str">
        <f>HYPERLINK("http://vk.com/club158633337")</f>
        <v>http://vk.com/club158633337</v>
      </c>
      <c r="Q1289">
        <v>4852</v>
      </c>
      <c r="R1289" t="s">
        <v>17</v>
      </c>
      <c r="S1289" t="s">
        <v>18</v>
      </c>
      <c r="T1289" t="s">
        <v>126</v>
      </c>
      <c r="U1289" t="s">
        <v>127</v>
      </c>
      <c r="W1289">
        <v>0</v>
      </c>
      <c r="X1289">
        <v>0</v>
      </c>
      <c r="AE1289">
        <v>0</v>
      </c>
      <c r="AF1289">
        <v>0</v>
      </c>
      <c r="AG1289">
        <v>112</v>
      </c>
      <c r="AI1289" t="str">
        <f>HYPERLINK("https://sun1-98.userapi.com/wCnA8m6OGZ3dSEaJ60oIXuef6fFeuaMA7lNDxg/zY3g9Pk0Cso.jpg")</f>
        <v>https://sun1-98.userapi.com/wCnA8m6OGZ3dSEaJ60oIXuef6fFeuaMA7lNDxg/zY3g9Pk0Cso.jpg</v>
      </c>
      <c r="AJ1289" t="s">
        <v>10</v>
      </c>
      <c r="AK1289" t="s">
        <v>21</v>
      </c>
    </row>
    <row r="1290" spans="1:49" x14ac:dyDescent="0.25">
      <c r="A1290" t="s">
        <v>2767</v>
      </c>
      <c r="B1290" t="s">
        <v>2820</v>
      </c>
      <c r="C1290" t="s">
        <v>968</v>
      </c>
      <c r="D1290" t="s">
        <v>10</v>
      </c>
      <c r="E1290" t="s">
        <v>2812</v>
      </c>
      <c r="F1290" t="s">
        <v>45</v>
      </c>
      <c r="G1290" t="str">
        <f>HYPERLINK("https://vk.com/wall-195419356_2863")</f>
        <v>https://vk.com/wall-195419356_2863</v>
      </c>
      <c r="H1290" t="s">
        <v>1057</v>
      </c>
      <c r="I1290" t="s">
        <v>2821</v>
      </c>
      <c r="J1290" t="str">
        <f>HYPERLINK("http://vk.com/club195419356")</f>
        <v>http://vk.com/club195419356</v>
      </c>
      <c r="K1290">
        <v>23</v>
      </c>
      <c r="L1290" t="s">
        <v>28</v>
      </c>
      <c r="N1290" t="s">
        <v>16</v>
      </c>
      <c r="O1290" t="s">
        <v>2821</v>
      </c>
      <c r="P1290" t="str">
        <f>HYPERLINK("http://vk.com/club195419356")</f>
        <v>http://vk.com/club195419356</v>
      </c>
      <c r="Q1290">
        <v>23</v>
      </c>
      <c r="R1290" t="s">
        <v>17</v>
      </c>
      <c r="W1290">
        <v>0</v>
      </c>
      <c r="X1290">
        <v>0</v>
      </c>
      <c r="AE1290">
        <v>0</v>
      </c>
      <c r="AF1290">
        <v>0</v>
      </c>
      <c r="AG1290">
        <v>1</v>
      </c>
      <c r="AI1290" t="str">
        <f>HYPERLINK("https://sun9-43.userapi.com/c631920/v631920598/32153/bL-zavlYGd8.jpg")</f>
        <v>https://sun9-43.userapi.com/c631920/v631920598/32153/bL-zavlYGd8.jpg</v>
      </c>
      <c r="AJ1290" t="s">
        <v>10</v>
      </c>
      <c r="AK1290" t="s">
        <v>21</v>
      </c>
    </row>
    <row r="1291" spans="1:49" x14ac:dyDescent="0.25">
      <c r="A1291" t="s">
        <v>7</v>
      </c>
      <c r="B1291" t="s">
        <v>302</v>
      </c>
      <c r="C1291" t="s">
        <v>303</v>
      </c>
      <c r="D1291" t="s">
        <v>24</v>
      </c>
      <c r="E1291" t="s">
        <v>305</v>
      </c>
      <c r="F1291" t="s">
        <v>26</v>
      </c>
      <c r="G1291" t="str">
        <f>HYPERLINK("https://vk.com/wall-197114981_31?reply=1340&amp;thread=1335")</f>
        <v>https://vk.com/wall-197114981_31?reply=1340&amp;thread=1335</v>
      </c>
      <c r="H1291" t="s">
        <v>13</v>
      </c>
      <c r="I1291" t="s">
        <v>306</v>
      </c>
      <c r="J1291" t="str">
        <f>HYPERLINK("http://vk.com/id150258338")</f>
        <v>http://vk.com/id150258338</v>
      </c>
      <c r="K1291">
        <v>125</v>
      </c>
      <c r="L1291" t="s">
        <v>15</v>
      </c>
      <c r="N1291" t="s">
        <v>16</v>
      </c>
      <c r="O1291" t="s">
        <v>27</v>
      </c>
      <c r="P1291" t="str">
        <f>HYPERLINK("http://vk.com/club197114981")</f>
        <v>http://vk.com/club197114981</v>
      </c>
      <c r="Q1291">
        <v>38</v>
      </c>
      <c r="R1291" t="s">
        <v>17</v>
      </c>
      <c r="S1291" t="s">
        <v>18</v>
      </c>
      <c r="AJ1291" t="s">
        <v>10</v>
      </c>
      <c r="AK1291" t="s">
        <v>21</v>
      </c>
    </row>
    <row r="1292" spans="1:49" x14ac:dyDescent="0.25">
      <c r="A1292" t="s">
        <v>1017</v>
      </c>
      <c r="B1292" t="s">
        <v>1093</v>
      </c>
      <c r="C1292" t="s">
        <v>984</v>
      </c>
      <c r="D1292" t="s">
        <v>10</v>
      </c>
      <c r="E1292" t="s">
        <v>1097</v>
      </c>
      <c r="F1292" t="s">
        <v>45</v>
      </c>
      <c r="G1292" t="str">
        <f>HYPERLINK("https://vk.com/wall-158633337_962")</f>
        <v>https://vk.com/wall-158633337_962</v>
      </c>
      <c r="H1292" t="s">
        <v>885</v>
      </c>
      <c r="I1292" t="s">
        <v>125</v>
      </c>
      <c r="J1292" t="str">
        <f>HYPERLINK("http://vk.com/club158633337")</f>
        <v>http://vk.com/club158633337</v>
      </c>
      <c r="K1292">
        <v>4852</v>
      </c>
      <c r="L1292" t="s">
        <v>28</v>
      </c>
      <c r="N1292" t="s">
        <v>16</v>
      </c>
      <c r="O1292" t="s">
        <v>125</v>
      </c>
      <c r="P1292" t="str">
        <f>HYPERLINK("http://vk.com/club158633337")</f>
        <v>http://vk.com/club158633337</v>
      </c>
      <c r="Q1292">
        <v>4852</v>
      </c>
      <c r="R1292" t="s">
        <v>17</v>
      </c>
      <c r="S1292" t="s">
        <v>18</v>
      </c>
      <c r="T1292" t="s">
        <v>126</v>
      </c>
      <c r="U1292" t="s">
        <v>127</v>
      </c>
      <c r="W1292">
        <v>0</v>
      </c>
      <c r="X1292">
        <v>0</v>
      </c>
      <c r="AE1292">
        <v>0</v>
      </c>
      <c r="AF1292">
        <v>0</v>
      </c>
      <c r="AG1292">
        <v>94</v>
      </c>
      <c r="AI1292" t="str">
        <f>HYPERLINK("https://sun1-25.userapi.com/0gHdmzJL_2zXe7ibCXhqAQH7oQQb5MHTVtvmSg/RklCNe2TRZM.jpg")</f>
        <v>https://sun1-25.userapi.com/0gHdmzJL_2zXe7ibCXhqAQH7oQQb5MHTVtvmSg/RklCNe2TRZM.jpg</v>
      </c>
      <c r="AJ1292" t="s">
        <v>10</v>
      </c>
      <c r="AK1292" t="s">
        <v>21</v>
      </c>
    </row>
    <row r="1293" spans="1:49" x14ac:dyDescent="0.25">
      <c r="A1293" t="s">
        <v>1597</v>
      </c>
      <c r="B1293" t="s">
        <v>1226</v>
      </c>
      <c r="C1293" t="s">
        <v>984</v>
      </c>
      <c r="D1293" t="s">
        <v>10</v>
      </c>
      <c r="E1293" t="s">
        <v>1598</v>
      </c>
      <c r="F1293" t="s">
        <v>12</v>
      </c>
      <c r="G1293" t="str">
        <f>HYPERLINK("https://vk.com/wall15162357_9317")</f>
        <v>https://vk.com/wall15162357_9317</v>
      </c>
      <c r="H1293" t="s">
        <v>885</v>
      </c>
      <c r="I1293" t="s">
        <v>1599</v>
      </c>
      <c r="J1293" t="str">
        <f>HYPERLINK("http://vk.com/id15162357")</f>
        <v>http://vk.com/id15162357</v>
      </c>
      <c r="K1293">
        <v>1683</v>
      </c>
      <c r="L1293" t="s">
        <v>80</v>
      </c>
      <c r="N1293" t="s">
        <v>16</v>
      </c>
      <c r="O1293" t="s">
        <v>1599</v>
      </c>
      <c r="P1293" t="str">
        <f>HYPERLINK("http://vk.com/id15162357")</f>
        <v>http://vk.com/id15162357</v>
      </c>
      <c r="Q1293">
        <v>1683</v>
      </c>
      <c r="R1293" t="s">
        <v>17</v>
      </c>
      <c r="S1293" t="s">
        <v>18</v>
      </c>
      <c r="T1293" t="s">
        <v>231</v>
      </c>
      <c r="U1293" t="s">
        <v>232</v>
      </c>
      <c r="AI1293" t="str">
        <f>HYPERLINK("https://sun1-87.userapi.com/c857624/v857624545/22e882/Vf5OaH3C2oc.jpg")</f>
        <v>https://sun1-87.userapi.com/c857624/v857624545/22e882/Vf5OaH3C2oc.jpg</v>
      </c>
      <c r="AJ1293" t="s">
        <v>10</v>
      </c>
      <c r="AK1293" t="s">
        <v>21</v>
      </c>
      <c r="AM1293" t="s">
        <v>3238</v>
      </c>
    </row>
    <row r="1294" spans="1:49" x14ac:dyDescent="0.25">
      <c r="A1294" t="s">
        <v>3021</v>
      </c>
      <c r="B1294" t="s">
        <v>2946</v>
      </c>
      <c r="C1294" t="s">
        <v>968</v>
      </c>
      <c r="D1294" t="s">
        <v>10</v>
      </c>
      <c r="E1294" t="s">
        <v>3057</v>
      </c>
      <c r="F1294" t="s">
        <v>12</v>
      </c>
      <c r="G1294" t="str">
        <f>HYPERLINK("https://vk.com/wall367451629_393")</f>
        <v>https://vk.com/wall367451629_393</v>
      </c>
      <c r="H1294" t="s">
        <v>885</v>
      </c>
      <c r="I1294" t="s">
        <v>1173</v>
      </c>
      <c r="J1294" t="str">
        <f>HYPERLINK("http://vk.com/id367451629")</f>
        <v>http://vk.com/id367451629</v>
      </c>
      <c r="K1294">
        <v>402</v>
      </c>
      <c r="L1294" t="s">
        <v>15</v>
      </c>
      <c r="N1294" t="s">
        <v>16</v>
      </c>
      <c r="O1294" t="s">
        <v>1173</v>
      </c>
      <c r="P1294" t="str">
        <f>HYPERLINK("http://vk.com/id367451629")</f>
        <v>http://vk.com/id367451629</v>
      </c>
      <c r="Q1294">
        <v>402</v>
      </c>
      <c r="R1294" t="s">
        <v>17</v>
      </c>
      <c r="S1294" t="s">
        <v>18</v>
      </c>
      <c r="T1294" t="s">
        <v>70</v>
      </c>
      <c r="U1294" t="s">
        <v>71</v>
      </c>
      <c r="W1294">
        <v>0</v>
      </c>
      <c r="X1294">
        <v>0</v>
      </c>
      <c r="AE1294">
        <v>0</v>
      </c>
      <c r="AF1294">
        <v>0</v>
      </c>
      <c r="AG1294">
        <v>11</v>
      </c>
      <c r="AI1294" t="str">
        <f>HYPERLINK("https://sun1-91.userapi.com/Kul0wWR-qkeR4MCYYhSWixOjfIVscpQc5UiPqA/mq4JJfZJ0hU.jpg")</f>
        <v>https://sun1-91.userapi.com/Kul0wWR-qkeR4MCYYhSWixOjfIVscpQc5UiPqA/mq4JJfZJ0hU.jpg</v>
      </c>
      <c r="AJ1294" t="s">
        <v>10</v>
      </c>
      <c r="AK1294" t="s">
        <v>21</v>
      </c>
      <c r="AL1294" t="s">
        <v>3237</v>
      </c>
    </row>
    <row r="1295" spans="1:49" x14ac:dyDescent="0.25">
      <c r="A1295" t="s">
        <v>414</v>
      </c>
      <c r="B1295" t="s">
        <v>243</v>
      </c>
      <c r="C1295" t="s">
        <v>699</v>
      </c>
      <c r="D1295" t="s">
        <v>24</v>
      </c>
      <c r="E1295" t="s">
        <v>703</v>
      </c>
      <c r="F1295" t="s">
        <v>26</v>
      </c>
      <c r="G1295" t="str">
        <f>HYPERLINK("https://vk.com/wall-197114981_31?reply=1186&amp;thread=1185")</f>
        <v>https://vk.com/wall-197114981_31?reply=1186&amp;thread=1185</v>
      </c>
      <c r="H1295" t="s">
        <v>13</v>
      </c>
      <c r="I1295" t="s">
        <v>27</v>
      </c>
      <c r="J1295" t="str">
        <f>HYPERLINK("http://vk.com/club197114981")</f>
        <v>http://vk.com/club197114981</v>
      </c>
      <c r="K1295">
        <v>38</v>
      </c>
      <c r="L1295" t="s">
        <v>28</v>
      </c>
      <c r="N1295" t="s">
        <v>16</v>
      </c>
      <c r="O1295" t="s">
        <v>27</v>
      </c>
      <c r="P1295" t="str">
        <f>HYPERLINK("http://vk.com/club197114981")</f>
        <v>http://vk.com/club197114981</v>
      </c>
      <c r="Q1295">
        <v>38</v>
      </c>
      <c r="R1295" t="s">
        <v>17</v>
      </c>
      <c r="AJ1295" t="s">
        <v>10</v>
      </c>
      <c r="AK1295" t="s">
        <v>21</v>
      </c>
    </row>
    <row r="1296" spans="1:49" x14ac:dyDescent="0.25">
      <c r="A1296" t="s">
        <v>1597</v>
      </c>
      <c r="B1296" t="s">
        <v>1564</v>
      </c>
      <c r="C1296" t="s">
        <v>984</v>
      </c>
      <c r="D1296" t="s">
        <v>10</v>
      </c>
      <c r="E1296" t="s">
        <v>1684</v>
      </c>
      <c r="F1296" t="s">
        <v>45</v>
      </c>
      <c r="G1296" t="str">
        <f>HYPERLINK("https://www.facebook.com/mrtexpertrnd/posts/783859025691729")</f>
        <v>https://www.facebook.com/mrtexpertrnd/posts/783859025691729</v>
      </c>
      <c r="H1296" t="s">
        <v>885</v>
      </c>
      <c r="I1296" t="s">
        <v>125</v>
      </c>
      <c r="J1296" t="str">
        <f>HYPERLINK("https://www.facebook.com/156600068417631")</f>
        <v>https://www.facebook.com/156600068417631</v>
      </c>
      <c r="K1296">
        <v>236</v>
      </c>
      <c r="L1296" t="s">
        <v>28</v>
      </c>
      <c r="N1296" t="s">
        <v>179</v>
      </c>
      <c r="O1296" t="s">
        <v>125</v>
      </c>
      <c r="P1296" t="str">
        <f>HYPERLINK("https://www.facebook.com/156600068417631")</f>
        <v>https://www.facebook.com/156600068417631</v>
      </c>
      <c r="Q1296">
        <v>236</v>
      </c>
      <c r="R1296" t="s">
        <v>17</v>
      </c>
      <c r="S1296" t="s">
        <v>18</v>
      </c>
      <c r="T1296" t="s">
        <v>126</v>
      </c>
      <c r="U1296" t="s">
        <v>127</v>
      </c>
      <c r="W1296">
        <v>0</v>
      </c>
      <c r="X1296">
        <v>0</v>
      </c>
      <c r="Y1296">
        <v>0</v>
      </c>
      <c r="Z1296">
        <v>0</v>
      </c>
      <c r="AA1296">
        <v>0</v>
      </c>
      <c r="AB1296">
        <v>0</v>
      </c>
      <c r="AC1296">
        <v>0</v>
      </c>
      <c r="AE1296">
        <v>0</v>
      </c>
      <c r="AI1296" t="str">
        <f>HYPERLINK("https://scontent-hel2-1.xx.fbcdn.net/v/t1.0-9/116023156_783858925691739_1384935644146159715_o.jpg?_nc_cat=107&amp;_nc_sid=730e14&amp;_nc_ohc=XMllJnWqHlgAX_cWPYi&amp;_nc_ht=scontent-hel2-1.xx&amp;oh=1fa9ed4e538c302e963ceec996786e63&amp;oe=5F46C445")</f>
        <v>https://scontent-hel2-1.xx.fbcdn.net/v/t1.0-9/116023156_783858925691739_1384935644146159715_o.jpg?_nc_cat=107&amp;_nc_sid=730e14&amp;_nc_ohc=XMllJnWqHlgAX_cWPYi&amp;_nc_ht=scontent-hel2-1.xx&amp;oh=1fa9ed4e538c302e963ceec996786e63&amp;oe=5F46C445</v>
      </c>
      <c r="AJ1296" t="s">
        <v>10</v>
      </c>
      <c r="AK1296" t="s">
        <v>21</v>
      </c>
      <c r="AU1296" t="s">
        <v>3246</v>
      </c>
      <c r="AW1296" t="s">
        <v>3248</v>
      </c>
    </row>
    <row r="1297" spans="1:50" x14ac:dyDescent="0.25">
      <c r="A1297" t="s">
        <v>1982</v>
      </c>
      <c r="B1297" t="s">
        <v>1327</v>
      </c>
      <c r="C1297" t="s">
        <v>968</v>
      </c>
      <c r="D1297" t="s">
        <v>1959</v>
      </c>
      <c r="E1297" t="s">
        <v>2025</v>
      </c>
      <c r="F1297" t="s">
        <v>26</v>
      </c>
      <c r="G1297" t="str">
        <f>HYPERLINK("https://www.facebook.com/permalink.php?story_fbid=2626249161024079&amp;id=100009170625998&amp;comment_id=2626416007674061&amp;reply_comment_id=2627327207582941")</f>
        <v>https://www.facebook.com/permalink.php?story_fbid=2626249161024079&amp;id=100009170625998&amp;comment_id=2626416007674061&amp;reply_comment_id=2627327207582941</v>
      </c>
      <c r="H1297" t="s">
        <v>885</v>
      </c>
      <c r="I1297" t="s">
        <v>1961</v>
      </c>
      <c r="J1297" t="str">
        <f>HYPERLINK("https://www.facebook.com/100009170625998")</f>
        <v>https://www.facebook.com/100009170625998</v>
      </c>
      <c r="K1297">
        <v>759</v>
      </c>
      <c r="L1297" t="s">
        <v>80</v>
      </c>
      <c r="N1297" t="s">
        <v>179</v>
      </c>
      <c r="O1297" t="s">
        <v>1961</v>
      </c>
      <c r="P1297" t="str">
        <f>HYPERLINK("https://www.facebook.com/100009170625998")</f>
        <v>https://www.facebook.com/100009170625998</v>
      </c>
      <c r="Q1297">
        <v>759</v>
      </c>
      <c r="R1297" t="s">
        <v>17</v>
      </c>
      <c r="S1297" t="s">
        <v>18</v>
      </c>
      <c r="T1297" t="s">
        <v>354</v>
      </c>
      <c r="U1297" t="s">
        <v>354</v>
      </c>
      <c r="AJ1297" t="s">
        <v>10</v>
      </c>
      <c r="AK1297" t="s">
        <v>21</v>
      </c>
      <c r="AL1297" t="s">
        <v>3237</v>
      </c>
      <c r="AT1297" t="s">
        <v>3245</v>
      </c>
    </row>
    <row r="1298" spans="1:50" x14ac:dyDescent="0.25">
      <c r="A1298" t="s">
        <v>2472</v>
      </c>
      <c r="B1298" t="s">
        <v>2489</v>
      </c>
      <c r="C1298" t="s">
        <v>968</v>
      </c>
      <c r="D1298" t="s">
        <v>2490</v>
      </c>
      <c r="E1298" t="s">
        <v>2491</v>
      </c>
      <c r="F1298" t="s">
        <v>45</v>
      </c>
      <c r="G1298" t="str">
        <f>HYPERLINK("https://www.dcurbanmom.com/jforum/posts/list/90/895375.page")</f>
        <v>https://www.dcurbanmom.com/jforum/posts/list/90/895375.page</v>
      </c>
      <c r="H1298" t="s">
        <v>885</v>
      </c>
      <c r="I1298" t="s">
        <v>2492</v>
      </c>
      <c r="J1298" t="str">
        <f>HYPERLINK("https://www.dcurbanmom.com/jforum/posts/list/90/895375.page#17646789")</f>
        <v>https://www.dcurbanmom.com/jforum/posts/list/90/895375.page#17646789</v>
      </c>
      <c r="N1298" t="s">
        <v>2493</v>
      </c>
      <c r="O1298" t="s">
        <v>2494</v>
      </c>
      <c r="P1298" t="str">
        <f>HYPERLINK("https://www.dcurbanmom.com/jforum/forums/show/48.page")</f>
        <v>https://www.dcurbanmom.com/jforum/forums/show/48.page</v>
      </c>
      <c r="R1298" t="s">
        <v>1293</v>
      </c>
      <c r="S1298" t="s">
        <v>425</v>
      </c>
      <c r="AJ1298" t="s">
        <v>10</v>
      </c>
      <c r="AK1298" t="s">
        <v>21</v>
      </c>
      <c r="AX1298" t="s">
        <v>3249</v>
      </c>
    </row>
  </sheetData>
  <autoFilter ref="A1:AZ1">
    <sortState ref="A2:AZ1298">
      <sortCondition descending="1" ref="AR1"/>
    </sortState>
  </autoFilter>
  <sortState ref="AL2:AZ1298">
    <sortCondition descending="1" ref="AP2:AP1298"/>
    <sortCondition descending="1" ref="AQ2:AQ1298"/>
    <sortCondition descending="1" ref="AR2:AR1298"/>
    <sortCondition descending="1" ref="AS2:AS129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Упоминания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dc:creator>
  <cp:lastModifiedBy>Пользователь</cp:lastModifiedBy>
  <dcterms:created xsi:type="dcterms:W3CDTF">2020-11-16T15:31:46Z</dcterms:created>
  <dcterms:modified xsi:type="dcterms:W3CDTF">2020-11-17T17:24:34Z</dcterms:modified>
</cp:coreProperties>
</file>