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firstSheet="9" activeTab="20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sum_all_uik">'Настройки УИК'!$J$8</definedName>
    <definedName name="sum_all_uik_dop">'Настройки УИК'!$J$9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O14" i="9"/>
  <c r="DB18" i="15"/>
  <c r="CV18"/>
  <c r="CP18"/>
  <c r="CJ18"/>
  <c r="CD18"/>
  <c r="BX18"/>
  <c r="BR18"/>
  <c r="BL18"/>
  <c r="BF18"/>
  <c r="AZ18"/>
  <c r="AT18"/>
  <c r="AN18"/>
  <c r="AH18"/>
  <c r="AB18"/>
  <c r="V18"/>
  <c r="P18"/>
  <c r="J18"/>
  <c r="D18"/>
  <c r="DC18"/>
  <c r="CW18"/>
  <c r="CQ18"/>
  <c r="CK18"/>
  <c r="CE18"/>
  <c r="BY18"/>
  <c r="BS18"/>
  <c r="BM18"/>
  <c r="BG18"/>
  <c r="BA18"/>
  <c r="AU18"/>
  <c r="AO18"/>
  <c r="AI18"/>
  <c r="AC18"/>
  <c r="W18"/>
  <c r="Q18"/>
  <c r="K18"/>
  <c r="E18"/>
  <c r="G18" l="1"/>
  <c r="M18"/>
  <c r="S18"/>
  <c r="Y18"/>
  <c r="AE18"/>
  <c r="AK18"/>
  <c r="AQ18"/>
  <c r="AW18"/>
  <c r="BC18"/>
  <c r="BI18"/>
  <c r="BO18"/>
  <c r="BU18"/>
  <c r="CA18"/>
  <c r="CG18"/>
  <c r="CM18"/>
  <c r="CS18"/>
  <c r="CY18"/>
  <c r="DE18"/>
  <c r="C127" i="20" l="1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B127" l="1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 l="1"/>
  <c r="AC21" i="2"/>
  <c r="AC22"/>
  <c r="AC23"/>
  <c r="AC24"/>
  <c r="AC25"/>
  <c r="AC26"/>
  <c r="AC27"/>
  <c r="AC28"/>
  <c r="AC29"/>
  <c r="AC30"/>
  <c r="AC31"/>
  <c r="AC32"/>
  <c r="AC33"/>
  <c r="AC34"/>
  <c r="AC35"/>
  <c r="AC36"/>
  <c r="AC37"/>
  <c r="I30" i="20"/>
  <c r="C92"/>
  <c r="B87"/>
  <c r="B81"/>
  <c r="C83"/>
  <c r="A89"/>
  <c r="C87"/>
  <c r="B82"/>
  <c r="A84"/>
  <c r="B88"/>
  <c r="A81"/>
  <c r="B90"/>
  <c r="A92"/>
  <c r="C86"/>
  <c r="B91"/>
  <c r="C90"/>
  <c r="B85"/>
  <c r="A87"/>
  <c r="C88"/>
  <c r="B83"/>
  <c r="A80"/>
  <c r="C85"/>
  <c r="B93"/>
  <c r="A82"/>
  <c r="C89"/>
  <c r="B80"/>
  <c r="C93"/>
  <c r="B84"/>
  <c r="A90"/>
  <c r="C91"/>
  <c r="B86"/>
  <c r="A88"/>
  <c r="A85"/>
  <c r="A83"/>
  <c r="C80"/>
  <c r="A86"/>
  <c r="C84"/>
  <c r="A93"/>
  <c r="C81"/>
  <c r="B89"/>
  <c r="A91"/>
  <c r="C82"/>
  <c r="B92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L24" i="14"/>
  <c r="M24"/>
  <c r="H24"/>
  <c r="D24"/>
  <c r="I24"/>
  <c r="Q24"/>
  <c r="N24"/>
  <c r="J24"/>
  <c r="P24"/>
  <c r="S24"/>
  <c r="R24"/>
  <c r="O24"/>
  <c r="G24"/>
  <c r="T24"/>
  <c r="F24"/>
  <c r="K24"/>
  <c r="C24"/>
  <c r="E24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U16" i="15"/>
  <c r="AY16"/>
  <c r="BK16"/>
  <c r="CI16"/>
  <c r="CO16"/>
  <c r="M35" i="2"/>
  <c r="M26"/>
  <c r="M33"/>
  <c r="FE26" i="1"/>
  <c r="M37" i="2"/>
  <c r="HA26" i="1"/>
  <c r="BM26"/>
  <c r="BA26"/>
  <c r="C16" i="15"/>
  <c r="FQ26" i="1"/>
  <c r="M32" i="2"/>
  <c r="BE16" i="15"/>
  <c r="M29" i="2"/>
  <c r="M28"/>
  <c r="M34"/>
  <c r="ES26" i="1"/>
  <c r="AC26"/>
  <c r="BQ16" i="15"/>
  <c r="AG16"/>
  <c r="M22" i="2"/>
  <c r="EG26" i="1"/>
  <c r="M30" i="2"/>
  <c r="DU26" i="1"/>
  <c r="BY26"/>
  <c r="DI26"/>
  <c r="O16" i="15"/>
  <c r="DA16"/>
  <c r="AO26" i="1"/>
  <c r="GO26"/>
  <c r="E26"/>
  <c r="CU16" i="15"/>
  <c r="M31" i="2"/>
  <c r="AM16" i="15"/>
  <c r="AS16"/>
  <c r="M27" i="2"/>
  <c r="GC26" i="1"/>
  <c r="M21" i="2"/>
  <c r="Q26" i="1"/>
  <c r="AA16" i="15"/>
  <c r="M25" i="2"/>
  <c r="M36"/>
  <c r="CK26" i="1"/>
  <c r="I16" i="15"/>
  <c r="CW26" i="1"/>
  <c r="M24" i="2"/>
  <c r="M23"/>
  <c r="B5" l="1"/>
  <c r="B27"/>
  <c r="B20"/>
  <c r="B34"/>
  <c r="G25"/>
  <c r="F31"/>
  <c r="B25"/>
  <c r="F35"/>
  <c r="F28"/>
  <c r="G21"/>
  <c r="B30"/>
  <c r="G22"/>
  <c r="B37"/>
  <c r="F33"/>
  <c r="F23"/>
  <c r="G26"/>
  <c r="G24"/>
  <c r="G29"/>
  <c r="B22"/>
  <c r="G36"/>
  <c r="B26"/>
  <c r="G35"/>
  <c r="B35"/>
  <c r="G37"/>
  <c r="G32"/>
  <c r="B31"/>
  <c r="B23"/>
  <c r="B24"/>
  <c r="F30"/>
  <c r="G34"/>
  <c r="B21"/>
  <c r="F21"/>
  <c r="F32"/>
  <c r="G23"/>
  <c r="F27"/>
  <c r="B28"/>
  <c r="F34"/>
  <c r="G28"/>
  <c r="F37"/>
  <c r="B29"/>
  <c r="G27"/>
  <c r="G30"/>
  <c r="F29"/>
  <c r="F22"/>
  <c r="G33"/>
  <c r="F36"/>
  <c r="B36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26" i="6"/>
  <c r="I27"/>
  <c r="I47" i="2"/>
  <c r="I28" i="6"/>
  <c r="I15" i="4" l="1"/>
  <c r="CK20" i="1"/>
  <c r="EG20"/>
  <c r="C30" i="2"/>
  <c r="BA20" i="1"/>
  <c r="I17" i="4"/>
  <c r="AC25" i="1"/>
  <c r="BA25"/>
  <c r="BM20"/>
  <c r="C24" i="2"/>
  <c r="Q20" i="1"/>
  <c r="C28" i="2"/>
  <c r="CW20" i="1"/>
  <c r="F24" i="2"/>
  <c r="C35"/>
  <c r="F25"/>
  <c r="C22"/>
  <c r="C34"/>
  <c r="EG25" i="1"/>
  <c r="BM25"/>
  <c r="C37" i="2"/>
  <c r="DU20" i="1"/>
  <c r="FQ20"/>
  <c r="C25" i="2"/>
  <c r="BY25" i="1"/>
  <c r="Q25"/>
  <c r="C31" i="2"/>
  <c r="J17" i="4"/>
  <c r="GC25" i="1"/>
  <c r="GC20"/>
  <c r="CW25"/>
  <c r="AO20"/>
  <c r="AC20"/>
  <c r="CK25"/>
  <c r="DU25"/>
  <c r="E20"/>
  <c r="C26" i="2"/>
  <c r="DI25" i="1"/>
  <c r="C36" i="2"/>
  <c r="AM9" i="1"/>
  <c r="GO20"/>
  <c r="C23" i="2"/>
  <c r="C5" i="1"/>
  <c r="C27" i="2"/>
  <c r="HA25" i="1"/>
  <c r="HA20"/>
  <c r="AO25"/>
  <c r="F26" i="2"/>
  <c r="BY20" i="1"/>
  <c r="GO25"/>
  <c r="C21" i="2"/>
  <c r="C29"/>
  <c r="FQ25" i="1"/>
  <c r="DI20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E104" s="1"/>
  <c r="H104" s="1"/>
  <c r="C103"/>
  <c r="E103" s="1"/>
  <c r="C102"/>
  <c r="C101"/>
  <c r="E101" s="1"/>
  <c r="C100"/>
  <c r="C99"/>
  <c r="E99" s="1"/>
  <c r="C98"/>
  <c r="C97"/>
  <c r="C96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EF69" s="1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DH66" s="1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BL62" s="1"/>
  <c r="BP62" s="1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FD59" s="1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FD57" s="1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CJ56" s="1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N54" s="1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Z50" s="1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EF45" s="1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EF42" s="1"/>
  <c r="DS42"/>
  <c r="DR42"/>
  <c r="DT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GB38" s="1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GB36" s="1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DH35" s="1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EF34" s="1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FD33" s="1"/>
  <c r="FG33" s="1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GB32" s="1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F31"/>
  <c r="CU31"/>
  <c r="CT31"/>
  <c r="CI31"/>
  <c r="CH31"/>
  <c r="BW31"/>
  <c r="BV31"/>
  <c r="BK31"/>
  <c r="BJ31"/>
  <c r="BL31" s="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P30" s="1"/>
  <c r="C30"/>
  <c r="B30"/>
  <c r="D30" s="1"/>
  <c r="H30" s="1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N27" s="1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DH26" s="1"/>
  <c r="DK26" s="1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N22"/>
  <c r="C22"/>
  <c r="B22"/>
  <c r="GY21"/>
  <c r="GX21"/>
  <c r="GM21"/>
  <c r="GL21"/>
  <c r="GN21" s="1"/>
  <c r="GQ21" s="1"/>
  <c r="GA21"/>
  <c r="FZ21"/>
  <c r="FO21"/>
  <c r="FN21"/>
  <c r="FP21" s="1"/>
  <c r="FT21" s="1"/>
  <c r="FC21"/>
  <c r="FB21"/>
  <c r="EQ21"/>
  <c r="EP21"/>
  <c r="ER21" s="1"/>
  <c r="EU21" s="1"/>
  <c r="EE21"/>
  <c r="ED21"/>
  <c r="EF21" s="1"/>
  <c r="EJ21" s="1"/>
  <c r="DS21"/>
  <c r="DR21"/>
  <c r="DT21" s="1"/>
  <c r="DW21" s="1"/>
  <c r="DG21"/>
  <c r="DF21"/>
  <c r="CU21"/>
  <c r="CT21"/>
  <c r="CV21" s="1"/>
  <c r="CY21" s="1"/>
  <c r="CI21"/>
  <c r="CH21"/>
  <c r="CJ21" s="1"/>
  <c r="CM21" s="1"/>
  <c r="BW21"/>
  <c r="BV21"/>
  <c r="BK21"/>
  <c r="BJ21"/>
  <c r="AY21"/>
  <c r="AX21"/>
  <c r="AZ21" s="1"/>
  <c r="AM21"/>
  <c r="AL21"/>
  <c r="AN21" s="1"/>
  <c r="AQ21" s="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CJ19" s="1"/>
  <c r="CN19" s="1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N17"/>
  <c r="C17"/>
  <c r="B17"/>
  <c r="D17" s="1"/>
  <c r="GY16"/>
  <c r="GX16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DH16" s="1"/>
  <c r="CU16"/>
  <c r="CT16"/>
  <c r="CI16"/>
  <c r="CH16"/>
  <c r="BW16"/>
  <c r="BV16"/>
  <c r="BX16" s="1"/>
  <c r="BK16"/>
  <c r="BJ16"/>
  <c r="AY16"/>
  <c r="AX16"/>
  <c r="AM16"/>
  <c r="AL16"/>
  <c r="AA16"/>
  <c r="Z16"/>
  <c r="AB16" s="1"/>
  <c r="O16"/>
  <c r="N16"/>
  <c r="P16" s="1"/>
  <c r="C16"/>
  <c r="B16"/>
  <c r="D16" s="1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F13" s="1"/>
  <c r="EJ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GB11" s="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P10" s="1"/>
  <c r="C10"/>
  <c r="B10"/>
  <c r="D10" s="1"/>
  <c r="GY9"/>
  <c r="GX9"/>
  <c r="GM9"/>
  <c r="GL9"/>
  <c r="GN9" s="1"/>
  <c r="GQ9" s="1"/>
  <c r="GA9"/>
  <c r="FZ9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N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EQ6"/>
  <c r="EP6"/>
  <c r="EE6"/>
  <c r="ED6"/>
  <c r="DS6"/>
  <c r="DR6"/>
  <c r="DT6" s="1"/>
  <c r="DW6" s="1"/>
  <c r="DG6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CJ69"/>
  <c r="CM69" s="1"/>
  <c r="EF67"/>
  <c r="EI67" s="1"/>
  <c r="AN60"/>
  <c r="DH59"/>
  <c r="DK59" s="1"/>
  <c r="GB58"/>
  <c r="EF58"/>
  <c r="EJ58" s="1"/>
  <c r="DH57"/>
  <c r="DL57" s="1"/>
  <c r="BL57"/>
  <c r="GB56"/>
  <c r="HD55"/>
  <c r="FD55"/>
  <c r="FH55" s="1"/>
  <c r="EF54"/>
  <c r="DH53"/>
  <c r="BL53"/>
  <c r="BP53" s="1"/>
  <c r="GB52"/>
  <c r="FD50"/>
  <c r="FG50" s="1"/>
  <c r="GB46"/>
  <c r="GZ45"/>
  <c r="HC45" s="1"/>
  <c r="P45"/>
  <c r="S45" s="1"/>
  <c r="AN44"/>
  <c r="AQ44" s="1"/>
  <c r="DH43"/>
  <c r="DK43" s="1"/>
  <c r="CJ42"/>
  <c r="CM42" s="1"/>
  <c r="DH41"/>
  <c r="EF40"/>
  <c r="GZ37"/>
  <c r="DH37"/>
  <c r="BL37"/>
  <c r="BO37" s="1"/>
  <c r="CJ36"/>
  <c r="AN36"/>
  <c r="AQ36" s="1"/>
  <c r="FE35"/>
  <c r="BL35"/>
  <c r="P35"/>
  <c r="S35" s="1"/>
  <c r="GB34"/>
  <c r="GE34" s="1"/>
  <c r="CJ34"/>
  <c r="CM34" s="1"/>
  <c r="AN34"/>
  <c r="GZ33"/>
  <c r="DH33"/>
  <c r="DL33" s="1"/>
  <c r="BL33"/>
  <c r="P33"/>
  <c r="S33" s="1"/>
  <c r="CJ32"/>
  <c r="FD31"/>
  <c r="DH31"/>
  <c r="EF29"/>
  <c r="EI29" s="1"/>
  <c r="CJ29"/>
  <c r="EF27"/>
  <c r="AN25"/>
  <c r="DH24"/>
  <c r="DK24" s="1"/>
  <c r="GZ22"/>
  <c r="HC22" s="1"/>
  <c r="DH20"/>
  <c r="BL20"/>
  <c r="BO20" s="1"/>
  <c r="P18"/>
  <c r="S18" s="1"/>
  <c r="AN15"/>
  <c r="CL14"/>
  <c r="P14"/>
  <c r="T14" s="1"/>
  <c r="CJ13"/>
  <c r="CN13" s="1"/>
  <c r="AN13"/>
  <c r="FD12"/>
  <c r="EG11"/>
  <c r="FD10"/>
  <c r="FG10" s="1"/>
  <c r="GB9"/>
  <c r="GF9" s="1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CY75" i="22"/>
  <c r="S55"/>
  <c r="BD53"/>
  <c r="BO53"/>
  <c r="HC55"/>
  <c r="CN54"/>
  <c r="AR38"/>
  <c r="FS38"/>
  <c r="S57"/>
  <c r="HC57"/>
  <c r="S59"/>
  <c r="HD35"/>
  <c r="GF65"/>
  <c r="AQ11"/>
  <c r="EI61"/>
  <c r="CY85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CM55" s="1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AT52" s="1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HC58" s="1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DK65" s="1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CP76" s="1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EV84" s="1"/>
  <c r="BX85"/>
  <c r="CA85" s="1"/>
  <c r="DT85"/>
  <c r="CV86"/>
  <c r="CY86" s="1"/>
  <c r="DW70"/>
  <c r="GE66"/>
  <c r="GF66"/>
  <c r="DL72"/>
  <c r="DK72"/>
  <c r="HC61"/>
  <c r="U61"/>
  <c r="CO60"/>
  <c r="HD58"/>
  <c r="H73"/>
  <c r="DX66"/>
  <c r="EU63"/>
  <c r="EV63"/>
  <c r="GF57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AS22"/>
  <c r="GF8"/>
  <c r="GE8"/>
  <c r="T7"/>
  <c r="S7"/>
  <c r="BP5"/>
  <c r="BO5"/>
  <c r="BP21"/>
  <c r="BO21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H47"/>
  <c r="G47"/>
  <c r="CB44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BC8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N35"/>
  <c r="DK34"/>
  <c r="CN33"/>
  <c r="EJ31"/>
  <c r="EI31"/>
  <c r="CN31"/>
  <c r="CM31"/>
  <c r="AT32"/>
  <c r="AS32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CB85" i="22"/>
  <c r="BX29" i="1"/>
  <c r="D29"/>
  <c r="CY230" i="17"/>
  <c r="EH210"/>
  <c r="DS196"/>
  <c r="ED217" s="1"/>
  <c r="DR187"/>
  <c r="CF117" i="18"/>
  <c r="AC151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U84"/>
  <c r="DL74"/>
  <c r="DK74"/>
  <c r="FH38"/>
  <c r="FG38"/>
  <c r="AR53"/>
  <c r="GQ47"/>
  <c r="FT54"/>
  <c r="CO76"/>
  <c r="HC74"/>
  <c r="GQ76"/>
  <c r="GR76"/>
  <c r="FS77"/>
  <c r="FT77"/>
  <c r="BQ73"/>
  <c r="BR73"/>
  <c r="BC38"/>
  <c r="EJ30"/>
  <c r="GF28"/>
  <c r="FT46"/>
  <c r="H53"/>
  <c r="CP66"/>
  <c r="CO66"/>
  <c r="FT83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CJ60" i="22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EJ35"/>
  <c r="EI35"/>
  <c r="CM18"/>
  <c r="CN18"/>
  <c r="AF70"/>
  <c r="AE70"/>
  <c r="BP71"/>
  <c r="BO71"/>
  <c r="FT49"/>
  <c r="FS49"/>
  <c r="AF49"/>
  <c r="AE49"/>
  <c r="G48"/>
  <c r="H48"/>
  <c r="BD26"/>
  <c r="FT25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BY38" i="1"/>
  <c r="AS29" i="15"/>
  <c r="CI19"/>
  <c r="AC35" i="1"/>
  <c r="P18" i="9"/>
  <c r="BE29" i="15"/>
  <c r="P22" i="9"/>
  <c r="C33" i="2"/>
  <c r="FE32" i="1"/>
  <c r="CO29" i="15"/>
  <c r="CC29"/>
  <c r="E38" i="1"/>
  <c r="BE28" i="15"/>
  <c r="AG30"/>
  <c r="BQ19"/>
  <c r="AM19"/>
  <c r="EG33" i="1"/>
  <c r="CC28" i="15"/>
  <c r="AG29"/>
  <c r="BW28"/>
  <c r="DG28"/>
  <c r="HA35" i="1"/>
  <c r="FQ38"/>
  <c r="J19" i="7"/>
  <c r="CU19" i="15"/>
  <c r="P19" i="9"/>
  <c r="AA19" i="15"/>
  <c r="HA37" i="1"/>
  <c r="Q32"/>
  <c r="BY33"/>
  <c r="BW30" i="15"/>
  <c r="BK28"/>
  <c r="GO37" i="1"/>
  <c r="AC31"/>
  <c r="BA32"/>
  <c r="BK29" i="15"/>
  <c r="E37" i="1"/>
  <c r="CU29" i="15"/>
  <c r="BY32" i="1"/>
  <c r="U19" i="15"/>
  <c r="AC38" i="1"/>
  <c r="AS28" i="15"/>
  <c r="GC38" i="1"/>
  <c r="BA35"/>
  <c r="BY35"/>
  <c r="FQ35"/>
  <c r="AO33"/>
  <c r="HA32"/>
  <c r="HA36"/>
  <c r="AY19" i="15"/>
  <c r="C30"/>
  <c r="DI37" i="1"/>
  <c r="GC33"/>
  <c r="GO31"/>
  <c r="BQ30" i="15"/>
  <c r="FQ33" i="1"/>
  <c r="AC33"/>
  <c r="U29" i="15"/>
  <c r="FQ37" i="1"/>
  <c r="BQ28" i="15"/>
  <c r="Q36" i="1"/>
  <c r="EG31"/>
  <c r="DA19" i="15"/>
  <c r="CO19"/>
  <c r="P26" i="9"/>
  <c r="I19" i="15"/>
  <c r="P25" i="9"/>
  <c r="CO30" i="15"/>
  <c r="P23" i="9"/>
  <c r="FQ32" i="1"/>
  <c r="FE20"/>
  <c r="DA30" i="15"/>
  <c r="Q31" i="1"/>
  <c r="FQ31"/>
  <c r="B32" i="2"/>
  <c r="BM33" i="1"/>
  <c r="DU37"/>
  <c r="ES25"/>
  <c r="GO38"/>
  <c r="CC16" i="15"/>
  <c r="ES20" i="1"/>
  <c r="CW37"/>
  <c r="E25"/>
  <c r="AS30" i="15"/>
  <c r="DI30"/>
  <c r="AO31" i="1"/>
  <c r="EG35"/>
  <c r="GC31"/>
  <c r="BA37"/>
  <c r="ES38"/>
  <c r="BQ29" i="15"/>
  <c r="HA38" i="1"/>
  <c r="BY31"/>
  <c r="BW19" i="15"/>
  <c r="AA29"/>
  <c r="BW16"/>
  <c r="Q35" i="1"/>
  <c r="GO33"/>
  <c r="P32" i="9"/>
  <c r="P20"/>
  <c r="BK30" i="15"/>
  <c r="ES33" i="1"/>
  <c r="AA28" i="15"/>
  <c r="C32" i="2"/>
  <c r="BY37" i="1"/>
  <c r="Q37"/>
  <c r="A130" i="20"/>
  <c r="C19" i="15"/>
  <c r="AS19"/>
  <c r="GC32" i="1"/>
  <c r="P28" i="9"/>
  <c r="CC30" i="15"/>
  <c r="AY28"/>
  <c r="CU28"/>
  <c r="DI31" i="1"/>
  <c r="CW31"/>
  <c r="I29" i="15"/>
  <c r="E33" i="1"/>
  <c r="FE35"/>
  <c r="CO28" i="15"/>
  <c r="ES31" i="1"/>
  <c r="CK38"/>
  <c r="P29" i="9"/>
  <c r="CW33" i="1"/>
  <c r="P31" i="9"/>
  <c r="AO38" i="1"/>
  <c r="DG30" i="15"/>
  <c r="ES32" i="1"/>
  <c r="BA33"/>
  <c r="HA34"/>
  <c r="DA29" i="15"/>
  <c r="I30"/>
  <c r="GO35" i="1"/>
  <c r="P30" i="9"/>
  <c r="CW35" i="1"/>
  <c r="AC32"/>
  <c r="P27" i="9"/>
  <c r="CI30" i="15"/>
  <c r="FE31" i="1"/>
  <c r="DA28" i="15"/>
  <c r="P14" i="9"/>
  <c r="DU32" i="1"/>
  <c r="AY30" i="15"/>
  <c r="DU31" i="1"/>
  <c r="CU30" i="15"/>
  <c r="CK33" i="1"/>
  <c r="BE30" i="15"/>
  <c r="C28"/>
  <c r="Q34" i="1"/>
  <c r="C130" i="20"/>
  <c r="BM31" i="1"/>
  <c r="CK31"/>
  <c r="FE25"/>
  <c r="O28" i="15"/>
  <c r="CI28"/>
  <c r="CW38" i="1"/>
  <c r="E32"/>
  <c r="U30" i="15"/>
  <c r="P26" i="2"/>
  <c r="AM29" i="15"/>
  <c r="AM30"/>
  <c r="GC35" i="1"/>
  <c r="AY29" i="15"/>
  <c r="AG28"/>
  <c r="GC37" i="1"/>
  <c r="O37" i="2"/>
  <c r="B33"/>
  <c r="DI29" i="15"/>
  <c r="FE38" i="1"/>
  <c r="DI28" i="15"/>
  <c r="P21" i="9"/>
  <c r="C20" i="2"/>
  <c r="I28" i="15"/>
  <c r="CI29"/>
  <c r="AA30"/>
  <c r="DI33" i="1"/>
  <c r="O29" i="15"/>
  <c r="BW29"/>
  <c r="FE37" i="1"/>
  <c r="C29" i="15"/>
  <c r="ES37" i="1"/>
  <c r="DU35"/>
  <c r="CC19" i="15"/>
  <c r="DI32" i="1"/>
  <c r="DG29" i="15"/>
  <c r="O30"/>
  <c r="AC37" i="1"/>
  <c r="E35"/>
  <c r="BM38"/>
  <c r="BM35"/>
  <c r="CK35"/>
  <c r="BE19" i="15"/>
  <c r="P17" i="9"/>
  <c r="P15"/>
  <c r="O19" i="15"/>
  <c r="P16" i="9"/>
  <c r="P33"/>
  <c r="AG19" i="15"/>
  <c r="BA38" i="1"/>
  <c r="GO32"/>
  <c r="G31" i="2"/>
  <c r="DI35" i="1"/>
  <c r="U28" i="15"/>
  <c r="Q33" i="1"/>
  <c r="P21" i="2" s="1"/>
  <c r="HA33" i="1"/>
  <c r="DU38"/>
  <c r="P24" i="9"/>
  <c r="BK19" i="15"/>
  <c r="S16" i="22" l="1"/>
  <c r="T16"/>
  <c r="AR27"/>
  <c r="AQ27"/>
  <c r="GF32"/>
  <c r="GE32"/>
  <c r="EI34"/>
  <c r="EJ34"/>
  <c r="DK35"/>
  <c r="DL35"/>
  <c r="GE38"/>
  <c r="GF38"/>
  <c r="CM56"/>
  <c r="CN56"/>
  <c r="FH57"/>
  <c r="FG57"/>
  <c r="FH59"/>
  <c r="FG59"/>
  <c r="E98" i="20"/>
  <c r="H98" s="1"/>
  <c r="E102"/>
  <c r="F102" s="1"/>
  <c r="GE75" i="22"/>
  <c r="EI66"/>
  <c r="AJ225" i="17"/>
  <c r="AK240" s="1"/>
  <c r="E97" i="20"/>
  <c r="F97" s="1"/>
  <c r="E96"/>
  <c r="F96" s="1"/>
  <c r="E100"/>
  <c r="H100" s="1"/>
  <c r="HC82" i="22"/>
  <c r="DM77"/>
  <c r="AS52"/>
  <c r="AS56"/>
  <c r="S58"/>
  <c r="DL65"/>
  <c r="DJ6"/>
  <c r="EG6"/>
  <c r="FL6"/>
  <c r="GI6"/>
  <c r="R8"/>
  <c r="AO8"/>
  <c r="FF8"/>
  <c r="GD8"/>
  <c r="Q9"/>
  <c r="BM9"/>
  <c r="CR9"/>
  <c r="EG9"/>
  <c r="EL9" s="1"/>
  <c r="HG9"/>
  <c r="W10"/>
  <c r="AV10"/>
  <c r="BN10"/>
  <c r="R11"/>
  <c r="DI11"/>
  <c r="HG11"/>
  <c r="R12"/>
  <c r="DI12"/>
  <c r="DN12" s="1"/>
  <c r="HA12"/>
  <c r="HE12" s="1"/>
  <c r="AP13"/>
  <c r="CQ13"/>
  <c r="DP13"/>
  <c r="FE13"/>
  <c r="GD13"/>
  <c r="EN14"/>
  <c r="FF14"/>
  <c r="GJ14"/>
  <c r="W15"/>
  <c r="BS15"/>
  <c r="CQ15"/>
  <c r="EG15"/>
  <c r="EK15" s="1"/>
  <c r="HH15"/>
  <c r="Q16"/>
  <c r="CL16"/>
  <c r="FL16"/>
  <c r="GC16"/>
  <c r="HG16"/>
  <c r="X17"/>
  <c r="GJ17"/>
  <c r="AO18"/>
  <c r="EN18"/>
  <c r="HG18"/>
  <c r="Q19"/>
  <c r="AV19"/>
  <c r="BN19"/>
  <c r="CQ19"/>
  <c r="DI19"/>
  <c r="EG19"/>
  <c r="EK19" s="1"/>
  <c r="FL19"/>
  <c r="HH19"/>
  <c r="FE20"/>
  <c r="FJ20" s="1"/>
  <c r="GJ20"/>
  <c r="HH20"/>
  <c r="Q21"/>
  <c r="U21" s="1"/>
  <c r="CL21"/>
  <c r="DI21"/>
  <c r="FL21"/>
  <c r="HG21"/>
  <c r="Q22"/>
  <c r="U22" s="1"/>
  <c r="CK22"/>
  <c r="GI22"/>
  <c r="W23"/>
  <c r="AU23"/>
  <c r="BT23"/>
  <c r="CK23"/>
  <c r="CO23" s="1"/>
  <c r="EG23"/>
  <c r="EL23" s="1"/>
  <c r="AO24"/>
  <c r="CK24"/>
  <c r="DJ24"/>
  <c r="EH24"/>
  <c r="GJ24"/>
  <c r="HA24"/>
  <c r="HE24" s="1"/>
  <c r="R25"/>
  <c r="BS25"/>
  <c r="HB25"/>
  <c r="AP26"/>
  <c r="BN26"/>
  <c r="CK26"/>
  <c r="CO26" s="1"/>
  <c r="FF26"/>
  <c r="AV27"/>
  <c r="DJ27"/>
  <c r="EG27"/>
  <c r="FE27"/>
  <c r="GI27"/>
  <c r="HG27"/>
  <c r="AU28"/>
  <c r="CK28"/>
  <c r="CO28" s="1"/>
  <c r="FE28"/>
  <c r="HG28"/>
  <c r="AV29"/>
  <c r="CR29"/>
  <c r="GC29"/>
  <c r="GH29" s="1"/>
  <c r="HG29"/>
  <c r="AU30"/>
  <c r="CK30"/>
  <c r="DI30"/>
  <c r="EM30"/>
  <c r="X31"/>
  <c r="BM31"/>
  <c r="DJ31"/>
  <c r="HH31"/>
  <c r="CL32"/>
  <c r="EN32"/>
  <c r="GD32"/>
  <c r="HH32"/>
  <c r="BN33"/>
  <c r="EM34"/>
  <c r="FL34"/>
  <c r="AV35"/>
  <c r="GC35"/>
  <c r="GH35" s="1"/>
  <c r="W38"/>
  <c r="FL38"/>
  <c r="HG38"/>
  <c r="X40"/>
  <c r="FL40"/>
  <c r="HG40"/>
  <c r="GD41"/>
  <c r="X42"/>
  <c r="CR42"/>
  <c r="EN42"/>
  <c r="FK42"/>
  <c r="GI43"/>
  <c r="W44"/>
  <c r="FK44"/>
  <c r="HH44"/>
  <c r="GJ47"/>
  <c r="BS48"/>
  <c r="HB48"/>
  <c r="FK50"/>
  <c r="FL52"/>
  <c r="HB52"/>
  <c r="GJ53"/>
  <c r="X54"/>
  <c r="AV54"/>
  <c r="BT54"/>
  <c r="HB54"/>
  <c r="GC55"/>
  <c r="GG55" s="1"/>
  <c r="CR56"/>
  <c r="CR57"/>
  <c r="EN57"/>
  <c r="Q58"/>
  <c r="U58" s="1"/>
  <c r="BT58"/>
  <c r="DO58"/>
  <c r="FE58"/>
  <c r="HH58"/>
  <c r="AV59"/>
  <c r="CR59"/>
  <c r="EG59"/>
  <c r="EK59" s="1"/>
  <c r="GJ59"/>
  <c r="X60"/>
  <c r="BT60"/>
  <c r="DP60"/>
  <c r="FK60"/>
  <c r="HB60"/>
  <c r="AV61"/>
  <c r="EN61"/>
  <c r="GD61"/>
  <c r="X62"/>
  <c r="BT62"/>
  <c r="DI62"/>
  <c r="DN62" s="1"/>
  <c r="HG62"/>
  <c r="EN63"/>
  <c r="BT64"/>
  <c r="FL64"/>
  <c r="HA64"/>
  <c r="HE64" s="1"/>
  <c r="CR65"/>
  <c r="EN65"/>
  <c r="GC65"/>
  <c r="GG65" s="1"/>
  <c r="X66"/>
  <c r="BT66"/>
  <c r="DP66"/>
  <c r="FE66"/>
  <c r="FI66" s="1"/>
  <c r="HA66"/>
  <c r="HF66" s="1"/>
  <c r="AP67"/>
  <c r="CR67"/>
  <c r="GC67"/>
  <c r="GG67" s="1"/>
  <c r="R68"/>
  <c r="BS68"/>
  <c r="DP68"/>
  <c r="FL68"/>
  <c r="HA68"/>
  <c r="AV69"/>
  <c r="CR69"/>
  <c r="EN69"/>
  <c r="GJ69"/>
  <c r="FF70"/>
  <c r="HA70"/>
  <c r="HF70" s="1"/>
  <c r="GC71"/>
  <c r="EN72"/>
  <c r="FE72"/>
  <c r="HB72"/>
  <c r="GI73"/>
  <c r="R74"/>
  <c r="GD75"/>
  <c r="BT76"/>
  <c r="HB76"/>
  <c r="AV77"/>
  <c r="GD77"/>
  <c r="X78"/>
  <c r="FF78"/>
  <c r="HB78"/>
  <c r="AV79"/>
  <c r="CR79"/>
  <c r="BT80"/>
  <c r="DP80"/>
  <c r="FL80"/>
  <c r="HB80"/>
  <c r="AP81"/>
  <c r="CR81"/>
  <c r="GJ81"/>
  <c r="X82"/>
  <c r="CR83"/>
  <c r="GD83"/>
  <c r="AV84"/>
  <c r="BS84"/>
  <c r="CR84"/>
  <c r="FE84"/>
  <c r="FJ84" s="1"/>
  <c r="AP85"/>
  <c r="EH85"/>
  <c r="W86"/>
  <c r="DP86"/>
  <c r="EN86"/>
  <c r="HB86"/>
  <c r="BP84"/>
  <c r="EK72"/>
  <c r="HD52"/>
  <c r="FS74"/>
  <c r="BO61"/>
  <c r="DK33"/>
  <c r="DU117" i="18"/>
  <c r="GG35" i="22"/>
  <c r="FI58"/>
  <c r="FJ58"/>
  <c r="HE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FG97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ET52" i="10"/>
  <c r="AL52" s="1"/>
  <c r="F104" i="20"/>
  <c r="H102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E82" i="20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O33" i="9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G102" i="20"/>
  <c r="P32" i="2"/>
  <c r="DU34" i="1"/>
  <c r="Q38"/>
  <c r="J14" i="9"/>
  <c r="H25" i="14"/>
  <c r="G99" i="20"/>
  <c r="P26" i="14"/>
  <c r="H28"/>
  <c r="I27"/>
  <c r="T27"/>
  <c r="N23" i="9"/>
  <c r="EG32" i="1"/>
  <c r="T25" i="14"/>
  <c r="K30"/>
  <c r="J28"/>
  <c r="G28"/>
  <c r="I21" i="2"/>
  <c r="I35"/>
  <c r="M25" i="14"/>
  <c r="F90" i="20"/>
  <c r="FQ34" i="1"/>
  <c r="DU36"/>
  <c r="S27" i="14"/>
  <c r="CK32" i="1"/>
  <c r="M30" i="14"/>
  <c r="R26"/>
  <c r="J26"/>
  <c r="K25"/>
  <c r="N16" i="9"/>
  <c r="H31" i="2"/>
  <c r="O34"/>
  <c r="N15" i="9"/>
  <c r="BM34" i="1"/>
  <c r="I32" i="2"/>
  <c r="BA36" i="1"/>
  <c r="F93" i="20"/>
  <c r="N20" i="9"/>
  <c r="M20" i="2"/>
  <c r="P34"/>
  <c r="AO37" i="1"/>
  <c r="H32" i="2"/>
  <c r="I25" i="14"/>
  <c r="GC36" i="1"/>
  <c r="N31" i="9"/>
  <c r="N26"/>
  <c r="FE33" i="1"/>
  <c r="EG38"/>
  <c r="F80" i="20"/>
  <c r="BM36" i="1"/>
  <c r="H37" i="2"/>
  <c r="J30" i="14"/>
  <c r="O25" i="2"/>
  <c r="P35"/>
  <c r="I30" i="14"/>
  <c r="FE34" i="1"/>
  <c r="G442" i="13" s="1"/>
  <c r="N25" i="9"/>
  <c r="BY36" i="1"/>
  <c r="G103" i="20"/>
  <c r="H27" i="2"/>
  <c r="I26" i="14"/>
  <c r="I33" i="2"/>
  <c r="BA31" i="1"/>
  <c r="Q27" i="14"/>
  <c r="E30"/>
  <c r="N24" i="9"/>
  <c r="DI36" i="1"/>
  <c r="N28" i="9"/>
  <c r="ES35" i="1"/>
  <c r="T30" i="14"/>
  <c r="J13" i="9"/>
  <c r="C25" i="14"/>
  <c r="EG34" i="1"/>
  <c r="P25" i="14"/>
  <c r="D30"/>
  <c r="BM37" i="1"/>
  <c r="E26" i="14"/>
  <c r="N22" i="9"/>
  <c r="H33" i="2"/>
  <c r="N33" i="9"/>
  <c r="BY34" i="1"/>
  <c r="F87" i="20"/>
  <c r="L30" i="14"/>
  <c r="C28"/>
  <c r="AO36" i="1"/>
  <c r="H25" i="2"/>
  <c r="DI38" i="1"/>
  <c r="Q25" i="14"/>
  <c r="G101" i="20"/>
  <c r="AO35" i="1"/>
  <c r="BM32"/>
  <c r="O30" i="2"/>
  <c r="H20"/>
  <c r="F82" i="20"/>
  <c r="G27" i="14"/>
  <c r="P37" i="2"/>
  <c r="CW36" i="1"/>
  <c r="H22" i="2"/>
  <c r="EG36" i="1"/>
  <c r="G25" i="14"/>
  <c r="H28" i="2"/>
  <c r="H21"/>
  <c r="N30" i="9"/>
  <c r="F85" i="20"/>
  <c r="F26" i="14"/>
  <c r="L26"/>
  <c r="H26" i="2"/>
  <c r="I23"/>
  <c r="R28" i="14"/>
  <c r="E28"/>
  <c r="E31" i="1"/>
  <c r="P25" i="2"/>
  <c r="I20"/>
  <c r="R30" i="14"/>
  <c r="N30"/>
  <c r="G184" i="13"/>
  <c r="O26" i="14"/>
  <c r="BA34" i="1"/>
  <c r="J25" i="14"/>
  <c r="E34" i="1"/>
  <c r="H24" i="2"/>
  <c r="I36"/>
  <c r="F81" i="20"/>
  <c r="P22" i="2"/>
  <c r="S26" i="14"/>
  <c r="F83" i="20"/>
  <c r="I30" i="2"/>
  <c r="P27" i="14"/>
  <c r="D25"/>
  <c r="G104" i="20"/>
  <c r="F25" i="14"/>
  <c r="CW32" i="1"/>
  <c r="P28" i="2" s="1"/>
  <c r="I29"/>
  <c r="L28" i="14"/>
  <c r="E25"/>
  <c r="I26" i="2"/>
  <c r="F91" i="20"/>
  <c r="H34" i="2"/>
  <c r="N14" i="9"/>
  <c r="D29" i="14"/>
  <c r="N27" i="9"/>
  <c r="I25" i="2"/>
  <c r="I31"/>
  <c r="D27" i="14"/>
  <c r="H26"/>
  <c r="O21" i="2"/>
  <c r="H23"/>
  <c r="N25" i="14"/>
  <c r="N21" i="9"/>
  <c r="I24" i="2"/>
  <c r="S30" i="14"/>
  <c r="HA31" i="1"/>
  <c r="O27" i="14"/>
  <c r="H36" i="2"/>
  <c r="N28" i="14"/>
  <c r="AO34" i="1"/>
  <c r="I28" i="2"/>
  <c r="I27"/>
  <c r="I28" i="14"/>
  <c r="H30"/>
  <c r="O25"/>
  <c r="P27" i="2"/>
  <c r="E27" i="14"/>
  <c r="N19" i="9"/>
  <c r="G30" i="14"/>
  <c r="N26"/>
  <c r="CW34" i="1"/>
  <c r="CK34"/>
  <c r="I22" i="2"/>
  <c r="GC34" i="1"/>
  <c r="H35" i="2"/>
  <c r="Q28" i="14"/>
  <c r="C30"/>
  <c r="K13" i="9"/>
  <c r="P20" i="2"/>
  <c r="P24"/>
  <c r="F28" i="14"/>
  <c r="T28"/>
  <c r="DU33" i="1"/>
  <c r="P30" i="2"/>
  <c r="P29"/>
  <c r="G20"/>
  <c r="G96" i="20"/>
  <c r="DI34" i="1"/>
  <c r="E36"/>
  <c r="H30" i="2"/>
  <c r="G345" i="13"/>
  <c r="L25" i="14"/>
  <c r="ES34" i="1"/>
  <c r="R25" i="14"/>
  <c r="F89" i="20"/>
  <c r="N17" i="9"/>
  <c r="I37" i="2"/>
  <c r="K28" i="14"/>
  <c r="CK37" i="1"/>
  <c r="FE36"/>
  <c r="P36" i="2"/>
  <c r="F88" i="20"/>
  <c r="CK36" i="1"/>
  <c r="S28" i="14"/>
  <c r="I34" i="2"/>
  <c r="N18" i="9"/>
  <c r="F86" i="20"/>
  <c r="H29" i="2"/>
  <c r="FQ36" i="1"/>
  <c r="D26" i="14"/>
  <c r="O28"/>
  <c r="AO32" i="1"/>
  <c r="GO36"/>
  <c r="S25" i="14"/>
  <c r="EG37" i="1"/>
  <c r="Q26" i="14"/>
  <c r="K26"/>
  <c r="M27"/>
  <c r="P30"/>
  <c r="F20" i="2"/>
  <c r="N29" i="9"/>
  <c r="AC36" i="1"/>
  <c r="L27" i="14"/>
  <c r="M26"/>
  <c r="R27"/>
  <c r="O33" i="2"/>
  <c r="D28" i="14"/>
  <c r="F84" i="20"/>
  <c r="T29" i="14"/>
  <c r="G217" i="13"/>
  <c r="C27" i="14"/>
  <c r="AC34" i="1"/>
  <c r="G346" i="13"/>
  <c r="ES36" i="1"/>
  <c r="O20" i="2"/>
  <c r="GO34" i="1"/>
  <c r="Q30" i="14"/>
  <c r="N32" i="9"/>
  <c r="F92" i="20"/>
  <c r="G282" i="13"/>
  <c r="G89"/>
  <c r="O22" i="2"/>
  <c r="G97" i="20"/>
  <c r="O24" i="2"/>
  <c r="G151" i="13"/>
  <c r="O32" i="2"/>
  <c r="G410" i="13"/>
  <c r="G538"/>
  <c r="O36" i="2"/>
  <c r="AL112" i="24" l="1"/>
  <c r="AL109" i="10"/>
  <c r="F100" i="20"/>
  <c r="H97"/>
  <c r="H96"/>
  <c r="F98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N18" s="1"/>
  <c r="F18"/>
  <c r="A12" i="20"/>
  <c r="HF16" i="22"/>
  <c r="BQ31"/>
  <c r="BR31"/>
  <c r="CP30"/>
  <c r="CO30"/>
  <c r="FJ27"/>
  <c r="FI27"/>
  <c r="AT24"/>
  <c r="AS24"/>
  <c r="DN19"/>
  <c r="DM19"/>
  <c r="V19"/>
  <c r="U19"/>
  <c r="DM30"/>
  <c r="DN30"/>
  <c r="CP24"/>
  <c r="CO24"/>
  <c r="CP22"/>
  <c r="CO22"/>
  <c r="DN21"/>
  <c r="DM21"/>
  <c r="AT18"/>
  <c r="AS18"/>
  <c r="G80" i="20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BE33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25" i="2"/>
  <c r="S25" s="1"/>
  <c r="T25" s="1"/>
  <c r="Q37"/>
  <c r="S37" s="1"/>
  <c r="T37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3" i="24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ET108" i="10"/>
  <c r="AL108" s="1"/>
  <c r="A14" i="20"/>
  <c r="D11" i="23"/>
  <c r="D7" s="1"/>
  <c r="I84" i="20"/>
  <c r="I90"/>
  <c r="I81"/>
  <c r="I88"/>
  <c r="I93"/>
  <c r="I82"/>
  <c r="I80"/>
  <c r="I91"/>
  <c r="I89"/>
  <c r="I86"/>
  <c r="I85"/>
  <c r="I83"/>
  <c r="I92"/>
  <c r="I87"/>
  <c r="G100"/>
  <c r="G98"/>
  <c r="G120" i="13"/>
  <c r="G22"/>
  <c r="N29" i="14"/>
  <c r="G406" i="13"/>
  <c r="G280"/>
  <c r="G87"/>
  <c r="N27" i="14"/>
  <c r="G566" i="13"/>
  <c r="G569"/>
  <c r="M28" i="14"/>
  <c r="O29" i="2"/>
  <c r="G377" i="13"/>
  <c r="G26" i="14"/>
  <c r="G23" i="13"/>
  <c r="G248"/>
  <c r="G179"/>
  <c r="O26" i="2"/>
  <c r="G570" i="13"/>
  <c r="G314"/>
  <c r="G281"/>
  <c r="G568"/>
  <c r="G150"/>
  <c r="G310"/>
  <c r="P29" i="14"/>
  <c r="G342" i="13"/>
  <c r="O28" i="2"/>
  <c r="G116" i="13"/>
  <c r="G409"/>
  <c r="Q29" i="14"/>
  <c r="G501" i="13"/>
  <c r="G502"/>
  <c r="G474"/>
  <c r="G344"/>
  <c r="G374"/>
  <c r="G213"/>
  <c r="G441"/>
  <c r="O23" i="2"/>
  <c r="G54" i="13"/>
  <c r="G27"/>
  <c r="P31" i="2"/>
  <c r="G53" i="13"/>
  <c r="K27" i="14"/>
  <c r="G183" i="13"/>
  <c r="G313"/>
  <c r="G536"/>
  <c r="G373"/>
  <c r="G25"/>
  <c r="O29" i="14"/>
  <c r="G149" i="13"/>
  <c r="G245"/>
  <c r="G438"/>
  <c r="G180"/>
  <c r="F27" i="14"/>
  <c r="O27" i="2"/>
  <c r="G469" i="13"/>
  <c r="P28" i="14"/>
  <c r="G470" i="13"/>
  <c r="G537"/>
  <c r="G408"/>
  <c r="P33" i="2"/>
  <c r="R29" i="14"/>
  <c r="G57" i="13"/>
  <c r="C26" i="14"/>
  <c r="G565" i="13"/>
  <c r="K29" i="14"/>
  <c r="O30"/>
  <c r="G405" i="13"/>
  <c r="G376"/>
  <c r="G212"/>
  <c r="G533"/>
  <c r="O35" i="2"/>
  <c r="P23"/>
  <c r="T26" i="14"/>
  <c r="G147" i="13"/>
  <c r="E29" i="14"/>
  <c r="G341" i="13"/>
  <c r="J29" i="14"/>
  <c r="G119" i="13"/>
  <c r="G473"/>
  <c r="G312"/>
  <c r="F30" i="14"/>
  <c r="J27"/>
  <c r="G277" i="13"/>
  <c r="G246"/>
  <c r="G118"/>
  <c r="G309"/>
  <c r="G115"/>
  <c r="I29" i="14"/>
  <c r="H27"/>
  <c r="G378" i="13"/>
  <c r="G84"/>
  <c r="G250"/>
  <c r="F29" i="14"/>
  <c r="G56" i="13"/>
  <c r="G440"/>
  <c r="C29" i="14"/>
  <c r="H29"/>
  <c r="M29"/>
  <c r="G504" i="13"/>
  <c r="G58"/>
  <c r="G215"/>
  <c r="G278"/>
  <c r="G534"/>
  <c r="O31" i="2"/>
  <c r="G505" i="13"/>
  <c r="G26"/>
  <c r="G85"/>
  <c r="G88"/>
  <c r="S29" i="14"/>
  <c r="G437" i="13"/>
  <c r="G506"/>
  <c r="G472"/>
  <c r="G216"/>
  <c r="G182"/>
  <c r="L29" i="14"/>
  <c r="G29"/>
  <c r="G249" i="13"/>
  <c r="G146"/>
  <c r="A10" i="20" l="1"/>
  <c r="A8"/>
  <c r="G123"/>
  <c r="Q35" i="2"/>
  <c r="S35" s="1"/>
  <c r="T35" s="1"/>
  <c r="Q26"/>
  <c r="S26" s="1"/>
  <c r="T26" s="1"/>
  <c r="Q29"/>
  <c r="S29" s="1"/>
  <c r="T29" s="1"/>
  <c r="Q23"/>
  <c r="S23" s="1"/>
  <c r="T23" s="1"/>
  <c r="Q33"/>
  <c r="S33" s="1"/>
  <c r="T33" s="1"/>
  <c r="Q27"/>
  <c r="S27" s="1"/>
  <c r="T27" s="1"/>
  <c r="Q31"/>
  <c r="S31" s="1"/>
  <c r="T31" s="1"/>
  <c r="K123" i="20"/>
  <c r="O123" s="1"/>
  <c r="M28" i="9" s="1"/>
  <c r="Q36" i="2"/>
  <c r="S36" s="1"/>
  <c r="T36" s="1"/>
  <c r="Q22"/>
  <c r="S22" s="1"/>
  <c r="T22" s="1"/>
  <c r="Q28"/>
  <c r="S28" s="1"/>
  <c r="T28" s="1"/>
  <c r="K26"/>
  <c r="L26" s="1"/>
  <c r="K22"/>
  <c r="L22" s="1"/>
  <c r="K33"/>
  <c r="L33" s="1"/>
  <c r="Q30"/>
  <c r="S30" s="1"/>
  <c r="T30" s="1"/>
  <c r="P38"/>
  <c r="O119" i="20"/>
  <c r="M24" i="9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K20"/>
  <c r="L20" s="1"/>
  <c r="Y26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Q20"/>
  <c r="A4" i="21" s="1"/>
  <c r="E4" s="1"/>
  <c r="L21" i="2"/>
  <c r="U21" s="1"/>
  <c r="G20" i="13"/>
  <c r="A9" i="21"/>
  <c r="E9" s="1"/>
  <c r="L37" i="2"/>
  <c r="U37" s="1"/>
  <c r="K563" i="13" s="1"/>
  <c r="L27" i="2"/>
  <c r="L31"/>
  <c r="L35"/>
  <c r="L29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U23" i="2" l="1"/>
  <c r="Z23" s="1"/>
  <c r="AA23" s="1"/>
  <c r="W23" s="1"/>
  <c r="A17" i="21"/>
  <c r="E17" s="1"/>
  <c r="U35" i="2"/>
  <c r="K499" i="13" s="1"/>
  <c r="A19" i="21"/>
  <c r="E19" s="1"/>
  <c r="U27" i="2"/>
  <c r="Z27" s="1"/>
  <c r="AA27" s="1"/>
  <c r="W27" s="1"/>
  <c r="U26"/>
  <c r="Z26" s="1"/>
  <c r="AA26" s="1"/>
  <c r="W26" s="1"/>
  <c r="U31"/>
  <c r="Z31" s="1"/>
  <c r="AA31" s="1"/>
  <c r="W31" s="1"/>
  <c r="A10" i="21"/>
  <c r="E10" s="1"/>
  <c r="A11"/>
  <c r="E11" s="1"/>
  <c r="A15"/>
  <c r="E15" s="1"/>
  <c r="U29" i="2"/>
  <c r="K307" i="13" s="1"/>
  <c r="A13" i="21"/>
  <c r="E13" s="1"/>
  <c r="A7"/>
  <c r="U33" i="2"/>
  <c r="DF39" i="11" s="1"/>
  <c r="A20" i="21"/>
  <c r="E20" s="1"/>
  <c r="A6"/>
  <c r="E6" s="1"/>
  <c r="U22" i="2"/>
  <c r="Z22" s="1"/>
  <c r="AA22" s="1"/>
  <c r="W22" s="1"/>
  <c r="U36"/>
  <c r="K531" i="13" s="1"/>
  <c r="U28" i="2"/>
  <c r="DF34" i="11" s="1"/>
  <c r="A12" i="21"/>
  <c r="E12" s="1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S20"/>
  <c r="T20" s="1"/>
  <c r="S34"/>
  <c r="T34" s="1"/>
  <c r="A18" i="21"/>
  <c r="E18" s="1"/>
  <c r="S32" i="2"/>
  <c r="U32" s="1"/>
  <c r="A16" i="21"/>
  <c r="E16" s="1"/>
  <c r="Q38" i="2"/>
  <c r="AA25"/>
  <c r="W25" s="1"/>
  <c r="Y13" i="20"/>
  <c r="BT43" i="11"/>
  <c r="K371" i="13"/>
  <c r="DF43" i="11"/>
  <c r="K177" i="13"/>
  <c r="BT31" i="11"/>
  <c r="DF31"/>
  <c r="BT27"/>
  <c r="DF27"/>
  <c r="K51" i="13"/>
  <c r="E7" i="21" l="1"/>
  <c r="F6" s="1"/>
  <c r="BT29" i="11"/>
  <c r="DF29"/>
  <c r="K113" i="13"/>
  <c r="BT35" i="11"/>
  <c r="BT37"/>
  <c r="DF33"/>
  <c r="K243" i="13"/>
  <c r="DF37" i="11"/>
  <c r="BT32"/>
  <c r="K210" i="13"/>
  <c r="BT33" i="11"/>
  <c r="DF41"/>
  <c r="BT41"/>
  <c r="DF32"/>
  <c r="K435" i="13"/>
  <c r="DF35" i="11"/>
  <c r="BT39"/>
  <c r="Z33" i="2"/>
  <c r="AA33" s="1"/>
  <c r="W33" s="1"/>
  <c r="BT28" i="1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5" i="21" l="1"/>
  <c r="G4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G26"/>
  <c r="AI26"/>
  <c r="AF26"/>
  <c r="AC26"/>
  <c r="Z26"/>
  <c r="AA26"/>
  <c r="AD26"/>
  <c r="AE26"/>
  <c r="AH26"/>
  <c r="Y26"/>
  <c r="AJ26"/>
  <c r="AB26"/>
  <c r="AK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<sst xmlns="http://schemas.openxmlformats.org/spreadsheetml/2006/main" count="4980" uniqueCount="1043">
  <si>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</si>
  <si>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</si>
  <si>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</si>
  <si>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</si>
  <si>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</si>
  <si>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</si>
  <si>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</si>
  <si>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</si>
  <si>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</si>
  <si>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</si>
  <si>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</si>
  <si>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</si>
  <si>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</si>
  <si>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</si>
  <si>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</si>
  <si>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</si>
  <si>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</si>
  <si>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</si>
  <si>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</si>
  <si>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</si>
  <si>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</si>
  <si>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</si>
  <si>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</si>
  <si>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</si>
  <si>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</si>
  <si>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</si>
  <si>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</si>
  <si>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</si>
  <si>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</si>
  <si>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</si>
  <si>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</si>
  <si>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</si>
  <si>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</si>
  <si>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</si>
  <si>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</si>
  <si>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</si>
  <si>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</si>
  <si>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</si>
  <si>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</si>
  <si>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</si>
  <si>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</si>
  <si>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</si>
  <si>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</si>
  <si>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</si>
  <si>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</si>
  <si>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</si>
  <si>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</si>
  <si>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</si>
  <si>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</si>
  <si>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</si>
  <si>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</si>
  <si>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</si>
  <si>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</si>
  <si>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</si>
  <si>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</si>
  <si>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</si>
  <si>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</si>
  <si>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</si>
  <si>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</si>
  <si>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</si>
  <si>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</si>
  <si>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</si>
  <si>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</si>
  <si>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</si>
  <si>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</si>
  <si>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</si>
  <si>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</si>
  <si>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</si>
  <si>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</si>
  <si>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</si>
  <si>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</si>
  <si>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</si>
  <si>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</si>
  <si>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</si>
  <si>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</si>
  <si>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</si>
  <si>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</si>
  <si>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</si>
  <si>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</si>
  <si>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</si>
  <si>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</si>
  <si>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</si>
  <si>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</si>
  <si>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</si>
  <si>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</si>
  <si>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</si>
  <si>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</si>
  <si>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</si>
  <si>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</si>
  <si>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</si>
  <si>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</si>
  <si>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</si>
  <si>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</si>
  <si>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</si>
  <si>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</si>
  <si>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</si>
  <si>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</si>
  <si>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</si>
  <si>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</si>
  <si>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</si>
  <si>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</si>
  <si>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</si>
  <si>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</si>
  <si>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</si>
  <si>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</si>
  <si>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</si>
  <si>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</si>
  <si>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</si>
  <si>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</si>
  <si>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</si>
  <si>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</si>
  <si>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</si>
  <si>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</si>
  <si>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</si>
  <si>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</si>
  <si>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</si>
  <si>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</si>
  <si>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</si>
  <si>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</si>
  <si>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</si>
  <si>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</si>
  <si>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</si>
  <si>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</si>
  <si>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</si>
  <si>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</si>
  <si>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</si>
  <si>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</si>
  <si>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</si>
  <si>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</si>
  <si>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</si>
  <si>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</si>
  <si>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</si>
  <si>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</si>
  <si>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</si>
  <si>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</si>
  <si>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</si>
  <si>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</si>
  <si>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</si>
  <si>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</si>
  <si>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</si>
  <si>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</si>
  <si>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</si>
  <si>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</si>
  <si>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</si>
  <si>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</si>
  <si>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</si>
  <si>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</si>
  <si>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</si>
  <si>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</si>
  <si>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</si>
  <si>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</si>
  <si>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</si>
  <si>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</si>
  <si>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</si>
  <si>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</si>
  <si>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</si>
  <si>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</si>
  <si>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</si>
  <si>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</si>
  <si>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</si>
  <si>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</si>
  <si>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</si>
  <si>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</si>
  <si>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</si>
  <si>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</si>
  <si>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</si>
  <si>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</si>
  <si>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</si>
  <si>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</si>
  <si>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</si>
  <si>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</si>
  <si>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</si>
  <si>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</si>
  <si>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</si>
  <si>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</si>
  <si>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</si>
  <si>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</si>
  <si>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</si>
  <si>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</si>
  <si>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</si>
  <si>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</si>
  <si>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</si>
  <si>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</si>
  <si>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</si>
  <si>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</si>
  <si>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</si>
  <si>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</si>
  <si>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</si>
  <si>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</si>
  <si>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</si>
  <si>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</si>
  <si>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</si>
  <si>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</si>
  <si>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</si>
  <si>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</si>
  <si>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</si>
  <si>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</si>
  <si>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</si>
  <si>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</si>
  <si>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</si>
  <si>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</si>
  <si>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</si>
  <si>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</si>
  <si>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</si>
  <si>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</si>
  <si>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</si>
  <si>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</si>
  <si>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</si>
  <si>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</si>
  <si>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</si>
  <si>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</si>
  <si>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</si>
  <si>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</si>
  <si>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</si>
  <si>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</si>
  <si>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</si>
  <si>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</si>
  <si>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</si>
  <si>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</si>
  <si>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</si>
  <si>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</si>
  <si>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</si>
  <si>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</si>
  <si>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</si>
  <si>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</si>
  <si>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</si>
  <si>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</si>
  <si>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</si>
  <si>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</si>
  <si>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</si>
  <si>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</si>
  <si>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</si>
  <si>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</si>
  <si>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</si>
  <si>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</si>
  <si>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</si>
  <si>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</si>
  <si>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</si>
  <si>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</si>
  <si>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</si>
  <si>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</si>
  <si>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</si>
  <si>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</si>
  <si>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</si>
  <si>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</si>
  <si>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</si>
  <si>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</si>
  <si>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</si>
  <si>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</si>
  <si>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</si>
  <si>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</si>
  <si>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</si>
  <si>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</si>
  <si>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</si>
  <si>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</si>
  <si>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</si>
  <si>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</si>
  <si>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</si>
  <si>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</si>
  <si>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</si>
  <si>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</si>
  <si>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</si>
  <si>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</si>
  <si>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</si>
  <si>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</si>
  <si>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</si>
  <si>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</si>
  <si>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</si>
  <si>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</si>
  <si>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</si>
  <si>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</si>
  <si>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</si>
  <si>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</si>
  <si>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</si>
  <si>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</si>
  <si>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</si>
  <si>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</si>
  <si>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</si>
  <si>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</si>
  <si>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</si>
  <si>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</si>
  <si>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</si>
  <si>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</si>
  <si>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</si>
  <si>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</si>
  <si>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</si>
  <si>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</si>
  <si>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</si>
  <si>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</si>
  <si>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</si>
  <si>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</si>
  <si>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</si>
  <si>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</si>
  <si>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</si>
  <si>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</si>
  <si>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</si>
  <si>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</si>
  <si>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</si>
  <si>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</si>
  <si>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</si>
  <si>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</si>
  <si>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</si>
  <si>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</si>
  <si>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</si>
  <si>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</si>
  <si>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</si>
  <si>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</si>
  <si>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</si>
  <si>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</si>
  <si>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</si>
  <si>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</si>
  <si>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</si>
  <si>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</si>
  <si>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</si>
  <si>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</si>
  <si>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</si>
  <si>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</si>
  <si>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</si>
  <si>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</si>
  <si>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</si>
  <si>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</si>
  <si>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</si>
  <si>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</si>
  <si>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</si>
  <si>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</si>
  <si>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</si>
  <si>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</si>
  <si>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</si>
  <si>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</si>
  <si>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</si>
  <si>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</si>
  <si>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</si>
  <si>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</si>
  <si>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</si>
  <si>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</si>
  <si>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</si>
  <si>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</si>
  <si>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</si>
  <si>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</si>
  <si>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</si>
  <si>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</si>
  <si>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</si>
  <si>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</si>
  <si>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</si>
  <si>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</si>
  <si>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</si>
  <si>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</si>
  <si>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</si>
  <si>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</si>
  <si>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</si>
  <si>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</si>
  <si>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</si>
  <si>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</si>
  <si>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</si>
  <si>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</si>
  <si>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</si>
  <si>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</si>
  <si>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</si>
  <si>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</si>
  <si>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</si>
  <si>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</si>
  <si>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</si>
  <si>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</si>
  <si>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</si>
  <si>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</si>
  <si>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</si>
  <si>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</si>
  <si>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</si>
  <si>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</si>
  <si>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</si>
  <si>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</si>
  <si>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</si>
  <si>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</si>
  <si>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</si>
  <si>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</si>
  <si>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</si>
  <si>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</si>
  <si>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</si>
  <si>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</si>
  <si>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</si>
  <si>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</si>
  <si>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</si>
  <si>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</si>
  <si>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</si>
  <si>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</si>
  <si>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</si>
  <si>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</si>
  <si>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</si>
  <si>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</si>
  <si>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</si>
  <si>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</si>
  <si>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</si>
  <si>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</si>
  <si>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</si>
  <si>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</si>
  <si>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</si>
  <si>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</si>
  <si>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</si>
  <si>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</si>
  <si>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</si>
  <si>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</si>
  <si>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</si>
  <si>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</si>
  <si>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</si>
  <si>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</si>
  <si>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</si>
  <si>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</si>
  <si>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</si>
  <si>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</si>
  <si>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</si>
  <si>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</si>
  <si>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</si>
  <si>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</si>
  <si>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</si>
  <si>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</si>
  <si>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</si>
  <si>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</si>
  <si>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</si>
  <si>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</si>
  <si>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</si>
  <si>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</si>
  <si>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</si>
  <si>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</si>
  <si>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</si>
  <si>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</si>
  <si>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</si>
  <si>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</si>
  <si>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</si>
  <si>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</si>
  <si>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</si>
  <si>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</si>
  <si>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</si>
  <si>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</si>
  <si>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</si>
  <si>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</si>
  <si>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</si>
  <si>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</si>
  <si>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</si>
  <si>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</si>
  <si>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</si>
  <si>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</si>
  <si>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</si>
  <si>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</si>
  <si>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</si>
  <si>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</si>
  <si>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</si>
  <si>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</si>
  <si>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</si>
  <si>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</si>
  <si>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</si>
  <si>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</si>
  <si>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</si>
  <si>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</si>
  <si>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</si>
  <si>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</si>
  <si>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</si>
  <si>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</si>
  <si>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</si>
  <si>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</si>
  <si>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</si>
  <si>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</si>
  <si>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</si>
  <si>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</si>
  <si>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</si>
  <si>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</si>
  <si>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</si>
  <si>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</si>
  <si>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</si>
  <si>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</si>
  <si>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</si>
  <si>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</si>
  <si>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</si>
  <si>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</si>
  <si>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</si>
  <si>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</si>
  <si>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</si>
  <si>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</si>
  <si>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</si>
  <si>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</si>
  <si>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</si>
  <si>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</si>
  <si>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</si>
  <si>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</si>
  <si>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</si>
  <si>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</si>
  <si>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</si>
  <si>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</si>
  <si>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</si>
  <si>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</si>
  <si>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</si>
  <si>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</si>
  <si>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</si>
  <si>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</si>
  <si>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</si>
  <si>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</si>
  <si>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</si>
  <si>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</si>
  <si>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</si>
  <si>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</si>
  <si>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</si>
  <si>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</si>
  <si>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</si>
  <si>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</si>
  <si>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</si>
  <si>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</si>
  <si>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</si>
  <si>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</si>
  <si>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</si>
  <si>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</si>
  <si>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</si>
  <si>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</si>
  <si>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</si>
  <si>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</si>
  <si>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</si>
  <si>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</si>
  <si>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</si>
  <si>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</si>
  <si>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</si>
  <si>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</si>
  <si>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</si>
  <si>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</si>
  <si>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</si>
  <si>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</si>
  <si>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</si>
  <si>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</si>
  <si>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</si>
  <si>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</si>
  <si>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</si>
  <si>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</si>
  <si>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</si>
  <si>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</si>
  <si>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</si>
  <si>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</si>
  <si>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</si>
  <si>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</si>
  <si>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</si>
  <si>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</si>
  <si>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</si>
  <si>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</si>
  <si>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</si>
  <si>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</si>
  <si>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</si>
  <si>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</si>
  <si>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</si>
  <si>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</si>
  <si>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</si>
  <si>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</si>
  <si>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</si>
  <si>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</si>
  <si>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</si>
  <si>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</si>
  <si>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</si>
  <si>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</si>
  <si>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</si>
  <si>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</si>
  <si>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</si>
  <si>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</si>
  <si>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</si>
  <si>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</si>
  <si>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</si>
  <si>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</si>
  <si>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</si>
  <si>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</si>
  <si>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</si>
  <si>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</si>
  <si>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</si>
  <si>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</si>
  <si>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</si>
  <si>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</si>
  <si>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</si>
  <si>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</si>
  <si>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</si>
  <si>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</si>
  <si>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</si>
  <si>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</si>
  <si>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</si>
  <si>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</si>
  <si>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</si>
  <si>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</si>
  <si>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</si>
  <si>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</si>
  <si>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</si>
  <si>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</si>
  <si>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</si>
  <si>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</si>
  <si>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</si>
  <si>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</si>
  <si>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</si>
  <si>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</si>
  <si>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</si>
  <si>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</si>
  <si>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</si>
  <si>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</si>
  <si>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</si>
  <si>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</si>
  <si>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</si>
  <si>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</si>
  <si>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</si>
  <si>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</si>
  <si>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</si>
  <si>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</si>
  <si>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</si>
  <si>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</si>
  <si>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</si>
  <si>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</si>
  <si>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</si>
  <si>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</si>
  <si>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</si>
  <si>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</si>
  <si>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</si>
  <si>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</si>
  <si>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</si>
  <si>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</si>
  <si>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</si>
  <si>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</si>
  <si>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</si>
  <si>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</si>
  <si>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</si>
  <si>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</si>
  <si>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</si>
  <si>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</si>
  <si>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</si>
  <si>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</si>
  <si>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</si>
  <si>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</si>
  <si>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</si>
  <si>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</si>
  <si>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</si>
  <si>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</si>
  <si>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</si>
  <si>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</si>
  <si>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</si>
  <si>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</si>
  <si>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</si>
  <si>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</si>
  <si>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</si>
  <si>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</si>
  <si>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</si>
  <si>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</si>
  <si>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</si>
  <si>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</si>
  <si>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</si>
  <si>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</si>
  <si>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</si>
  <si>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</si>
  <si>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</si>
  <si>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</si>
  <si>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</si>
  <si>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</si>
  <si>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</si>
  <si>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</si>
  <si>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</si>
  <si>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</si>
  <si>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</si>
  <si>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</si>
  <si>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</si>
  <si>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</si>
  <si>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</si>
  <si>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</si>
  <si>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</si>
  <si>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</si>
  <si>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</si>
  <si>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</si>
  <si>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</si>
  <si>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</si>
  <si>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</si>
  <si>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</si>
  <si>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</si>
  <si>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</si>
  <si>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</si>
  <si>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</si>
  <si>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</si>
  <si>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</si>
  <si>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</si>
  <si>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</si>
  <si>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</si>
  <si>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</si>
  <si>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</si>
  <si>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</si>
  <si>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</si>
  <si>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</si>
  <si>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</si>
  <si>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</si>
  <si>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</si>
  <si>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</si>
  <si>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</si>
  <si>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</si>
  <si>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</si>
  <si>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</si>
  <si>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</si>
  <si>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</si>
  <si>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</si>
  <si>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</si>
  <si>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</si>
  <si>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</si>
  <si>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</si>
  <si>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</si>
  <si>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</si>
  <si>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</si>
  <si>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</si>
  <si>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</si>
  <si>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</si>
  <si>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</si>
  <si>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</si>
  <si>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</si>
  <si>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</si>
  <si>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</si>
  <si>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</si>
  <si>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</si>
  <si>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</si>
  <si>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</si>
  <si>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</si>
  <si>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</si>
  <si>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</si>
  <si>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</si>
  <si>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</si>
  <si>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</si>
  <si>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</si>
  <si>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</si>
  <si>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</si>
  <si>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</si>
  <si>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</si>
  <si>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</si>
  <si>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</si>
  <si>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</si>
  <si>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</si>
  <si>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</si>
  <si>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</si>
  <si>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</si>
  <si>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</si>
  <si>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</si>
  <si>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</si>
  <si>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</si>
  <si>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</si>
  <si>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</si>
  <si>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</si>
  <si>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</si>
  <si>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</si>
  <si>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</si>
  <si>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</si>
  <si>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</si>
  <si>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</si>
  <si>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</si>
  <si>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</si>
  <si>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</si>
  <si>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</si>
  <si>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</si>
  <si>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</si>
  <si>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</si>
  <si>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</si>
  <si>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</si>
  <si>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</si>
  <si>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</si>
  <si>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</si>
  <si>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</si>
  <si>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</si>
  <si>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</si>
  <si>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</si>
  <si>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</si>
  <si>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</si>
  <si>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</si>
  <si>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</si>
  <si>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</si>
  <si>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</si>
  <si>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</si>
  <si>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</si>
  <si>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</si>
  <si>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</si>
  <si>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</si>
  <si>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</si>
  <si>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</si>
  <si>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</si>
  <si>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</si>
  <si>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</si>
  <si>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</si>
  <si>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</si>
  <si>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</si>
  <si>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</si>
  <si>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</si>
  <si>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</si>
  <si>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</si>
  <si>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</si>
  <si>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</si>
  <si>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</si>
  <si>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</si>
  <si>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</si>
  <si>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</si>
  <si>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</si>
  <si>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</si>
  <si>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</si>
  <si>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</si>
  <si>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</si>
  <si>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</si>
  <si>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</si>
  <si>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</si>
  <si>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</si>
  <si>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</si>
  <si>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</si>
  <si>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</si>
  <si>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</si>
  <si>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</si>
  <si>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</si>
  <si>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</si>
  <si>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</si>
  <si>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</si>
  <si>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</si>
  <si>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</si>
  <si>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</si>
  <si>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</si>
  <si>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</si>
  <si>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</si>
  <si>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</si>
  <si>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</si>
  <si>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</si>
  <si>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</si>
  <si>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</si>
  <si>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</si>
  <si>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</si>
  <si>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</si>
  <si>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</si>
  <si>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</si>
  <si>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</si>
  <si>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</si>
  <si>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</si>
  <si>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</si>
  <si>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</si>
  <si>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</si>
  <si>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</si>
  <si>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</si>
  <si>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</si>
  <si>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</si>
  <si>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</si>
  <si>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</si>
  <si>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</si>
  <si>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</si>
  <si>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</si>
  <si>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</si>
  <si>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</si>
  <si>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</si>
  <si>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</si>
  <si>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</si>
  <si>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</si>
  <si>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</si>
  <si>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</si>
  <si>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</si>
  <si>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</si>
  <si>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</si>
  <si>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</si>
  <si>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</si>
  <si>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</si>
  <si>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</si>
  <si>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</si>
  <si>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</si>
  <si>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</si>
  <si>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</si>
  <si>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</si>
  <si>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</si>
  <si>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</si>
  <si>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</si>
  <si>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</si>
  <si>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</si>
  <si>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</si>
  <si>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</si>
  <si>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</si>
  <si>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</si>
  <si>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</si>
  <si>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</si>
  <si>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</si>
  <si>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</si>
  <si>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</si>
  <si>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</si>
  <si>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</si>
  <si>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</si>
  <si>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</si>
  <si>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</si>
  <si>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</si>
  <si>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</si>
  <si>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</si>
  <si>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</si>
  <si>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</si>
  <si>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</si>
  <si>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</si>
  <si>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</si>
  <si>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</si>
  <si>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</si>
  <si>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</si>
  <si>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</si>
  <si>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</si>
  <si>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</si>
  <si>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</si>
  <si>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</si>
  <si>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</si>
  <si>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</si>
  <si>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</si>
  <si>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</si>
  <si>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</si>
  <si>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</si>
  <si>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</si>
  <si>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</si>
  <si>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</si>
  <si>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</si>
  <si>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</si>
  <si>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</si>
  <si>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</si>
  <si>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</si>
  <si>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</si>
  <si>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</si>
  <si>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</si>
  <si>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</si>
  <si>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</si>
  <si>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</si>
  <si>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</si>
  <si>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</si>
  <si>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</si>
  <si>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</si>
  <si>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</si>
  <si>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</si>
  <si>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</si>
  <si>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</si>
  <si>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</si>
  <si>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</si>
  <si>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</si>
  <si>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</si>
  <si>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</si>
  <si>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</si>
  <si>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</si>
  <si>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</si>
  <si>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</si>
  <si>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</si>
  <si>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</si>
  <si>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</si>
  <si>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</si>
  <si>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</si>
  <si>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</si>
  <si>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</si>
  <si>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</si>
  <si>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</si>
  <si>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</si>
  <si>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</si>
  <si>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</si>
  <si>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</si>
  <si>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</si>
  <si>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</si>
  <si>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</si>
  <si>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</si>
  <si>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</si>
  <si>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</si>
  <si>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</si>
  <si>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</si>
  <si>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</si>
  <si>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</si>
  <si>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</si>
  <si>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</si>
  <si>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</si>
  <si>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</si>
  <si>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</si>
  <si>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</si>
  <si>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</si>
  <si>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</si>
  <si>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</si>
  <si>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</si>
  <si>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</si>
  <si>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</si>
  <si>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</si>
  <si>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</si>
  <si>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</si>
  <si>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</si>
  <si>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</si>
  <si>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</si>
  <si>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</si>
  <si>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</si>
  <si>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</si>
  <si>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</si>
  <si>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</si>
  <si>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</si>
  <si>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</si>
  <si>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</si>
  <si>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</si>
  <si>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</si>
  <si>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</si>
  <si>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</si>
  <si>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</si>
  <si>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</si>
  <si>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</si>
  <si>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</si>
  <si>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</si>
  <si>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</si>
  <si>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</si>
  <si>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</si>
  <si>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</si>
  <si>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</si>
  <si>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</si>
  <si>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</si>
  <si>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</si>
  <si>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</si>
  <si>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</si>
  <si>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</si>
  <si>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</si>
  <si>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</si>
  <si>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</si>
  <si>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</si>
  <si>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</si>
  <si>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</si>
  <si>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</si>
  <si>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</si>
  <si>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</si>
  <si>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</si>
  <si>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</si>
  <si>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</si>
  <si>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</si>
  <si>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</si>
  <si>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</si>
  <si>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</si>
  <si>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</si>
  <si>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</si>
  <si>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</si>
  <si>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</si>
  <si>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</si>
  <si>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</si>
  <si>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</si>
  <si>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</si>
  <si>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</si>
  <si>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</si>
  <si>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</si>
  <si>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</si>
  <si>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</si>
  <si>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</si>
  <si>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</si>
  <si>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</si>
  <si>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</si>
  <si>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</si>
  <si>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</si>
  <si>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</si>
  <si>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</si>
  <si>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</si>
  <si>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</si>
  <si>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</si>
  <si>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</si>
  <si>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</si>
  <si>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</si>
  <si>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</si>
  <si>
    <t>Сумма общего объема средств, доведенных УИК на компенсацию</t>
  </si>
  <si>
    <t>Сумма общего объема средств, доведенных УИК на дополнительную оплату труда (вознаграждение)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</si>
</sst>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</xf>
    <xf numFmtId="4" fontId="10" fillId="2" borderId="2" xfId="0" applyNumberFormat="1" applyFont="1" applyFill="1" applyBorder="1" applyAlignment="1" applyProtection="1">
      <alignment vertical="center"/>
      <protection locked="0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AQ28" sqref="AQ2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0"/>
      <c r="C9" s="690"/>
      <c r="D9" s="606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89" t="s">
        <v>429</v>
      </c>
      <c r="C13" s="689"/>
      <c r="H13" s="111"/>
    </row>
    <row r="14" spans="2:59" ht="59.25" customHeight="1">
      <c r="B14" s="431" t="s">
        <v>900</v>
      </c>
      <c r="C14" s="508"/>
      <c r="D14" s="33"/>
      <c r="H14" s="111"/>
    </row>
    <row r="15" spans="2:59" ht="15.75">
      <c r="B15" s="431" t="s">
        <v>899</v>
      </c>
      <c r="C15" s="509"/>
      <c r="D15" s="34"/>
      <c r="E15" s="34"/>
      <c r="F15" s="34"/>
      <c r="G15" s="34"/>
      <c r="H15" s="414"/>
      <c r="I15" s="664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09"/>
      <c r="D17" s="509"/>
      <c r="E17" s="34"/>
      <c r="F17" s="34"/>
      <c r="G17" s="34"/>
      <c r="H17" s="661">
        <f>($D$17-$C$17+1)*$H$15</f>
        <v>0</v>
      </c>
      <c r="I17" s="664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4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0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0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5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6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0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89" t="s">
        <v>431</v>
      </c>
      <c r="C31" s="689"/>
    </row>
    <row r="32" spans="1:59" ht="15.75">
      <c r="A32" s="49"/>
      <c r="B32" s="140" t="s">
        <v>164</v>
      </c>
      <c r="C32" s="510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0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1"/>
      <c r="C40" s="511"/>
      <c r="D40" s="511"/>
      <c r="E40" s="511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2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0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0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0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7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39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J9" sqref="J9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3" t="s">
        <v>270</v>
      </c>
      <c r="I5" s="713"/>
      <c r="J5" s="573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36.75" customHeight="1">
      <c r="E8" s="361"/>
      <c r="F8" s="361"/>
      <c r="G8" s="361"/>
      <c r="H8" s="1642" t="s">
        <v>1041</v>
      </c>
      <c r="I8" s="1643"/>
      <c r="J8" s="1644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53.25" customHeight="1">
      <c r="E9" s="361"/>
      <c r="F9" s="361"/>
      <c r="G9" s="361"/>
      <c r="H9" s="1642" t="s">
        <v>1042</v>
      </c>
      <c r="I9" s="1643"/>
      <c r="J9" s="1644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2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4" t="e">
        <f>H22/'Настройки ТИК'!$C$24</f>
        <v>#DIV/0!</v>
      </c>
      <c r="J22" s="514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>
      <c r="B29" s="356" t="s">
        <v>847</v>
      </c>
      <c r="C29" s="714"/>
      <c r="D29" s="715"/>
      <c r="E29" s="716"/>
      <c r="G29" s="706" t="s">
        <v>948</v>
      </c>
      <c r="H29" s="706"/>
      <c r="I29" s="706"/>
    </row>
    <row r="30" spans="1:64" s="156" customFormat="1"/>
    <row r="32" spans="1:64" ht="18.75">
      <c r="B32" s="701"/>
      <c r="C32" s="701"/>
      <c r="D32" s="701"/>
      <c r="E32" s="701"/>
    </row>
    <row r="33" spans="2:19" ht="18.7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8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J18" sqref="J18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8">
        <f>'Настройки ТИК'!$C$14</f>
        <v>0</v>
      </c>
    </row>
    <row r="3" spans="1:20" ht="47.25" customHeight="1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>
      <c r="F4" s="733" t="s">
        <v>463</v>
      </c>
      <c r="G4" s="733"/>
      <c r="H4" s="733"/>
      <c r="I4" s="733"/>
      <c r="J4" s="733"/>
    </row>
    <row r="6" spans="1:20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>
      <c r="D7" s="23"/>
      <c r="E7" s="23"/>
    </row>
    <row r="8" spans="1:20" ht="15.7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>
      <c r="A18" s="553" t="s">
        <v>961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4"/>
      <c r="Q18" s="554" t="s">
        <v>962</v>
      </c>
      <c r="R18" s="442" t="s">
        <v>927</v>
      </c>
      <c r="S18" s="21" t="s">
        <v>963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5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7"/>
    </row>
    <row r="38" spans="1:1">
      <c r="A38" s="577"/>
    </row>
  </sheetData>
  <sheetProtection password="C09F" sheet="1" objects="1" scenarios="1"/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2"/>
      <c r="E12" s="662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4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4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4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4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4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4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4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4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4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4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4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4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4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4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4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4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4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8">
        <f ca="1">IF(VALUE(INDIRECT("'Настройки УИК'!$F$22"))&gt;0,(IF(AND(VALUE(MID($A18,4,2))=VALUE(MID('Настройки ТИК'!$C$17,4,2)),$B18="",C18=8),C18,0))*INDIRECT("'Настройки УИК'!$I$22")/8,0)</f>
        <v>0</v>
      </c>
      <c r="E18" s="498">
        <f ca="1">IF(VALUE(INDIRECT("'Настройки УИК'!$F$22"))&gt;0,(IF(AND(VALUE(MID($A18,4,2))=VALUE(MID('Настройки ТИК'!$D$17,4,2)),$B18="",C18=8),C18,0))*INDIRECT("'Настройки УИК'!$J$22")/8,0)</f>
        <v>0</v>
      </c>
      <c r="F18" s="498">
        <f ca="1">IF($B18="",0,C18*'Настройки УИК'!$K$22*2*'Настройки ТИК'!$C$32)</f>
        <v>0</v>
      </c>
      <c r="G18" s="498">
        <f ca="1">IF(AND(D18+E18=0,$B18=""),C18*'Настройки УИК'!$K$22*'Настройки ТИК'!$C$32,0)</f>
        <v>0</v>
      </c>
      <c r="H18" s="498">
        <f ca="1">IF(AND('Настройки ТИК'!$C$45="ТИК",'Настройки УИК'!$C$22="Председатель"),0,(F18+G18)*ПК_ТИК)</f>
        <v>0</v>
      </c>
      <c r="I18" s="333"/>
      <c r="J18" s="498">
        <f ca="1">IF(VALUE(INDIRECT("'Настройки УИК'!$F$23"))&gt;0,(IF(AND(VALUE(MID($A18,4,2))=VALUE(MID('Настройки ТИК'!$C$17,4,2)),$B18="",I18=8),I18,0))*INDIRECT("'Настройки УИК'!$I$23")/8,0)</f>
        <v>0</v>
      </c>
      <c r="K18" s="498">
        <f ca="1">IF(VALUE(INDIRECT("'Настройки УИК'!$F$23"))&gt;0,(IF(AND(VALUE(MID($A18,4,2))=VALUE(MID('Настройки ТИК'!$D$17,4,2)),$B18="",I18=8),I18,0))*INDIRECT("'Настройки УИК'!$J$23")/8,0)</f>
        <v>0</v>
      </c>
      <c r="L18" s="498">
        <f ca="1">IF($B18="",0,I18*'Настройки УИК'!$K$22*2*'Настройки ТИК'!$C$32)</f>
        <v>0</v>
      </c>
      <c r="M18" s="498">
        <f ca="1">IF(AND(J18+K18=0,$B18=""),I18*'Настройки УИК'!$K$22*'Настройки ТИК'!$C$32,0)</f>
        <v>0</v>
      </c>
      <c r="N18" s="498">
        <f ca="1">IF(AND('Настройки ТИК'!$C$45="ТИК",'Настройки УИК'!$C$22="Председатель"),0,(L18+M18)*ПК_ТИК)</f>
        <v>0</v>
      </c>
      <c r="O18" s="333"/>
      <c r="P18" s="498">
        <f ca="1">IF(VALUE(INDIRECT("'Настройки УИК'!$F$24"))&gt;0,(IF(AND(VALUE(MID($A18,4,2))=VALUE(MID('Настройки ТИК'!$C$17,4,2)),$B18="",O18=8),O18,0))*INDIRECT("'Настройки УИК'!$I$24")/8,0)</f>
        <v>0</v>
      </c>
      <c r="Q18" s="498">
        <f ca="1">IF(VALUE(INDIRECT("'Настройки УИК'!$F$24"))&gt;0,(IF(AND(VALUE(MID($A18,4,2))=VALUE(MID('Настройки ТИК'!$D$17,4,2)),$B18="",O18=8),O18,0))*INDIRECT("'Настройки УИК'!$J$24")/8,0)</f>
        <v>0</v>
      </c>
      <c r="R18" s="498">
        <f ca="1">IF($B18="",0,O18*'Настройки УИК'!$K$22*2*'Настройки ТИК'!$C$32)</f>
        <v>0</v>
      </c>
      <c r="S18" s="498">
        <f ca="1">IF(AND(P18+Q18=0,$B18=""),O18*'Настройки УИК'!$K$22*'Настройки ТИК'!$C$32,0)</f>
        <v>0</v>
      </c>
      <c r="T18" s="498">
        <f ca="1">IF(AND('Настройки ТИК'!$C$45="ТИК",'Настройки УИК'!$C$22="Председатель"),0,(R18+S18)*ПК_ТИК)</f>
        <v>0</v>
      </c>
      <c r="U18" s="333"/>
      <c r="V18" s="498">
        <f ca="1">IF(VALUE(INDIRECT("'Настройки УИК'!$F$25"))&gt;0,(IF(AND(VALUE(MID($A18,4,2))=VALUE(MID('Настройки ТИК'!$C$17,4,2)),$B18="",U18=8),U18,0))*INDIRECT("'Настройки УИК'!$I$25")/8,0)</f>
        <v>0</v>
      </c>
      <c r="W18" s="498">
        <f ca="1">IF(VALUE(INDIRECT("'Настройки УИК'!$F$25"))&gt;0,(IF(AND(VALUE(MID($A18,4,2))=VALUE(MID('Настройки ТИК'!$D$17,4,2)),$B18="",U18=8),U18,0))*INDIRECT("'Настройки УИК'!$J$25")/8,0)</f>
        <v>0</v>
      </c>
      <c r="X18" s="498">
        <f ca="1">IF($B18="",0,U18*'Настройки УИК'!$K$22*2*'Настройки ТИК'!$C$32)</f>
        <v>0</v>
      </c>
      <c r="Y18" s="498">
        <f ca="1">IF(AND(V18+W18=0,$B18=""),U18*'Настройки УИК'!$K$22*'Настройки ТИК'!$C$32,0)</f>
        <v>0</v>
      </c>
      <c r="Z18" s="498">
        <f ca="1">IF(AND('Настройки ТИК'!$C$45="ТИК",'Настройки УИК'!$C$22="Председатель"),0,(X18+Y18)*ПК_ТИК)</f>
        <v>0</v>
      </c>
      <c r="AA18" s="333"/>
      <c r="AB18" s="498">
        <f ca="1">IF(VALUE(INDIRECT("'Настройки УИК'!$F$26"))&gt;0,(IF(AND(VALUE(MID($A18,4,2))=VALUE(MID('Настройки ТИК'!$C$17,4,2)),$B18="",AA18=8),AA18,0))*INDIRECT("'Настройки УИК'!$I$43")/8,0)</f>
        <v>0</v>
      </c>
      <c r="AC18" s="498">
        <f ca="1">IF(VALUE(INDIRECT("'Настройки УИК'!$F$26"))&gt;0,(IF(AND(VALUE(MID($A18,4,2))=VALUE(MID('Настройки ТИК'!$D$17,4,2)),$B18="",AA18=8),AA18,0))*INDIRECT("'Настройки УИК'!$J$26")/8,0)</f>
        <v>0</v>
      </c>
      <c r="AD18" s="498">
        <f ca="1">IF($B18="",0,AA18*'Настройки УИК'!$K$22*2*'Настройки ТИК'!$C$32)</f>
        <v>0</v>
      </c>
      <c r="AE18" s="498">
        <f ca="1">IF(AND(AB18+AC18=0,$B18=""),AA18*'Настройки УИК'!$K$22*'Настройки ТИК'!$C$32,0)</f>
        <v>0</v>
      </c>
      <c r="AF18" s="498">
        <f ca="1">IF(AND('Настройки ТИК'!$C$45="ТИК",'Настройки УИК'!$C$22="Председатель"),0,(AD18+AE18)*ПК_ТИК)</f>
        <v>0</v>
      </c>
      <c r="AG18" s="333"/>
      <c r="AH18" s="498">
        <f ca="1">IF(VALUE(INDIRECT("'Настройки УИК'!$F$27"))&gt;0,(IF(AND(VALUE(MID($A18,4,2))=VALUE(MID('Настройки ТИК'!$C$17,4,2)),$B18="",AG18=8),AG18,0))*INDIRECT("'Настройки УИК'!$I$27")/8,0)</f>
        <v>0</v>
      </c>
      <c r="AI18" s="498">
        <f ca="1">IF(VALUE(INDIRECT("'Настройки УИК'!$F$27"))&gt;0,(IF(AND(VALUE(MID($A18,4,2))=VALUE(MID('Настройки ТИК'!$D$17,4,2)),$B18="",AG18=8),AG18,0))*INDIRECT("'Настройки УИК'!$J$27")/8,0)</f>
        <v>0</v>
      </c>
      <c r="AJ18" s="498">
        <f ca="1">IF($B18="",0,AG18*'Настройки УИК'!$K$22*2*'Настройки ТИК'!$C$32)</f>
        <v>0</v>
      </c>
      <c r="AK18" s="498">
        <f ca="1">IF(AND(AH18+AI18=0,$B18=""),AG18*'Настройки УИК'!$K$22*'Настройки ТИК'!$C$32,0)</f>
        <v>0</v>
      </c>
      <c r="AL18" s="498">
        <f ca="1">IF(AND('Настройки ТИК'!$C$45="ТИК",'Настройки УИК'!$C$22="Председатель"),0,(AJ18+AK18)*ПК_ТИК)</f>
        <v>0</v>
      </c>
      <c r="AM18" s="333"/>
      <c r="AN18" s="498">
        <f ca="1">IF(VALUE(INDIRECT("'Настройки УИК'!$F$28"))&gt;0,(IF(AND(VALUE(MID($A18,4,2))=VALUE(MID('Настройки ТИК'!$C$17,4,2)),$B18="",AM18=8),AM18,0))*INDIRECT("'Настройки УИК'!$I$28")/8,0)</f>
        <v>0</v>
      </c>
      <c r="AO18" s="498">
        <f ca="1">IF(VALUE(INDIRECT("'Настройки УИК'!$F$28"))&gt;0,(IF(AND(VALUE(MID($A18,4,2))=VALUE(MID('Настройки ТИК'!$D$17,4,2)),$B18="",AM18=8),AM18,0))*INDIRECT("'Настройки УИК'!$J$28")/8,0)</f>
        <v>0</v>
      </c>
      <c r="AP18" s="498">
        <f ca="1">IF($B18="",0,AM18*'Настройки УИК'!$K$22*2*'Настройки ТИК'!$C$32)</f>
        <v>0</v>
      </c>
      <c r="AQ18" s="498">
        <f ca="1">IF(AND(AN18+AO18=0,$B18=""),AM18*'Настройки УИК'!$K$22*'Настройки ТИК'!$C$32,0)</f>
        <v>0</v>
      </c>
      <c r="AR18" s="498">
        <f ca="1">IF(AND('Настройки ТИК'!$C$45="ТИК",'Настройки УИК'!$C$22="Председатель"),0,(AP18+AQ18)*ПК_ТИК)</f>
        <v>0</v>
      </c>
      <c r="AS18" s="333"/>
      <c r="AT18" s="498">
        <f ca="1">IF(VALUE(INDIRECT("'Настройки УИК'!$F$29"))&gt;0,(IF(AND(VALUE(MID($A18,4,2))=VALUE(MID('Настройки ТИК'!$C$17,4,2)),$B18="",AS18=8),AS18,0))*INDIRECT("'Настройки УИК'!$I$29")/8,0)</f>
        <v>0</v>
      </c>
      <c r="AU18" s="498">
        <f ca="1">IF(VALUE(INDIRECT("'Настройки УИК'!$F$29"))&gt;0,(IF(AND(VALUE(MID($A18,4,2))=VALUE(MID('Настройки ТИК'!$D$17,4,2)),$B18="",AS18=8),AS18,0))*INDIRECT("'Настройки УИК'!$J$29")/8,0)</f>
        <v>0</v>
      </c>
      <c r="AV18" s="498">
        <f ca="1">IF($B18="",0,AS18*'Настройки УИК'!$K$22*2*'Настройки ТИК'!$C$32)</f>
        <v>0</v>
      </c>
      <c r="AW18" s="498">
        <f ca="1">IF(AND(AT18+AU18=0,$B18=""),AS18*'Настройки УИК'!$K$22*'Настройки ТИК'!$C$32,0)</f>
        <v>0</v>
      </c>
      <c r="AX18" s="498">
        <f ca="1">IF(AND('Настройки ТИК'!$C$45="ТИК",'Настройки УИК'!$C$22="Председатель"),0,(AV18+AW18)*ПК_ТИК)</f>
        <v>0</v>
      </c>
      <c r="AY18" s="333"/>
      <c r="AZ18" s="498">
        <f ca="1">IF(VALUE(INDIRECT("'Настройки УИК'!$F$30"))&gt;0,(IF(AND(VALUE(MID($A18,4,2))=VALUE(MID('Настройки ТИК'!$C$17,4,2)),$B18="",AY18=8),AY18,0))*INDIRECT("'Настройки УИК'!$I$30")/8,0)</f>
        <v>0</v>
      </c>
      <c r="BA18" s="498">
        <f ca="1">IF(VALUE(INDIRECT("'Настройки УИК'!$F$30"))&gt;0,(IF(AND(VALUE(MID($A18,4,2))=VALUE(MID('Настройки ТИК'!$D$17,4,2)),$B18="",AY18=8),AY18,0))*INDIRECT("'Настройки УИК'!$J$30")/8,0)</f>
        <v>0</v>
      </c>
      <c r="BB18" s="498">
        <f ca="1">IF($B18="",0,AY18*'Настройки УИК'!$K$22*2*'Настройки ТИК'!$C$32)</f>
        <v>0</v>
      </c>
      <c r="BC18" s="498">
        <f ca="1">IF(AND(AZ18+BA18=0,$B18=""),AY18*'Настройки УИК'!$K$22*'Настройки ТИК'!$C$32,0)</f>
        <v>0</v>
      </c>
      <c r="BD18" s="498">
        <f ca="1">IF(AND('Настройки ТИК'!$C$45="ТИК",'Настройки УИК'!$C$22="Председатель"),0,(BB18+BC18)*ПК_ТИК)</f>
        <v>0</v>
      </c>
      <c r="BE18" s="333"/>
      <c r="BF18" s="498">
        <f ca="1">IF(VALUE(INDIRECT("'Настройки УИК'!$F$31"))&gt;0,(IF(AND(VALUE(MID($A18,4,2))=VALUE(MID('Настройки ТИК'!$C$17,4,2)),$B18="",BE18=8),BE18,0))*INDIRECT("'Настройки УИК'!$I$31")/8,0)</f>
        <v>0</v>
      </c>
      <c r="BG18" s="498">
        <f ca="1">IF(VALUE(INDIRECT("'Настройки УИК'!$F$31"))&gt;0,(IF(AND(VALUE(MID($A18,4,2))=VALUE(MID('Настройки ТИК'!$D$17,4,2)),$B18="",BE18=8),BE18,0))*INDIRECT("'Настройки УИК'!$J$31")/8,0)</f>
        <v>0</v>
      </c>
      <c r="BH18" s="498">
        <f ca="1">IF($B18="",0,BE18*'Настройки УИК'!$K$22*2*'Настройки ТИК'!$C$32)</f>
        <v>0</v>
      </c>
      <c r="BI18" s="498">
        <f ca="1">IF(AND(BF18+BG18=0,$B18=""),BE18*'Настройки УИК'!$K$22*'Настройки ТИК'!$C$32,0)</f>
        <v>0</v>
      </c>
      <c r="BJ18" s="498">
        <f ca="1">IF(AND('Настройки ТИК'!$C$45="ТИК",'Настройки УИК'!$C$22="Председатель"),0,(BH18+BI18)*ПК_ТИК)</f>
        <v>0</v>
      </c>
      <c r="BK18" s="333"/>
      <c r="BL18" s="498">
        <f ca="1">IF(VALUE(INDIRECT("'Настройки УИК'!$F$32"))&gt;0,(IF(AND(VALUE(MID($A18,4,2))=VALUE(MID('Настройки ТИК'!$C$17,4,2)),$B18="",BK18=8),BK18,0))*INDIRECT("'Настройки УИК'!$I$32")/8,0)</f>
        <v>0</v>
      </c>
      <c r="BM18" s="498">
        <f ca="1">IF(VALUE(INDIRECT("'Настройки УИК'!$F$32"))&gt;0,(IF(AND(VALUE(MID($A18,4,2))=VALUE(MID('Настройки ТИК'!$D$17,4,2)),$B18="",BK18=8),BK18,0))*INDIRECT("'Настройки УИК'!$J$32")/8,0)</f>
        <v>0</v>
      </c>
      <c r="BN18" s="498">
        <f ca="1">IF($B18="",0,BK18*'Настройки УИК'!$K$22*2*'Настройки ТИК'!$C$32)</f>
        <v>0</v>
      </c>
      <c r="BO18" s="498">
        <f ca="1">IF(AND(BL18+BM18=0,$B18=""),BK18*'Настройки УИК'!$K$22*'Настройки ТИК'!$C$32,0)</f>
        <v>0</v>
      </c>
      <c r="BP18" s="498">
        <f ca="1">IF(AND('Настройки ТИК'!$C$45="ТИК",'Настройки УИК'!$C$22="Председатель"),0,(BN18+BO18)*ПК_ТИК)</f>
        <v>0</v>
      </c>
      <c r="BQ18" s="333"/>
      <c r="BR18" s="498">
        <f ca="1">IF(VALUE(INDIRECT("'Настройки УИК'!$F$33"))&gt;0,(IF(AND(VALUE(MID($A18,4,2))=VALUE(MID('Настройки ТИК'!$C$17,4,2)),$B18="",BQ18=8),BQ18,0))*INDIRECT("'Настройки УИК'!$I$33")/8,0)</f>
        <v>0</v>
      </c>
      <c r="BS18" s="498">
        <f ca="1">IF(VALUE(INDIRECT("'Настройки УИК'!$F$33"))&gt;0,(IF(AND(VALUE(MID($A18,4,2))=VALUE(MID('Настройки ТИК'!$D$17,4,2)),$B18="",BQ18=8),BQ18,0))*INDIRECT("'Настройки УИК'!$J$33")/8,0)</f>
        <v>0</v>
      </c>
      <c r="BT18" s="498">
        <f ca="1">IF($B18="",0,BQ18*'Настройки УИК'!$K$22*2*'Настройки ТИК'!$C$32)</f>
        <v>0</v>
      </c>
      <c r="BU18" s="498">
        <f ca="1">IF(AND(BR18+BS18=0,$B18=""),BQ18*'Настройки УИК'!$K$22*'Настройки ТИК'!$C$32,0)</f>
        <v>0</v>
      </c>
      <c r="BV18" s="498">
        <f ca="1">IF(AND('Настройки ТИК'!$C$45="ТИК",'Настройки УИК'!$C$22="Председатель"),0,(BT18+BU18)*ПК_ТИК)</f>
        <v>0</v>
      </c>
      <c r="BW18" s="333"/>
      <c r="BX18" s="498">
        <f ca="1">IF(VALUE(INDIRECT("'Настройки УИК'!$F$34"))&gt;0,(IF(AND(VALUE(MID($A18,4,2))=VALUE(MID('Настройки ТИК'!$C$17,4,2)),$B18="",BW18=8),BW18,0))*INDIRECT("'Настройки УИК'!$I$34")/8,0)</f>
        <v>0</v>
      </c>
      <c r="BY18" s="498">
        <f ca="1">IF(VALUE(INDIRECT("'Настройки УИК'!$F$34"))&gt;0,(IF(AND(VALUE(MID($A18,4,2))=VALUE(MID('Настройки ТИК'!$D$17,4,2)),$B18="",BW18=8),BW18,0))*INDIRECT("'Настройки УИК'!$J$34")/8,0)</f>
        <v>0</v>
      </c>
      <c r="BZ18" s="498">
        <f ca="1">IF($B18="",0,BW18*'Настройки УИК'!$K$22*2*'Настройки ТИК'!$C$32)</f>
        <v>0</v>
      </c>
      <c r="CA18" s="498">
        <f ca="1">IF(AND(BX18+BY18=0,$B18=""),BW18*'Настройки УИК'!$K$22*'Настройки ТИК'!$C$32,0)</f>
        <v>0</v>
      </c>
      <c r="CB18" s="498">
        <f ca="1">IF(AND('Настройки ТИК'!$C$45="ТИК",'Настройки УИК'!$C$22="Председатель"),0,(BZ18+CA18)*ПК_ТИК)</f>
        <v>0</v>
      </c>
      <c r="CC18" s="333"/>
      <c r="CD18" s="498">
        <f ca="1">IF(VALUE(INDIRECT("'Настройки УИК'!$F$35"))&gt;0,(IF(AND(VALUE(MID($A18,4,2))=VALUE(MID('Настройки ТИК'!$C$17,4,2)),$B18="",CC18=8),CC18,0))*INDIRECT("'Настройки УИК'!$I$35")/8,0)</f>
        <v>0</v>
      </c>
      <c r="CE18" s="498">
        <f ca="1">IF(VALUE(INDIRECT("'Настройки УИК'!$F$35"))&gt;0,(IF(AND(VALUE(MID($A18,4,2))=VALUE(MID('Настройки ТИК'!$D$17,4,2)),$B18="",CC18=8),CC18,0))*INDIRECT("'Настройки УИК'!$J$35")/8,0)</f>
        <v>0</v>
      </c>
      <c r="CF18" s="498">
        <f ca="1">IF($B18="",0,CC18*'Настройки УИК'!$K$22*2*'Настройки ТИК'!$C$32)</f>
        <v>0</v>
      </c>
      <c r="CG18" s="498">
        <f ca="1">IF(AND(CD18+CE18=0,$B18=""),CC18*'Настройки УИК'!$K$22*'Настройки ТИК'!$C$32,0)</f>
        <v>0</v>
      </c>
      <c r="CH18" s="498">
        <f ca="1">IF(AND('Настройки ТИК'!$C$45="ТИК",'Настройки УИК'!$C$22="Председатель"),0,(CF18+CG18)*ПК_ТИК)</f>
        <v>0</v>
      </c>
      <c r="CI18" s="333"/>
      <c r="CJ18" s="498">
        <f ca="1">IF(VALUE(INDIRECT("'Настройки УИК'!$F$36"))&gt;0,(IF(AND(VALUE(MID($A18,4,2))=VALUE(MID('Настройки ТИК'!$C$17,4,2)),$B18="",CI18=8),CI18,0))*INDIRECT("'Настройки УИК'!$I$36")/8,0)</f>
        <v>0</v>
      </c>
      <c r="CK18" s="498">
        <f ca="1">IF(VALUE(INDIRECT("'Настройки УИК'!$F$36"))&gt;0,(IF(AND(VALUE(MID($A18,4,2))=VALUE(MID('Настройки ТИК'!$D$17,4,2)),$B18="",CI18=8),CI18,0))*INDIRECT("'Настройки УИК'!$J$36")/8,0)</f>
        <v>0</v>
      </c>
      <c r="CL18" s="498">
        <f ca="1">IF($B18="",0,CI18*'Настройки УИК'!$K$22*2*'Настройки ТИК'!$C$32)</f>
        <v>0</v>
      </c>
      <c r="CM18" s="498">
        <f ca="1">IF(AND(CJ18+CK18=0,$B18=""),CI18*'Настройки УИК'!$K$22*'Настройки ТИК'!$C$32,0)</f>
        <v>0</v>
      </c>
      <c r="CN18" s="498">
        <f ca="1">IF(AND('Настройки ТИК'!$C$45="ТИК",'Настройки УИК'!$C$22="Председатель"),0,(CL18+CM18)*ПК_ТИК)</f>
        <v>0</v>
      </c>
      <c r="CO18" s="333"/>
      <c r="CP18" s="498">
        <f ca="1">IF(VALUE(INDIRECT("'Настройки УИК'!$F$37"))&gt;0,(IF(AND(VALUE(MID($A18,4,2))=VALUE(MID('Настройки ТИК'!$C$17,4,2)),$B18="",CO18=8),CO18,0))*INDIRECT("'Настройки УИК'!$I$37")/8,0)</f>
        <v>0</v>
      </c>
      <c r="CQ18" s="498">
        <f ca="1">IF(VALUE(INDIRECT("'Настройки УИК'!$F$37"))&gt;0,(IF(AND(VALUE(MID($A18,4,2))=VALUE(MID('Настройки ТИК'!$D$17,4,2)),$B18="",CO18=8),CO18,0))*INDIRECT("'Настройки УИК'!$J$37")/8,0)</f>
        <v>0</v>
      </c>
      <c r="CR18" s="498">
        <f ca="1">IF($B18="",0,CO18*'Настройки УИК'!$K$22*2*'Настройки ТИК'!$C$32)</f>
        <v>0</v>
      </c>
      <c r="CS18" s="498">
        <f ca="1">IF(AND(CP18+CQ18=0,$B18=""),CO18*'Настройки УИК'!$K$22*'Настройки ТИК'!$C$32,0)</f>
        <v>0</v>
      </c>
      <c r="CT18" s="498">
        <f ca="1">IF(AND('Настройки ТИК'!$C$45="ТИК",'Настройки УИК'!$C$22="Председатель"),0,(CR18+CS18)*ПК_ТИК)</f>
        <v>0</v>
      </c>
      <c r="CU18" s="333"/>
      <c r="CV18" s="498">
        <f ca="1">IF(VALUE(INDIRECT("'Настройки УИК'!$F$38"))&gt;0,(IF(AND(VALUE(MID($A18,4,2))=VALUE(MID('Настройки ТИК'!$C$17,4,2)),$B18="",CU18=8),CU18,0))*INDIRECT("'Настройки УИК'!$I$38")/8,0)</f>
        <v>0</v>
      </c>
      <c r="CW18" s="498">
        <f ca="1">IF(VALUE(INDIRECT("'Настройки УИК'!$F$38"))&gt;0,(IF(AND(VALUE(MID($A18,4,2))=VALUE(MID('Настройки ТИК'!$D$17,4,2)),$B18="",CU18=8),CU18,0))*INDIRECT("'Настройки УИК'!$J$38")/8,0)</f>
        <v>0</v>
      </c>
      <c r="CX18" s="498">
        <f ca="1">IF($B18="",0,CU18*'Настройки УИК'!$K$22*2*'Настройки ТИК'!$C$32)</f>
        <v>0</v>
      </c>
      <c r="CY18" s="498">
        <f ca="1">IF(AND(CV18+CW18=0,$B18=""),CU18*'Настройки УИК'!$K$22*'Настройки ТИК'!$C$32,0)</f>
        <v>0</v>
      </c>
      <c r="CZ18" s="498">
        <f ca="1">IF(AND('Настройки ТИК'!$C$45="ТИК",'Настройки УИК'!$C$22="Председатель"),0,(CX18+CY18)*ПК_ТИК)</f>
        <v>0</v>
      </c>
      <c r="DA18" s="333"/>
      <c r="DB18" s="498">
        <f ca="1">IF(VALUE(INDIRECT("'Настройки УИК'!$F$39"))&gt;0,(IF(AND(VALUE(MID($A18,4,2))=VALUE(MID('Настройки ТИК'!$C$17,4,2)),$B18="",DA18=8),DA18,0))*INDIRECT("'Настройки УИК'!$I$39")/8,0)</f>
        <v>0</v>
      </c>
      <c r="DC18" s="498">
        <f ca="1">IF(VALUE(INDIRECT("'Настройки УИК'!$F$39"))&gt;0,(IF(AND(VALUE(MID($A18,4,2))=VALUE(MID('Настройки ТИК'!$D$17,4,2)),$B18="",DA18=8),DA18,0))*INDIRECT("'Настройки УИК'!$J$39")/8,0)</f>
        <v>0</v>
      </c>
      <c r="DD18" s="498">
        <f ca="1">IF($B18="",0,DA18*'Настройки УИК'!$K$22*2*'Настройки ТИК'!$C$32)</f>
        <v>0</v>
      </c>
      <c r="DE18" s="498">
        <f ca="1">IF(AND(DB18+DC18=0,$B18=""),DA18*'Настройки УИК'!$K$22*'Настройки ТИК'!$C$32,0)</f>
        <v>0</v>
      </c>
      <c r="DF18" s="498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4" t="s">
        <v>893</v>
      </c>
      <c r="B28" s="745"/>
      <c r="C28" s="499" t="e">
        <f ca="1">SUM(INDIRECT("D18:E"&amp;MROUND(N($D$4),1)+17))</f>
        <v>#DIV/0!</v>
      </c>
      <c r="D28" s="499"/>
      <c r="E28" s="499"/>
      <c r="F28" s="499"/>
      <c r="G28" s="499"/>
      <c r="H28" s="499"/>
      <c r="I28" s="499" t="e">
        <f ca="1">SUM(INDIRECT("J18:K"&amp;MROUND(N($D$4),1)+17))</f>
        <v>#DIV/0!</v>
      </c>
      <c r="J28" s="499"/>
      <c r="K28" s="499"/>
      <c r="L28" s="499"/>
      <c r="M28" s="499"/>
      <c r="N28" s="499"/>
      <c r="O28" s="499" t="e">
        <f ca="1">SUM(INDIRECT("P18:Q"&amp;MROUND(N($D$4),1)+17))</f>
        <v>#DIV/0!</v>
      </c>
      <c r="P28" s="499"/>
      <c r="Q28" s="499"/>
      <c r="R28" s="499"/>
      <c r="S28" s="499"/>
      <c r="T28" s="499"/>
      <c r="U28" s="499" t="e">
        <f ca="1">SUM(INDIRECT("V18:W"&amp;MROUND(N($D$4),1)+17))</f>
        <v>#DIV/0!</v>
      </c>
      <c r="V28" s="499"/>
      <c r="W28" s="499"/>
      <c r="X28" s="499"/>
      <c r="Y28" s="499"/>
      <c r="Z28" s="499"/>
      <c r="AA28" s="499" t="e">
        <f ca="1">SUM(INDIRECT("AB18:AC"&amp;MROUND(N($D$4),1)+17))</f>
        <v>#DIV/0!</v>
      </c>
      <c r="AB28" s="499"/>
      <c r="AC28" s="499"/>
      <c r="AD28" s="499"/>
      <c r="AE28" s="499"/>
      <c r="AF28" s="499"/>
      <c r="AG28" s="499" t="e">
        <f ca="1">SUM(INDIRECT("AH18:AI"&amp;MROUND(N($D$4),1)+17))</f>
        <v>#DIV/0!</v>
      </c>
      <c r="AH28" s="499"/>
      <c r="AI28" s="499"/>
      <c r="AJ28" s="499"/>
      <c r="AK28" s="499"/>
      <c r="AL28" s="499"/>
      <c r="AM28" s="499" t="e">
        <f ca="1">SUM(INDIRECT("AN18:AO"&amp;MROUND(N($D$4),1)+17))</f>
        <v>#DIV/0!</v>
      </c>
      <c r="AN28" s="499"/>
      <c r="AO28" s="499"/>
      <c r="AP28" s="499"/>
      <c r="AQ28" s="499"/>
      <c r="AR28" s="499"/>
      <c r="AS28" s="499" t="e">
        <f ca="1">SUM(INDIRECT("AT18:AU"&amp;MROUND(N($D$4),1)+17))</f>
        <v>#DIV/0!</v>
      </c>
      <c r="AT28" s="499"/>
      <c r="AU28" s="499"/>
      <c r="AV28" s="499"/>
      <c r="AW28" s="499"/>
      <c r="AX28" s="499"/>
      <c r="AY28" s="499" t="e">
        <f ca="1">SUM(INDIRECT("AZ18:BA"&amp;MROUND(N($D$4),1)+17))</f>
        <v>#DIV/0!</v>
      </c>
      <c r="AZ28" s="499"/>
      <c r="BA28" s="499"/>
      <c r="BB28" s="499"/>
      <c r="BC28" s="499"/>
      <c r="BD28" s="499"/>
      <c r="BE28" s="499" t="e">
        <f ca="1">SUM(INDIRECT("BF18:BG"&amp;MROUND(N($D$4),1)+17))</f>
        <v>#DIV/0!</v>
      </c>
      <c r="BF28" s="499"/>
      <c r="BG28" s="499"/>
      <c r="BH28" s="499"/>
      <c r="BI28" s="499"/>
      <c r="BJ28" s="499"/>
      <c r="BK28" s="499" t="e">
        <f ca="1">SUM(INDIRECT("BL18:BM"&amp;MROUND(N($D$4),1)+17))</f>
        <v>#DIV/0!</v>
      </c>
      <c r="BL28" s="499"/>
      <c r="BM28" s="499"/>
      <c r="BN28" s="499"/>
      <c r="BO28" s="499"/>
      <c r="BP28" s="499"/>
      <c r="BQ28" s="499" t="e">
        <f ca="1">SUM(INDIRECT("BR18:BS"&amp;MROUND(N($D$4),1)+17))</f>
        <v>#DIV/0!</v>
      </c>
      <c r="BR28" s="499"/>
      <c r="BS28" s="499"/>
      <c r="BT28" s="499"/>
      <c r="BU28" s="499"/>
      <c r="BV28" s="499"/>
      <c r="BW28" s="499" t="e">
        <f ca="1">SUM(INDIRECT("BX18:BY"&amp;MROUND(N($D$4),1)+17))</f>
        <v>#DIV/0!</v>
      </c>
      <c r="BX28" s="499"/>
      <c r="BY28" s="499"/>
      <c r="BZ28" s="499"/>
      <c r="CA28" s="499"/>
      <c r="CB28" s="499"/>
      <c r="CC28" s="499" t="e">
        <f ca="1">SUM(INDIRECT("CD18:CE"&amp;MROUND(N($D$4),1)+17))</f>
        <v>#DIV/0!</v>
      </c>
      <c r="CD28" s="499"/>
      <c r="CE28" s="499"/>
      <c r="CF28" s="499"/>
      <c r="CG28" s="499"/>
      <c r="CH28" s="499"/>
      <c r="CI28" s="499" t="e">
        <f ca="1">SUM(INDIRECT("CJ18:CK"&amp;MROUND(N($D$4),1)+17))</f>
        <v>#DIV/0!</v>
      </c>
      <c r="CJ28" s="499"/>
      <c r="CK28" s="499"/>
      <c r="CL28" s="499"/>
      <c r="CM28" s="499"/>
      <c r="CN28" s="499"/>
      <c r="CO28" s="499" t="e">
        <f ca="1">SUM(INDIRECT("CP18:CQ"&amp;MROUND(N($D$4),1)+17))</f>
        <v>#DIV/0!</v>
      </c>
      <c r="CP28" s="499"/>
      <c r="CQ28" s="499"/>
      <c r="CR28" s="499"/>
      <c r="CS28" s="499"/>
      <c r="CT28" s="499"/>
      <c r="CU28" s="499" t="e">
        <f ca="1">SUM(INDIRECT("CV18:CW"&amp;MROUND(N($D$4),1)+17))</f>
        <v>#DIV/0!</v>
      </c>
      <c r="CV28" s="499"/>
      <c r="CW28" s="499"/>
      <c r="CX28" s="499"/>
      <c r="CY28" s="499"/>
      <c r="CZ28" s="499"/>
      <c r="DA28" s="499" t="e">
        <f ca="1">SUM(INDIRECT("DB18:DC"&amp;MROUND(N($D$4),1)+17))</f>
        <v>#DIV/0!</v>
      </c>
      <c r="DB28" s="499"/>
      <c r="DC28" s="499"/>
      <c r="DD28" s="499"/>
      <c r="DE28" s="499"/>
      <c r="DF28" s="500"/>
      <c r="DG28" s="501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19">
        <f>Сумм_К_НЕЗП</f>
        <v>0</v>
      </c>
      <c r="DI28" s="520" t="e">
        <f ca="1">INDIRECT("DH"&amp;MROUND(N($D$4),1)+27)-INDIRECT("DG"&amp;MROUND(N($D$4),1)+27)</f>
        <v>#DIV/0!</v>
      </c>
    </row>
    <row r="29" spans="1:113" s="234" customFormat="1" ht="55.5" customHeight="1">
      <c r="A29" s="742" t="s">
        <v>894</v>
      </c>
      <c r="B29" s="743"/>
      <c r="C29" s="502" t="e">
        <f ca="1">SUM(INDIRECT("F18:H"&amp;MROUND(N($D$4),1)+17))</f>
        <v>#DIV/0!</v>
      </c>
      <c r="D29" s="502"/>
      <c r="E29" s="502"/>
      <c r="F29" s="502"/>
      <c r="G29" s="502"/>
      <c r="H29" s="502"/>
      <c r="I29" s="502" t="e">
        <f ca="1">SUM(INDIRECT("L18:N"&amp;MROUND(N($D$4),1)+17))</f>
        <v>#DIV/0!</v>
      </c>
      <c r="J29" s="502"/>
      <c r="K29" s="502"/>
      <c r="L29" s="502"/>
      <c r="M29" s="502"/>
      <c r="N29" s="502"/>
      <c r="O29" s="502" t="e">
        <f ca="1">SUM(INDIRECT("R18:T"&amp;MROUND(N($D$4),1)+17))</f>
        <v>#DIV/0!</v>
      </c>
      <c r="P29" s="502"/>
      <c r="Q29" s="502"/>
      <c r="R29" s="502"/>
      <c r="S29" s="502"/>
      <c r="T29" s="502"/>
      <c r="U29" s="502" t="e">
        <f ca="1">SUM(INDIRECT("X18:Z"&amp;MROUND(N($D$4),1)+17))</f>
        <v>#DIV/0!</v>
      </c>
      <c r="V29" s="502"/>
      <c r="W29" s="502"/>
      <c r="X29" s="502"/>
      <c r="Y29" s="502"/>
      <c r="Z29" s="502"/>
      <c r="AA29" s="502" t="e">
        <f ca="1">SUM(INDIRECT("AD18:AF"&amp;MROUND(N($D$4),1)+17))</f>
        <v>#DIV/0!</v>
      </c>
      <c r="AB29" s="502"/>
      <c r="AC29" s="502"/>
      <c r="AD29" s="502"/>
      <c r="AE29" s="502"/>
      <c r="AF29" s="502"/>
      <c r="AG29" s="502" t="e">
        <f ca="1">SUM(INDIRECT("AJ18:AL"&amp;MROUND(N($D$4),1)+17))</f>
        <v>#DIV/0!</v>
      </c>
      <c r="AH29" s="502"/>
      <c r="AI29" s="502"/>
      <c r="AJ29" s="502"/>
      <c r="AK29" s="502"/>
      <c r="AL29" s="502"/>
      <c r="AM29" s="502" t="e">
        <f ca="1">SUM(INDIRECT("AP18:AR"&amp;MROUND(N($D$4),1)+17))</f>
        <v>#DIV/0!</v>
      </c>
      <c r="AN29" s="502"/>
      <c r="AO29" s="502"/>
      <c r="AP29" s="502"/>
      <c r="AQ29" s="502"/>
      <c r="AR29" s="502"/>
      <c r="AS29" s="502" t="e">
        <f ca="1">SUM(INDIRECT("AV18:AX"&amp;MROUND(N($D$4),1)+17))</f>
        <v>#DIV/0!</v>
      </c>
      <c r="AT29" s="502"/>
      <c r="AU29" s="502"/>
      <c r="AV29" s="502"/>
      <c r="AW29" s="502"/>
      <c r="AX29" s="502"/>
      <c r="AY29" s="502" t="e">
        <f ca="1">SUM(INDIRECT("BB18:BD"&amp;MROUND(N($D$4),1)+17))</f>
        <v>#DIV/0!</v>
      </c>
      <c r="AZ29" s="502"/>
      <c r="BA29" s="502"/>
      <c r="BB29" s="502"/>
      <c r="BC29" s="502"/>
      <c r="BD29" s="502"/>
      <c r="BE29" s="502" t="e">
        <f ca="1">SUM(INDIRECT("BH18:BJ"&amp;MROUND(N($D$4),1)+17))</f>
        <v>#DIV/0!</v>
      </c>
      <c r="BF29" s="502"/>
      <c r="BG29" s="502"/>
      <c r="BH29" s="502"/>
      <c r="BI29" s="502"/>
      <c r="BJ29" s="502"/>
      <c r="BK29" s="502" t="e">
        <f ca="1">SUM(INDIRECT("BN18:BP"&amp;MROUND(N($D$4),1)+17))</f>
        <v>#DIV/0!</v>
      </c>
      <c r="BL29" s="502"/>
      <c r="BM29" s="502"/>
      <c r="BN29" s="502"/>
      <c r="BO29" s="502"/>
      <c r="BP29" s="502"/>
      <c r="BQ29" s="502" t="e">
        <f ca="1">SUM(INDIRECT("BT18:BV"&amp;MROUND(N($D$4),1)+17))</f>
        <v>#DIV/0!</v>
      </c>
      <c r="BR29" s="502"/>
      <c r="BS29" s="502"/>
      <c r="BT29" s="502"/>
      <c r="BU29" s="502"/>
      <c r="BV29" s="502"/>
      <c r="BW29" s="502" t="e">
        <f ca="1">SUM(INDIRECT("BZ18:CB"&amp;MROUND(N($D$4),1)+17))</f>
        <v>#DIV/0!</v>
      </c>
      <c r="BX29" s="502"/>
      <c r="BY29" s="502"/>
      <c r="BZ29" s="502"/>
      <c r="CA29" s="502"/>
      <c r="CB29" s="502"/>
      <c r="CC29" s="502" t="e">
        <f ca="1">SUM(INDIRECT("CF18:CH"&amp;MROUND(N($D$4),1)+17))</f>
        <v>#DIV/0!</v>
      </c>
      <c r="CD29" s="502"/>
      <c r="CE29" s="502"/>
      <c r="CF29" s="502"/>
      <c r="CG29" s="502"/>
      <c r="CH29" s="502"/>
      <c r="CI29" s="502" t="e">
        <f ca="1">SUM(INDIRECT("CL18:CN"&amp;MROUND(N($D$4),1)+17))</f>
        <v>#DIV/0!</v>
      </c>
      <c r="CJ29" s="502"/>
      <c r="CK29" s="502"/>
      <c r="CL29" s="502"/>
      <c r="CM29" s="502"/>
      <c r="CN29" s="502"/>
      <c r="CO29" s="502" t="e">
        <f ca="1">SUM(INDIRECT("CL18:CN"&amp;MROUND(N($D$4),1)+17))</f>
        <v>#DIV/0!</v>
      </c>
      <c r="CP29" s="502"/>
      <c r="CQ29" s="502"/>
      <c r="CR29" s="502"/>
      <c r="CS29" s="502"/>
      <c r="CT29" s="502"/>
      <c r="CU29" s="502" t="e">
        <f ca="1">SUM(INDIRECT("CX18:CZ"&amp;MROUND(N($D$4),1)+17))</f>
        <v>#DIV/0!</v>
      </c>
      <c r="CV29" s="502"/>
      <c r="CW29" s="502"/>
      <c r="CX29" s="502"/>
      <c r="CY29" s="502"/>
      <c r="CZ29" s="502"/>
      <c r="DA29" s="502" t="e">
        <f ca="1">SUM(INDIRECT("DD18:DF"&amp;MROUND(N($D$4),1)+17))</f>
        <v>#DIV/0!</v>
      </c>
      <c r="DB29" s="502"/>
      <c r="DC29" s="502"/>
      <c r="DD29" s="502"/>
      <c r="DE29" s="502"/>
      <c r="DF29" s="503"/>
      <c r="DG29" s="504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1">
        <f>Сумм_Д_НЕЗП</f>
        <v>0</v>
      </c>
      <c r="DI29" s="520" t="e">
        <f ca="1">INDIRECT("DH"&amp;MROUND(N($D$4),1)+28)-INDIRECT("DG"&amp;MROUND(N($D$4),1)+28)</f>
        <v>#DIV/0!</v>
      </c>
    </row>
    <row r="30" spans="1:113" s="234" customFormat="1" ht="36" customHeight="1">
      <c r="A30" s="742" t="s">
        <v>861</v>
      </c>
      <c r="B30" s="743"/>
      <c r="C30" s="502" t="e">
        <f ca="1">SUM(INDIRECT("D18:E"&amp;MROUND(N($D$4),1)+17))+SUM(INDIRECT("F18:H"&amp;MROUND(N($D$4),1)+17))</f>
        <v>#DIV/0!</v>
      </c>
      <c r="D30" s="502"/>
      <c r="E30" s="502"/>
      <c r="F30" s="502"/>
      <c r="G30" s="502"/>
      <c r="H30" s="502"/>
      <c r="I30" s="502" t="e">
        <f ca="1">SUM(INDIRECT("J18:K"&amp;MROUND(N($D$4),1)+17))+SUM(INDIRECT("L18:N"&amp;MROUND(N($D$4),1)+17))</f>
        <v>#DIV/0!</v>
      </c>
      <c r="J30" s="502"/>
      <c r="K30" s="502"/>
      <c r="L30" s="502"/>
      <c r="M30" s="502"/>
      <c r="N30" s="502"/>
      <c r="O30" s="502" t="e">
        <f ca="1">SUM(INDIRECT("P18:Q"&amp;MROUND(N($D$4),1)+17))+SUM(INDIRECT("R18:T"&amp;MROUND(N($D$4),1)+17))</f>
        <v>#DIV/0!</v>
      </c>
      <c r="P30" s="502"/>
      <c r="Q30" s="502"/>
      <c r="R30" s="502"/>
      <c r="S30" s="502"/>
      <c r="T30" s="502"/>
      <c r="U30" s="502" t="e">
        <f ca="1">SUM(INDIRECT("V18:W"&amp;MROUND(N($D$4),1)+17))+SUM(INDIRECT("X18:Z"&amp;MROUND(N($D$4),1)+17))</f>
        <v>#DIV/0!</v>
      </c>
      <c r="V30" s="502"/>
      <c r="W30" s="502"/>
      <c r="X30" s="502"/>
      <c r="Y30" s="502"/>
      <c r="Z30" s="502"/>
      <c r="AA30" s="502" t="e">
        <f ca="1">SUM(INDIRECT("AB18:AC"&amp;MROUND(N($D$4),1)+17))+SUM(INDIRECT("AD18:AF"&amp;MROUND(N($D$4),1)+17))</f>
        <v>#DIV/0!</v>
      </c>
      <c r="AB30" s="502"/>
      <c r="AC30" s="502"/>
      <c r="AD30" s="502"/>
      <c r="AE30" s="502"/>
      <c r="AF30" s="502"/>
      <c r="AG30" s="502" t="e">
        <f ca="1">SUM(INDIRECT("AH18:AI"&amp;MROUND(N($D$4),1)+17))+SUM(INDIRECT("AJ18:AL"&amp;MROUND(N($D$4),1)+17))</f>
        <v>#DIV/0!</v>
      </c>
      <c r="AH30" s="502"/>
      <c r="AI30" s="502"/>
      <c r="AJ30" s="502"/>
      <c r="AK30" s="502"/>
      <c r="AL30" s="502"/>
      <c r="AM30" s="502" t="e">
        <f ca="1">SUM(INDIRECT("AN18:AO"&amp;MROUND(N($D$4),1)+17))+SUM(INDIRECT("AP18:AR"&amp;MROUND(N($D$4),1)+17))</f>
        <v>#DIV/0!</v>
      </c>
      <c r="AN30" s="502"/>
      <c r="AO30" s="502"/>
      <c r="AP30" s="502"/>
      <c r="AQ30" s="502"/>
      <c r="AR30" s="502"/>
      <c r="AS30" s="502" t="e">
        <f ca="1">SUM(INDIRECT("AT18:AU"&amp;MROUND(N($D$4),1)+17))+SUM(INDIRECT("AV18:AX"&amp;MROUND(N($D$4),1)+17))</f>
        <v>#DIV/0!</v>
      </c>
      <c r="AT30" s="502"/>
      <c r="AU30" s="502"/>
      <c r="AV30" s="502"/>
      <c r="AW30" s="502"/>
      <c r="AX30" s="502"/>
      <c r="AY30" s="502" t="e">
        <f ca="1">SUM(INDIRECT("AZ18:BA"&amp;MROUND(N($D$4),1)+17))+SUM(INDIRECT("BB18:BD"&amp;MROUND(N($D$4),1)+17))</f>
        <v>#DIV/0!</v>
      </c>
      <c r="AZ30" s="502"/>
      <c r="BA30" s="502"/>
      <c r="BB30" s="502"/>
      <c r="BC30" s="502"/>
      <c r="BD30" s="502"/>
      <c r="BE30" s="502" t="e">
        <f ca="1">SUM(INDIRECT("BF18:BG"&amp;MROUND(N($D$4),1)+17))+SUM(INDIRECT("BH18:BJ"&amp;MROUND(N($D$4),1)+17))</f>
        <v>#DIV/0!</v>
      </c>
      <c r="BF30" s="502"/>
      <c r="BG30" s="502"/>
      <c r="BH30" s="502"/>
      <c r="BI30" s="502"/>
      <c r="BJ30" s="502"/>
      <c r="BK30" s="502" t="e">
        <f ca="1">SUM(INDIRECT("BL18:BM"&amp;MROUND(N($D$4),1)+17))+SUM(INDIRECT("BN18:BP"&amp;MROUND(N($D$4),1)+17))</f>
        <v>#DIV/0!</v>
      </c>
      <c r="BL30" s="502"/>
      <c r="BM30" s="502"/>
      <c r="BN30" s="502"/>
      <c r="BO30" s="502"/>
      <c r="BP30" s="502"/>
      <c r="BQ30" s="502" t="e">
        <f ca="1">SUM(INDIRECT("BR18:BS"&amp;MROUND(N($D$4),1)+17))+SUM(INDIRECT("BT18:BV"&amp;MROUND(N($D$4),1)+17))</f>
        <v>#DIV/0!</v>
      </c>
      <c r="BR30" s="502"/>
      <c r="BS30" s="502"/>
      <c r="BT30" s="502"/>
      <c r="BU30" s="502"/>
      <c r="BV30" s="502"/>
      <c r="BW30" s="502" t="e">
        <f ca="1">SUM(INDIRECT("BX18:BY"&amp;MROUND(N($D$4),1)+17))+SUM(INDIRECT("BZ18:CB"&amp;MROUND(N($D$4),1)+17))</f>
        <v>#DIV/0!</v>
      </c>
      <c r="BX30" s="502"/>
      <c r="BY30" s="502"/>
      <c r="BZ30" s="502"/>
      <c r="CA30" s="502"/>
      <c r="CB30" s="502"/>
      <c r="CC30" s="502" t="e">
        <f ca="1">SUM(INDIRECT("CD18:CE"&amp;MROUND(N($D$4),1)+17))+SUM(INDIRECT("CF18:CH"&amp;MROUND(N($D$4),1)+17))</f>
        <v>#DIV/0!</v>
      </c>
      <c r="CD30" s="502"/>
      <c r="CE30" s="502"/>
      <c r="CF30" s="502"/>
      <c r="CG30" s="502"/>
      <c r="CH30" s="502"/>
      <c r="CI30" s="502" t="e">
        <f ca="1">SUM(INDIRECT("CJ18:CK"&amp;MROUND(N($D$4),1)+17))+SUM(INDIRECT("CL18:CN"&amp;MROUND(N($D$4),1)+17))</f>
        <v>#DIV/0!</v>
      </c>
      <c r="CJ30" s="502"/>
      <c r="CK30" s="502"/>
      <c r="CL30" s="502"/>
      <c r="CM30" s="502"/>
      <c r="CN30" s="502"/>
      <c r="CO30" s="502" t="e">
        <f ca="1">SUM(INDIRECT("CP18:CQ"&amp;MROUND(N($D$4),1)+17))+SUM(INDIRECT("CR18:CT"&amp;MROUND(N($D$4),1)+17))</f>
        <v>#DIV/0!</v>
      </c>
      <c r="CP30" s="502"/>
      <c r="CQ30" s="502"/>
      <c r="CR30" s="502"/>
      <c r="CS30" s="502"/>
      <c r="CT30" s="502"/>
      <c r="CU30" s="502" t="e">
        <f ca="1">SUM(INDIRECT("CV18:CW"&amp;MROUND(N($D$4),1)+17))+SUM(INDIRECT("CX18:CZ"&amp;MROUND(N($D$4),1)+17))</f>
        <v>#DIV/0!</v>
      </c>
      <c r="CV30" s="502"/>
      <c r="CW30" s="502"/>
      <c r="CX30" s="502"/>
      <c r="CY30" s="502"/>
      <c r="CZ30" s="502"/>
      <c r="DA30" s="502" t="e">
        <f ca="1">SUM(INDIRECT("DB18:DC"&amp;MROUND(N($D$4),1)+17))+SUM(INDIRECT("DD18:DF"&amp;MROUND(N($D$4),1)+17))</f>
        <v>#DIV/0!</v>
      </c>
      <c r="DB30" s="502"/>
      <c r="DC30" s="502"/>
      <c r="DD30" s="502"/>
      <c r="DE30" s="502"/>
      <c r="DF30" s="502"/>
      <c r="DG30" s="50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1">
        <f>Сумм_К_НЕЗП+Сумм_Д_НЕЗП</f>
        <v>0</v>
      </c>
      <c r="DI30" s="520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4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6"/>
    </row>
    <row r="39" spans="1:113" s="363" customFormat="1" ht="18.75"/>
  </sheetData>
  <sheetProtection password="C09F" sheet="1" objects="1" scenarios="1"/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topLeftCell="A45" zoomScale="85" zoomScaleNormal="85" zoomScaleSheetLayoutView="85" workbookViewId="0">
      <pane xSplit="4" topLeftCell="E1" activePane="topRight" state="frozen"/>
      <selection pane="topRight" activeCell="BA67" sqref="BA67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6"/>
      <c r="C2" s="616"/>
      <c r="G2" s="616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>
        <f>'Настройки УИК'!$I$43</f>
        <v>0</v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/>
    <row r="8" spans="2:158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8" t="str">
        <f>TEXT('Настройки ТИК'!C17,"ММММ")</f>
        <v>Январь</v>
      </c>
      <c r="H16" s="528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29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1" t="s">
        <v>0</v>
      </c>
      <c r="B19" s="852"/>
      <c r="C19" s="481"/>
      <c r="D19" s="481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6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>
      <c r="A26" s="853"/>
      <c r="B26" s="854"/>
      <c r="C26" s="289"/>
      <c r="D26" s="289"/>
      <c r="E26" s="803">
        <f ca="1">IF(ISERROR(VALUE(INDIRECT("'Настройки УИК'!$F$22"))),0,VALUE(INDIRECT("'Настройки УИК'!$F$22")))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УИК'!$F$23"))),0,VALUE(INDIRECT("'Настройки УИК'!$F$23")))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УИК'!$F$24"))),0,VALUE(INDIRECT("'Настройки УИК'!$F$24")))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УИК'!$F$25"))),0,VALUE(INDIRECT("'Настройки УИК'!$F$25")))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УИК'!$F$26"))),0,VALUE(INDIRECT("'Настройки УИК'!$F$26")))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УИК'!$F$27"))),0,VALUE(INDIRECT("'Настройки УИК'!$F$27")))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УИК'!$F$28"))),0,VALUE(INDIRECT("'Настройки УИК'!$F$28")))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УИК'!$F$29"))),0,VALUE(INDIRECT("'Настройки УИК'!$F$29")))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УИК'!$F$30"))),0,VALUE(INDIRECT("'Настройки УИК'!$F$30")))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УИК'!$F$31"))),0,VALUE(INDIRECT("'Настройки УИК'!$F$31")))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УИК'!$F$32"))),0,VALUE(INDIRECT("'Настройки УИК'!$F$32")))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УИК'!$F$33"))),0,VALUE(INDIRECT("'Настройки УИК'!$F$33")))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УИК'!$F$34"))),0,VALUE(INDIRECT("'Настройки УИК'!$F$34")))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УИК'!$F$35"))),0,VALUE(INDIRECT("'Настройки УИК'!$F$35")))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УИК'!$F$36"))),0,VALUE(INDIRECT("'Настройки УИК'!$F$36")))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УИК'!$F$37"))),0,VALUE(INDIRECT("'Настройки УИК'!$F$37")))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УИК'!$F$38"))),0,VALUE(INDIRECT("'Настройки УИК'!$F$38")))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УИК'!$F$39"))),0,VALUE(INDIRECT("'Настройки УИК'!$F$39")))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49" t="s">
        <v>399</v>
      </c>
      <c r="B28" s="850"/>
      <c r="C28" s="482"/>
      <c r="D28" s="482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2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2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2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2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2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2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2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2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2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2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2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2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2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2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2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2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2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>
      <c r="A29" s="407" t="s">
        <v>903</v>
      </c>
      <c r="B29" s="408" t="s">
        <v>904</v>
      </c>
      <c r="C29" s="483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>
      <c r="A37" s="808" t="s">
        <v>144</v>
      </c>
      <c r="B37" s="809"/>
      <c r="C37" s="118"/>
      <c r="D37" s="387"/>
      <c r="E37" s="791" t="e">
        <f ca="1">SUM(INDIRECT("J29:J"&amp;MROUND(N($G$3),1)+28))</f>
        <v>#VALUE!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 t="e">
        <f ca="1">SUM(INDIRECT("V29:V"&amp;MROUND(N($G$3),1)+28))</f>
        <v>#VALUE!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 t="e">
        <f ca="1">SUM(INDIRECT("AH29:AH"&amp;MROUND(N($G$3),1)+28))</f>
        <v>#VALUE!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 t="e">
        <f ca="1">SUM(INDIRECT("AT29:AT"&amp;MROUND(N($G$3),1)+28))</f>
        <v>#VALUE!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 t="e">
        <f ca="1">SUM(INDIRECT("BF29:BF"&amp;MROUND(N($G$3),1)+28))</f>
        <v>#VALUE!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 t="e">
        <f ca="1">SUM(INDIRECT("BR29:BR"&amp;MROUND(N($G$3),1)+28))</f>
        <v>#VALUE!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 t="e">
        <f ca="1">SUM(INDIRECT("CD29:CD"&amp;MROUND(N($G$3),1)+28))</f>
        <v>#VALUE!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 t="e">
        <f ca="1">SUM(INDIRECT("CP29:CP"&amp;MROUND(N($G$3),1)+28))</f>
        <v>#VALUE!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 t="e">
        <f ca="1">SUM(INDIRECT("DB29:DB"&amp;MROUND(N($G$3),1)+28))</f>
        <v>#VALUE!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 t="e">
        <f ca="1">SUM(INDIRECT("DN29:DN"&amp;MROUND(N($G$3),1)+28))</f>
        <v>#VALUE!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 t="e">
        <f ca="1">SUM(INDIRECT("DZ29:DZ"&amp;MROUND(N($G$3),1)+28))</f>
        <v>#VALUE!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 t="e">
        <f ca="1">SUM(INDIRECT("EL29:EL"&amp;MROUND(N($G$3),1)+28))</f>
        <v>#VALUE!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 t="e">
        <f ca="1">SUM(INDIRECT("EX29:EX"&amp;MROUND(N($G$3),1)+28))</f>
        <v>#VALUE!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 t="e">
        <f ca="1">SUM(INDIRECT("FJ29:FJ"&amp;MROUND(N($G$3),1)+28))</f>
        <v>#VALUE!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 t="e">
        <f ca="1">SUM(INDIRECT("FV29:FV"&amp;MROUND(N($G$3),1)+28))</f>
        <v>#VALUE!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 t="e">
        <f ca="1">SUM(INDIRECT("GH29:GH"&amp;MROUND(N($G$3),1)+28))</f>
        <v>#VALUE!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 t="e">
        <f ca="1">SUM(INDIRECT("GT29:GT"&amp;MROUND(N($G$3),1)+28))</f>
        <v>#VALUE!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 t="e">
        <f ca="1">SUM(INDIRECT("HF29:HF"&amp;MROUND(N($G$3),1)+28))</f>
        <v>#VALUE!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>
      <c r="A38" s="808" t="s">
        <v>145</v>
      </c>
      <c r="B38" s="809"/>
      <c r="C38" s="118"/>
      <c r="D38" s="387"/>
      <c r="E38" s="791" t="e">
        <f ca="1">SUM(INDIRECT("K29:K"&amp;MROUND(N($G$3),1)+28))</f>
        <v>#VALUE!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 t="e">
        <f ca="1">SUM(INDIRECT("W29:W"&amp;MROUND(N($G$3),1)+28))</f>
        <v>#VALUE!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 t="e">
        <f ca="1">SUM(INDIRECT("AI29:AI"&amp;MROUND(N($G$3),1)+28))</f>
        <v>#VALUE!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 t="e">
        <f ca="1">SUM(INDIRECT("AU29:AU"&amp;MROUND(N($G$3),1)+28))</f>
        <v>#VALUE!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 t="e">
        <f ca="1">SUM(INDIRECT("BG29:BG"&amp;MROUND(N($G$3),1)+28))</f>
        <v>#VALUE!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 t="e">
        <f ca="1">SUM(INDIRECT("BS29:BS"&amp;MROUND(N($G$3),1)+28))</f>
        <v>#VALUE!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 t="e">
        <f ca="1">SUM(INDIRECT("CE29:CE"&amp;MROUND(N($G$3),1)+28))</f>
        <v>#VALUE!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 t="e">
        <f ca="1">SUM(INDIRECT("CQ29:CQ"&amp;MROUND(N($G$3),1)+28))</f>
        <v>#VALUE!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 t="e">
        <f ca="1">SUM(INDIRECT("DC29:DC"&amp;MROUND(N($G$3),1)+28))</f>
        <v>#VALUE!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 t="e">
        <f ca="1">SUM(INDIRECT("DO29:DO"&amp;MROUND(N($G$3),1)+28))</f>
        <v>#VALUE!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 t="e">
        <f ca="1">SUM(INDIRECT("EA29:EA"&amp;MROUND(N($G$3),1)+28))</f>
        <v>#VALUE!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 t="e">
        <f ca="1">SUM(INDIRECT("EM29:EM"&amp;MROUND(N($G$3),1)+28))</f>
        <v>#VALUE!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 t="e">
        <f ca="1">SUM(INDIRECT("EY29:EY"&amp;MROUND(N($G$3),1)+28))</f>
        <v>#VALUE!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 t="e">
        <f ca="1">SUM(INDIRECT("FK29:FK"&amp;MROUND(N($G$3),1)+28))</f>
        <v>#VALUE!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 t="e">
        <f ca="1">SUM(INDIRECT("FW29:FW"&amp;MROUND(N($G$3),1)+28))</f>
        <v>#VALUE!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 t="e">
        <f ca="1">SUM(INDIRECT("GI29:GI"&amp;MROUND(N($G$3),1)+28))</f>
        <v>#VALUE!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 t="e">
        <f ca="1">SUM(INDIRECT("GU29:GU"&amp;MROUND(N($G$3),1)+28))</f>
        <v>#VALUE!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 t="e">
        <f ca="1">SUM(INDIRECT("HG29:HG"&amp;MROUND(N($G$3),1)+28))</f>
        <v>#VALUE!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6"/>
      <c r="DK40" s="646"/>
      <c r="DL40" s="646"/>
      <c r="DM40" s="646"/>
      <c r="DN40" s="646"/>
      <c r="DO40" s="646"/>
      <c r="DP40" s="646"/>
      <c r="DQ40" s="646"/>
      <c r="DR40" s="646"/>
      <c r="DS40" s="646"/>
      <c r="DT40" s="646"/>
      <c r="DU40" s="646"/>
      <c r="DV40" s="646"/>
      <c r="DW40" s="646"/>
      <c r="DX40" s="646"/>
      <c r="DY40" s="646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  <c r="HM40" s="646"/>
      <c r="HN40" s="646"/>
      <c r="HO40" s="646"/>
      <c r="HP40" s="646"/>
    </row>
    <row r="41" spans="1:224" s="274" customFormat="1" ht="15.75" customHeight="1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6"/>
      <c r="DK41" s="646"/>
      <c r="DL41" s="646"/>
      <c r="DM41" s="646"/>
      <c r="DN41" s="646"/>
      <c r="DO41" s="646"/>
      <c r="DP41" s="646"/>
      <c r="DQ41" s="646"/>
      <c r="DR41" s="646"/>
      <c r="DS41" s="646"/>
      <c r="DT41" s="646"/>
      <c r="DU41" s="646"/>
      <c r="DV41" s="646"/>
      <c r="DW41" s="646"/>
      <c r="DX41" s="646"/>
      <c r="DY41" s="646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  <c r="HM41" s="646"/>
      <c r="HN41" s="646"/>
      <c r="HO41" s="646"/>
      <c r="HP41" s="646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6"/>
      <c r="DK42" s="646"/>
      <c r="DL42" s="646"/>
      <c r="DM42" s="646"/>
      <c r="DN42" s="646"/>
      <c r="DO42" s="646"/>
      <c r="DP42" s="646"/>
      <c r="DQ42" s="646"/>
      <c r="DR42" s="646"/>
      <c r="DS42" s="646"/>
      <c r="DT42" s="646"/>
      <c r="DU42" s="646"/>
      <c r="DV42" s="646"/>
      <c r="DW42" s="646"/>
      <c r="DX42" s="646"/>
      <c r="DY42" s="646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  <c r="HM42" s="646"/>
      <c r="HN42" s="646"/>
      <c r="HO42" s="646"/>
      <c r="HP42" s="646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6"/>
      <c r="DK43" s="646"/>
      <c r="DL43" s="646"/>
      <c r="DM43" s="646"/>
      <c r="DN43" s="646"/>
      <c r="DO43" s="646"/>
      <c r="DP43" s="646"/>
      <c r="DQ43" s="646"/>
      <c r="DR43" s="646"/>
      <c r="DS43" s="646"/>
      <c r="DT43" s="646"/>
      <c r="DU43" s="646"/>
      <c r="DV43" s="646"/>
      <c r="DW43" s="646"/>
      <c r="DX43" s="646"/>
      <c r="DY43" s="646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  <c r="HM43" s="646"/>
      <c r="HN43" s="646"/>
      <c r="HO43" s="646"/>
      <c r="HP43" s="646"/>
    </row>
    <row r="44" spans="1:224" s="274" customFormat="1" ht="15.75" customHeight="1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6"/>
      <c r="DK44" s="646"/>
      <c r="DL44" s="646"/>
      <c r="DM44" s="646"/>
      <c r="DN44" s="646"/>
      <c r="DO44" s="646"/>
      <c r="DP44" s="646"/>
      <c r="DQ44" s="646"/>
      <c r="DR44" s="646"/>
      <c r="DS44" s="646"/>
      <c r="DT44" s="646"/>
      <c r="DU44" s="646"/>
      <c r="DV44" s="646"/>
      <c r="DW44" s="646"/>
      <c r="DX44" s="646"/>
      <c r="DY44" s="646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  <c r="HM44" s="646"/>
      <c r="HN44" s="646"/>
      <c r="HO44" s="646"/>
      <c r="HP44" s="646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6"/>
      <c r="DK45" s="646"/>
      <c r="DL45" s="646"/>
      <c r="DM45" s="646"/>
      <c r="DN45" s="646"/>
      <c r="DO45" s="646"/>
      <c r="DP45" s="646"/>
      <c r="DQ45" s="646"/>
      <c r="DR45" s="646"/>
      <c r="DS45" s="646"/>
      <c r="DT45" s="646"/>
      <c r="DU45" s="646"/>
      <c r="DV45" s="646"/>
      <c r="DW45" s="646"/>
      <c r="DX45" s="646"/>
      <c r="DY45" s="646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  <c r="HM45" s="646"/>
      <c r="HN45" s="646"/>
      <c r="HO45" s="646"/>
      <c r="HP45" s="646"/>
    </row>
    <row r="46" spans="1:224" ht="10.5" customHeight="1">
      <c r="DJ46" s="528"/>
      <c r="DK46" s="528"/>
      <c r="DL46" s="528"/>
      <c r="DM46" s="528"/>
      <c r="DN46" s="528"/>
      <c r="DO46" s="528"/>
      <c r="DP46" s="528"/>
      <c r="DQ46" s="528"/>
      <c r="DR46" s="528"/>
      <c r="DS46" s="528"/>
      <c r="DT46" s="528"/>
      <c r="DU46" s="528"/>
      <c r="DV46" s="528"/>
      <c r="DW46" s="528"/>
      <c r="DX46" s="528"/>
      <c r="DY46" s="528"/>
      <c r="DZ46" s="528"/>
      <c r="EA46" s="528"/>
      <c r="EB46" s="528"/>
      <c r="EC46" s="528"/>
      <c r="ED46" s="528"/>
      <c r="EE46" s="528"/>
      <c r="EF46" s="528"/>
      <c r="EG46" s="528"/>
      <c r="EH46" s="528"/>
      <c r="EI46" s="528"/>
      <c r="EJ46" s="528"/>
      <c r="EK46" s="528"/>
      <c r="EL46" s="528"/>
      <c r="EM46" s="528"/>
      <c r="EN46" s="528"/>
      <c r="EO46" s="528"/>
      <c r="EP46" s="528"/>
      <c r="EQ46" s="528"/>
      <c r="ER46" s="528"/>
      <c r="ES46" s="528"/>
      <c r="ET46" s="528"/>
      <c r="EU46" s="528"/>
      <c r="EV46" s="528"/>
      <c r="EW46" s="528"/>
      <c r="EX46" s="528"/>
      <c r="EY46" s="528"/>
      <c r="EZ46" s="528"/>
      <c r="FA46" s="528"/>
      <c r="FB46" s="528"/>
      <c r="FC46" s="528"/>
      <c r="FD46" s="528"/>
      <c r="FE46" s="528"/>
      <c r="FF46" s="528"/>
      <c r="FG46" s="528"/>
      <c r="FH46" s="528"/>
      <c r="FI46" s="528"/>
      <c r="FJ46" s="528"/>
      <c r="FK46" s="528"/>
      <c r="FL46" s="528"/>
      <c r="FM46" s="528"/>
      <c r="FN46" s="528"/>
      <c r="FO46" s="528"/>
      <c r="FP46" s="528"/>
      <c r="FQ46" s="528"/>
      <c r="FR46" s="528"/>
      <c r="FS46" s="528"/>
      <c r="FT46" s="528"/>
      <c r="FU46" s="528"/>
      <c r="FV46" s="528"/>
      <c r="FW46" s="528"/>
      <c r="FX46" s="528"/>
      <c r="FY46" s="528"/>
      <c r="FZ46" s="528"/>
      <c r="GA46" s="528"/>
      <c r="GB46" s="528"/>
      <c r="GC46" s="528"/>
      <c r="GD46" s="528"/>
      <c r="GE46" s="528"/>
      <c r="GF46" s="528"/>
      <c r="GG46" s="528"/>
      <c r="GH46" s="528"/>
      <c r="GI46" s="528"/>
      <c r="GJ46" s="528"/>
      <c r="GK46" s="528"/>
      <c r="GL46" s="528"/>
      <c r="GM46" s="528"/>
      <c r="GN46" s="528"/>
      <c r="GO46" s="528"/>
      <c r="GP46" s="528"/>
      <c r="GQ46" s="528"/>
      <c r="GR46" s="528"/>
      <c r="GS46" s="528"/>
      <c r="GT46" s="528"/>
      <c r="GU46" s="528"/>
      <c r="GV46" s="528"/>
      <c r="GW46" s="528"/>
      <c r="GX46" s="528"/>
      <c r="GY46" s="528"/>
      <c r="GZ46" s="528"/>
      <c r="HA46" s="528"/>
      <c r="HB46" s="528"/>
      <c r="HC46" s="528"/>
      <c r="HD46" s="528"/>
      <c r="HE46" s="528"/>
      <c r="HF46" s="528"/>
      <c r="HG46" s="528"/>
      <c r="HH46" s="528"/>
      <c r="HI46" s="528"/>
      <c r="HJ46" s="528"/>
      <c r="HK46" s="528"/>
      <c r="HL46" s="528"/>
      <c r="HM46" s="528"/>
      <c r="HN46" s="528"/>
      <c r="HO46" s="528"/>
      <c r="HP46" s="528"/>
    </row>
    <row r="47" spans="1:224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8"/>
      <c r="DK47" s="528"/>
      <c r="DL47" s="528"/>
      <c r="DM47" s="528"/>
      <c r="DN47" s="528"/>
      <c r="DO47" s="528"/>
      <c r="DP47" s="528"/>
      <c r="DQ47" s="528"/>
      <c r="DR47" s="528"/>
      <c r="DS47" s="528"/>
      <c r="DT47" s="528"/>
      <c r="DU47" s="528"/>
      <c r="DV47" s="528"/>
      <c r="DW47" s="528"/>
      <c r="DX47" s="528"/>
      <c r="DY47" s="528"/>
      <c r="DZ47" s="528"/>
      <c r="EA47" s="528"/>
      <c r="EB47" s="528"/>
      <c r="EC47" s="528"/>
      <c r="ED47" s="528"/>
      <c r="EE47" s="528"/>
      <c r="EF47" s="528"/>
      <c r="EG47" s="528"/>
      <c r="EH47" s="528"/>
      <c r="EI47" s="528"/>
      <c r="EJ47" s="528"/>
      <c r="EK47" s="528"/>
      <c r="EL47" s="528"/>
      <c r="EM47" s="528"/>
      <c r="EN47" s="528"/>
      <c r="EO47" s="528"/>
      <c r="EP47" s="528"/>
      <c r="EQ47" s="528"/>
      <c r="ER47" s="528"/>
      <c r="ES47" s="528"/>
      <c r="ET47" s="528"/>
      <c r="EU47" s="528"/>
      <c r="EV47" s="528"/>
      <c r="EW47" s="528"/>
      <c r="EX47" s="528"/>
      <c r="EY47" s="528"/>
      <c r="EZ47" s="528"/>
      <c r="FA47" s="528"/>
      <c r="FB47" s="528"/>
      <c r="FC47" s="528"/>
      <c r="FD47" s="528"/>
      <c r="FE47" s="528"/>
      <c r="FF47" s="528"/>
      <c r="FG47" s="528"/>
      <c r="FH47" s="528"/>
      <c r="FI47" s="528"/>
      <c r="FJ47" s="528"/>
      <c r="FK47" s="528"/>
      <c r="FL47" s="528"/>
      <c r="FM47" s="528"/>
      <c r="FN47" s="528"/>
      <c r="FO47" s="528"/>
      <c r="FP47" s="528"/>
      <c r="FQ47" s="528"/>
      <c r="FR47" s="528"/>
      <c r="FS47" s="528"/>
      <c r="FT47" s="528"/>
      <c r="FU47" s="528"/>
      <c r="FV47" s="528"/>
      <c r="FW47" s="528"/>
      <c r="FX47" s="528"/>
      <c r="FY47" s="528"/>
      <c r="FZ47" s="528"/>
      <c r="GA47" s="528"/>
      <c r="GB47" s="528"/>
      <c r="GC47" s="528"/>
      <c r="GD47" s="528"/>
      <c r="GE47" s="528"/>
      <c r="GF47" s="528"/>
      <c r="GG47" s="528"/>
      <c r="GH47" s="528"/>
      <c r="GI47" s="528"/>
      <c r="GJ47" s="528"/>
      <c r="GK47" s="528"/>
      <c r="GL47" s="528"/>
      <c r="GM47" s="528"/>
      <c r="GN47" s="528"/>
      <c r="GO47" s="528"/>
      <c r="GP47" s="528"/>
      <c r="GQ47" s="528"/>
      <c r="GR47" s="528"/>
      <c r="GS47" s="528"/>
      <c r="GT47" s="528"/>
      <c r="GU47" s="528"/>
      <c r="GV47" s="528"/>
      <c r="GW47" s="528"/>
      <c r="GX47" s="528"/>
      <c r="GY47" s="528"/>
      <c r="GZ47" s="528"/>
      <c r="HA47" s="528"/>
      <c r="HB47" s="528"/>
      <c r="HC47" s="528"/>
      <c r="HD47" s="528"/>
      <c r="HE47" s="528"/>
      <c r="HF47" s="528"/>
      <c r="HG47" s="528"/>
      <c r="HH47" s="528"/>
      <c r="HI47" s="528"/>
      <c r="HJ47" s="528"/>
      <c r="HK47" s="528"/>
      <c r="HL47" s="528"/>
      <c r="HM47" s="528"/>
      <c r="HN47" s="528"/>
      <c r="HO47" s="528"/>
      <c r="HP47" s="528"/>
    </row>
    <row r="48" spans="1:224" ht="12" customHeight="1">
      <c r="DJ48" s="528"/>
      <c r="DK48" s="528"/>
      <c r="DL48" s="528"/>
      <c r="DM48" s="528"/>
      <c r="DN48" s="528"/>
      <c r="DO48" s="528"/>
      <c r="DP48" s="528"/>
      <c r="DQ48" s="528"/>
      <c r="DR48" s="528"/>
      <c r="DS48" s="528"/>
      <c r="DT48" s="528"/>
      <c r="DU48" s="528"/>
      <c r="DV48" s="528"/>
      <c r="DW48" s="528"/>
      <c r="DX48" s="528"/>
      <c r="DY48" s="528"/>
      <c r="DZ48" s="528"/>
      <c r="EA48" s="528"/>
      <c r="EB48" s="528"/>
      <c r="EC48" s="528"/>
      <c r="ED48" s="528"/>
      <c r="EE48" s="528"/>
      <c r="EF48" s="528"/>
      <c r="EG48" s="528"/>
      <c r="EH48" s="528"/>
      <c r="EI48" s="528"/>
      <c r="EJ48" s="528"/>
      <c r="EK48" s="528"/>
      <c r="EL48" s="528"/>
      <c r="EM48" s="528"/>
      <c r="EN48" s="528"/>
      <c r="EO48" s="528"/>
      <c r="EP48" s="528"/>
      <c r="EQ48" s="528"/>
      <c r="ER48" s="528"/>
      <c r="ES48" s="528"/>
      <c r="ET48" s="528"/>
      <c r="EU48" s="528"/>
      <c r="EV48" s="528"/>
      <c r="EW48" s="528"/>
      <c r="EX48" s="528"/>
      <c r="EY48" s="528"/>
      <c r="EZ48" s="528"/>
      <c r="FA48" s="528"/>
      <c r="FB48" s="528"/>
      <c r="FC48" s="528"/>
      <c r="FD48" s="528"/>
      <c r="FE48" s="528"/>
      <c r="FF48" s="528"/>
      <c r="FG48" s="528"/>
      <c r="FH48" s="528"/>
      <c r="FI48" s="528"/>
      <c r="FJ48" s="528"/>
      <c r="FK48" s="528"/>
      <c r="FL48" s="528"/>
      <c r="FM48" s="528"/>
      <c r="FN48" s="528"/>
      <c r="FO48" s="528"/>
      <c r="FP48" s="528"/>
      <c r="FQ48" s="528"/>
      <c r="FR48" s="528"/>
      <c r="FS48" s="528"/>
      <c r="FT48" s="528"/>
      <c r="FU48" s="528"/>
      <c r="FV48" s="528"/>
      <c r="FW48" s="528"/>
      <c r="FX48" s="528"/>
      <c r="FY48" s="528"/>
      <c r="FZ48" s="528"/>
      <c r="GA48" s="528"/>
      <c r="GB48" s="528"/>
      <c r="GC48" s="528"/>
      <c r="GD48" s="528"/>
      <c r="GE48" s="528"/>
      <c r="GF48" s="528"/>
      <c r="GG48" s="528"/>
      <c r="GH48" s="528"/>
      <c r="GI48" s="528"/>
      <c r="GJ48" s="528"/>
      <c r="GK48" s="528"/>
      <c r="GL48" s="528"/>
      <c r="GM48" s="528"/>
      <c r="GN48" s="528"/>
      <c r="GO48" s="528"/>
      <c r="GP48" s="528"/>
      <c r="GQ48" s="528"/>
      <c r="GR48" s="528"/>
      <c r="GS48" s="528"/>
      <c r="GT48" s="528"/>
      <c r="GU48" s="528"/>
      <c r="GV48" s="528"/>
      <c r="GW48" s="528"/>
      <c r="GX48" s="528"/>
      <c r="GY48" s="528"/>
      <c r="GZ48" s="528"/>
      <c r="HA48" s="528"/>
      <c r="HB48" s="528"/>
      <c r="HC48" s="528"/>
      <c r="HD48" s="528"/>
      <c r="HE48" s="528"/>
      <c r="HF48" s="528"/>
      <c r="HG48" s="528"/>
      <c r="HH48" s="528"/>
      <c r="HI48" s="528"/>
      <c r="HJ48" s="528"/>
      <c r="HK48" s="528"/>
      <c r="HL48" s="528"/>
      <c r="HM48" s="528"/>
      <c r="HN48" s="528"/>
      <c r="HO48" s="528"/>
      <c r="HP48" s="528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8"/>
      <c r="DK49" s="528"/>
      <c r="DL49" s="528"/>
      <c r="DM49" s="528"/>
      <c r="DN49" s="528"/>
      <c r="DO49" s="528"/>
      <c r="DP49" s="528"/>
      <c r="DQ49" s="528"/>
      <c r="DR49" s="528"/>
      <c r="DS49" s="528"/>
      <c r="DT49" s="528"/>
      <c r="DU49" s="528"/>
      <c r="DV49" s="528"/>
      <c r="DW49" s="528"/>
      <c r="DX49" s="528"/>
      <c r="DY49" s="528"/>
      <c r="DZ49" s="528"/>
      <c r="EA49" s="528"/>
      <c r="EB49" s="528"/>
      <c r="EC49" s="528"/>
      <c r="ED49" s="528"/>
      <c r="EE49" s="528"/>
      <c r="EF49" s="528"/>
      <c r="EG49" s="528"/>
      <c r="EH49" s="528"/>
      <c r="EI49" s="528"/>
      <c r="EJ49" s="528"/>
      <c r="EK49" s="528"/>
      <c r="EL49" s="528"/>
      <c r="EM49" s="528"/>
      <c r="EN49" s="528"/>
      <c r="EO49" s="528"/>
      <c r="EP49" s="528"/>
      <c r="EQ49" s="528"/>
      <c r="ER49" s="528"/>
      <c r="ES49" s="528"/>
      <c r="ET49" s="528"/>
      <c r="EU49" s="528"/>
      <c r="EV49" s="528"/>
      <c r="EW49" s="528"/>
      <c r="EX49" s="528"/>
      <c r="EY49" s="528"/>
      <c r="EZ49" s="528"/>
      <c r="FA49" s="528"/>
      <c r="FB49" s="528"/>
      <c r="FC49" s="528"/>
      <c r="FD49" s="528"/>
      <c r="FE49" s="528"/>
      <c r="FF49" s="528"/>
      <c r="FG49" s="528"/>
      <c r="FH49" s="528"/>
      <c r="FI49" s="528"/>
      <c r="FJ49" s="528"/>
      <c r="FK49" s="528"/>
      <c r="FL49" s="528"/>
      <c r="FM49" s="528"/>
      <c r="FN49" s="528"/>
      <c r="FO49" s="528"/>
      <c r="FP49" s="528"/>
      <c r="FQ49" s="528"/>
      <c r="FR49" s="528"/>
      <c r="FS49" s="528"/>
      <c r="FT49" s="528"/>
      <c r="FU49" s="528"/>
      <c r="FV49" s="528"/>
      <c r="FW49" s="528"/>
      <c r="FX49" s="528"/>
      <c r="FY49" s="528"/>
      <c r="FZ49" s="528"/>
      <c r="GA49" s="528"/>
      <c r="GB49" s="528"/>
      <c r="GC49" s="528"/>
      <c r="GD49" s="528"/>
      <c r="GE49" s="528"/>
      <c r="GF49" s="528"/>
      <c r="GG49" s="528"/>
      <c r="GH49" s="528"/>
      <c r="GI49" s="528"/>
      <c r="GJ49" s="528"/>
      <c r="GK49" s="528"/>
      <c r="GL49" s="528"/>
      <c r="GM49" s="528"/>
      <c r="GN49" s="528"/>
      <c r="GO49" s="528"/>
      <c r="GP49" s="528"/>
      <c r="GQ49" s="528"/>
      <c r="GR49" s="528"/>
      <c r="GS49" s="528"/>
      <c r="GT49" s="528"/>
      <c r="GU49" s="528"/>
      <c r="GV49" s="528"/>
      <c r="GW49" s="528"/>
      <c r="GX49" s="528"/>
      <c r="GY49" s="528"/>
      <c r="GZ49" s="528"/>
      <c r="HA49" s="528"/>
      <c r="HB49" s="528"/>
      <c r="HC49" s="528"/>
      <c r="HD49" s="528"/>
      <c r="HE49" s="528"/>
      <c r="HF49" s="528"/>
      <c r="HG49" s="528"/>
      <c r="HH49" s="528"/>
      <c r="HI49" s="528"/>
      <c r="HJ49" s="528"/>
      <c r="HK49" s="528"/>
      <c r="HL49" s="528"/>
      <c r="HM49" s="528"/>
      <c r="HN49" s="528"/>
      <c r="HO49" s="528"/>
      <c r="HP49" s="528"/>
    </row>
    <row r="50" spans="1:224" ht="15.75" customHeight="1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7"/>
      <c r="DK50" s="647"/>
      <c r="DL50" s="647"/>
      <c r="DM50" s="647"/>
      <c r="DN50" s="647"/>
      <c r="DO50" s="647"/>
      <c r="DP50" s="647"/>
      <c r="DQ50" s="647"/>
      <c r="DR50" s="647"/>
      <c r="DS50" s="647"/>
      <c r="DT50" s="647"/>
      <c r="DU50" s="528"/>
      <c r="DV50" s="528"/>
      <c r="DW50" s="528"/>
      <c r="DX50" s="528"/>
      <c r="DY50" s="528"/>
      <c r="DZ50" s="528"/>
      <c r="EA50" s="528"/>
      <c r="EB50" s="528"/>
      <c r="EC50" s="528"/>
      <c r="ED50" s="528"/>
      <c r="EE50" s="528"/>
      <c r="EF50" s="528"/>
      <c r="EG50" s="528"/>
      <c r="EH50" s="528"/>
      <c r="EI50" s="528"/>
      <c r="EJ50" s="528"/>
      <c r="EK50" s="528"/>
      <c r="EL50" s="528"/>
      <c r="EM50" s="528"/>
      <c r="EN50" s="528"/>
      <c r="EO50" s="528"/>
      <c r="EP50" s="528"/>
      <c r="EQ50" s="528"/>
      <c r="ER50" s="528"/>
      <c r="ES50" s="528"/>
      <c r="ET50" s="528"/>
      <c r="EU50" s="528"/>
      <c r="EV50" s="528"/>
      <c r="EW50" s="528"/>
      <c r="EX50" s="528"/>
      <c r="EY50" s="528"/>
      <c r="EZ50" s="528"/>
      <c r="FA50" s="528"/>
      <c r="FB50" s="528"/>
      <c r="FC50" s="528"/>
      <c r="FD50" s="528"/>
      <c r="FE50" s="528"/>
      <c r="FF50" s="528"/>
      <c r="FG50" s="528"/>
      <c r="FH50" s="528"/>
      <c r="FI50" s="528"/>
      <c r="FJ50" s="528"/>
      <c r="FK50" s="528"/>
      <c r="FL50" s="528"/>
      <c r="FM50" s="528"/>
      <c r="FN50" s="528"/>
      <c r="FO50" s="528"/>
      <c r="FP50" s="528"/>
      <c r="FQ50" s="528"/>
      <c r="FR50" s="528"/>
      <c r="FS50" s="528"/>
      <c r="FT50" s="528"/>
      <c r="FU50" s="528"/>
      <c r="FV50" s="528"/>
      <c r="FW50" s="528"/>
      <c r="FX50" s="528"/>
      <c r="FY50" s="528"/>
      <c r="FZ50" s="528"/>
      <c r="GA50" s="528"/>
      <c r="GB50" s="528"/>
      <c r="GC50" s="528"/>
      <c r="GD50" s="528"/>
      <c r="GE50" s="528"/>
      <c r="GF50" s="528"/>
      <c r="GG50" s="528"/>
      <c r="GH50" s="528"/>
      <c r="GI50" s="528"/>
      <c r="GJ50" s="528"/>
      <c r="GK50" s="528"/>
      <c r="GL50" s="528"/>
      <c r="GM50" s="528"/>
      <c r="GN50" s="528"/>
      <c r="GO50" s="528"/>
      <c r="GP50" s="528"/>
      <c r="GQ50" s="528"/>
      <c r="GR50" s="528"/>
      <c r="GS50" s="528"/>
      <c r="GT50" s="528"/>
      <c r="GU50" s="528"/>
      <c r="GV50" s="528"/>
      <c r="GW50" s="528"/>
      <c r="GX50" s="528"/>
      <c r="GY50" s="528"/>
      <c r="GZ50" s="528"/>
      <c r="HA50" s="528"/>
      <c r="HB50" s="528"/>
      <c r="HC50" s="528"/>
      <c r="HD50" s="528"/>
      <c r="HE50" s="528"/>
      <c r="HF50" s="528"/>
      <c r="HG50" s="528"/>
      <c r="HH50" s="528"/>
      <c r="HI50" s="528"/>
      <c r="HJ50" s="528"/>
      <c r="HK50" s="528"/>
      <c r="HL50" s="528"/>
      <c r="HM50" s="528"/>
      <c r="HN50" s="528"/>
      <c r="HO50" s="528"/>
      <c r="HP50" s="528"/>
    </row>
    <row r="51" spans="1:224" ht="15.75" customHeight="1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7"/>
      <c r="DK51" s="647"/>
      <c r="DL51" s="647"/>
      <c r="DM51" s="647"/>
      <c r="DN51" s="647"/>
      <c r="DO51" s="647"/>
      <c r="DP51" s="647"/>
      <c r="DQ51" s="647"/>
      <c r="DR51" s="647"/>
      <c r="DS51" s="647"/>
      <c r="DT51" s="647"/>
      <c r="DU51" s="528"/>
      <c r="DV51" s="528"/>
      <c r="DW51" s="528"/>
      <c r="DX51" s="528"/>
      <c r="DY51" s="528"/>
      <c r="DZ51" s="528"/>
      <c r="EA51" s="528"/>
      <c r="EB51" s="528"/>
      <c r="EC51" s="528"/>
      <c r="ED51" s="528"/>
      <c r="EE51" s="528"/>
      <c r="EF51" s="528"/>
      <c r="EG51" s="528"/>
      <c r="EH51" s="528"/>
      <c r="EI51" s="528"/>
      <c r="EJ51" s="528"/>
      <c r="EK51" s="528"/>
      <c r="EL51" s="528"/>
      <c r="EM51" s="528"/>
      <c r="EN51" s="528"/>
      <c r="EO51" s="528"/>
      <c r="EP51" s="528"/>
      <c r="EQ51" s="528"/>
      <c r="ER51" s="528"/>
      <c r="ES51" s="528"/>
      <c r="ET51" s="528"/>
      <c r="EU51" s="528"/>
      <c r="EV51" s="528"/>
      <c r="EW51" s="528"/>
      <c r="EX51" s="528"/>
      <c r="EY51" s="528"/>
      <c r="EZ51" s="528"/>
      <c r="FA51" s="528"/>
      <c r="FB51" s="528"/>
      <c r="FC51" s="528"/>
      <c r="FD51" s="528"/>
      <c r="FE51" s="528"/>
      <c r="FF51" s="528"/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  <c r="FW51" s="528"/>
      <c r="FX51" s="528"/>
      <c r="FY51" s="528"/>
      <c r="FZ51" s="528"/>
      <c r="GA51" s="528"/>
      <c r="GB51" s="528"/>
      <c r="GC51" s="528"/>
      <c r="GD51" s="528"/>
      <c r="GE51" s="528"/>
      <c r="GF51" s="528"/>
      <c r="GG51" s="528"/>
      <c r="GH51" s="528"/>
      <c r="GI51" s="528"/>
      <c r="GJ51" s="528"/>
      <c r="GK51" s="528"/>
      <c r="GL51" s="528"/>
      <c r="GM51" s="528"/>
      <c r="GN51" s="528"/>
      <c r="GO51" s="528"/>
      <c r="GP51" s="528"/>
      <c r="GQ51" s="528"/>
      <c r="GR51" s="528"/>
      <c r="GS51" s="528"/>
      <c r="GT51" s="528"/>
      <c r="GU51" s="528"/>
      <c r="GV51" s="528"/>
      <c r="GW51" s="528"/>
      <c r="GX51" s="528"/>
      <c r="GY51" s="528"/>
      <c r="GZ51" s="528"/>
      <c r="HA51" s="528"/>
      <c r="HB51" s="528"/>
      <c r="HC51" s="528"/>
      <c r="HD51" s="528"/>
      <c r="HE51" s="528"/>
      <c r="HF51" s="528"/>
      <c r="HG51" s="528"/>
      <c r="HH51" s="528"/>
      <c r="HI51" s="528"/>
      <c r="HJ51" s="528"/>
      <c r="HK51" s="528"/>
      <c r="HL51" s="528"/>
      <c r="HM51" s="528"/>
      <c r="HN51" s="528"/>
      <c r="HO51" s="528"/>
      <c r="HP51" s="528"/>
    </row>
    <row r="52" spans="1:224" ht="15.75" customHeight="1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7"/>
      <c r="DK52" s="647"/>
      <c r="DL52" s="647"/>
      <c r="DM52" s="647"/>
      <c r="DN52" s="647"/>
      <c r="DO52" s="647"/>
      <c r="DP52" s="647"/>
      <c r="DQ52" s="647"/>
      <c r="DR52" s="647"/>
      <c r="DS52" s="647"/>
      <c r="DT52" s="647"/>
      <c r="DU52" s="528"/>
      <c r="DV52" s="528"/>
      <c r="DW52" s="528"/>
      <c r="DX52" s="528"/>
      <c r="DY52" s="528"/>
      <c r="DZ52" s="528"/>
      <c r="EA52" s="528"/>
      <c r="EB52" s="528"/>
      <c r="EC52" s="528"/>
      <c r="ED52" s="528"/>
      <c r="EE52" s="528"/>
      <c r="EF52" s="528"/>
      <c r="EG52" s="528"/>
      <c r="EH52" s="528"/>
      <c r="EI52" s="528"/>
      <c r="EJ52" s="528"/>
      <c r="EK52" s="528"/>
      <c r="EL52" s="528"/>
      <c r="EM52" s="528"/>
      <c r="EN52" s="528"/>
      <c r="EO52" s="528"/>
      <c r="EP52" s="528"/>
      <c r="EQ52" s="528"/>
      <c r="ER52" s="528"/>
      <c r="ES52" s="528"/>
      <c r="ET52" s="528"/>
      <c r="EU52" s="528"/>
      <c r="EV52" s="528"/>
      <c r="EW52" s="528"/>
      <c r="EX52" s="528"/>
      <c r="EY52" s="528"/>
      <c r="EZ52" s="528"/>
      <c r="FA52" s="528"/>
      <c r="FB52" s="528"/>
      <c r="FC52" s="528"/>
      <c r="FD52" s="528"/>
      <c r="FE52" s="528"/>
      <c r="FF52" s="528"/>
      <c r="FG52" s="528"/>
      <c r="FH52" s="528"/>
      <c r="FI52" s="528"/>
      <c r="FJ52" s="528"/>
      <c r="FK52" s="528"/>
      <c r="FL52" s="528"/>
      <c r="FM52" s="528"/>
      <c r="FN52" s="528"/>
      <c r="FO52" s="528"/>
      <c r="FP52" s="528"/>
      <c r="FQ52" s="528"/>
      <c r="FR52" s="528"/>
      <c r="FS52" s="528"/>
      <c r="FT52" s="528"/>
      <c r="FU52" s="528"/>
      <c r="FV52" s="528"/>
      <c r="FW52" s="528"/>
      <c r="FX52" s="528"/>
      <c r="FY52" s="528"/>
      <c r="FZ52" s="528"/>
      <c r="GA52" s="528"/>
      <c r="GB52" s="528"/>
      <c r="GC52" s="528"/>
      <c r="GD52" s="528"/>
      <c r="GE52" s="528"/>
      <c r="GF52" s="528"/>
      <c r="GG52" s="528"/>
      <c r="GH52" s="528"/>
      <c r="GI52" s="528"/>
      <c r="GJ52" s="528"/>
      <c r="GK52" s="528"/>
      <c r="GL52" s="528"/>
      <c r="GM52" s="528"/>
      <c r="GN52" s="528"/>
      <c r="GO52" s="528"/>
      <c r="GP52" s="528"/>
      <c r="GQ52" s="528"/>
      <c r="GR52" s="528"/>
      <c r="GS52" s="528"/>
      <c r="GT52" s="528"/>
      <c r="GU52" s="528"/>
      <c r="GV52" s="528"/>
      <c r="GW52" s="528"/>
      <c r="GX52" s="528"/>
      <c r="GY52" s="528"/>
      <c r="GZ52" s="528"/>
      <c r="HA52" s="528"/>
      <c r="HB52" s="528"/>
      <c r="HC52" s="528"/>
      <c r="HD52" s="528"/>
      <c r="HE52" s="528"/>
      <c r="HF52" s="528"/>
      <c r="HG52" s="528"/>
      <c r="HH52" s="528"/>
      <c r="HI52" s="528"/>
      <c r="HJ52" s="528"/>
      <c r="HK52" s="528"/>
      <c r="HL52" s="528"/>
      <c r="HM52" s="528"/>
      <c r="HN52" s="528"/>
      <c r="HO52" s="528"/>
      <c r="HP52" s="528"/>
    </row>
    <row r="53" spans="1:224" ht="15.75" customHeight="1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7"/>
      <c r="DK53" s="647"/>
      <c r="DL53" s="647"/>
      <c r="DM53" s="647"/>
      <c r="DN53" s="647"/>
      <c r="DO53" s="647"/>
      <c r="DP53" s="647"/>
      <c r="DQ53" s="647"/>
      <c r="DR53" s="647"/>
      <c r="DS53" s="647"/>
      <c r="DT53" s="647"/>
      <c r="DU53" s="528"/>
      <c r="DV53" s="528"/>
      <c r="DW53" s="528"/>
      <c r="DX53" s="528"/>
      <c r="DY53" s="528"/>
      <c r="DZ53" s="528"/>
      <c r="EA53" s="528"/>
      <c r="EB53" s="528"/>
      <c r="EC53" s="528"/>
      <c r="ED53" s="528"/>
      <c r="EE53" s="528"/>
      <c r="EF53" s="528"/>
      <c r="EG53" s="528"/>
      <c r="EH53" s="528"/>
      <c r="EI53" s="528"/>
      <c r="EJ53" s="528"/>
      <c r="EK53" s="528"/>
      <c r="EL53" s="528"/>
      <c r="EM53" s="528"/>
      <c r="EN53" s="528"/>
      <c r="EO53" s="528"/>
      <c r="EP53" s="528"/>
      <c r="EQ53" s="528"/>
      <c r="ER53" s="528"/>
      <c r="ES53" s="528"/>
      <c r="ET53" s="528"/>
      <c r="EU53" s="528"/>
      <c r="EV53" s="528"/>
      <c r="EW53" s="528"/>
      <c r="EX53" s="528"/>
      <c r="EY53" s="528"/>
      <c r="EZ53" s="528"/>
      <c r="FA53" s="528"/>
      <c r="FB53" s="528"/>
      <c r="FC53" s="528"/>
      <c r="FD53" s="528"/>
      <c r="FE53" s="528"/>
      <c r="FF53" s="528"/>
      <c r="FG53" s="528"/>
      <c r="FH53" s="528"/>
      <c r="FI53" s="528"/>
      <c r="FJ53" s="528"/>
      <c r="FK53" s="528"/>
      <c r="FL53" s="528"/>
      <c r="FM53" s="528"/>
      <c r="FN53" s="528"/>
      <c r="FO53" s="528"/>
      <c r="FP53" s="528"/>
      <c r="FQ53" s="528"/>
      <c r="FR53" s="528"/>
      <c r="FS53" s="528"/>
      <c r="FT53" s="528"/>
      <c r="FU53" s="528"/>
      <c r="FV53" s="528"/>
      <c r="FW53" s="528"/>
      <c r="FX53" s="528"/>
      <c r="FY53" s="528"/>
      <c r="FZ53" s="528"/>
      <c r="GA53" s="528"/>
      <c r="GB53" s="528"/>
      <c r="GC53" s="528"/>
      <c r="GD53" s="528"/>
      <c r="GE53" s="528"/>
      <c r="GF53" s="528"/>
      <c r="GG53" s="528"/>
      <c r="GH53" s="528"/>
      <c r="GI53" s="528"/>
      <c r="GJ53" s="528"/>
      <c r="GK53" s="528"/>
      <c r="GL53" s="528"/>
      <c r="GM53" s="528"/>
      <c r="GN53" s="528"/>
      <c r="GO53" s="528"/>
      <c r="GP53" s="528"/>
      <c r="GQ53" s="528"/>
      <c r="GR53" s="528"/>
      <c r="GS53" s="528"/>
      <c r="GT53" s="528"/>
      <c r="GU53" s="528"/>
      <c r="GV53" s="528"/>
      <c r="GW53" s="528"/>
      <c r="GX53" s="528"/>
      <c r="GY53" s="528"/>
      <c r="GZ53" s="528"/>
      <c r="HA53" s="528"/>
      <c r="HB53" s="528"/>
      <c r="HC53" s="528"/>
      <c r="HD53" s="528"/>
      <c r="HE53" s="528"/>
      <c r="HF53" s="528"/>
      <c r="HG53" s="528"/>
      <c r="HH53" s="528"/>
      <c r="HI53" s="528"/>
      <c r="HJ53" s="528"/>
      <c r="HK53" s="528"/>
      <c r="HL53" s="528"/>
      <c r="HM53" s="528"/>
      <c r="HN53" s="528"/>
      <c r="HO53" s="528"/>
      <c r="HP53" s="528"/>
    </row>
    <row r="54" spans="1:224" s="275" customFormat="1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8"/>
      <c r="DK54" s="648"/>
      <c r="DL54" s="648"/>
      <c r="DM54" s="649"/>
      <c r="DN54" s="649"/>
      <c r="DO54" s="649"/>
      <c r="DP54" s="649"/>
      <c r="DQ54" s="649"/>
      <c r="DR54" s="649"/>
      <c r="DS54" s="649"/>
      <c r="DT54" s="649"/>
      <c r="DU54" s="649"/>
      <c r="DV54" s="649"/>
      <c r="DW54" s="649"/>
      <c r="DX54" s="649"/>
      <c r="DY54" s="649"/>
      <c r="DZ54" s="649"/>
      <c r="EA54" s="649"/>
      <c r="EB54" s="649"/>
      <c r="EC54" s="649"/>
      <c r="ED54" s="649"/>
      <c r="EE54" s="649"/>
      <c r="EF54" s="649"/>
      <c r="EG54" s="649"/>
      <c r="EH54" s="649"/>
      <c r="EI54" s="649"/>
      <c r="EJ54" s="649"/>
      <c r="EK54" s="649"/>
      <c r="EL54" s="649"/>
      <c r="EM54" s="649"/>
      <c r="EN54" s="649"/>
      <c r="EO54" s="649"/>
      <c r="EP54" s="649"/>
      <c r="EQ54" s="649"/>
      <c r="ER54" s="649"/>
      <c r="ES54" s="649"/>
      <c r="ET54" s="649"/>
      <c r="EU54" s="649"/>
      <c r="EV54" s="649"/>
      <c r="EW54" s="649"/>
      <c r="EX54" s="649"/>
      <c r="EY54" s="649"/>
      <c r="EZ54" s="649"/>
      <c r="FA54" s="649"/>
      <c r="FB54" s="649"/>
      <c r="FC54" s="649"/>
      <c r="FD54" s="649"/>
      <c r="FE54" s="649"/>
      <c r="FF54" s="649"/>
      <c r="FG54" s="649"/>
      <c r="FH54" s="649"/>
      <c r="FI54" s="649"/>
      <c r="FJ54" s="649"/>
      <c r="FK54" s="649"/>
      <c r="FL54" s="649"/>
      <c r="FM54" s="649"/>
      <c r="FN54" s="649"/>
      <c r="FO54" s="649"/>
      <c r="FP54" s="649"/>
      <c r="FQ54" s="649"/>
      <c r="FR54" s="649"/>
      <c r="FS54" s="649"/>
      <c r="FT54" s="649"/>
      <c r="FU54" s="649"/>
      <c r="FV54" s="649"/>
      <c r="FW54" s="649"/>
      <c r="FX54" s="649"/>
      <c r="FY54" s="649"/>
      <c r="FZ54" s="649"/>
      <c r="GA54" s="649"/>
      <c r="GB54" s="649"/>
      <c r="GC54" s="649"/>
      <c r="GD54" s="649"/>
      <c r="GE54" s="649"/>
      <c r="GF54" s="649"/>
      <c r="GG54" s="649"/>
      <c r="GH54" s="649"/>
      <c r="GI54" s="649"/>
      <c r="GJ54" s="649"/>
      <c r="GK54" s="649"/>
      <c r="GL54" s="649"/>
      <c r="GM54" s="649"/>
      <c r="GN54" s="649"/>
      <c r="GO54" s="649"/>
      <c r="GP54" s="649"/>
      <c r="GQ54" s="649"/>
      <c r="GR54" s="649"/>
      <c r="GS54" s="649"/>
      <c r="GT54" s="649"/>
      <c r="GU54" s="649"/>
      <c r="GV54" s="649"/>
      <c r="GW54" s="649"/>
      <c r="GX54" s="649"/>
      <c r="GY54" s="649"/>
      <c r="GZ54" s="649"/>
      <c r="HA54" s="649"/>
      <c r="HB54" s="649"/>
      <c r="HC54" s="649"/>
      <c r="HD54" s="649"/>
      <c r="HE54" s="649"/>
      <c r="HF54" s="649"/>
      <c r="HG54" s="649"/>
      <c r="HH54" s="649"/>
      <c r="HI54" s="649"/>
      <c r="HJ54" s="649"/>
      <c r="HK54" s="649"/>
      <c r="HL54" s="649"/>
      <c r="HM54" s="649"/>
      <c r="HN54" s="649"/>
      <c r="HO54" s="649"/>
      <c r="HP54" s="649"/>
    </row>
    <row r="55" spans="1:224" s="275" customFormat="1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8"/>
      <c r="DK55" s="648"/>
      <c r="DL55" s="648"/>
      <c r="DM55" s="649"/>
      <c r="DN55" s="649"/>
      <c r="DO55" s="649"/>
      <c r="DP55" s="649"/>
      <c r="DQ55" s="649"/>
      <c r="DR55" s="649"/>
      <c r="DS55" s="649"/>
      <c r="DT55" s="649"/>
      <c r="DU55" s="649"/>
      <c r="DV55" s="649"/>
      <c r="DW55" s="649"/>
      <c r="DX55" s="649"/>
      <c r="DY55" s="649"/>
      <c r="DZ55" s="649"/>
      <c r="EA55" s="649"/>
      <c r="EB55" s="649"/>
      <c r="EC55" s="649"/>
      <c r="ED55" s="649"/>
      <c r="EE55" s="649"/>
      <c r="EF55" s="649"/>
      <c r="EG55" s="649"/>
      <c r="EH55" s="649"/>
      <c r="EI55" s="649"/>
      <c r="EJ55" s="649"/>
      <c r="EK55" s="649"/>
      <c r="EL55" s="649"/>
      <c r="EM55" s="649"/>
      <c r="EN55" s="649"/>
      <c r="EO55" s="649"/>
      <c r="EP55" s="649"/>
      <c r="EQ55" s="649"/>
      <c r="ER55" s="649"/>
      <c r="ES55" s="649"/>
      <c r="ET55" s="649"/>
      <c r="EU55" s="649"/>
      <c r="EV55" s="649"/>
      <c r="EW55" s="649"/>
      <c r="EX55" s="649"/>
      <c r="EY55" s="649"/>
      <c r="EZ55" s="649"/>
      <c r="FA55" s="649"/>
      <c r="FB55" s="649"/>
      <c r="FC55" s="649"/>
      <c r="FD55" s="649"/>
      <c r="FE55" s="649"/>
      <c r="FF55" s="649"/>
      <c r="FG55" s="649"/>
      <c r="FH55" s="649"/>
      <c r="FI55" s="649"/>
      <c r="FJ55" s="649"/>
      <c r="FK55" s="649"/>
      <c r="FL55" s="649"/>
      <c r="FM55" s="649"/>
      <c r="FN55" s="649"/>
      <c r="FO55" s="649"/>
      <c r="FP55" s="649"/>
      <c r="FQ55" s="649"/>
      <c r="FR55" s="649"/>
      <c r="FS55" s="649"/>
      <c r="FT55" s="649"/>
      <c r="FU55" s="649"/>
      <c r="FV55" s="649"/>
      <c r="FW55" s="649"/>
      <c r="FX55" s="649"/>
      <c r="FY55" s="649"/>
      <c r="FZ55" s="649"/>
      <c r="GA55" s="649"/>
      <c r="GB55" s="649"/>
      <c r="GC55" s="649"/>
      <c r="GD55" s="649"/>
      <c r="GE55" s="649"/>
      <c r="GF55" s="649"/>
      <c r="GG55" s="649"/>
      <c r="GH55" s="649"/>
      <c r="GI55" s="649"/>
      <c r="GJ55" s="649"/>
      <c r="GK55" s="649"/>
      <c r="GL55" s="649"/>
      <c r="GM55" s="649"/>
      <c r="GN55" s="649"/>
      <c r="GO55" s="649"/>
      <c r="GP55" s="649"/>
      <c r="GQ55" s="649"/>
      <c r="GR55" s="649"/>
      <c r="GS55" s="649"/>
      <c r="GT55" s="649"/>
      <c r="GU55" s="649"/>
      <c r="GV55" s="649"/>
      <c r="GW55" s="649"/>
      <c r="GX55" s="649"/>
      <c r="GY55" s="649"/>
      <c r="GZ55" s="649"/>
      <c r="HA55" s="649"/>
      <c r="HB55" s="649"/>
      <c r="HC55" s="649"/>
      <c r="HD55" s="649"/>
      <c r="HE55" s="649"/>
      <c r="HF55" s="649"/>
      <c r="HG55" s="649"/>
      <c r="HH55" s="649"/>
      <c r="HI55" s="649"/>
      <c r="HJ55" s="649"/>
      <c r="HK55" s="649"/>
      <c r="HL55" s="649"/>
      <c r="HM55" s="649"/>
      <c r="HN55" s="649"/>
      <c r="HO55" s="649"/>
      <c r="HP55" s="649"/>
    </row>
    <row r="56" spans="1:224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0"/>
      <c r="DK56" s="650"/>
      <c r="DL56" s="650"/>
      <c r="DM56" s="650"/>
      <c r="DN56" s="650"/>
      <c r="DO56" s="650"/>
      <c r="DP56" s="650"/>
      <c r="DQ56" s="650"/>
      <c r="DR56" s="650"/>
      <c r="DS56" s="650"/>
      <c r="DT56" s="650"/>
      <c r="DU56" s="650"/>
      <c r="DV56" s="650"/>
      <c r="DW56" s="650"/>
      <c r="DX56" s="528"/>
      <c r="DY56" s="528"/>
      <c r="DZ56" s="528"/>
      <c r="EA56" s="528"/>
      <c r="EB56" s="528"/>
      <c r="EC56" s="528"/>
      <c r="ED56" s="528"/>
      <c r="EE56" s="528"/>
      <c r="EF56" s="528"/>
      <c r="EG56" s="528"/>
      <c r="EH56" s="528"/>
      <c r="EI56" s="528"/>
      <c r="EJ56" s="528"/>
      <c r="EK56" s="528"/>
      <c r="EL56" s="528"/>
      <c r="EM56" s="528"/>
      <c r="EN56" s="528"/>
      <c r="EO56" s="528"/>
      <c r="EP56" s="528"/>
      <c r="EQ56" s="528"/>
      <c r="ER56" s="528"/>
      <c r="ES56" s="528"/>
      <c r="ET56" s="528"/>
      <c r="EU56" s="528"/>
      <c r="EV56" s="528"/>
      <c r="EW56" s="528"/>
      <c r="EX56" s="528"/>
      <c r="EY56" s="528"/>
      <c r="EZ56" s="528"/>
      <c r="FA56" s="528"/>
      <c r="FB56" s="528"/>
      <c r="FC56" s="528"/>
      <c r="FD56" s="528"/>
      <c r="FE56" s="528"/>
      <c r="FF56" s="528"/>
      <c r="FG56" s="528"/>
      <c r="FH56" s="528"/>
      <c r="FI56" s="528"/>
      <c r="FJ56" s="528"/>
      <c r="FK56" s="528"/>
      <c r="FL56" s="528"/>
      <c r="FM56" s="528"/>
      <c r="FN56" s="528"/>
      <c r="FO56" s="528"/>
      <c r="FP56" s="528"/>
      <c r="FQ56" s="528"/>
      <c r="FR56" s="528"/>
      <c r="FS56" s="528"/>
      <c r="FT56" s="528"/>
      <c r="FU56" s="528"/>
      <c r="FV56" s="528"/>
      <c r="FW56" s="528"/>
      <c r="FX56" s="528"/>
      <c r="FY56" s="528"/>
      <c r="FZ56" s="528"/>
      <c r="GA56" s="528"/>
      <c r="GB56" s="528"/>
      <c r="GC56" s="528"/>
      <c r="GD56" s="528"/>
      <c r="GE56" s="528"/>
      <c r="GF56" s="528"/>
      <c r="GG56" s="528"/>
      <c r="GH56" s="528"/>
      <c r="GI56" s="528"/>
      <c r="GJ56" s="528"/>
      <c r="GK56" s="528"/>
      <c r="GL56" s="528"/>
      <c r="GM56" s="528"/>
      <c r="GN56" s="528"/>
      <c r="GO56" s="528"/>
      <c r="GP56" s="528"/>
      <c r="GQ56" s="528"/>
      <c r="GR56" s="528"/>
      <c r="GS56" s="528"/>
      <c r="GT56" s="528"/>
      <c r="GU56" s="528"/>
      <c r="GV56" s="528"/>
      <c r="GW56" s="528"/>
      <c r="GX56" s="528"/>
      <c r="GY56" s="528"/>
      <c r="GZ56" s="528"/>
      <c r="HA56" s="528"/>
      <c r="HB56" s="528"/>
      <c r="HC56" s="528"/>
      <c r="HD56" s="528"/>
      <c r="HE56" s="528"/>
      <c r="HF56" s="528"/>
      <c r="HG56" s="528"/>
      <c r="HH56" s="528"/>
      <c r="HI56" s="528"/>
      <c r="HJ56" s="528"/>
      <c r="HK56" s="528"/>
      <c r="HL56" s="528"/>
      <c r="HM56" s="528"/>
      <c r="HN56" s="528"/>
      <c r="HO56" s="528"/>
      <c r="HP56" s="528"/>
    </row>
    <row r="57" spans="1:224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8"/>
      <c r="DK57" s="528"/>
      <c r="DL57" s="528"/>
      <c r="DM57" s="528"/>
      <c r="DN57" s="528"/>
      <c r="DO57" s="528"/>
      <c r="DP57" s="528"/>
      <c r="DQ57" s="528"/>
      <c r="DR57" s="528"/>
      <c r="DS57" s="528"/>
      <c r="DT57" s="528"/>
      <c r="DU57" s="528"/>
      <c r="DV57" s="528"/>
      <c r="DW57" s="528"/>
      <c r="DX57" s="528"/>
      <c r="DY57" s="528"/>
      <c r="DZ57" s="528"/>
      <c r="EA57" s="528"/>
      <c r="EB57" s="528"/>
      <c r="EC57" s="528"/>
      <c r="ED57" s="528"/>
      <c r="EE57" s="528"/>
      <c r="EF57" s="528"/>
      <c r="EG57" s="528"/>
      <c r="EH57" s="528"/>
      <c r="EI57" s="528"/>
      <c r="EJ57" s="528"/>
      <c r="EK57" s="528"/>
      <c r="EL57" s="528"/>
      <c r="EM57" s="528"/>
      <c r="EN57" s="528"/>
      <c r="EO57" s="528"/>
      <c r="EP57" s="528"/>
      <c r="EQ57" s="528"/>
      <c r="ER57" s="528"/>
      <c r="ES57" s="528"/>
      <c r="ET57" s="528"/>
      <c r="EU57" s="528"/>
      <c r="EV57" s="528"/>
      <c r="EW57" s="528"/>
      <c r="EX57" s="528"/>
      <c r="EY57" s="528"/>
      <c r="EZ57" s="528"/>
      <c r="FA57" s="528"/>
      <c r="FB57" s="528"/>
      <c r="FC57" s="528"/>
      <c r="FD57" s="528"/>
      <c r="FE57" s="528"/>
      <c r="FF57" s="528"/>
      <c r="FG57" s="528"/>
      <c r="FH57" s="528"/>
      <c r="FI57" s="528"/>
      <c r="FJ57" s="528"/>
      <c r="FK57" s="528"/>
      <c r="FL57" s="528"/>
      <c r="FM57" s="528"/>
      <c r="FN57" s="528"/>
      <c r="FO57" s="528"/>
      <c r="FP57" s="528"/>
      <c r="FQ57" s="528"/>
      <c r="FR57" s="528"/>
      <c r="FS57" s="528"/>
      <c r="FT57" s="528"/>
      <c r="FU57" s="528"/>
      <c r="FV57" s="528"/>
      <c r="FW57" s="528"/>
      <c r="FX57" s="528"/>
      <c r="FY57" s="528"/>
      <c r="FZ57" s="528"/>
      <c r="GA57" s="528"/>
      <c r="GB57" s="528"/>
      <c r="GC57" s="528"/>
      <c r="GD57" s="528"/>
      <c r="GE57" s="528"/>
      <c r="GF57" s="528"/>
      <c r="GG57" s="528"/>
      <c r="GH57" s="528"/>
      <c r="GI57" s="528"/>
      <c r="GJ57" s="528"/>
      <c r="GK57" s="528"/>
      <c r="GL57" s="528"/>
      <c r="GM57" s="528"/>
      <c r="GN57" s="528"/>
      <c r="GO57" s="528"/>
      <c r="GP57" s="528"/>
      <c r="GQ57" s="528"/>
      <c r="GR57" s="528"/>
      <c r="GS57" s="528"/>
      <c r="GT57" s="528"/>
      <c r="GU57" s="528"/>
      <c r="GV57" s="528"/>
      <c r="GW57" s="528"/>
      <c r="GX57" s="528"/>
      <c r="GY57" s="528"/>
      <c r="GZ57" s="528"/>
      <c r="HA57" s="528"/>
      <c r="HB57" s="528"/>
      <c r="HC57" s="528"/>
      <c r="HD57" s="528"/>
      <c r="HE57" s="528"/>
      <c r="HF57" s="528"/>
      <c r="HG57" s="528"/>
      <c r="HH57" s="528"/>
      <c r="HI57" s="528"/>
      <c r="HJ57" s="528"/>
      <c r="HK57" s="528"/>
      <c r="HL57" s="528"/>
      <c r="HM57" s="528"/>
      <c r="HN57" s="528"/>
      <c r="HO57" s="528"/>
      <c r="HP57" s="528"/>
    </row>
    <row r="58" spans="1:224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8"/>
      <c r="DK58" s="528"/>
      <c r="DL58" s="528"/>
      <c r="DM58" s="528"/>
      <c r="DN58" s="528"/>
      <c r="DO58" s="528"/>
      <c r="DP58" s="528"/>
      <c r="DQ58" s="528"/>
      <c r="DR58" s="528"/>
      <c r="DS58" s="528"/>
      <c r="DT58" s="528"/>
      <c r="DU58" s="528"/>
      <c r="DV58" s="528"/>
      <c r="DW58" s="528"/>
      <c r="DX58" s="528"/>
      <c r="DY58" s="528"/>
      <c r="DZ58" s="528"/>
      <c r="EA58" s="528"/>
      <c r="EB58" s="528"/>
      <c r="EC58" s="528"/>
      <c r="ED58" s="528"/>
      <c r="EE58" s="528"/>
      <c r="EF58" s="528"/>
      <c r="EG58" s="528"/>
      <c r="EH58" s="528"/>
      <c r="EI58" s="528"/>
      <c r="EJ58" s="528"/>
      <c r="EK58" s="528"/>
      <c r="EL58" s="528"/>
      <c r="EM58" s="528"/>
      <c r="EN58" s="528"/>
      <c r="EO58" s="528"/>
      <c r="EP58" s="528"/>
      <c r="EQ58" s="528"/>
      <c r="ER58" s="528"/>
      <c r="ES58" s="528"/>
      <c r="ET58" s="528"/>
      <c r="EU58" s="528"/>
      <c r="EV58" s="528"/>
      <c r="EW58" s="528"/>
      <c r="EX58" s="528"/>
      <c r="EY58" s="528"/>
      <c r="EZ58" s="528"/>
      <c r="FA58" s="528"/>
      <c r="FB58" s="528"/>
      <c r="FC58" s="528"/>
      <c r="FD58" s="528"/>
      <c r="FE58" s="528"/>
      <c r="FF58" s="528"/>
      <c r="FG58" s="528"/>
      <c r="FH58" s="528"/>
      <c r="FI58" s="528"/>
      <c r="FJ58" s="528"/>
      <c r="FK58" s="528"/>
      <c r="FL58" s="528"/>
      <c r="FM58" s="528"/>
      <c r="FN58" s="528"/>
      <c r="FO58" s="528"/>
      <c r="FP58" s="528"/>
      <c r="FQ58" s="528"/>
      <c r="FR58" s="528"/>
      <c r="FS58" s="528"/>
      <c r="FT58" s="528"/>
      <c r="FU58" s="528"/>
      <c r="FV58" s="528"/>
      <c r="FW58" s="528"/>
      <c r="FX58" s="528"/>
      <c r="FY58" s="528"/>
      <c r="FZ58" s="528"/>
      <c r="GA58" s="528"/>
      <c r="GB58" s="528"/>
      <c r="GC58" s="528"/>
      <c r="GD58" s="528"/>
      <c r="GE58" s="528"/>
      <c r="GF58" s="528"/>
      <c r="GG58" s="528"/>
      <c r="GH58" s="528"/>
      <c r="GI58" s="528"/>
      <c r="GJ58" s="528"/>
      <c r="GK58" s="528"/>
      <c r="GL58" s="528"/>
      <c r="GM58" s="528"/>
      <c r="GN58" s="528"/>
      <c r="GO58" s="528"/>
      <c r="GP58" s="528"/>
      <c r="GQ58" s="528"/>
      <c r="GR58" s="528"/>
      <c r="GS58" s="528"/>
      <c r="GT58" s="528"/>
      <c r="GU58" s="528"/>
      <c r="GV58" s="528"/>
      <c r="GW58" s="528"/>
      <c r="GX58" s="528"/>
      <c r="GY58" s="528"/>
      <c r="GZ58" s="528"/>
      <c r="HA58" s="528"/>
      <c r="HB58" s="528"/>
      <c r="HC58" s="528"/>
      <c r="HD58" s="528"/>
      <c r="HE58" s="528"/>
      <c r="HF58" s="528"/>
      <c r="HG58" s="528"/>
      <c r="HH58" s="528"/>
      <c r="HI58" s="528"/>
      <c r="HJ58" s="528"/>
      <c r="HK58" s="528"/>
      <c r="HL58" s="528"/>
      <c r="HM58" s="528"/>
      <c r="HN58" s="528"/>
      <c r="HO58" s="528"/>
      <c r="HP58" s="528"/>
    </row>
    <row r="59" spans="1:224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8"/>
      <c r="DK59" s="528"/>
      <c r="DL59" s="528"/>
      <c r="DM59" s="528"/>
      <c r="DN59" s="528"/>
      <c r="DO59" s="528"/>
      <c r="DP59" s="528"/>
      <c r="DQ59" s="528"/>
      <c r="DR59" s="528"/>
      <c r="DS59" s="528"/>
      <c r="DT59" s="528"/>
      <c r="DU59" s="528"/>
      <c r="DV59" s="528"/>
      <c r="DW59" s="528"/>
      <c r="DX59" s="528"/>
      <c r="DY59" s="528"/>
      <c r="DZ59" s="528"/>
      <c r="EA59" s="528"/>
      <c r="EB59" s="528"/>
      <c r="EC59" s="528"/>
      <c r="ED59" s="528"/>
      <c r="EE59" s="528"/>
      <c r="EF59" s="528"/>
      <c r="EG59" s="528"/>
      <c r="EH59" s="528"/>
      <c r="EI59" s="528"/>
      <c r="EJ59" s="528"/>
      <c r="EK59" s="528"/>
      <c r="EL59" s="528"/>
      <c r="EM59" s="528"/>
      <c r="EN59" s="528"/>
      <c r="EO59" s="528"/>
      <c r="EP59" s="528"/>
      <c r="EQ59" s="528"/>
      <c r="ER59" s="528"/>
      <c r="ES59" s="528"/>
      <c r="ET59" s="528"/>
      <c r="EU59" s="528"/>
      <c r="EV59" s="528"/>
      <c r="EW59" s="528"/>
      <c r="EX59" s="528"/>
      <c r="EY59" s="528"/>
      <c r="EZ59" s="528"/>
      <c r="FA59" s="528"/>
      <c r="FB59" s="528"/>
      <c r="FC59" s="528"/>
      <c r="FD59" s="528"/>
      <c r="FE59" s="528"/>
      <c r="FF59" s="528"/>
      <c r="FG59" s="528"/>
      <c r="FH59" s="528"/>
      <c r="FI59" s="528"/>
      <c r="FJ59" s="528"/>
      <c r="FK59" s="528"/>
      <c r="FL59" s="528"/>
      <c r="FM59" s="528"/>
      <c r="FN59" s="528"/>
      <c r="FO59" s="528"/>
      <c r="FP59" s="528"/>
      <c r="FQ59" s="528"/>
      <c r="FR59" s="528"/>
      <c r="FS59" s="528"/>
      <c r="FT59" s="528"/>
      <c r="FU59" s="528"/>
      <c r="FV59" s="528"/>
      <c r="FW59" s="528"/>
      <c r="FX59" s="528"/>
      <c r="FY59" s="528"/>
      <c r="FZ59" s="528"/>
      <c r="GA59" s="528"/>
      <c r="GB59" s="528"/>
      <c r="GC59" s="528"/>
      <c r="GD59" s="528"/>
      <c r="GE59" s="528"/>
      <c r="GF59" s="528"/>
      <c r="GG59" s="528"/>
      <c r="GH59" s="528"/>
      <c r="GI59" s="528"/>
      <c r="GJ59" s="528"/>
      <c r="GK59" s="528"/>
      <c r="GL59" s="528"/>
      <c r="GM59" s="528"/>
      <c r="GN59" s="528"/>
      <c r="GO59" s="528"/>
      <c r="GP59" s="528"/>
      <c r="GQ59" s="528"/>
      <c r="GR59" s="528"/>
      <c r="GS59" s="528"/>
      <c r="GT59" s="528"/>
      <c r="GU59" s="528"/>
      <c r="GV59" s="528"/>
      <c r="GW59" s="528"/>
      <c r="GX59" s="528"/>
      <c r="GY59" s="528"/>
      <c r="GZ59" s="528"/>
      <c r="HA59" s="528"/>
      <c r="HB59" s="528"/>
      <c r="HC59" s="528"/>
      <c r="HD59" s="528"/>
      <c r="HE59" s="528"/>
      <c r="HF59" s="528"/>
      <c r="HG59" s="528"/>
      <c r="HH59" s="528"/>
      <c r="HI59" s="528"/>
      <c r="HJ59" s="528"/>
      <c r="HK59" s="528"/>
      <c r="HL59" s="528"/>
      <c r="HM59" s="528"/>
      <c r="HN59" s="528"/>
      <c r="HO59" s="528"/>
      <c r="HP59" s="528"/>
    </row>
    <row r="60" spans="1:224">
      <c r="DJ60" s="528"/>
      <c r="DK60" s="528"/>
      <c r="DL60" s="528"/>
      <c r="DM60" s="528"/>
      <c r="DN60" s="528"/>
      <c r="DO60" s="528"/>
      <c r="DP60" s="528"/>
      <c r="DQ60" s="528"/>
      <c r="DR60" s="528"/>
      <c r="DS60" s="528"/>
      <c r="DT60" s="528"/>
      <c r="DU60" s="528"/>
      <c r="DV60" s="528"/>
      <c r="DW60" s="528"/>
      <c r="DX60" s="528"/>
      <c r="DY60" s="528"/>
      <c r="DZ60" s="528"/>
      <c r="EA60" s="528"/>
      <c r="EB60" s="528"/>
      <c r="EC60" s="528"/>
      <c r="ED60" s="528"/>
      <c r="EE60" s="528"/>
      <c r="EF60" s="528"/>
      <c r="EG60" s="528"/>
      <c r="EH60" s="528"/>
      <c r="EI60" s="528"/>
      <c r="EJ60" s="528"/>
      <c r="EK60" s="528"/>
      <c r="EL60" s="528"/>
      <c r="EM60" s="528"/>
      <c r="EN60" s="528"/>
      <c r="EO60" s="528"/>
      <c r="EP60" s="528"/>
      <c r="EQ60" s="528"/>
      <c r="ER60" s="528"/>
      <c r="ES60" s="528"/>
      <c r="ET60" s="528"/>
      <c r="EU60" s="528"/>
      <c r="EV60" s="528"/>
      <c r="EW60" s="528"/>
      <c r="EX60" s="528"/>
      <c r="EY60" s="528"/>
      <c r="EZ60" s="528"/>
      <c r="FA60" s="528"/>
      <c r="FB60" s="528"/>
      <c r="FC60" s="528"/>
      <c r="FD60" s="528"/>
      <c r="FE60" s="528"/>
      <c r="FF60" s="528"/>
      <c r="FG60" s="528"/>
      <c r="FH60" s="528"/>
      <c r="FI60" s="528"/>
      <c r="FJ60" s="528"/>
      <c r="FK60" s="528"/>
      <c r="FL60" s="528"/>
      <c r="FM60" s="528"/>
      <c r="FN60" s="528"/>
      <c r="FO60" s="528"/>
      <c r="FP60" s="528"/>
      <c r="FQ60" s="528"/>
      <c r="FR60" s="528"/>
      <c r="FS60" s="528"/>
      <c r="FT60" s="528"/>
      <c r="FU60" s="528"/>
      <c r="FV60" s="528"/>
      <c r="FW60" s="528"/>
      <c r="FX60" s="528"/>
      <c r="FY60" s="528"/>
      <c r="FZ60" s="528"/>
      <c r="GA60" s="528"/>
      <c r="GB60" s="528"/>
      <c r="GC60" s="528"/>
      <c r="GD60" s="528"/>
      <c r="GE60" s="528"/>
      <c r="GF60" s="528"/>
      <c r="GG60" s="528"/>
      <c r="GH60" s="528"/>
      <c r="GI60" s="528"/>
      <c r="GJ60" s="528"/>
      <c r="GK60" s="528"/>
      <c r="GL60" s="528"/>
      <c r="GM60" s="528"/>
      <c r="GN60" s="528"/>
      <c r="GO60" s="528"/>
      <c r="GP60" s="528"/>
      <c r="GQ60" s="528"/>
      <c r="GR60" s="528"/>
      <c r="GS60" s="528"/>
      <c r="GT60" s="528"/>
      <c r="GU60" s="528"/>
      <c r="GV60" s="528"/>
      <c r="GW60" s="528"/>
      <c r="GX60" s="528"/>
      <c r="GY60" s="528"/>
      <c r="GZ60" s="528"/>
      <c r="HA60" s="528"/>
      <c r="HB60" s="528"/>
      <c r="HC60" s="528"/>
      <c r="HD60" s="528"/>
      <c r="HE60" s="528"/>
      <c r="HF60" s="528"/>
      <c r="HG60" s="528"/>
      <c r="HH60" s="528"/>
      <c r="HI60" s="528"/>
      <c r="HJ60" s="528"/>
      <c r="HK60" s="528"/>
      <c r="HL60" s="528"/>
      <c r="HM60" s="528"/>
      <c r="HN60" s="528"/>
      <c r="HO60" s="528"/>
      <c r="HP60" s="528"/>
    </row>
    <row r="61" spans="1:224" ht="60" customHeight="1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1"/>
      <c r="DK61" s="651"/>
      <c r="DL61" s="651"/>
      <c r="DM61" s="651"/>
      <c r="DN61" s="651"/>
      <c r="DO61" s="651"/>
      <c r="DP61" s="651"/>
      <c r="DQ61" s="651"/>
      <c r="DR61" s="651"/>
      <c r="DS61" s="651"/>
      <c r="DT61" s="651"/>
      <c r="DU61" s="652"/>
      <c r="DV61" s="652"/>
      <c r="DW61" s="652"/>
      <c r="DX61" s="652"/>
      <c r="DY61" s="652"/>
      <c r="DZ61" s="652"/>
      <c r="EA61" s="652"/>
      <c r="EB61" s="652"/>
      <c r="EC61" s="652"/>
      <c r="ED61" s="528"/>
      <c r="EE61" s="528"/>
      <c r="EF61" s="528"/>
      <c r="EG61" s="528"/>
      <c r="EH61" s="528"/>
      <c r="EI61" s="528"/>
      <c r="EJ61" s="528"/>
      <c r="EK61" s="528"/>
      <c r="EL61" s="528"/>
      <c r="EM61" s="528"/>
      <c r="EN61" s="528"/>
      <c r="EO61" s="528"/>
      <c r="EP61" s="528"/>
      <c r="EQ61" s="528"/>
      <c r="ER61" s="528"/>
      <c r="ES61" s="528"/>
      <c r="ET61" s="528"/>
      <c r="EU61" s="528"/>
      <c r="EV61" s="528"/>
      <c r="EW61" s="528"/>
      <c r="EX61" s="528"/>
      <c r="EY61" s="528"/>
      <c r="EZ61" s="528"/>
      <c r="FA61" s="528"/>
      <c r="FB61" s="528"/>
      <c r="FC61" s="528"/>
      <c r="FD61" s="528"/>
      <c r="FE61" s="528"/>
      <c r="FF61" s="528"/>
      <c r="FG61" s="528"/>
      <c r="FH61" s="528"/>
      <c r="FI61" s="528"/>
      <c r="FJ61" s="528"/>
      <c r="FK61" s="528"/>
      <c r="FL61" s="528"/>
      <c r="FM61" s="528"/>
      <c r="FN61" s="528"/>
      <c r="FO61" s="528"/>
      <c r="FP61" s="528"/>
      <c r="FQ61" s="528"/>
      <c r="FR61" s="528"/>
      <c r="FS61" s="528"/>
      <c r="FT61" s="528"/>
      <c r="FU61" s="528"/>
      <c r="FV61" s="528"/>
      <c r="FW61" s="528"/>
      <c r="FX61" s="528"/>
      <c r="FY61" s="528"/>
      <c r="FZ61" s="528"/>
      <c r="GA61" s="528"/>
      <c r="GB61" s="528"/>
      <c r="GC61" s="528"/>
      <c r="GD61" s="528"/>
      <c r="GE61" s="528"/>
      <c r="GF61" s="528"/>
      <c r="GG61" s="528"/>
      <c r="GH61" s="528"/>
      <c r="GI61" s="528"/>
      <c r="GJ61" s="528"/>
      <c r="GK61" s="528"/>
      <c r="GL61" s="528"/>
      <c r="GM61" s="528"/>
      <c r="GN61" s="528"/>
      <c r="GO61" s="528"/>
      <c r="GP61" s="528"/>
      <c r="GQ61" s="528"/>
      <c r="GR61" s="528"/>
      <c r="GS61" s="528"/>
      <c r="GT61" s="528"/>
      <c r="GU61" s="528"/>
      <c r="GV61" s="528"/>
      <c r="GW61" s="528"/>
      <c r="GX61" s="528"/>
      <c r="GY61" s="528"/>
      <c r="GZ61" s="528"/>
      <c r="HA61" s="528"/>
      <c r="HB61" s="528"/>
      <c r="HC61" s="528"/>
      <c r="HD61" s="528"/>
      <c r="HE61" s="528"/>
      <c r="HF61" s="528"/>
      <c r="HG61" s="528"/>
      <c r="HH61" s="528"/>
      <c r="HI61" s="528"/>
      <c r="HJ61" s="528"/>
      <c r="HK61" s="528"/>
      <c r="HL61" s="528"/>
      <c r="HM61" s="528"/>
      <c r="HN61" s="528"/>
      <c r="HO61" s="528"/>
      <c r="HP61" s="528"/>
    </row>
    <row r="62" spans="1:224">
      <c r="DJ62" s="528"/>
      <c r="DK62" s="528"/>
      <c r="DL62" s="528"/>
      <c r="DM62" s="528"/>
      <c r="DN62" s="528"/>
      <c r="DO62" s="528"/>
      <c r="DP62" s="528"/>
      <c r="DQ62" s="528"/>
      <c r="DR62" s="528"/>
      <c r="DS62" s="528"/>
      <c r="DT62" s="528"/>
      <c r="DU62" s="528"/>
      <c r="DV62" s="528"/>
      <c r="DW62" s="528"/>
      <c r="DX62" s="528"/>
      <c r="DY62" s="528"/>
      <c r="DZ62" s="528"/>
      <c r="EA62" s="528"/>
      <c r="EB62" s="528"/>
      <c r="EC62" s="528"/>
      <c r="ED62" s="528"/>
      <c r="EE62" s="528"/>
      <c r="EF62" s="528"/>
      <c r="EG62" s="528"/>
      <c r="EH62" s="528"/>
      <c r="EI62" s="528"/>
      <c r="EJ62" s="528"/>
      <c r="EK62" s="528"/>
      <c r="EL62" s="528"/>
      <c r="EM62" s="528"/>
      <c r="EN62" s="528"/>
      <c r="EO62" s="528"/>
      <c r="EP62" s="528"/>
      <c r="EQ62" s="528"/>
      <c r="ER62" s="528"/>
      <c r="ES62" s="528"/>
      <c r="ET62" s="528"/>
      <c r="EU62" s="528"/>
      <c r="EV62" s="528"/>
      <c r="EW62" s="528"/>
      <c r="EX62" s="528"/>
      <c r="EY62" s="528"/>
      <c r="EZ62" s="528"/>
      <c r="FA62" s="528"/>
      <c r="FB62" s="528"/>
      <c r="FC62" s="528"/>
      <c r="FD62" s="528"/>
      <c r="FE62" s="528"/>
      <c r="FF62" s="528"/>
      <c r="FG62" s="528"/>
      <c r="FH62" s="528"/>
      <c r="FI62" s="528"/>
      <c r="FJ62" s="528"/>
      <c r="FK62" s="528"/>
      <c r="FL62" s="528"/>
      <c r="FM62" s="528"/>
      <c r="FN62" s="528"/>
      <c r="FO62" s="528"/>
      <c r="FP62" s="528"/>
      <c r="FQ62" s="528"/>
      <c r="FR62" s="528"/>
      <c r="FS62" s="528"/>
      <c r="FT62" s="528"/>
      <c r="FU62" s="528"/>
      <c r="FV62" s="528"/>
      <c r="FW62" s="528"/>
      <c r="FX62" s="528"/>
      <c r="FY62" s="528"/>
      <c r="FZ62" s="528"/>
      <c r="GA62" s="528"/>
      <c r="GB62" s="528"/>
      <c r="GC62" s="528"/>
      <c r="GD62" s="528"/>
      <c r="GE62" s="528"/>
      <c r="GF62" s="528"/>
      <c r="GG62" s="528"/>
      <c r="GH62" s="528"/>
      <c r="GI62" s="528"/>
      <c r="GJ62" s="528"/>
      <c r="GK62" s="528"/>
      <c r="GL62" s="528"/>
      <c r="GM62" s="528"/>
      <c r="GN62" s="528"/>
      <c r="GO62" s="528"/>
      <c r="GP62" s="528"/>
      <c r="GQ62" s="528"/>
      <c r="GR62" s="528"/>
      <c r="GS62" s="528"/>
      <c r="GT62" s="528"/>
      <c r="GU62" s="528"/>
      <c r="GV62" s="528"/>
      <c r="GW62" s="528"/>
      <c r="GX62" s="528"/>
      <c r="GY62" s="528"/>
      <c r="GZ62" s="528"/>
      <c r="HA62" s="528"/>
      <c r="HB62" s="528"/>
      <c r="HC62" s="528"/>
      <c r="HD62" s="528"/>
      <c r="HE62" s="528"/>
      <c r="HF62" s="528"/>
      <c r="HG62" s="528"/>
      <c r="HH62" s="528"/>
      <c r="HI62" s="528"/>
      <c r="HJ62" s="528"/>
      <c r="HK62" s="528"/>
      <c r="HL62" s="528"/>
      <c r="HM62" s="528"/>
      <c r="HN62" s="528"/>
      <c r="HO62" s="528"/>
      <c r="HP62" s="528"/>
    </row>
    <row r="63" spans="1:224" ht="39" customHeight="1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8"/>
      <c r="DK63" s="528"/>
      <c r="DL63" s="528"/>
      <c r="DM63" s="528"/>
      <c r="DN63" s="528"/>
      <c r="DO63" s="528"/>
      <c r="DP63" s="528"/>
      <c r="DQ63" s="528"/>
      <c r="DR63" s="528"/>
      <c r="DS63" s="528"/>
      <c r="DT63" s="528"/>
      <c r="DU63" s="528"/>
      <c r="DV63" s="528"/>
      <c r="DW63" s="528"/>
      <c r="DX63" s="528"/>
      <c r="DY63" s="528"/>
      <c r="DZ63" s="528"/>
      <c r="EA63" s="528"/>
      <c r="EB63" s="528"/>
      <c r="EC63" s="528"/>
      <c r="ED63" s="528"/>
      <c r="EE63" s="528"/>
      <c r="EF63" s="528"/>
      <c r="EG63" s="528"/>
      <c r="EH63" s="528"/>
      <c r="EI63" s="528"/>
      <c r="EJ63" s="528"/>
      <c r="EK63" s="528"/>
      <c r="EL63" s="528"/>
      <c r="EM63" s="528"/>
      <c r="EN63" s="528"/>
      <c r="EO63" s="528"/>
      <c r="EP63" s="528"/>
      <c r="EQ63" s="528"/>
      <c r="ER63" s="528"/>
      <c r="ES63" s="528"/>
      <c r="ET63" s="528"/>
      <c r="EU63" s="528"/>
      <c r="EV63" s="528"/>
      <c r="EW63" s="528"/>
      <c r="EX63" s="528"/>
      <c r="EY63" s="528"/>
      <c r="EZ63" s="528"/>
      <c r="FA63" s="528"/>
      <c r="FB63" s="528"/>
      <c r="FC63" s="528"/>
      <c r="FD63" s="528"/>
      <c r="FE63" s="528"/>
      <c r="FF63" s="528"/>
      <c r="FG63" s="528"/>
      <c r="FH63" s="528"/>
      <c r="FI63" s="528"/>
      <c r="FJ63" s="528"/>
      <c r="FK63" s="528"/>
      <c r="FL63" s="528"/>
      <c r="FM63" s="528"/>
      <c r="FN63" s="528"/>
      <c r="FO63" s="528"/>
      <c r="FP63" s="528"/>
      <c r="FQ63" s="528"/>
      <c r="FR63" s="528"/>
      <c r="FS63" s="528"/>
      <c r="FT63" s="528"/>
      <c r="FU63" s="528"/>
      <c r="FV63" s="528"/>
      <c r="FW63" s="528"/>
      <c r="FX63" s="528"/>
      <c r="FY63" s="528"/>
      <c r="FZ63" s="528"/>
      <c r="GA63" s="528"/>
      <c r="GB63" s="528"/>
      <c r="GC63" s="528"/>
      <c r="GD63" s="528"/>
      <c r="GE63" s="528"/>
      <c r="GF63" s="528"/>
      <c r="GG63" s="528"/>
      <c r="GH63" s="528"/>
      <c r="GI63" s="528"/>
      <c r="GJ63" s="528"/>
      <c r="GK63" s="528"/>
      <c r="GL63" s="528"/>
      <c r="GM63" s="528"/>
      <c r="GN63" s="528"/>
      <c r="GO63" s="528"/>
      <c r="GP63" s="528"/>
      <c r="GQ63" s="528"/>
      <c r="GR63" s="528"/>
      <c r="GS63" s="528"/>
      <c r="GT63" s="528"/>
      <c r="GU63" s="528"/>
      <c r="GV63" s="528"/>
      <c r="GW63" s="528"/>
      <c r="GX63" s="528"/>
      <c r="GY63" s="528"/>
      <c r="GZ63" s="528"/>
      <c r="HA63" s="528"/>
      <c r="HB63" s="528"/>
      <c r="HC63" s="528"/>
      <c r="HD63" s="528"/>
      <c r="HE63" s="528"/>
      <c r="HF63" s="528"/>
      <c r="HG63" s="528"/>
      <c r="HH63" s="528"/>
      <c r="HI63" s="528"/>
      <c r="HJ63" s="528"/>
      <c r="HK63" s="528"/>
      <c r="HL63" s="528"/>
      <c r="HM63" s="528"/>
      <c r="HN63" s="528">
        <v>1</v>
      </c>
      <c r="HO63" s="528"/>
      <c r="HP63" s="379" t="s">
        <v>399</v>
      </c>
    </row>
  </sheetData>
  <sheetProtection password="C09F" sheet="1" objects="1" scenarios="1"/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I29 U29 AG29 AS29 BE29 BQ29 CC29 CO29 DA29 DM29 DY29 EK29 EW29 FI29 FU29 GG29 GS29 HE29">
    <cfRule type="expression" dxfId="7" priority="3763" stopIfTrue="1">
      <formula>IF(AND(O29="К",I29&lt;&gt;8),TRUE,FALSE)</formula>
    </cfRule>
  </conditionalFormatting>
  <conditionalFormatting sqref="E29:E109 Q29:Q109 AC29:AC109 AO29:AO109 BA29:BA109 BM29:BM109 BY29:BY109 CK29:CK109 CW29:CW109 DI29:DI109 DU29:DU109 EG29:EG109 ES29:ES109 FE29:FE109 FQ29:FQ109 GC29:GC109 GO29:GO109 HA29:HA109">
    <cfRule type="expression" dxfId="6" priority="7417" stopIfTrue="1">
      <formula>IF(AND(O29="К",$B29&lt;&gt;"П",$B29&lt;&gt;"С",$A29&lt;&gt;"",$B29&lt;&gt;"В",OR(E29&gt;1400,E29&lt;600)),TRUE,FALSE)</formula>
    </cfRule>
    <cfRule type="expression" dxfId="5" priority="7416" stopIfTrue="1">
      <formula>IF(AND(E29="",F29&lt;&gt;"",O29&lt;&gt;"",$A29&lt;&gt;""),TRUE,FALSE)</formula>
    </cfRule>
  </conditionalFormatting>
  <conditionalFormatting sqref="F29:F109 R29:R109 AD29:AD109 AP29:AP109 BB29:BB109 BN29:BN109 BZ29:BZ109 CL29:CL109 CX29:CX109 DJ29:DJ109 DV29:DV109 EH29:EH109 ET29:ET109 FF29:FF109 FR29:FR109 GD29:GD109 GP29:GP109 HB29:HB109">
    <cfRule type="expression" dxfId="4" priority="2706" stopIfTrue="1">
      <formula>IF(AND(E29&lt;&gt;"",F29="",O29="",$A29&lt;&gt;""),TRUE,FALSE)</formula>
    </cfRule>
    <cfRule type="expression" dxfId="3" priority="2705" stopIfTrue="1">
      <formula>IF(AND(O29="К",$B29&lt;&gt;"П",$B29&lt;&gt;"С",$A29&lt;&gt;"",$B29&lt;&gt;"В",OR(F29&gt;2200,F29&lt;1400)),TRUE,FALSE)</formula>
    </cfRule>
  </conditionalFormatting>
  <conditionalFormatting sqref="O29:O109 AA29:AA109 AM29:AM109 AY29:AY109 BK29:BK109 BW29:BW109 CI29:CI109 CU29:CU109 DG29:DG109 DS29:DS109 EE29:EE109 EQ29:EQ109 FC29:FC109 FO29:FO109 GA29:GA109 GM29:GM109 GY29:GY109 HK29:HK109">
    <cfRule type="expression" dxfId="2" priority="4273" stopIfTrue="1">
      <formula>IF(AND(O29="К",I29&lt;&gt;8,$A29&lt;&gt;""),TRUE,FALSE)</formula>
    </cfRule>
    <cfRule type="expression" dxfId="1" priority="4274" stopIfTrue="1">
      <formula>IF(AND(E29&lt;&gt;"",F29&lt;&gt;"",O29="",$A29&lt;&gt;""),TRUE,FALSE)</formula>
    </cfRule>
    <cfRule type="expression" dxfId="0" priority="4275" stopIfTrue="1">
      <formula>IF(AND(OR(E29&lt;&gt;"",F29&lt;&gt;""),O29="",$A29&lt;&gt;""),TRUE,FALSE)</formula>
    </cfRule>
  </conditionalFormatting>
  <dataValidations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2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2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2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2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2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2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2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2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2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2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2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2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2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2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2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2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2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5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topLeftCell="A31"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5"/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  <c r="N1" s="675"/>
      <c r="O1" s="675"/>
      <c r="P1" s="675"/>
      <c r="Q1" s="675"/>
      <c r="R1" s="675"/>
      <c r="S1" s="675"/>
      <c r="T1" s="675"/>
    </row>
    <row r="2" spans="1:21" ht="23.25">
      <c r="A2" s="675"/>
      <c r="B2" s="675"/>
      <c r="C2" s="857" t="s">
        <v>2</v>
      </c>
      <c r="D2" s="857"/>
      <c r="E2" s="857"/>
      <c r="F2" s="857"/>
      <c r="G2" s="857"/>
      <c r="H2" s="857"/>
      <c r="I2" s="857"/>
      <c r="J2" s="676"/>
      <c r="K2" s="676"/>
      <c r="L2" s="676"/>
      <c r="M2" s="676"/>
      <c r="N2" s="676"/>
      <c r="O2" s="676"/>
      <c r="P2" s="676"/>
      <c r="Q2" s="677"/>
      <c r="R2" s="675"/>
      <c r="S2" s="675"/>
      <c r="T2" s="675"/>
    </row>
    <row r="3" spans="1:21" ht="23.25">
      <c r="A3" s="678"/>
      <c r="B3" s="675"/>
      <c r="C3" s="857" t="s">
        <v>3</v>
      </c>
      <c r="D3" s="857"/>
      <c r="E3" s="857"/>
      <c r="F3" s="857"/>
      <c r="G3" s="857"/>
      <c r="H3" s="857"/>
      <c r="I3" s="857"/>
      <c r="J3" s="676"/>
      <c r="K3" s="676"/>
      <c r="L3" s="676"/>
      <c r="M3" s="676"/>
      <c r="N3" s="676"/>
      <c r="O3" s="676"/>
      <c r="P3" s="676"/>
      <c r="Q3" s="677"/>
      <c r="R3" s="675"/>
      <c r="S3" s="675"/>
      <c r="T3" s="675"/>
    </row>
    <row r="4" spans="1:21" ht="23.25">
      <c r="A4" s="675"/>
      <c r="B4" s="675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79"/>
      <c r="K4" s="860"/>
      <c r="L4" s="860"/>
      <c r="M4" s="680"/>
      <c r="N4" s="863">
        <f>'Настройки УИК'!$I$43</f>
        <v>0</v>
      </c>
      <c r="O4" s="863"/>
      <c r="P4" s="863"/>
      <c r="Q4" s="863"/>
      <c r="R4" s="863"/>
      <c r="S4" s="675"/>
      <c r="T4" s="675"/>
      <c r="U4" s="440">
        <f>'Настройки ТИК'!$H$17</f>
        <v>0</v>
      </c>
    </row>
    <row r="5" spans="1:21" ht="18.75" customHeight="1">
      <c r="A5" s="675"/>
      <c r="B5" s="675"/>
      <c r="C5" s="861" t="s">
        <v>4</v>
      </c>
      <c r="D5" s="861"/>
      <c r="E5" s="861"/>
      <c r="F5" s="861"/>
      <c r="G5" s="861"/>
      <c r="H5" s="861"/>
      <c r="I5" s="861"/>
      <c r="J5" s="681"/>
      <c r="K5" s="862" t="s">
        <v>5</v>
      </c>
      <c r="L5" s="862"/>
      <c r="M5" s="681"/>
      <c r="N5" s="862" t="s">
        <v>6</v>
      </c>
      <c r="O5" s="862"/>
      <c r="P5" s="862"/>
      <c r="Q5" s="862"/>
      <c r="R5" s="862"/>
      <c r="S5" s="675"/>
      <c r="T5" s="675"/>
    </row>
    <row r="6" spans="1:21" ht="12.75" customHeight="1">
      <c r="A6" s="675"/>
      <c r="B6" s="675"/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677"/>
      <c r="P6" s="677"/>
      <c r="Q6" s="677"/>
      <c r="R6" s="675"/>
      <c r="S6" s="675"/>
      <c r="T6" s="675"/>
    </row>
    <row r="7" spans="1:21" ht="23.25">
      <c r="A7" s="675"/>
      <c r="B7" s="675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5"/>
      <c r="S7" s="675"/>
      <c r="T7" s="675"/>
    </row>
    <row r="8" spans="1:21" ht="23.25">
      <c r="A8" s="675"/>
      <c r="B8" s="675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5"/>
      <c r="S8" s="675"/>
      <c r="T8" s="675"/>
    </row>
    <row r="9" spans="1:21" ht="23.25">
      <c r="A9" s="675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5"/>
      <c r="T9" s="675"/>
    </row>
    <row r="10" spans="1:21" ht="18.75">
      <c r="A10" s="675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5"/>
      <c r="T10" s="675"/>
    </row>
    <row r="11" spans="1:21" ht="6" customHeight="1">
      <c r="A11" s="675"/>
      <c r="B11" s="675"/>
      <c r="C11" s="677"/>
      <c r="D11" s="677"/>
      <c r="E11" s="677"/>
      <c r="F11" s="677"/>
      <c r="G11" s="677"/>
      <c r="H11" s="677"/>
      <c r="I11" s="677"/>
      <c r="J11" s="677"/>
      <c r="K11" s="677"/>
      <c r="L11" s="677"/>
      <c r="M11" s="677"/>
      <c r="N11" s="677"/>
      <c r="O11" s="677"/>
      <c r="P11" s="677"/>
      <c r="Q11" s="677"/>
      <c r="R11" s="675"/>
      <c r="S11" s="675"/>
      <c r="T11" s="675"/>
    </row>
    <row r="12" spans="1:21" ht="23.25">
      <c r="A12" s="675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5"/>
      <c r="T12" s="675"/>
    </row>
    <row r="13" spans="1:21" ht="61.5" customHeight="1">
      <c r="A13" s="675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5"/>
      <c r="T13" s="675"/>
    </row>
    <row r="14" spans="1:21" ht="6" customHeight="1">
      <c r="A14" s="675"/>
      <c r="B14" s="675"/>
      <c r="C14" s="677"/>
      <c r="D14" s="677"/>
      <c r="E14" s="677"/>
      <c r="F14" s="677"/>
      <c r="G14" s="677"/>
      <c r="H14" s="677"/>
      <c r="I14" s="677"/>
      <c r="J14" s="677"/>
      <c r="K14" s="677"/>
      <c r="L14" s="677"/>
      <c r="M14" s="677"/>
      <c r="N14" s="677"/>
      <c r="O14" s="677"/>
      <c r="P14" s="677"/>
      <c r="Q14" s="677"/>
      <c r="R14" s="675"/>
      <c r="S14" s="675"/>
      <c r="T14" s="675"/>
    </row>
    <row r="15" spans="1:21" ht="23.25">
      <c r="A15" s="675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5"/>
      <c r="T15" s="675"/>
    </row>
    <row r="16" spans="1:21" ht="18.75">
      <c r="A16" s="675"/>
      <c r="B16" s="675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5"/>
      <c r="S16" s="675"/>
      <c r="T16" s="675"/>
    </row>
    <row r="17" spans="1:21" ht="11.25" customHeight="1">
      <c r="A17" s="675"/>
      <c r="B17" s="675"/>
      <c r="C17" s="681"/>
      <c r="D17" s="681"/>
      <c r="E17" s="681"/>
      <c r="F17" s="681"/>
      <c r="G17" s="681"/>
      <c r="H17" s="681"/>
      <c r="I17" s="681"/>
      <c r="J17" s="681"/>
      <c r="K17" s="681"/>
      <c r="L17" s="681"/>
      <c r="M17" s="681"/>
      <c r="N17" s="681"/>
      <c r="O17" s="681"/>
      <c r="P17" s="681"/>
      <c r="Q17" s="681"/>
      <c r="R17" s="675"/>
      <c r="S17" s="675"/>
      <c r="T17" s="675"/>
    </row>
    <row r="18" spans="1:21" ht="23.25" customHeight="1">
      <c r="A18" s="675"/>
      <c r="B18" s="675"/>
      <c r="C18" s="678"/>
      <c r="D18" s="678"/>
      <c r="E18" s="681"/>
      <c r="F18" s="681"/>
      <c r="G18" s="681"/>
      <c r="H18" s="682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3" t="str">
        <f>'Настройки ТИК'!$I$15</f>
        <v/>
      </c>
      <c r="M18" s="684" t="s">
        <v>152</v>
      </c>
      <c r="N18" s="681"/>
      <c r="O18" s="681"/>
      <c r="P18" s="681"/>
      <c r="Q18" s="681"/>
      <c r="R18" s="675"/>
      <c r="S18" s="675"/>
      <c r="T18" s="675"/>
      <c r="U18" s="527" t="str">
        <f>TEXT('Настройки ТИК'!C17,"ММММ")</f>
        <v>Январь</v>
      </c>
    </row>
    <row r="19" spans="1:21" ht="18.75">
      <c r="A19" s="675"/>
      <c r="B19" s="675"/>
      <c r="C19" s="681"/>
      <c r="D19" s="681"/>
      <c r="E19" s="681"/>
      <c r="F19" s="681"/>
      <c r="G19" s="681"/>
      <c r="H19" s="681"/>
      <c r="I19" s="862" t="s">
        <v>149</v>
      </c>
      <c r="J19" s="862"/>
      <c r="K19" s="862"/>
      <c r="L19" s="681"/>
      <c r="M19" s="681"/>
      <c r="N19" s="681"/>
      <c r="O19" s="681"/>
      <c r="P19" s="681"/>
      <c r="Q19" s="681"/>
      <c r="R19" s="675"/>
      <c r="S19" s="675"/>
      <c r="T19" s="675"/>
      <c r="U19" s="527" t="str">
        <f>TEXT('Настройки ТИК'!D17,"ММММ")</f>
        <v>Январь</v>
      </c>
    </row>
    <row r="20" spans="1:21" ht="6.75" customHeight="1">
      <c r="A20" s="675"/>
      <c r="B20" s="675"/>
      <c r="C20" s="675"/>
      <c r="D20" s="675"/>
      <c r="E20" s="675"/>
      <c r="F20" s="675"/>
      <c r="G20" s="675"/>
      <c r="H20" s="675"/>
      <c r="I20" s="675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T20" s="675"/>
    </row>
    <row r="21" spans="1:21" ht="18.75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>
      <c r="A22" s="870"/>
      <c r="B22" s="871"/>
      <c r="C22" s="685" t="str">
        <f ca="1">'Сведения ФОВ'!E20</f>
        <v/>
      </c>
      <c r="D22" s="685" t="str">
        <f ca="1">'Сведения ФОВ'!Q20</f>
        <v/>
      </c>
      <c r="E22" s="685" t="str">
        <f ca="1">'Сведения ФОВ'!AC20</f>
        <v>Склонение по падежам УИК</v>
      </c>
      <c r="F22" s="685" t="str">
        <f ca="1">'Сведения ФОВ'!AO20</f>
        <v>для печати документов</v>
      </c>
      <c r="G22" s="685" t="str">
        <f ca="1">'Сведения ФОВ'!BA20</f>
        <v xml:space="preserve">Родительный </v>
      </c>
      <c r="H22" s="685" t="str">
        <f ca="1">'Сведения ФОВ'!BM20</f>
        <v xml:space="preserve">Дательный </v>
      </c>
      <c r="I22" s="685" t="str">
        <f ca="1">'Сведения ФОВ'!BY20</f>
        <v>Творительный</v>
      </c>
      <c r="J22" s="685" t="str">
        <f ca="1">'Сведения ФОВ'!CK20</f>
        <v>Винительный</v>
      </c>
      <c r="K22" s="685" t="str">
        <f ca="1">'Сведения ФОВ'!CW20</f>
        <v/>
      </c>
      <c r="L22" s="685" t="str">
        <f ca="1">'Сведения ФОВ'!DI20</f>
        <v/>
      </c>
      <c r="M22" s="685" t="str">
        <f ca="1">'Сведения ФОВ'!DU20</f>
        <v/>
      </c>
      <c r="N22" s="685" t="str">
        <f ca="1">'Сведения ФОВ'!EG20</f>
        <v>Должности</v>
      </c>
      <c r="O22" s="685" t="str">
        <f ca="1">'Сведения ФОВ'!ES20</f>
        <v/>
      </c>
      <c r="P22" s="685" t="str">
        <f ca="1">'Сведения ФОВ'!FE20</f>
        <v>Председатель</v>
      </c>
      <c r="Q22" s="685" t="str">
        <f ca="1">'Сведения ФОВ'!FQ20</f>
        <v/>
      </c>
      <c r="R22" s="685" t="str">
        <f ca="1">'Сведения ФОВ'!GC20</f>
        <v/>
      </c>
      <c r="S22" s="685" t="str">
        <f ca="1">'Сведения ФОВ'!GO20</f>
        <v/>
      </c>
      <c r="T22" s="685" t="str">
        <f ca="1">'Сведения ФОВ'!HA20</f>
        <v/>
      </c>
    </row>
    <row r="23" spans="1:21" ht="18.75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64" t="s">
        <v>12</v>
      </c>
      <c r="B25" s="865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64" t="s">
        <v>496</v>
      </c>
      <c r="B26" s="865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66" t="s">
        <v>13</v>
      </c>
      <c r="B27" s="867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66" t="s">
        <v>497</v>
      </c>
      <c r="B28" s="867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64" t="s">
        <v>16</v>
      </c>
      <c r="B29" s="865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64" t="s">
        <v>420</v>
      </c>
      <c r="B30" s="865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5"/>
    </row>
    <row r="63" spans="1:224">
      <c r="HP63" s="495"/>
    </row>
  </sheetData>
  <sheetProtection password="C09F" sheet="1" objects="1" scenarios="1"/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F53" sqref="F53:L53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2"/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5"/>
      <c r="Q1" s="665"/>
      <c r="R1" s="665"/>
      <c r="S1" s="885" t="s">
        <v>167</v>
      </c>
      <c r="T1" s="885"/>
      <c r="U1" s="885"/>
      <c r="W1" s="617">
        <f>'Настройки ТИК'!C55</f>
        <v>0</v>
      </c>
      <c r="X1" s="617"/>
      <c r="Y1" s="617"/>
    </row>
    <row r="2" spans="1:76" ht="22.5" customHeight="1">
      <c r="A2" s="662"/>
      <c r="B2" s="662"/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</row>
    <row r="3" spans="1:76" ht="34.5" customHeight="1">
      <c r="A3" s="662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>
      <c r="A4" s="662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>
      <c r="A5" s="662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>
      <c r="A6" s="662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>
      <c r="A7" s="662"/>
      <c r="B7" s="43"/>
      <c r="C7" s="666"/>
      <c r="D7" s="666"/>
      <c r="E7" s="666"/>
      <c r="F7" s="662"/>
      <c r="G7" s="662"/>
      <c r="H7" s="662"/>
      <c r="I7" s="662"/>
      <c r="J7" s="662"/>
      <c r="K7" s="662"/>
      <c r="L7" s="662"/>
      <c r="M7" s="662"/>
      <c r="N7" s="662"/>
      <c r="O7" s="662"/>
      <c r="P7" s="662"/>
      <c r="Q7" s="662"/>
      <c r="R7" s="662"/>
      <c r="S7" s="662"/>
      <c r="T7" s="662"/>
      <c r="U7" s="662"/>
    </row>
    <row r="8" spans="1:76" ht="21.75" customHeight="1">
      <c r="A8" s="662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>
      <c r="A9" s="662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>
      <c r="A10" s="662"/>
      <c r="B10" s="667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8">
        <f>'Настройки УИК'!J5</f>
        <v>0</v>
      </c>
      <c r="Q10" s="669" t="s">
        <v>52</v>
      </c>
      <c r="R10" s="662"/>
      <c r="S10" s="662"/>
      <c r="T10" s="662"/>
      <c r="U10" s="662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2"/>
      <c r="B11" s="667"/>
      <c r="C11" s="670"/>
      <c r="D11" s="670"/>
      <c r="E11" s="670"/>
      <c r="F11" s="670"/>
      <c r="G11" s="670"/>
      <c r="H11" s="670"/>
      <c r="I11" s="670"/>
      <c r="J11" s="670"/>
      <c r="K11" s="670"/>
      <c r="L11" s="670"/>
      <c r="M11" s="670"/>
      <c r="N11" s="670"/>
      <c r="O11" s="670"/>
      <c r="P11" s="671"/>
      <c r="Q11" s="669"/>
      <c r="R11" s="662"/>
      <c r="S11" s="662"/>
      <c r="T11" s="662"/>
      <c r="U11" s="662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2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>
      <c r="A13" s="662"/>
      <c r="B13" s="671"/>
      <c r="C13" s="671"/>
      <c r="D13" s="671"/>
      <c r="E13" s="671"/>
      <c r="F13" s="671"/>
      <c r="G13" s="671"/>
      <c r="H13" s="671"/>
      <c r="I13" s="671"/>
      <c r="J13" s="672"/>
      <c r="K13" s="672"/>
      <c r="L13" s="671"/>
      <c r="M13" s="671"/>
      <c r="N13" s="671"/>
      <c r="O13" s="671"/>
      <c r="P13" s="671"/>
      <c r="Q13" s="671"/>
      <c r="R13" s="671"/>
      <c r="S13" s="671"/>
      <c r="T13" s="671"/>
      <c r="U13" s="671"/>
    </row>
    <row r="14" spans="1:76" ht="21" customHeight="1">
      <c r="A14" s="662"/>
      <c r="B14" s="662"/>
      <c r="C14" s="662"/>
      <c r="D14" s="662"/>
      <c r="E14" s="673"/>
      <c r="F14" s="662"/>
      <c r="G14" s="662"/>
      <c r="H14" s="662"/>
      <c r="I14" s="673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8" t="str">
        <f>'Настройки ТИК'!$I$15</f>
        <v/>
      </c>
      <c r="M14" s="674" t="s">
        <v>153</v>
      </c>
      <c r="N14" s="662"/>
      <c r="O14" s="662"/>
      <c r="P14" s="662"/>
      <c r="Q14" s="662"/>
      <c r="R14" s="662"/>
      <c r="S14" s="662"/>
      <c r="T14" s="662"/>
      <c r="U14" s="662"/>
      <c r="V14" s="49"/>
    </row>
    <row r="15" spans="1:76" ht="25.5" customHeight="1">
      <c r="A15" s="662"/>
      <c r="B15" s="662"/>
      <c r="C15" s="662"/>
      <c r="D15" s="662"/>
      <c r="E15" s="660"/>
      <c r="F15" s="662"/>
      <c r="G15" s="662"/>
      <c r="H15" s="662"/>
      <c r="I15" s="660"/>
      <c r="J15" s="895" t="s">
        <v>149</v>
      </c>
      <c r="K15" s="895"/>
      <c r="L15" s="660"/>
      <c r="M15" s="660"/>
      <c r="N15" s="662"/>
      <c r="O15" s="662"/>
      <c r="P15" s="662"/>
      <c r="Q15" s="662"/>
      <c r="R15" s="662"/>
      <c r="S15" s="662"/>
      <c r="T15" s="662"/>
      <c r="U15" s="662"/>
    </row>
    <row r="16" spans="1:76">
      <c r="A16" s="662"/>
      <c r="B16" s="662"/>
      <c r="C16" s="662"/>
      <c r="D16" s="662"/>
      <c r="E16" s="662"/>
      <c r="F16" s="662"/>
      <c r="G16" s="662"/>
      <c r="H16" s="662"/>
      <c r="I16" s="662"/>
      <c r="J16" s="662"/>
      <c r="K16" s="662"/>
      <c r="L16" s="662"/>
      <c r="M16" s="662"/>
      <c r="N16" s="662"/>
      <c r="O16" s="662"/>
      <c r="P16" s="662"/>
      <c r="Q16" s="662"/>
      <c r="R16" s="662"/>
      <c r="S16" s="662"/>
      <c r="T16" s="662"/>
      <c r="U16" s="662"/>
    </row>
    <row r="17" spans="1:30" ht="78" customHeight="1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6" t="e">
        <f ca="1">IF(INDIRECT("'Настройки УИК'!$I$22")=0," ",INDIRECT("'Настройки УИК'!$I$22"))</f>
        <v>#DIV/0!</v>
      </c>
      <c r="G20" s="656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1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0">
        <f>'Настройки ТИК'!$C$55</f>
        <v>0</v>
      </c>
    </row>
    <row r="21" spans="1:30" ht="48" customHeight="1">
      <c r="A21" s="419" t="s">
        <v>400</v>
      </c>
      <c r="B21" s="656" t="str">
        <f ca="1">IF(INDIRECT("'Настройки УИК'!$B$23")=0," ",INDIRECT("'Настройки УИК'!$B$23"))</f>
        <v xml:space="preserve"> </v>
      </c>
      <c r="C21" s="656" t="str">
        <f ca="1">IF(INDIRECT("'Настройки УИК'!$C$23")=0," ",INDIRECT("'Настройки УИК'!$C$23"))</f>
        <v xml:space="preserve"> </v>
      </c>
      <c r="D21" s="657" t="e">
        <f>LOOKUP($B$3,'Настройки ТИК'!$AG$32:$AG$117,'Настройки ТИК'!$AI$32:$AI$117)</f>
        <v>#N/A</v>
      </c>
      <c r="E21" s="657" t="e">
        <f>LOOKUP($B$3,'Настройки ТИК'!$AG$32:$AG$117,'Настройки ТИК'!$AJ$32:$AJ$117)</f>
        <v>#N/A</v>
      </c>
      <c r="F21" s="656" t="str">
        <f ca="1">IF(INDIRECT("'Настройки УИК'!$I$23")=0," ",INDIRECT("'Настройки УИК'!$I$23"))</f>
        <v xml:space="preserve"> </v>
      </c>
      <c r="G21" s="656" t="str">
        <f ca="1">IF(INDIRECT("'Настройки УИК'!$J$23")=0," ",INDIRECT("'Настройки УИК'!$J$23"))</f>
        <v xml:space="preserve"> </v>
      </c>
      <c r="H21" s="658" t="e">
        <f ca="1">ROUND(SUM(INDIRECT("'Сведения ФОВ'!$V$29:$V$"&amp;MROUND(N($W$3),1)+28))/8,2)</f>
        <v>#VALUE!</v>
      </c>
      <c r="I21" s="658" t="e">
        <f ca="1">ROUND(SUM(INDIRECT("'Сведения ФОВ'!$W$29:$W$"&amp;MROUND(N($W$3),1)+28))/8,2)</f>
        <v>#VALUE!</v>
      </c>
      <c r="J21" s="653">
        <f t="shared" ref="J21:J37" ca="1" si="4">IF(ISERROR(ROUND(F21*H21,2)),0,ROUND(F21*H21,2))</f>
        <v>0</v>
      </c>
      <c r="K21" s="653">
        <f t="shared" ref="K21:K37" ca="1" si="5">IF(ISERROR(ROUND(G21*I21,2)),0,ROUND(G21*I21,2))</f>
        <v>0</v>
      </c>
      <c r="L21" s="653">
        <f t="shared" ref="L21:L37" ca="1" si="6">J21+K21</f>
        <v>0</v>
      </c>
      <c r="M21" s="653">
        <f ca="1">INDIRECT("'Настройки УИК'!$K$23")</f>
        <v>0</v>
      </c>
      <c r="N21" s="655">
        <f>'Настройки ТИК'!$C$32</f>
        <v>0</v>
      </c>
      <c r="O21" s="655">
        <f t="shared" ca="1" si="0"/>
        <v>0</v>
      </c>
      <c r="P21" s="655">
        <f t="shared" ca="1" si="1"/>
        <v>0</v>
      </c>
      <c r="Q21" s="653">
        <f t="shared" ref="Q21:Q37" ca="1" si="7">ROUND(M21*N21*O21,2)+ROUND(M21*N21*P21*2,2)</f>
        <v>0</v>
      </c>
      <c r="R21" s="659"/>
      <c r="S21" s="653">
        <f t="shared" ref="S21:S37" ca="1" si="8">ROUND(Q21*R21,2)</f>
        <v>0</v>
      </c>
      <c r="T21" s="653">
        <f t="shared" ref="T21:T37" ca="1" si="9">Q21+S21</f>
        <v>0</v>
      </c>
      <c r="U21" s="653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1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0">
        <f>'Настройки ТИК'!$C$55</f>
        <v>0</v>
      </c>
    </row>
    <row r="22" spans="1:30" ht="48" customHeight="1">
      <c r="A22" s="419" t="s">
        <v>401</v>
      </c>
      <c r="B22" s="656" t="str">
        <f ca="1">IF(INDIRECT("'Настройки УИК'!$B$24")=0," ",INDIRECT("'Настройки УИК'!$B$24"))</f>
        <v>Склонение по падежам УИК</v>
      </c>
      <c r="C22" s="656" t="str">
        <f ca="1">IF(INDIRECT("'Настройки УИК'!$C$24")=0," ",INDIRECT("'Настройки УИК'!$C$24"))</f>
        <v xml:space="preserve"> </v>
      </c>
      <c r="D22" s="657" t="e">
        <f>LOOKUP($B$3,'Настройки ТИК'!$AG$32:$AG$117,'Настройки ТИК'!$AI$32:$AI$117)</f>
        <v>#N/A</v>
      </c>
      <c r="E22" s="657" t="e">
        <f>LOOKUP($B$3,'Настройки ТИК'!$AG$32:$AG$117,'Настройки ТИК'!$AJ$32:$AJ$117)</f>
        <v>#N/A</v>
      </c>
      <c r="F22" s="656" t="str">
        <f ca="1">IF(INDIRECT("'Настройки УИК'!$I$24")=0," ",INDIRECT("'Настройки УИК'!$I$24"))</f>
        <v xml:space="preserve"> </v>
      </c>
      <c r="G22" s="656" t="str">
        <f ca="1">IF(INDIRECT("'Настройки УИК'!$J$24")=0," ",INDIRECT("'Настройки УИК'!$J$24"))</f>
        <v xml:space="preserve"> </v>
      </c>
      <c r="H22" s="658" t="e">
        <f ca="1">ROUND(SUM(INDIRECT("'Сведения ФОВ'!$AH$29:$AH$"&amp;MROUND(N($W$3),1)+28))/8,2)</f>
        <v>#VALUE!</v>
      </c>
      <c r="I22" s="658" t="e">
        <f ca="1">ROUND(SUM(INDIRECT("'Сведения ФОВ'!$AI$29:$AI$"&amp;MROUND(N($W$3),1)+28))/8,2)</f>
        <v>#VALUE!</v>
      </c>
      <c r="J22" s="653">
        <f t="shared" ca="1" si="4"/>
        <v>0</v>
      </c>
      <c r="K22" s="653">
        <f t="shared" ca="1" si="5"/>
        <v>0</v>
      </c>
      <c r="L22" s="653">
        <f t="shared" ca="1" si="6"/>
        <v>0</v>
      </c>
      <c r="M22" s="653">
        <f ca="1">INDIRECT("'Настройки УИК'!$K$24")</f>
        <v>0</v>
      </c>
      <c r="N22" s="655">
        <f>'Настройки ТИК'!$C$32</f>
        <v>0</v>
      </c>
      <c r="O22" s="655">
        <f t="shared" ca="1" si="0"/>
        <v>0</v>
      </c>
      <c r="P22" s="655">
        <f t="shared" ca="1" si="1"/>
        <v>0</v>
      </c>
      <c r="Q22" s="653">
        <f t="shared" ca="1" si="7"/>
        <v>0</v>
      </c>
      <c r="R22" s="659"/>
      <c r="S22" s="653">
        <f t="shared" ca="1" si="8"/>
        <v>0</v>
      </c>
      <c r="T22" s="653">
        <f t="shared" ca="1" si="9"/>
        <v>0</v>
      </c>
      <c r="U22" s="653">
        <f t="shared" ca="1" si="10"/>
        <v>0</v>
      </c>
      <c r="V22" s="49" t="s">
        <v>911</v>
      </c>
      <c r="W22" s="235">
        <f t="shared" ca="1" si="2"/>
        <v>0</v>
      </c>
      <c r="X22" s="531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0">
        <f>'Настройки ТИК'!$C$55</f>
        <v>0</v>
      </c>
    </row>
    <row r="23" spans="1:30" ht="48" customHeight="1">
      <c r="A23" s="419" t="s">
        <v>402</v>
      </c>
      <c r="B23" s="656" t="str">
        <f ca="1">IF(INDIRECT("'Настройки УИК'!$B$25")=0," ",INDIRECT("'Настройки УИК'!$B$25"))</f>
        <v>для печати документов</v>
      </c>
      <c r="C23" s="656" t="str">
        <f ca="1">IF(INDIRECT("'Настройки УИК'!$C$25")=0," ",INDIRECT("'Настройки УИК'!$C$25"))</f>
        <v xml:space="preserve"> </v>
      </c>
      <c r="D23" s="657" t="e">
        <f>LOOKUP($B$3,'Настройки ТИК'!$AG$32:$AG$117,'Настройки ТИК'!$AI$32:$AI$117)</f>
        <v>#N/A</v>
      </c>
      <c r="E23" s="657" t="e">
        <f>LOOKUP($B$3,'Настройки ТИК'!$AG$32:$AG$117,'Настройки ТИК'!$AJ$32:$AJ$117)</f>
        <v>#N/A</v>
      </c>
      <c r="F23" s="656" t="str">
        <f ca="1">IF(INDIRECT("'Настройки УИК'!$I$25")=0," ",INDIRECT("'Настройки УИК'!$I$25"))</f>
        <v xml:space="preserve"> </v>
      </c>
      <c r="G23" s="656" t="str">
        <f ca="1">IF(INDIRECT("'Настройки УИК'!$J$25")=0," ",INDIRECT("'Настройки УИК'!$J$25"))</f>
        <v xml:space="preserve"> </v>
      </c>
      <c r="H23" s="687" t="e">
        <f ca="1">ROUND(SUM(INDIRECT("'Сведения ФОВ'!$AT$29:$AT$"&amp;MROUND(N($W$3),1)+28))/8,2)</f>
        <v>#VALUE!</v>
      </c>
      <c r="I23" s="687" t="e">
        <f ca="1">ROUND(SUM(INDIRECT("'Сведения ФОВ'!$AU$29:$AU$"&amp;MROUND(N($W$3),1)+28))/8,2)</f>
        <v>#VALUE!</v>
      </c>
      <c r="J23" s="653">
        <f t="shared" ca="1" si="4"/>
        <v>0</v>
      </c>
      <c r="K23" s="653">
        <f t="shared" ca="1" si="5"/>
        <v>0</v>
      </c>
      <c r="L23" s="653">
        <f t="shared" ca="1" si="6"/>
        <v>0</v>
      </c>
      <c r="M23" s="653">
        <f ca="1">INDIRECT("'Настройки УИК'!$K$25")</f>
        <v>0</v>
      </c>
      <c r="N23" s="655">
        <f>'Настройки ТИК'!$C$32</f>
        <v>0</v>
      </c>
      <c r="O23" s="655">
        <f t="shared" ca="1" si="0"/>
        <v>0</v>
      </c>
      <c r="P23" s="655">
        <f t="shared" ca="1" si="1"/>
        <v>0</v>
      </c>
      <c r="Q23" s="653">
        <f t="shared" ca="1" si="7"/>
        <v>0</v>
      </c>
      <c r="R23" s="659"/>
      <c r="S23" s="653">
        <f t="shared" ca="1" si="8"/>
        <v>0</v>
      </c>
      <c r="T23" s="653">
        <f t="shared" ca="1" si="9"/>
        <v>0</v>
      </c>
      <c r="U23" s="653">
        <f t="shared" ca="1" si="10"/>
        <v>0</v>
      </c>
      <c r="V23" s="49" t="s">
        <v>912</v>
      </c>
      <c r="W23" s="235">
        <f t="shared" ca="1" si="2"/>
        <v>0</v>
      </c>
      <c r="X23" s="531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0">
        <f>'Настройки ТИК'!$C$55</f>
        <v>0</v>
      </c>
    </row>
    <row r="24" spans="1:30" ht="48" customHeight="1">
      <c r="A24" s="419" t="s">
        <v>403</v>
      </c>
      <c r="B24" s="656" t="str">
        <f ca="1">IF(INDIRECT("'Настройки УИК'!$B$26")=0," ",INDIRECT("'Настройки УИК'!$B$26"))</f>
        <v xml:space="preserve">Родительный </v>
      </c>
      <c r="C24" s="656" t="str">
        <f ca="1">IF(INDIRECT("'Настройки УИК'!$C$26")=0," ",INDIRECT("'Настройки УИК'!$C$26"))</f>
        <v xml:space="preserve"> </v>
      </c>
      <c r="D24" s="657" t="e">
        <f>LOOKUP($B$3,'Настройки ТИК'!$AG$32:$AG$117,'Настройки ТИК'!$AI$32:$AI$117)</f>
        <v>#N/A</v>
      </c>
      <c r="E24" s="657" t="e">
        <f>LOOKUP($B$3,'Настройки ТИК'!$AG$32:$AG$117,'Настройки ТИК'!$AJ$32:$AJ$117)</f>
        <v>#N/A</v>
      </c>
      <c r="F24" s="656">
        <f ca="1">IF(INDIRECT("'Настройки УИК'!$I$26")=0," ",INDIRECT("'Настройки УИК'!$I$43"))</f>
        <v>0</v>
      </c>
      <c r="G24" s="656" t="str">
        <f ca="1">IF(INDIRECT("'Настройки УИК'!$J$26")=0," ",INDIRECT("'Настройки УИК'!$J$26"))</f>
        <v xml:space="preserve"> </v>
      </c>
      <c r="H24" s="687" t="e">
        <f ca="1">ROUND(SUM(INDIRECT("'Сведения ФОВ'!$BF$29:$BF$"&amp;MROUND(N($W$3),1)+28))/8,2)</f>
        <v>#VALUE!</v>
      </c>
      <c r="I24" s="687" t="e">
        <f ca="1">ROUND(SUM(INDIRECT("'Сведения ФОВ'!$BG$29:$BG$"&amp;MROUND(N($W$3),1)+28))/8,2)</f>
        <v>#VALUE!</v>
      </c>
      <c r="J24" s="653">
        <f t="shared" ca="1" si="4"/>
        <v>0</v>
      </c>
      <c r="K24" s="653">
        <f t="shared" ca="1" si="5"/>
        <v>0</v>
      </c>
      <c r="L24" s="653">
        <f t="shared" ca="1" si="6"/>
        <v>0</v>
      </c>
      <c r="M24" s="653">
        <f ca="1">INDIRECT("'Настройки УИК'!$K$26")</f>
        <v>0</v>
      </c>
      <c r="N24" s="655">
        <f>'Настройки ТИК'!$C$32</f>
        <v>0</v>
      </c>
      <c r="O24" s="655">
        <f t="shared" ca="1" si="0"/>
        <v>0</v>
      </c>
      <c r="P24" s="655">
        <f t="shared" ca="1" si="1"/>
        <v>0</v>
      </c>
      <c r="Q24" s="653">
        <f t="shared" ca="1" si="7"/>
        <v>0</v>
      </c>
      <c r="R24" s="659"/>
      <c r="S24" s="653">
        <f t="shared" ca="1" si="8"/>
        <v>0</v>
      </c>
      <c r="T24" s="653">
        <f t="shared" ca="1" si="9"/>
        <v>0</v>
      </c>
      <c r="U24" s="653">
        <f t="shared" ca="1" si="10"/>
        <v>0</v>
      </c>
      <c r="V24" s="49" t="s">
        <v>913</v>
      </c>
      <c r="W24" s="235">
        <f t="shared" ca="1" si="2"/>
        <v>0</v>
      </c>
      <c r="X24" s="531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0">
        <f>'Настройки ТИК'!$C$55</f>
        <v>0</v>
      </c>
    </row>
    <row r="25" spans="1:30" ht="48" customHeight="1">
      <c r="A25" s="419" t="s">
        <v>404</v>
      </c>
      <c r="B25" s="656" t="str">
        <f ca="1">IF(INDIRECT("'Настройки УИК'!$B$27")=0," ",INDIRECT("'Настройки УИК'!$B$27"))</f>
        <v xml:space="preserve">Дательный </v>
      </c>
      <c r="C25" s="656" t="str">
        <f ca="1">IF(INDIRECT("'Настройки УИК'!$C$27")=0," ",INDIRECT("'Настройки УИК'!$C$27"))</f>
        <v xml:space="preserve"> </v>
      </c>
      <c r="D25" s="657" t="e">
        <f>LOOKUP($B$3,'Настройки ТИК'!$AG$32:$AG$117,'Настройки ТИК'!$AI$32:$AI$117)</f>
        <v>#N/A</v>
      </c>
      <c r="E25" s="657" t="e">
        <f>LOOKUP($B$3,'Настройки ТИК'!$AG$32:$AG$117,'Настройки ТИК'!$AJ$32:$AJ$117)</f>
        <v>#N/A</v>
      </c>
      <c r="F25" s="656" t="str">
        <f ca="1">IF(INDIRECT("'Настройки УИК'!$I$27")=0," ",INDIRECT("'Настройки УИК'!$I$27"))</f>
        <v/>
      </c>
      <c r="G25" s="656" t="str">
        <f ca="1">IF(INDIRECT("'Настройки УИК'!$J$27")=0," ",INDIRECT("'Настройки УИК'!$J$27"))</f>
        <v xml:space="preserve"> </v>
      </c>
      <c r="H25" s="687" t="e">
        <f ca="1">ROUND(SUM(INDIRECT("'Сведения ФОВ'!$BR$29:$BR$"&amp;MROUND(N($W$3),1)+28))/8,2)</f>
        <v>#VALUE!</v>
      </c>
      <c r="I25" s="687" t="e">
        <f ca="1">ROUND(SUM(INDIRECT("'Сведения ФОВ'!$BS$29:$BS$"&amp;MROUND(N($W$3),1)+28))/8,2)</f>
        <v>#VALUE!</v>
      </c>
      <c r="J25" s="653">
        <f t="shared" ca="1" si="4"/>
        <v>0</v>
      </c>
      <c r="K25" s="653">
        <f t="shared" ca="1" si="5"/>
        <v>0</v>
      </c>
      <c r="L25" s="653">
        <f t="shared" ca="1" si="6"/>
        <v>0</v>
      </c>
      <c r="M25" s="653">
        <f ca="1">INDIRECT("'Настройки УИК'!$K$27")</f>
        <v>0</v>
      </c>
      <c r="N25" s="655">
        <f>'Настройки ТИК'!$C$32</f>
        <v>0</v>
      </c>
      <c r="O25" s="655">
        <f t="shared" ca="1" si="0"/>
        <v>0</v>
      </c>
      <c r="P25" s="655">
        <f t="shared" ca="1" si="1"/>
        <v>0</v>
      </c>
      <c r="Q25" s="653">
        <f t="shared" ca="1" si="7"/>
        <v>0</v>
      </c>
      <c r="R25" s="659"/>
      <c r="S25" s="653">
        <f t="shared" ca="1" si="8"/>
        <v>0</v>
      </c>
      <c r="T25" s="653">
        <f t="shared" ca="1" si="9"/>
        <v>0</v>
      </c>
      <c r="U25" s="653">
        <f t="shared" ca="1" si="10"/>
        <v>0</v>
      </c>
      <c r="V25" s="49" t="s">
        <v>914</v>
      </c>
      <c r="W25" s="235">
        <f t="shared" ca="1" si="2"/>
        <v>0</v>
      </c>
      <c r="X25" s="531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0">
        <f>'Настройки ТИК'!$C$55</f>
        <v>0</v>
      </c>
    </row>
    <row r="26" spans="1:30" ht="48" customHeight="1">
      <c r="A26" s="419" t="s">
        <v>405</v>
      </c>
      <c r="B26" s="656" t="str">
        <f ca="1">IF(INDIRECT("'Настройки УИК'!$B$28")=0," ",INDIRECT("'Настройки УИК'!$B$28"))</f>
        <v>Творительный</v>
      </c>
      <c r="C26" s="656" t="str">
        <f ca="1">IF(INDIRECT("'Настройки УИК'!$C$28")=0," ",INDIRECT("'Настройки УИК'!$C$28"))</f>
        <v xml:space="preserve"> </v>
      </c>
      <c r="D26" s="657" t="e">
        <f>LOOKUP($B$3,'Настройки ТИК'!$AG$32:$AG$117,'Настройки ТИК'!$AI$32:$AI$117)</f>
        <v>#N/A</v>
      </c>
      <c r="E26" s="657" t="e">
        <f>LOOKUP($B$3,'Настройки ТИК'!$AG$32:$AG$117,'Настройки ТИК'!$AJ$32:$AJ$117)</f>
        <v>#N/A</v>
      </c>
      <c r="F26" s="656" t="str">
        <f ca="1">IF(INDIRECT("'Настройки УИК'!$I$28")=0," ",INDIRECT("'Настройки УИК'!$I$28"))</f>
        <v/>
      </c>
      <c r="G26" s="656" t="str">
        <f ca="1">IF(INDIRECT("'Настройки УИК'!$J$28")=0," ",INDIRECT("'Настройки УИК'!$J$28"))</f>
        <v xml:space="preserve"> </v>
      </c>
      <c r="H26" s="687" t="e">
        <f ca="1">ROUND(SUM(INDIRECT("'Сведения ФОВ'!$CD$29:$CD$"&amp;MROUND(N($W$3),1)+28))/8,2)</f>
        <v>#VALUE!</v>
      </c>
      <c r="I26" s="687" t="e">
        <f ca="1">ROUND(SUM(INDIRECT("'Сведения ФОВ'!$CE$29:$CE$"&amp;MROUND(N($W$3),1)+28))/8,2)</f>
        <v>#VALUE!</v>
      </c>
      <c r="J26" s="653">
        <f t="shared" ca="1" si="4"/>
        <v>0</v>
      </c>
      <c r="K26" s="653">
        <f t="shared" ca="1" si="5"/>
        <v>0</v>
      </c>
      <c r="L26" s="653">
        <f t="shared" ca="1" si="6"/>
        <v>0</v>
      </c>
      <c r="M26" s="653">
        <f ca="1">INDIRECT("'Настройки УИК'!$K$28")</f>
        <v>0</v>
      </c>
      <c r="N26" s="655">
        <f>'Настройки ТИК'!$C$32</f>
        <v>0</v>
      </c>
      <c r="O26" s="655">
        <f t="shared" ca="1" si="0"/>
        <v>0</v>
      </c>
      <c r="P26" s="655">
        <f t="shared" ca="1" si="1"/>
        <v>0</v>
      </c>
      <c r="Q26" s="653">
        <f t="shared" ca="1" si="7"/>
        <v>0</v>
      </c>
      <c r="R26" s="659"/>
      <c r="S26" s="653">
        <f t="shared" ca="1" si="8"/>
        <v>0</v>
      </c>
      <c r="T26" s="653">
        <f t="shared" ca="1" si="9"/>
        <v>0</v>
      </c>
      <c r="U26" s="653">
        <f t="shared" ca="1" si="10"/>
        <v>0</v>
      </c>
      <c r="V26" s="49" t="s">
        <v>915</v>
      </c>
      <c r="W26" s="235">
        <f t="shared" ca="1" si="2"/>
        <v>0</v>
      </c>
      <c r="X26" s="531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0">
        <f>'Настройки ТИК'!$C$55</f>
        <v>0</v>
      </c>
    </row>
    <row r="27" spans="1:30" ht="48" customHeight="1">
      <c r="A27" s="419" t="s">
        <v>406</v>
      </c>
      <c r="B27" s="656" t="str">
        <f ca="1">IF(INDIRECT("'Настройки УИК'!$B$29")=0," ",INDIRECT("'Настройки УИК'!$B$29"))</f>
        <v>Винительный</v>
      </c>
      <c r="C27" s="656" t="str">
        <f ca="1">IF(INDIRECT("'Настройки УИК'!$C$29")=0," ",INDIRECT("'Настройки УИК'!$C$29"))</f>
        <v xml:space="preserve"> </v>
      </c>
      <c r="D27" s="657" t="e">
        <f>LOOKUP($B$3,'Настройки ТИК'!$AG$32:$AG$117,'Настройки ТИК'!$AI$32:$AI$117)</f>
        <v>#N/A</v>
      </c>
      <c r="E27" s="657" t="e">
        <f>LOOKUP($B$3,'Настройки ТИК'!$AG$32:$AG$117,'Настройки ТИК'!$AJ$32:$AJ$117)</f>
        <v>#N/A</v>
      </c>
      <c r="F27" s="656" t="str">
        <f ca="1">IF(INDIRECT("'Настройки УИК'!$I$29")=0," ",INDIRECT("'Настройки УИК'!$I$29"))</f>
        <v xml:space="preserve"> </v>
      </c>
      <c r="G27" s="656" t="str">
        <f ca="1">IF(INDIRECT("'Настройки УИК'!$J$29")=0," ",INDIRECT("'Настройки УИК'!$J$29"))</f>
        <v xml:space="preserve"> </v>
      </c>
      <c r="H27" s="687" t="e">
        <f ca="1">ROUND(SUM(INDIRECT("'Сведения ФОВ'!$CP$29:$CP$"&amp;MROUND(N($W$3),1)+28))/8,2)</f>
        <v>#VALUE!</v>
      </c>
      <c r="I27" s="687" t="e">
        <f ca="1">ROUND(SUM(INDIRECT("'Сведения ФОВ'!$CQ$29:$CQ$"&amp;MROUND(N($W$3),1)+28))/8,2)</f>
        <v>#VALUE!</v>
      </c>
      <c r="J27" s="653">
        <f t="shared" ca="1" si="4"/>
        <v>0</v>
      </c>
      <c r="K27" s="653">
        <f t="shared" ca="1" si="5"/>
        <v>0</v>
      </c>
      <c r="L27" s="653">
        <f t="shared" ca="1" si="6"/>
        <v>0</v>
      </c>
      <c r="M27" s="653">
        <f ca="1">INDIRECT("'Настройки УИК'!$K$29")</f>
        <v>0</v>
      </c>
      <c r="N27" s="655">
        <f>'Настройки ТИК'!$C$32</f>
        <v>0</v>
      </c>
      <c r="O27" s="655">
        <f t="shared" ca="1" si="0"/>
        <v>0</v>
      </c>
      <c r="P27" s="655">
        <f t="shared" ca="1" si="1"/>
        <v>0</v>
      </c>
      <c r="Q27" s="653">
        <f t="shared" ca="1" si="7"/>
        <v>0</v>
      </c>
      <c r="R27" s="659"/>
      <c r="S27" s="653">
        <f t="shared" ca="1" si="8"/>
        <v>0</v>
      </c>
      <c r="T27" s="653">
        <f t="shared" ca="1" si="9"/>
        <v>0</v>
      </c>
      <c r="U27" s="653">
        <f t="shared" ca="1" si="10"/>
        <v>0</v>
      </c>
      <c r="V27" s="49" t="s">
        <v>916</v>
      </c>
      <c r="W27" s="235">
        <f t="shared" ca="1" si="2"/>
        <v>0</v>
      </c>
      <c r="X27" s="531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0">
        <f>'Настройки ТИК'!$C$55</f>
        <v>0</v>
      </c>
    </row>
    <row r="28" spans="1:30" ht="48" customHeight="1">
      <c r="A28" s="419" t="s">
        <v>407</v>
      </c>
      <c r="B28" s="656" t="str">
        <f ca="1">IF(INDIRECT("'Настройки УИК'!$B$30")=0," ",INDIRECT("'Настройки УИК'!$B$30"))</f>
        <v xml:space="preserve"> </v>
      </c>
      <c r="C28" s="656" t="str">
        <f ca="1">IF(INDIRECT("'Настройки УИК'!$C$30")=0," ",INDIRECT("'Настройки УИК'!$C$30"))</f>
        <v xml:space="preserve"> </v>
      </c>
      <c r="D28" s="657" t="e">
        <f>LOOKUP($B$3,'Настройки ТИК'!$AG$32:$AG$117,'Настройки ТИК'!$AI$32:$AI$117)</f>
        <v>#N/A</v>
      </c>
      <c r="E28" s="657" t="e">
        <f>LOOKUP($B$3,'Настройки ТИК'!$AG$32:$AG$117,'Настройки ТИК'!$AJ$32:$AJ$117)</f>
        <v>#N/A</v>
      </c>
      <c r="F28" s="656" t="str">
        <f ca="1">IF(INDIRECT("'Настройки УИК'!$I$30")=0," ",INDIRECT("'Настройки УИК'!$I$30"))</f>
        <v xml:space="preserve"> </v>
      </c>
      <c r="G28" s="656" t="str">
        <f ca="1">IF(INDIRECT("'Настройки УИК'!$J$30")=0," ",INDIRECT("'Настройки УИК'!$J$30"))</f>
        <v xml:space="preserve"> </v>
      </c>
      <c r="H28" s="687" t="e">
        <f ca="1">ROUND(SUM(INDIRECT("'Сведения ФОВ'!$DB$29:$DB$"&amp;MROUND(N($W$3),1)+28))/8,2)</f>
        <v>#VALUE!</v>
      </c>
      <c r="I28" s="687" t="e">
        <f ca="1">ROUND(SUM(INDIRECT("'Сведения ФОВ'!$DC$29:$DC$"&amp;MROUND(N($W$3),1)+28))/8,2)</f>
        <v>#VALUE!</v>
      </c>
      <c r="J28" s="653">
        <f t="shared" ca="1" si="4"/>
        <v>0</v>
      </c>
      <c r="K28" s="653">
        <f t="shared" ca="1" si="5"/>
        <v>0</v>
      </c>
      <c r="L28" s="653">
        <f t="shared" ca="1" si="6"/>
        <v>0</v>
      </c>
      <c r="M28" s="653">
        <f ca="1">INDIRECT("'Настройки УИК'!$K$30")</f>
        <v>0</v>
      </c>
      <c r="N28" s="655">
        <f>'Настройки ТИК'!$C$32</f>
        <v>0</v>
      </c>
      <c r="O28" s="655">
        <f t="shared" ca="1" si="0"/>
        <v>0</v>
      </c>
      <c r="P28" s="655">
        <f t="shared" ca="1" si="1"/>
        <v>0</v>
      </c>
      <c r="Q28" s="653">
        <f t="shared" ca="1" si="7"/>
        <v>0</v>
      </c>
      <c r="R28" s="659"/>
      <c r="S28" s="653">
        <f t="shared" ca="1" si="8"/>
        <v>0</v>
      </c>
      <c r="T28" s="653">
        <f t="shared" ca="1" si="9"/>
        <v>0</v>
      </c>
      <c r="U28" s="653">
        <f t="shared" ca="1" si="10"/>
        <v>0</v>
      </c>
      <c r="V28" s="49" t="s">
        <v>917</v>
      </c>
      <c r="W28" s="235">
        <f t="shared" ca="1" si="2"/>
        <v>0</v>
      </c>
      <c r="X28" s="531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0">
        <f>'Настройки ТИК'!$C$55</f>
        <v>0</v>
      </c>
    </row>
    <row r="29" spans="1:30" ht="48" customHeight="1">
      <c r="A29" s="419" t="s">
        <v>408</v>
      </c>
      <c r="B29" s="656" t="str">
        <f ca="1">IF(INDIRECT("'Настройки УИК'!$B$31")=0," ",INDIRECT("'Настройки УИК'!$B$31"))</f>
        <v xml:space="preserve"> </v>
      </c>
      <c r="C29" s="656" t="str">
        <f ca="1">IF(INDIRECT("'Настройки УИК'!$C$31")=0," ",INDIRECT("'Настройки УИК'!$C$31"))</f>
        <v xml:space="preserve"> </v>
      </c>
      <c r="D29" s="657" t="e">
        <f>LOOKUP($B$3,'Настройки ТИК'!$AG$32:$AG$117,'Настройки ТИК'!$AI$32:$AI$117)</f>
        <v>#N/A</v>
      </c>
      <c r="E29" s="657" t="e">
        <f>LOOKUP($B$3,'Настройки ТИК'!$AG$32:$AG$117,'Настройки ТИК'!$AJ$32:$AJ$117)</f>
        <v>#N/A</v>
      </c>
      <c r="F29" s="656" t="str">
        <f ca="1">IF(INDIRECT("'Настройки УИК'!$I$31")=0," ",INDIRECT("'Настройки УИК'!$I$31"))</f>
        <v xml:space="preserve"> </v>
      </c>
      <c r="G29" s="656" t="str">
        <f ca="1">IF(INDIRECT("'Настройки УИК'!$J$31")=0," ",INDIRECT("'Настройки УИК'!$J$31"))</f>
        <v xml:space="preserve"> </v>
      </c>
      <c r="H29" s="687" t="e">
        <f ca="1">ROUND(SUM(INDIRECT("'Сведения ФОВ'!$DN$29:$DN$"&amp;MROUND(N($W$3),1)+28))/8,2)</f>
        <v>#VALUE!</v>
      </c>
      <c r="I29" s="687" t="e">
        <f ca="1">ROUND(SUM(INDIRECT("'Сведения ФОВ'!$DO$29:$DO$"&amp;MROUND(N($W$3),1)+28))/8,2)</f>
        <v>#VALUE!</v>
      </c>
      <c r="J29" s="653">
        <f t="shared" ca="1" si="4"/>
        <v>0</v>
      </c>
      <c r="K29" s="653">
        <f t="shared" ca="1" si="5"/>
        <v>0</v>
      </c>
      <c r="L29" s="653">
        <f t="shared" ca="1" si="6"/>
        <v>0</v>
      </c>
      <c r="M29" s="653">
        <f ca="1">INDIRECT("'Настройки УИК'!$K$31")</f>
        <v>0</v>
      </c>
      <c r="N29" s="655">
        <f>'Настройки ТИК'!$C$32</f>
        <v>0</v>
      </c>
      <c r="O29" s="655">
        <f t="shared" ca="1" si="0"/>
        <v>0</v>
      </c>
      <c r="P29" s="655">
        <f t="shared" ca="1" si="1"/>
        <v>0</v>
      </c>
      <c r="Q29" s="653">
        <f t="shared" ca="1" si="7"/>
        <v>0</v>
      </c>
      <c r="R29" s="659"/>
      <c r="S29" s="653">
        <f t="shared" ca="1" si="8"/>
        <v>0</v>
      </c>
      <c r="T29" s="653">
        <f t="shared" ca="1" si="9"/>
        <v>0</v>
      </c>
      <c r="U29" s="653">
        <f t="shared" ca="1" si="10"/>
        <v>0</v>
      </c>
      <c r="V29" s="49" t="s">
        <v>918</v>
      </c>
      <c r="W29" s="235">
        <f t="shared" ca="1" si="2"/>
        <v>0</v>
      </c>
      <c r="X29" s="531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0">
        <f>'Настройки ТИК'!$C$55</f>
        <v>0</v>
      </c>
    </row>
    <row r="30" spans="1:30" ht="48" customHeight="1">
      <c r="A30" s="419" t="s">
        <v>409</v>
      </c>
      <c r="B30" s="656" t="str">
        <f ca="1">IF(INDIRECT("'Настройки УИК'!$B$32")=0," ",INDIRECT("'Настройки УИК'!$B$32"))</f>
        <v xml:space="preserve"> </v>
      </c>
      <c r="C30" s="656" t="str">
        <f ca="1">IF(INDIRECT("'Настройки УИК'!$C$32")=0," ",INDIRECT("'Настройки УИК'!$C$32"))</f>
        <v xml:space="preserve"> </v>
      </c>
      <c r="D30" s="657" t="e">
        <f>LOOKUP($B$3,'Настройки ТИК'!$AG$32:$AG$117,'Настройки ТИК'!$AI$32:$AI$117)</f>
        <v>#N/A</v>
      </c>
      <c r="E30" s="657" t="e">
        <f>LOOKUP($B$3,'Настройки ТИК'!$AG$32:$AG$117,'Настройки ТИК'!$AJ$32:$AJ$117)</f>
        <v>#N/A</v>
      </c>
      <c r="F30" s="656" t="str">
        <f ca="1">IF(INDIRECT("'Настройки УИК'!$I$32")=0," ",INDIRECT("'Настройки УИК'!$I$32"))</f>
        <v xml:space="preserve"> </v>
      </c>
      <c r="G30" s="656" t="str">
        <f ca="1">IF(INDIRECT("'Настройки УИК'!$J$32")=0," ",INDIRECT("'Настройки УИК'!$J$32"))</f>
        <v xml:space="preserve"> </v>
      </c>
      <c r="H30" s="687" t="e">
        <f ca="1">ROUND(SUM(INDIRECT("'Сведения ФОВ'!$DZ$29:$DZ$"&amp;MROUND(N($W$3),1)+28))/8,2)</f>
        <v>#VALUE!</v>
      </c>
      <c r="I30" s="687" t="e">
        <f ca="1">ROUND(SUM(INDIRECT("'Сведения ФОВ'!$EA$29:$EA$"&amp;MROUND(N($W$3),1)+28))/8,2)</f>
        <v>#VALUE!</v>
      </c>
      <c r="J30" s="653">
        <f t="shared" ca="1" si="4"/>
        <v>0</v>
      </c>
      <c r="K30" s="653">
        <f t="shared" ca="1" si="5"/>
        <v>0</v>
      </c>
      <c r="L30" s="653">
        <f t="shared" ca="1" si="6"/>
        <v>0</v>
      </c>
      <c r="M30" s="653">
        <f ca="1">INDIRECT("'Настройки УИК'!$K$32")</f>
        <v>0</v>
      </c>
      <c r="N30" s="655">
        <f>'Настройки ТИК'!$C$32</f>
        <v>0</v>
      </c>
      <c r="O30" s="655">
        <f t="shared" ca="1" si="0"/>
        <v>0</v>
      </c>
      <c r="P30" s="655">
        <f t="shared" ca="1" si="1"/>
        <v>0</v>
      </c>
      <c r="Q30" s="653">
        <f t="shared" ca="1" si="7"/>
        <v>0</v>
      </c>
      <c r="R30" s="659"/>
      <c r="S30" s="653">
        <f t="shared" ca="1" si="8"/>
        <v>0</v>
      </c>
      <c r="T30" s="653">
        <f t="shared" ca="1" si="9"/>
        <v>0</v>
      </c>
      <c r="U30" s="653">
        <f t="shared" ca="1" si="10"/>
        <v>0</v>
      </c>
      <c r="V30" s="49" t="s">
        <v>919</v>
      </c>
      <c r="W30" s="235">
        <f t="shared" ca="1" si="2"/>
        <v>0</v>
      </c>
      <c r="X30" s="531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0">
        <f>'Настройки ТИК'!$C$55</f>
        <v>0</v>
      </c>
    </row>
    <row r="31" spans="1:30" ht="48" customHeight="1">
      <c r="A31" s="419" t="s">
        <v>410</v>
      </c>
      <c r="B31" s="656" t="str">
        <f ca="1">IF(INDIRECT("'Настройки УИК'!$B$33")=0," ",INDIRECT("'Настройки УИК'!$B$33"))</f>
        <v>Должности</v>
      </c>
      <c r="C31" s="656" t="str">
        <f ca="1">IF(INDIRECT("'Настройки УИК'!$C$33")=0," ",INDIRECT("'Настройки УИК'!$C$33"))</f>
        <v xml:space="preserve"> </v>
      </c>
      <c r="D31" s="657" t="e">
        <f>LOOKUP($B$3,'Настройки ТИК'!$AG$32:$AG$117,'Настройки ТИК'!$AI$32:$AI$117)</f>
        <v>#N/A</v>
      </c>
      <c r="E31" s="657" t="e">
        <f>LOOKUP($B$3,'Настройки ТИК'!$AG$32:$AG$117,'Настройки ТИК'!$AJ$32:$AJ$117)</f>
        <v>#N/A</v>
      </c>
      <c r="F31" s="656" t="str">
        <f ca="1">IF(INDIRECT("'Настройки УИК'!$I$33")=0," ",INDIRECT("'Настройки УИК'!$I$33"))</f>
        <v xml:space="preserve"> </v>
      </c>
      <c r="G31" s="656" t="str">
        <f ca="1">IF(INDIRECT("'Настройки УИК'!$J$33")=0," ",INDIRECT("'Настройки УИК'!$J$33"))</f>
        <v xml:space="preserve"> </v>
      </c>
      <c r="H31" s="687" t="e">
        <f ca="1">ROUND(SUM(INDIRECT("'Сведения ФОВ'!$EL$29:$EL$"&amp;MROUND(N($W$3),1)+28))/8,2)</f>
        <v>#VALUE!</v>
      </c>
      <c r="I31" s="687" t="e">
        <f ca="1">ROUND(SUM(INDIRECT("'Сведения ФОВ'!$EM$29:$EM$"&amp;MROUND(N($W$3),1)+28))/8,2)</f>
        <v>#VALUE!</v>
      </c>
      <c r="J31" s="653">
        <f t="shared" ca="1" si="4"/>
        <v>0</v>
      </c>
      <c r="K31" s="653">
        <f t="shared" ca="1" si="5"/>
        <v>0</v>
      </c>
      <c r="L31" s="653">
        <f t="shared" ca="1" si="6"/>
        <v>0</v>
      </c>
      <c r="M31" s="653">
        <f ca="1">INDIRECT("'Настройки УИК'!$K$33")</f>
        <v>0</v>
      </c>
      <c r="N31" s="655">
        <f>'Настройки ТИК'!$C$32</f>
        <v>0</v>
      </c>
      <c r="O31" s="655">
        <f t="shared" ca="1" si="0"/>
        <v>0</v>
      </c>
      <c r="P31" s="655">
        <f t="shared" ca="1" si="1"/>
        <v>0</v>
      </c>
      <c r="Q31" s="653">
        <f t="shared" ca="1" si="7"/>
        <v>0</v>
      </c>
      <c r="R31" s="659"/>
      <c r="S31" s="653">
        <f t="shared" ca="1" si="8"/>
        <v>0</v>
      </c>
      <c r="T31" s="653">
        <f t="shared" ca="1" si="9"/>
        <v>0</v>
      </c>
      <c r="U31" s="653">
        <f t="shared" ca="1" si="10"/>
        <v>0</v>
      </c>
      <c r="V31" s="49" t="s">
        <v>920</v>
      </c>
      <c r="W31" s="235">
        <f t="shared" ca="1" si="2"/>
        <v>0</v>
      </c>
      <c r="X31" s="531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0">
        <f>'Настройки ТИК'!$C$55</f>
        <v>0</v>
      </c>
    </row>
    <row r="32" spans="1:30" ht="48" customHeight="1">
      <c r="A32" s="419" t="s">
        <v>411</v>
      </c>
      <c r="B32" s="656" t="str">
        <f ca="1">IF(INDIRECT("'Настройки УИК'!$B$34")=0," ",INDIRECT("'Настройки УИК'!$B$34"))</f>
        <v xml:space="preserve"> </v>
      </c>
      <c r="C32" s="656" t="str">
        <f ca="1">IF(INDIRECT("'Настройки УИК'!$C$34")=0," ",INDIRECT("'Настройки УИК'!$C$34"))</f>
        <v xml:space="preserve"> </v>
      </c>
      <c r="D32" s="657" t="e">
        <f>LOOKUP($B$3,'Настройки ТИК'!$AG$32:$AG$117,'Настройки ТИК'!$AI$32:$AI$117)</f>
        <v>#N/A</v>
      </c>
      <c r="E32" s="657" t="e">
        <f>LOOKUP($B$3,'Настройки ТИК'!$AG$32:$AG$117,'Настройки ТИК'!$AJ$32:$AJ$117)</f>
        <v>#N/A</v>
      </c>
      <c r="F32" s="656" t="str">
        <f ca="1">IF(INDIRECT("'Настройки УИК'!$I$34")=0," ",INDIRECT("'Настройки УИК'!$I$34"))</f>
        <v xml:space="preserve"> </v>
      </c>
      <c r="G32" s="656" t="str">
        <f ca="1">IF(INDIRECT("'Настройки УИК'!$J$34")=0," ",INDIRECT("'Настройки УИК'!$J$34"))</f>
        <v xml:space="preserve"> </v>
      </c>
      <c r="H32" s="687" t="e">
        <f ca="1">ROUND(SUM(INDIRECT("'Сведения ФОВ'!$EX$29:$EX$"&amp;MROUND(N($W$3),1)+28))/8,2)</f>
        <v>#VALUE!</v>
      </c>
      <c r="I32" s="687" t="e">
        <f ca="1">ROUND(SUM(INDIRECT("'Сведения ФОВ'!$EY$29:$EY$"&amp;MROUND(N($W$3),1)+28))/8,2)</f>
        <v>#VALUE!</v>
      </c>
      <c r="J32" s="653">
        <f t="shared" ca="1" si="4"/>
        <v>0</v>
      </c>
      <c r="K32" s="653">
        <f t="shared" ca="1" si="5"/>
        <v>0</v>
      </c>
      <c r="L32" s="653">
        <f t="shared" ca="1" si="6"/>
        <v>0</v>
      </c>
      <c r="M32" s="653">
        <f ca="1">INDIRECT("'Настройки УИК'!$K$34")</f>
        <v>0</v>
      </c>
      <c r="N32" s="655">
        <f>'Настройки ТИК'!$C$32</f>
        <v>0</v>
      </c>
      <c r="O32" s="655">
        <f t="shared" ca="1" si="0"/>
        <v>0</v>
      </c>
      <c r="P32" s="655">
        <f t="shared" ca="1" si="1"/>
        <v>0</v>
      </c>
      <c r="Q32" s="653">
        <f t="shared" ca="1" si="7"/>
        <v>0</v>
      </c>
      <c r="R32" s="659"/>
      <c r="S32" s="653">
        <f t="shared" ca="1" si="8"/>
        <v>0</v>
      </c>
      <c r="T32" s="653">
        <f t="shared" ca="1" si="9"/>
        <v>0</v>
      </c>
      <c r="U32" s="653">
        <f t="shared" ca="1" si="10"/>
        <v>0</v>
      </c>
      <c r="V32" s="49" t="s">
        <v>921</v>
      </c>
      <c r="W32" s="235">
        <f t="shared" ca="1" si="2"/>
        <v>0</v>
      </c>
      <c r="X32" s="531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0">
        <f>'Настройки ТИК'!$C$55</f>
        <v>0</v>
      </c>
    </row>
    <row r="33" spans="1:30" ht="48" customHeight="1">
      <c r="A33" s="419" t="s">
        <v>412</v>
      </c>
      <c r="B33" s="656" t="str">
        <f ca="1">IF(INDIRECT("'Настройки УИК'!$B$35")=0," ",INDIRECT("'Настройки УИК'!$B$35"))</f>
        <v>Председатель</v>
      </c>
      <c r="C33" s="656" t="str">
        <f ca="1">IF(INDIRECT("'Настройки УИК'!$C$35")=0," ",INDIRECT("'Настройки УИК'!$C$35"))</f>
        <v>Заместитель председателя</v>
      </c>
      <c r="D33" s="657" t="e">
        <f>LOOKUP($B$3,'Настройки ТИК'!$AG$32:$AG$117,'Настройки ТИК'!$AI$32:$AI$117)</f>
        <v>#N/A</v>
      </c>
      <c r="E33" s="657" t="e">
        <f>LOOKUP($B$3,'Настройки ТИК'!$AG$32:$AG$117,'Настройки ТИК'!$AJ$32:$AJ$117)</f>
        <v>#N/A</v>
      </c>
      <c r="F33" s="656" t="str">
        <f ca="1">IF(INDIRECT("'Настройки УИК'!$I$35")=0," ",INDIRECT("'Настройки УИК'!$I$35"))</f>
        <v xml:space="preserve"> </v>
      </c>
      <c r="G33" s="656" t="str">
        <f ca="1">IF(INDIRECT("'Настройки УИК'!$J$35")=0," ",INDIRECT("'Настройки УИК'!$J$35"))</f>
        <v xml:space="preserve"> </v>
      </c>
      <c r="H33" s="687" t="e">
        <f ca="1">ROUND(SUM(INDIRECT("'Сведения ФОВ'!$FJ$29:$FJ$"&amp;MROUND(N($W$3),1)+28))/8,2)</f>
        <v>#VALUE!</v>
      </c>
      <c r="I33" s="687" t="e">
        <f ca="1">ROUND(SUM(INDIRECT("'Сведения ФОВ'!$FK$29:$FK$"&amp;MROUND(N($W$3),1)+28))/8,2)</f>
        <v>#VALUE!</v>
      </c>
      <c r="J33" s="653">
        <f t="shared" ca="1" si="4"/>
        <v>0</v>
      </c>
      <c r="K33" s="653">
        <f t="shared" ca="1" si="5"/>
        <v>0</v>
      </c>
      <c r="L33" s="653">
        <f t="shared" ca="1" si="6"/>
        <v>0</v>
      </c>
      <c r="M33" s="653">
        <f ca="1">INDIRECT("'Настройки УИК'!$K$35")</f>
        <v>0</v>
      </c>
      <c r="N33" s="655">
        <f>'Настройки ТИК'!$C$32</f>
        <v>0</v>
      </c>
      <c r="O33" s="655">
        <f t="shared" ca="1" si="0"/>
        <v>0</v>
      </c>
      <c r="P33" s="655">
        <f t="shared" ca="1" si="1"/>
        <v>0</v>
      </c>
      <c r="Q33" s="653">
        <f t="shared" ca="1" si="7"/>
        <v>0</v>
      </c>
      <c r="R33" s="659"/>
      <c r="S33" s="653">
        <f t="shared" ca="1" si="8"/>
        <v>0</v>
      </c>
      <c r="T33" s="653">
        <f t="shared" ca="1" si="9"/>
        <v>0</v>
      </c>
      <c r="U33" s="653">
        <f t="shared" ca="1" si="10"/>
        <v>0</v>
      </c>
      <c r="V33" s="49" t="s">
        <v>922</v>
      </c>
      <c r="W33" s="235">
        <f t="shared" ca="1" si="2"/>
        <v>0</v>
      </c>
      <c r="X33" s="531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0">
        <f>'Настройки ТИК'!$C$55</f>
        <v>0</v>
      </c>
    </row>
    <row r="34" spans="1:30" ht="48" customHeight="1">
      <c r="A34" s="419" t="s">
        <v>413</v>
      </c>
      <c r="B34" s="656" t="str">
        <f ca="1">IF(INDIRECT("'Настройки УИК'!$B$36")=0," ",INDIRECT("'Настройки УИК'!$B$36"))</f>
        <v xml:space="preserve"> </v>
      </c>
      <c r="C34" s="656" t="str">
        <f ca="1">IF(INDIRECT("'Настройки УИК'!$C$36")=0," ",INDIRECT("'Настройки УИК'!$C$36"))</f>
        <v xml:space="preserve"> </v>
      </c>
      <c r="D34" s="657" t="e">
        <f>LOOKUP($B$3,'Настройки ТИК'!$AG$32:$AG$117,'Настройки ТИК'!$AI$32:$AI$117)</f>
        <v>#N/A</v>
      </c>
      <c r="E34" s="657" t="e">
        <f>LOOKUP($B$3,'Настройки ТИК'!$AG$32:$AG$117,'Настройки ТИК'!$AJ$32:$AJ$117)</f>
        <v>#N/A</v>
      </c>
      <c r="F34" s="656" t="str">
        <f ca="1">IF(INDIRECT("'Настройки УИК'!$I$36")=0," ",INDIRECT("'Настройки УИК'!$I$36"))</f>
        <v xml:space="preserve"> </v>
      </c>
      <c r="G34" s="656" t="str">
        <f ca="1">IF(INDIRECT("'Настройки УИК'!$J$36")=0," ",INDIRECT("'Настройки УИК'!$J$36"))</f>
        <v xml:space="preserve"> </v>
      </c>
      <c r="H34" s="687" t="e">
        <f ca="1">ROUND(SUM(INDIRECT("'Сведения ФОВ'!$FV$29:$FV$"&amp;MROUND(N($W$3),1)+28))/8,2)</f>
        <v>#VALUE!</v>
      </c>
      <c r="I34" s="687" t="e">
        <f ca="1">ROUND(SUM(INDIRECT("'Сведения ФОВ'!$FW$29:$FW$"&amp;MROUND(N($W$3),1)+28))/8,2)</f>
        <v>#VALUE!</v>
      </c>
      <c r="J34" s="653">
        <f t="shared" ca="1" si="4"/>
        <v>0</v>
      </c>
      <c r="K34" s="653">
        <f t="shared" ca="1" si="5"/>
        <v>0</v>
      </c>
      <c r="L34" s="653">
        <f t="shared" ca="1" si="6"/>
        <v>0</v>
      </c>
      <c r="M34" s="653">
        <f ca="1">INDIRECT("'Настройки УИК'!$K$36")</f>
        <v>0</v>
      </c>
      <c r="N34" s="655">
        <f>'Настройки ТИК'!$C$32</f>
        <v>0</v>
      </c>
      <c r="O34" s="655">
        <f t="shared" ca="1" si="0"/>
        <v>0</v>
      </c>
      <c r="P34" s="655">
        <f t="shared" ca="1" si="1"/>
        <v>0</v>
      </c>
      <c r="Q34" s="653">
        <f t="shared" ca="1" si="7"/>
        <v>0</v>
      </c>
      <c r="R34" s="659"/>
      <c r="S34" s="653">
        <f t="shared" ca="1" si="8"/>
        <v>0</v>
      </c>
      <c r="T34" s="653">
        <f t="shared" ca="1" si="9"/>
        <v>0</v>
      </c>
      <c r="U34" s="653">
        <f t="shared" ca="1" si="10"/>
        <v>0</v>
      </c>
      <c r="V34" s="49" t="s">
        <v>923</v>
      </c>
      <c r="W34" s="235">
        <f t="shared" ca="1" si="2"/>
        <v>0</v>
      </c>
      <c r="X34" s="531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0">
        <f>'Настройки ТИК'!$C$55</f>
        <v>0</v>
      </c>
    </row>
    <row r="35" spans="1:30" ht="48" customHeight="1">
      <c r="A35" s="419" t="s">
        <v>414</v>
      </c>
      <c r="B35" s="656" t="str">
        <f ca="1">IF(INDIRECT("'Настройки УИК'!$B$37")=0," ",INDIRECT("'Настройки УИК'!$B$37"))</f>
        <v xml:space="preserve"> </v>
      </c>
      <c r="C35" s="656" t="str">
        <f ca="1">IF(INDIRECT("'Настройки УИК'!$C$37")=0," ",INDIRECT("'Настройки УИК'!$C$37"))</f>
        <v xml:space="preserve"> </v>
      </c>
      <c r="D35" s="657" t="e">
        <f>LOOKUP($B$3,'Настройки ТИК'!$AG$32:$AG$117,'Настройки ТИК'!$AI$32:$AI$117)</f>
        <v>#N/A</v>
      </c>
      <c r="E35" s="657" t="e">
        <f>LOOKUP($B$3,'Настройки ТИК'!$AG$32:$AG$117,'Настройки ТИК'!$AJ$32:$AJ$117)</f>
        <v>#N/A</v>
      </c>
      <c r="F35" s="656" t="str">
        <f ca="1">IF(INDIRECT("'Настройки УИК'!$I$37")=0," ",INDIRECT("'Настройки УИК'!$I$37"))</f>
        <v xml:space="preserve"> </v>
      </c>
      <c r="G35" s="656" t="str">
        <f ca="1">IF(INDIRECT("'Настройки УИК'!$J$37")=0," ",INDIRECT("'Настройки УИК'!$J$37"))</f>
        <v xml:space="preserve"> </v>
      </c>
      <c r="H35" s="687" t="e">
        <f ca="1">ROUND(SUM(INDIRECT("'Сведения ФОВ'!$GH$29:$GH$"&amp;MROUND(N($W$3),1)+28))/8,2)</f>
        <v>#VALUE!</v>
      </c>
      <c r="I35" s="687" t="e">
        <f ca="1">ROUND(SUM(INDIRECT("'Сведения ФОВ'!$GI$29:$GI$"&amp;MROUND(N($W$3),1)+28))/8,2)</f>
        <v>#VALUE!</v>
      </c>
      <c r="J35" s="653">
        <f t="shared" ca="1" si="4"/>
        <v>0</v>
      </c>
      <c r="K35" s="653">
        <f t="shared" ca="1" si="5"/>
        <v>0</v>
      </c>
      <c r="L35" s="653">
        <f t="shared" ca="1" si="6"/>
        <v>0</v>
      </c>
      <c r="M35" s="653">
        <f ca="1">INDIRECT("'Настройки УИК'!$K$37")</f>
        <v>0</v>
      </c>
      <c r="N35" s="655">
        <f>'Настройки ТИК'!$C$32</f>
        <v>0</v>
      </c>
      <c r="O35" s="655">
        <f t="shared" ca="1" si="0"/>
        <v>0</v>
      </c>
      <c r="P35" s="655">
        <f t="shared" ca="1" si="1"/>
        <v>0</v>
      </c>
      <c r="Q35" s="653">
        <f t="shared" ca="1" si="7"/>
        <v>0</v>
      </c>
      <c r="R35" s="659"/>
      <c r="S35" s="653">
        <f t="shared" ca="1" si="8"/>
        <v>0</v>
      </c>
      <c r="T35" s="653">
        <f t="shared" ca="1" si="9"/>
        <v>0</v>
      </c>
      <c r="U35" s="653">
        <f t="shared" ca="1" si="10"/>
        <v>0</v>
      </c>
      <c r="V35" s="49" t="s">
        <v>924</v>
      </c>
      <c r="W35" s="235">
        <f t="shared" ca="1" si="2"/>
        <v>0</v>
      </c>
      <c r="X35" s="531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0">
        <f>'Настройки ТИК'!$C$55</f>
        <v>0</v>
      </c>
    </row>
    <row r="36" spans="1:30" ht="48" customHeight="1">
      <c r="A36" s="419" t="s">
        <v>415</v>
      </c>
      <c r="B36" s="656" t="str">
        <f ca="1">IF(INDIRECT("'Настройки УИК'!$B$38")=0," ",INDIRECT("'Настройки УИК'!$B$38"))</f>
        <v xml:space="preserve"> </v>
      </c>
      <c r="C36" s="656" t="str">
        <f ca="1">IF(INDIRECT("'Настройки УИК'!$C$38")=0," ",INDIRECT("'Настройки УИК'!$C$38"))</f>
        <v xml:space="preserve"> </v>
      </c>
      <c r="D36" s="657" t="e">
        <f>LOOKUP($B$3,'Настройки ТИК'!$AG$32:$AG$117,'Настройки ТИК'!$AI$32:$AI$117)</f>
        <v>#N/A</v>
      </c>
      <c r="E36" s="657" t="e">
        <f>LOOKUP($B$3,'Настройки ТИК'!$AG$32:$AG$117,'Настройки ТИК'!$AJ$32:$AJ$117)</f>
        <v>#N/A</v>
      </c>
      <c r="F36" s="656" t="str">
        <f ca="1">IF(INDIRECT("'Настройки УИК'!$I$38")=0," ",INDIRECT("'Настройки УИК'!$I$38"))</f>
        <v xml:space="preserve"> </v>
      </c>
      <c r="G36" s="656" t="str">
        <f ca="1">IF(INDIRECT("'Настройки УИК'!$J$38")=0," ",INDIRECT("'Настройки УИК'!$J$38"))</f>
        <v xml:space="preserve"> </v>
      </c>
      <c r="H36" s="687" t="e">
        <f ca="1">ROUND(SUM(INDIRECT("'Сведения ФОВ'!$GT$29:$GT$"&amp;MROUND(N($W$3),1)+28))/8,2)</f>
        <v>#VALUE!</v>
      </c>
      <c r="I36" s="687" t="e">
        <f ca="1">ROUND(SUM(INDIRECT("'Сведения ФОВ'!$GU$29:$GU$"&amp;MROUND(N($W$3),1)+28))/8,2)</f>
        <v>#VALUE!</v>
      </c>
      <c r="J36" s="653">
        <f t="shared" ca="1" si="4"/>
        <v>0</v>
      </c>
      <c r="K36" s="653">
        <f t="shared" ca="1" si="5"/>
        <v>0</v>
      </c>
      <c r="L36" s="653">
        <f t="shared" ca="1" si="6"/>
        <v>0</v>
      </c>
      <c r="M36" s="653">
        <f ca="1">INDIRECT("'Настройки УИК'!$K$38")</f>
        <v>0</v>
      </c>
      <c r="N36" s="655">
        <f>'Настройки ТИК'!$C$32</f>
        <v>0</v>
      </c>
      <c r="O36" s="655">
        <f t="shared" ca="1" si="0"/>
        <v>0</v>
      </c>
      <c r="P36" s="655">
        <f t="shared" ca="1" si="1"/>
        <v>0</v>
      </c>
      <c r="Q36" s="653">
        <f t="shared" ca="1" si="7"/>
        <v>0</v>
      </c>
      <c r="R36" s="659"/>
      <c r="S36" s="653">
        <f t="shared" ca="1" si="8"/>
        <v>0</v>
      </c>
      <c r="T36" s="653">
        <f t="shared" ca="1" si="9"/>
        <v>0</v>
      </c>
      <c r="U36" s="653">
        <f t="shared" ca="1" si="10"/>
        <v>0</v>
      </c>
      <c r="V36" s="49" t="s">
        <v>925</v>
      </c>
      <c r="W36" s="235">
        <f t="shared" ca="1" si="2"/>
        <v>0</v>
      </c>
      <c r="X36" s="531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0">
        <f>'Настройки ТИК'!$C$55</f>
        <v>0</v>
      </c>
    </row>
    <row r="37" spans="1:30" ht="48" customHeight="1">
      <c r="A37" s="419" t="s">
        <v>416</v>
      </c>
      <c r="B37" s="656" t="str">
        <f ca="1">IF(INDIRECT("'Настройки УИК'!$B$39")=0," ",INDIRECT("'Настройки УИК'!$B$39"))</f>
        <v xml:space="preserve"> </v>
      </c>
      <c r="C37" s="656" t="str">
        <f ca="1">IF(INDIRECT("'Настройки УИК'!$C$39")=0," ",INDIRECT("'Настройки УИК'!$C$39"))</f>
        <v xml:space="preserve"> </v>
      </c>
      <c r="D37" s="657" t="e">
        <f>LOOKUP($B$3,'Настройки ТИК'!$AG$32:$AG$117,'Настройки ТИК'!$AI$32:$AI$117)</f>
        <v>#N/A</v>
      </c>
      <c r="E37" s="657" t="e">
        <f>LOOKUP($B$3,'Настройки ТИК'!$AG$32:$AG$117,'Настройки ТИК'!$AJ$32:$AJ$117)</f>
        <v>#N/A</v>
      </c>
      <c r="F37" s="656" t="str">
        <f ca="1">IF(INDIRECT("'Настройки УИК'!$I$39")=0," ",INDIRECT("'Настройки УИК'!$I$39"))</f>
        <v xml:space="preserve"> </v>
      </c>
      <c r="G37" s="656" t="str">
        <f ca="1">IF(INDIRECT("'Настройки УИК'!$J$39")=0," ",INDIRECT("'Настройки УИК'!$J$39"))</f>
        <v xml:space="preserve"> </v>
      </c>
      <c r="H37" s="687" t="e">
        <f ca="1">ROUND(SUM(INDIRECT("'Сведения ФОВ'!$HF$29:$HF$"&amp;MROUND(N($W$3),1)+28))/8,2)</f>
        <v>#VALUE!</v>
      </c>
      <c r="I37" s="687" t="e">
        <f ca="1">ROUND(SUM(INDIRECT("'Сведения ФОВ'!$HG$29:$HG$"&amp;MROUND(N($W$3),1)+28))/8,2)</f>
        <v>#VALUE!</v>
      </c>
      <c r="J37" s="653">
        <f t="shared" ca="1" si="4"/>
        <v>0</v>
      </c>
      <c r="K37" s="653">
        <f t="shared" ca="1" si="5"/>
        <v>0</v>
      </c>
      <c r="L37" s="653">
        <f t="shared" ca="1" si="6"/>
        <v>0</v>
      </c>
      <c r="M37" s="653">
        <f ca="1">INDIRECT("'Настройки УИК'!$K$39")</f>
        <v>0</v>
      </c>
      <c r="N37" s="655">
        <f>'Настройки ТИК'!$C$32</f>
        <v>0</v>
      </c>
      <c r="O37" s="655">
        <f t="shared" ca="1" si="0"/>
        <v>0</v>
      </c>
      <c r="P37" s="655">
        <f t="shared" ca="1" si="1"/>
        <v>0</v>
      </c>
      <c r="Q37" s="653">
        <f t="shared" ca="1" si="7"/>
        <v>0</v>
      </c>
      <c r="R37" s="659"/>
      <c r="S37" s="653">
        <f t="shared" ca="1" si="8"/>
        <v>0</v>
      </c>
      <c r="T37" s="653">
        <f t="shared" ca="1" si="9"/>
        <v>0</v>
      </c>
      <c r="U37" s="653">
        <f t="shared" ca="1" si="10"/>
        <v>0</v>
      </c>
      <c r="V37" s="49" t="s">
        <v>926</v>
      </c>
      <c r="W37" s="235">
        <f t="shared" ca="1" si="2"/>
        <v>0</v>
      </c>
      <c r="X37" s="531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0">
        <f>'Настройки ТИК'!$C$55</f>
        <v>0</v>
      </c>
    </row>
    <row r="38" spans="1:30" s="36" customFormat="1" ht="43.5" customHeight="1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957</v>
      </c>
      <c r="X39" s="884"/>
      <c r="Y39" s="884"/>
      <c r="Z39" s="884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6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5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4" t="s">
        <v>949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66" customHeight="1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16" priority="416" stopIfTrue="1">
      <formula>IF($X$49&lt;0,"ИСТИНА","ЛОЖЬ")</formula>
    </cfRule>
  </conditionalFormatting>
  <conditionalFormatting sqref="L38">
    <cfRule type="expression" dxfId="15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4" sqref="E4: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0"/>
    <col min="8" max="8" width="24.7109375" style="640" customWidth="1"/>
    <col min="9" max="10" width="9.140625" style="640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3" t="str">
        <f ca="1">'Расчётная Ведомость'!B20</f>
        <v xml:space="preserve"> </v>
      </c>
      <c r="C4" s="513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IF(OR(A4=0,AND(C4="Председатель",'Настройки ТИК'!$C$45="ТИК")),0,ROW(E4))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3" t="str">
        <f ca="1">'Расчётная Ведомость'!B21</f>
        <v xml:space="preserve"> </v>
      </c>
      <c r="C5" s="513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IF(OR(A5=0,AND(C5="Председатель",'Настройки ТИК'!$C$45="ТИК")),0,ROW(E5))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3" t="str">
        <f ca="1">'Расчётная Ведомость'!B22</f>
        <v>Склонение по падежам УИК</v>
      </c>
      <c r="C6" s="513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IF(OR(A6=0,AND(C6="Председатель",'Настройки ТИК'!$C$45="ТИК")),0,ROW(E6))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3" t="str">
        <f ca="1">'Расчётная Ведомость'!B23</f>
        <v>для печати документов</v>
      </c>
      <c r="C7" s="513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IF(OR(A7=0,AND(C7="Председатель",'Настройки ТИК'!$C$45="ТИК")),0,ROW(E7))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3" t="str">
        <f ca="1">'Расчётная Ведомость'!B24</f>
        <v xml:space="preserve">Родительный </v>
      </c>
      <c r="C8" s="513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IF(OR(A8=0,AND(C8="Председатель",'Настройки ТИК'!$C$45="ТИК")),0,ROW(E8))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3" t="str">
        <f ca="1">'Расчётная Ведомость'!B25</f>
        <v xml:space="preserve">Дательный </v>
      </c>
      <c r="C9" s="513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IF(OR(A9=0,AND(C9="Председатель",'Настройки ТИК'!$C$45="ТИК")),0,ROW(E9))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3" t="str">
        <f ca="1">'Расчётная Ведомость'!B26</f>
        <v>Творительный</v>
      </c>
      <c r="C10" s="513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IF(OR(A10=0,AND(C10="Председатель",'Настройки ТИК'!$C$45="ТИК")),0,ROW(E10))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3" t="str">
        <f ca="1">'Расчётная Ведомость'!B27</f>
        <v>Винительный</v>
      </c>
      <c r="C11" s="513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IF(OR(A11=0,AND(C11="Председатель",'Настройки ТИК'!$C$45="ТИК")),0,ROW(E11))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3" t="str">
        <f ca="1">'Расчётная Ведомость'!B28</f>
        <v xml:space="preserve"> </v>
      </c>
      <c r="C12" s="513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IF(OR(A12=0,AND(C12="Председатель",'Настройки ТИК'!$C$45="ТИК")),0,ROW(E12))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3" t="str">
        <f ca="1">'Расчётная Ведомость'!B29</f>
        <v xml:space="preserve"> </v>
      </c>
      <c r="C13" s="513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IF(OR(A13=0,AND(C13="Председатель",'Настройки ТИК'!$C$45="ТИК")),0,ROW(E13))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3" t="str">
        <f ca="1">'Расчётная Ведомость'!B30</f>
        <v xml:space="preserve"> </v>
      </c>
      <c r="C14" s="513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IF(OR(A14=0,AND(C14="Председатель",'Настройки ТИК'!$C$45="ТИК")),0,ROW(E14))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3" t="str">
        <f ca="1">'Расчётная Ведомость'!B31</f>
        <v>Должности</v>
      </c>
      <c r="C15" s="513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IF(OR(A15=0,AND(C15="Председатель",'Настройки ТИК'!$C$45="ТИК")),0,ROW(E15))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3" t="str">
        <f ca="1">'Расчётная Ведомость'!B32</f>
        <v xml:space="preserve"> </v>
      </c>
      <c r="C16" s="513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IF(OR(A16=0,AND(C16="Председатель",'Настройки ТИК'!$C$45="ТИК")),0,ROW(E16))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3" t="str">
        <f ca="1">'Расчётная Ведомость'!B33</f>
        <v>Председатель</v>
      </c>
      <c r="C17" s="513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IF(OR(A17=0,AND(C17="Председатель",'Настройки ТИК'!$C$45="ТИК")),0,ROW(E17))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3" t="str">
        <f ca="1">'Расчётная Ведомость'!B34</f>
        <v xml:space="preserve"> </v>
      </c>
      <c r="C18" s="513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IF(OR(A18=0,AND(C18="Председатель",'Настройки ТИК'!$C$45="ТИК")),0,ROW(E18))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3" t="str">
        <f ca="1">'Расчётная Ведомость'!B35</f>
        <v xml:space="preserve"> </v>
      </c>
      <c r="C19" s="513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IF(OR(A19=0,AND(C19="Председатель",'Настройки ТИК'!$C$45="ТИК")),0,ROW(E19))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3" t="str">
        <f ca="1">'Расчётная Ведомость'!B36</f>
        <v xml:space="preserve"> </v>
      </c>
      <c r="C20" s="513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IF(OR(A20=0,AND(C20="Председатель",'Настройки ТИК'!$C$45="ТИК")),0,ROW(E20))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3" t="str">
        <f ca="1">'Расчётная Ведомость'!B37</f>
        <v xml:space="preserve"> </v>
      </c>
      <c r="C21" s="513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IF(OR(A21=0,AND(C21="Председатель",'Настройки ТИК'!$C$45="ТИК")),0,ROW(E21))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5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AB28" sqref="AB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8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7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8">
        <f>'Настройки УИК'!J5</f>
        <v>0</v>
      </c>
      <c r="L15" s="234"/>
    </row>
    <row r="16" spans="1:12" ht="18.75" customHeight="1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>
      <c r="M37" s="495"/>
    </row>
  </sheetData>
  <sheetProtection password="C09F" sheet="1" objects="1" scenarios="1"/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3" customWidth="1"/>
    <col min="2" max="2" width="9.140625" style="533"/>
    <col min="3" max="3" width="9.85546875" style="533" customWidth="1"/>
    <col min="4" max="4" width="9.140625" style="533"/>
    <col min="5" max="6" width="12.7109375" style="533" customWidth="1"/>
    <col min="7" max="12" width="9.140625" style="533"/>
    <col min="13" max="16384" width="9.140625" style="146"/>
  </cols>
  <sheetData>
    <row r="1" spans="1:12" ht="19.5" customHeight="1">
      <c r="A1" s="532">
        <f>'Настройки ТИК'!$H$17</f>
        <v>0</v>
      </c>
      <c r="B1" s="532"/>
    </row>
    <row r="2" spans="1:12" ht="19.5" customHeight="1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4"/>
      <c r="L4" s="534"/>
    </row>
    <row r="5" spans="1:12" ht="19.5" customHeight="1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>
      <c r="B6" s="535"/>
      <c r="C6" s="535"/>
      <c r="D6" s="535"/>
      <c r="E6" s="535"/>
      <c r="F6" s="535"/>
      <c r="G6" s="535"/>
      <c r="H6" s="535"/>
      <c r="I6" s="535"/>
      <c r="J6" s="535"/>
      <c r="K6" s="535"/>
      <c r="L6" s="535"/>
    </row>
    <row r="7" spans="1:12" ht="19.5" customHeight="1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5"/>
      <c r="C8" s="535"/>
      <c r="D8" s="535"/>
      <c r="E8" s="535"/>
      <c r="F8" s="535"/>
      <c r="G8" s="535"/>
      <c r="H8" s="535"/>
      <c r="I8" s="535"/>
      <c r="J8" s="535"/>
      <c r="K8" s="535"/>
      <c r="L8" s="535"/>
    </row>
    <row r="9" spans="1:12" ht="19.5" customHeight="1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5"/>
      <c r="C10" s="535"/>
      <c r="D10" s="535"/>
      <c r="E10" s="535"/>
      <c r="F10" s="535"/>
      <c r="G10" s="535"/>
      <c r="H10" s="535"/>
      <c r="I10" s="535"/>
      <c r="J10" s="535"/>
      <c r="K10" s="535"/>
      <c r="L10" s="535"/>
    </row>
    <row r="11" spans="1:12" s="147" customFormat="1" ht="19.5" customHeight="1">
      <c r="A11" s="533"/>
      <c r="B11" s="928" t="s">
        <v>863</v>
      </c>
      <c r="C11" s="928"/>
      <c r="D11" s="928"/>
      <c r="E11" s="928"/>
      <c r="F11" s="536"/>
      <c r="G11" s="537" t="s">
        <v>864</v>
      </c>
      <c r="H11" s="934">
        <f>'Настройки ТИК'!$C$17</f>
        <v>0</v>
      </c>
      <c r="I11" s="927"/>
      <c r="J11" s="537" t="s">
        <v>790</v>
      </c>
      <c r="K11" s="934">
        <f>'Настройки ТИК'!$D$17</f>
        <v>0</v>
      </c>
      <c r="L11" s="927"/>
    </row>
    <row r="12" spans="1:12" ht="19.5" customHeight="1">
      <c r="B12" s="535"/>
      <c r="C12" s="535"/>
      <c r="D12" s="535"/>
      <c r="E12" s="535"/>
      <c r="F12" s="535"/>
      <c r="G12" s="535"/>
      <c r="H12" s="535"/>
      <c r="I12" s="535"/>
      <c r="J12" s="535"/>
      <c r="K12" s="535"/>
      <c r="L12" s="535"/>
    </row>
    <row r="13" spans="1:12" ht="19.5" customHeight="1">
      <c r="A13" s="538"/>
      <c r="B13" s="537"/>
      <c r="C13" s="537"/>
      <c r="D13" s="537"/>
      <c r="E13" s="537"/>
      <c r="F13" s="537"/>
      <c r="G13" s="537"/>
      <c r="H13" s="537"/>
      <c r="I13" s="537"/>
      <c r="J13" s="537"/>
      <c r="K13" s="537"/>
      <c r="L13" s="537"/>
    </row>
    <row r="14" spans="1:12" ht="132.75" customHeight="1">
      <c r="B14" s="923" t="s">
        <v>865</v>
      </c>
      <c r="C14" s="923"/>
      <c r="D14" s="923"/>
      <c r="E14" s="923"/>
      <c r="F14" s="539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>
      <c r="B15" s="535"/>
      <c r="C15" s="535"/>
      <c r="D15" s="535"/>
      <c r="E15" s="535"/>
      <c r="F15" s="535"/>
      <c r="G15" s="535"/>
      <c r="H15" s="535"/>
      <c r="I15" s="535"/>
      <c r="J15" s="535"/>
      <c r="K15" s="535"/>
      <c r="L15" s="535"/>
    </row>
    <row r="16" spans="1:12" ht="39.75" customHeight="1">
      <c r="B16" s="925" t="s">
        <v>951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>
      <c r="B17" s="540"/>
      <c r="C17" s="540"/>
      <c r="D17" s="540"/>
      <c r="E17" s="540"/>
      <c r="F17" s="540"/>
      <c r="G17" s="540"/>
      <c r="H17" s="540"/>
      <c r="I17" s="540"/>
      <c r="J17" s="540"/>
      <c r="K17" s="540"/>
      <c r="L17" s="540"/>
    </row>
    <row r="18" spans="2:12" ht="19.5" customHeight="1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>
      <c r="B19" s="535"/>
      <c r="C19" s="535"/>
      <c r="D19" s="535"/>
      <c r="E19" s="535"/>
      <c r="F19" s="535"/>
      <c r="G19" s="535"/>
      <c r="H19" s="535"/>
      <c r="I19" s="535"/>
      <c r="J19" s="535"/>
      <c r="K19" s="535"/>
      <c r="L19" s="535"/>
    </row>
    <row r="20" spans="2:12" ht="19.5" customHeight="1">
      <c r="B20" s="935" t="s">
        <v>889</v>
      </c>
      <c r="C20" s="935"/>
      <c r="D20" s="935"/>
      <c r="E20" s="935"/>
      <c r="F20" s="935"/>
      <c r="G20" s="936" t="e">
        <f ca="1">('Расчётная Ведомость'!H20+'Расчётная Ведомость'!I20)*8+('Расчётная Ведомость'!O20+'Расчётная Ведомость'!P20)</f>
        <v>#VALUE!</v>
      </c>
      <c r="H20" s="936"/>
      <c r="I20" s="535" t="s">
        <v>866</v>
      </c>
      <c r="K20" s="938">
        <f ca="1">'Расчётная Ведомость'!U20</f>
        <v>0</v>
      </c>
      <c r="L20" s="939"/>
    </row>
    <row r="21" spans="2:12" ht="19.5" customHeight="1">
      <c r="B21" s="541" t="s">
        <v>888</v>
      </c>
      <c r="C21" s="541"/>
      <c r="D21" s="541"/>
      <c r="E21" s="541"/>
      <c r="F21" s="541"/>
      <c r="G21" s="535"/>
      <c r="H21" s="535"/>
      <c r="I21" s="535"/>
      <c r="J21" s="535"/>
      <c r="K21" s="535"/>
      <c r="L21" s="535"/>
    </row>
    <row r="22" spans="2:12" ht="19.5" customHeight="1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5"/>
      <c r="J22" s="535"/>
      <c r="K22" s="535"/>
      <c r="L22" s="535"/>
    </row>
    <row r="23" spans="2:12" ht="19.5" customHeight="1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5"/>
      <c r="J23" s="535"/>
      <c r="K23" s="535"/>
      <c r="L23" s="535"/>
    </row>
    <row r="24" spans="2:12" ht="19.5" customHeight="1">
      <c r="B24" s="935" t="s">
        <v>263</v>
      </c>
      <c r="C24" s="935"/>
      <c r="D24" s="935"/>
      <c r="E24" s="935"/>
      <c r="F24" s="935"/>
      <c r="I24" s="535"/>
      <c r="J24" s="535"/>
      <c r="K24" s="535"/>
      <c r="L24" s="535"/>
    </row>
    <row r="25" spans="2:12" ht="19.5" customHeight="1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5"/>
      <c r="J25" s="535"/>
      <c r="K25" s="535"/>
      <c r="L25" s="535"/>
    </row>
    <row r="26" spans="2:12" ht="19.5" customHeight="1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5"/>
      <c r="J26" s="535"/>
      <c r="K26" s="535"/>
      <c r="L26" s="535"/>
    </row>
    <row r="27" spans="2:12" ht="19.5" customHeight="1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5"/>
      <c r="J27" s="535"/>
      <c r="K27" s="535"/>
      <c r="L27" s="535"/>
    </row>
    <row r="28" spans="2:12" ht="19.5" customHeight="1"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</row>
    <row r="29" spans="2:12" ht="19.5" customHeight="1">
      <c r="B29" s="535" t="s">
        <v>140</v>
      </c>
      <c r="C29" s="535"/>
      <c r="D29" s="542"/>
      <c r="E29" s="542"/>
      <c r="F29" s="535"/>
      <c r="G29" s="929">
        <f>'Настройки УИК'!$I$43</f>
        <v>0</v>
      </c>
      <c r="H29" s="929"/>
      <c r="I29" s="929"/>
      <c r="J29" s="929"/>
      <c r="K29" s="929"/>
      <c r="L29" s="929"/>
    </row>
    <row r="30" spans="2:12" ht="19.5" customHeight="1">
      <c r="B30" s="535"/>
      <c r="C30" s="535"/>
      <c r="D30" s="930" t="s">
        <v>5</v>
      </c>
      <c r="E30" s="930"/>
      <c r="F30" s="543"/>
      <c r="G30" s="535"/>
      <c r="H30" s="535"/>
      <c r="I30" s="535"/>
      <c r="J30" s="535"/>
      <c r="K30" s="535"/>
      <c r="L30" s="535"/>
    </row>
    <row r="31" spans="2:12" ht="19.5" customHeight="1"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</row>
    <row r="33" spans="2:12" ht="19.5" customHeight="1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4"/>
      <c r="L35" s="534"/>
    </row>
    <row r="36" spans="2:12" ht="19.5" customHeight="1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</row>
    <row r="38" spans="2:12" ht="19.5" customHeight="1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</row>
    <row r="40" spans="2:12" ht="19.5" customHeight="1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</row>
    <row r="42" spans="2:12" ht="19.5" customHeight="1">
      <c r="B42" s="928" t="s">
        <v>863</v>
      </c>
      <c r="C42" s="928"/>
      <c r="D42" s="928"/>
      <c r="E42" s="928"/>
      <c r="F42" s="536"/>
      <c r="G42" s="537" t="s">
        <v>864</v>
      </c>
      <c r="H42" s="934">
        <f>'Настройки ТИК'!$C$17</f>
        <v>0</v>
      </c>
      <c r="I42" s="927"/>
      <c r="J42" s="537" t="s">
        <v>790</v>
      </c>
      <c r="K42" s="934">
        <f>'Настройки ТИК'!$D$17</f>
        <v>0</v>
      </c>
      <c r="L42" s="927"/>
    </row>
    <row r="43" spans="2:12" ht="19.5" customHeight="1"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</row>
    <row r="44" spans="2:12" ht="19.5" customHeight="1">
      <c r="B44" s="537"/>
      <c r="C44" s="537"/>
      <c r="D44" s="537"/>
      <c r="E44" s="537"/>
      <c r="F44" s="537"/>
      <c r="G44" s="537"/>
      <c r="H44" s="537"/>
      <c r="I44" s="537"/>
      <c r="J44" s="537"/>
      <c r="K44" s="537"/>
      <c r="L44" s="537"/>
    </row>
    <row r="45" spans="2:12" ht="132.75" customHeight="1">
      <c r="B45" s="923" t="s">
        <v>865</v>
      </c>
      <c r="C45" s="923"/>
      <c r="D45" s="923"/>
      <c r="E45" s="923"/>
      <c r="F45" s="539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</row>
    <row r="47" spans="2:12" ht="39.75" customHeight="1">
      <c r="B47" s="925" t="s">
        <v>951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>
      <c r="B48" s="540"/>
      <c r="C48" s="540"/>
      <c r="D48" s="540"/>
      <c r="E48" s="540"/>
      <c r="F48" s="540"/>
      <c r="G48" s="540"/>
      <c r="H48" s="540"/>
      <c r="I48" s="540"/>
      <c r="J48" s="540"/>
      <c r="K48" s="540"/>
      <c r="L48" s="540"/>
    </row>
    <row r="49" spans="2:12" ht="19.5" customHeight="1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</row>
    <row r="51" spans="2:12" ht="19.5" customHeight="1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5" t="s">
        <v>866</v>
      </c>
      <c r="K51" s="938">
        <f ca="1">'Расчётная Ведомость'!U21</f>
        <v>0</v>
      </c>
      <c r="L51" s="939"/>
    </row>
    <row r="52" spans="2:12" ht="19.5" customHeight="1">
      <c r="B52" s="541" t="s">
        <v>888</v>
      </c>
      <c r="C52" s="541"/>
      <c r="D52" s="541"/>
      <c r="E52" s="541"/>
      <c r="F52" s="541"/>
      <c r="G52" s="940"/>
      <c r="H52" s="940"/>
      <c r="I52" s="535"/>
      <c r="J52" s="535"/>
      <c r="K52" s="535"/>
      <c r="L52" s="535"/>
    </row>
    <row r="53" spans="2:12" ht="19.5" customHeight="1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5"/>
      <c r="J53" s="535"/>
      <c r="K53" s="535"/>
      <c r="L53" s="535"/>
    </row>
    <row r="54" spans="2:12" ht="19.5" customHeight="1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5"/>
      <c r="J54" s="535"/>
      <c r="K54" s="535"/>
      <c r="L54" s="535"/>
    </row>
    <row r="55" spans="2:12" ht="19.5" customHeight="1">
      <c r="B55" s="935" t="s">
        <v>263</v>
      </c>
      <c r="C55" s="935"/>
      <c r="D55" s="935"/>
      <c r="E55" s="935"/>
      <c r="F55" s="935"/>
      <c r="I55" s="535"/>
      <c r="J55" s="535"/>
      <c r="K55" s="535"/>
      <c r="L55" s="535"/>
    </row>
    <row r="56" spans="2:12" ht="19.5" customHeight="1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5"/>
      <c r="J56" s="535"/>
      <c r="K56" s="535"/>
      <c r="L56" s="535"/>
    </row>
    <row r="57" spans="2:12" ht="19.5" customHeight="1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5"/>
      <c r="J57" s="535"/>
      <c r="K57" s="535"/>
      <c r="L57" s="535"/>
    </row>
    <row r="58" spans="2:12" ht="19.5" customHeight="1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5"/>
      <c r="J58" s="535"/>
      <c r="K58" s="535"/>
      <c r="L58" s="535"/>
    </row>
    <row r="59" spans="2:12" ht="19.5" customHeight="1"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</row>
    <row r="60" spans="2:12" ht="19.5" customHeight="1">
      <c r="B60" s="535" t="s">
        <v>140</v>
      </c>
      <c r="C60" s="535"/>
      <c r="D60" s="542"/>
      <c r="E60" s="542"/>
      <c r="F60" s="535"/>
      <c r="G60" s="929">
        <f>'Настройки УИК'!$I$43</f>
        <v>0</v>
      </c>
      <c r="H60" s="929"/>
      <c r="I60" s="929"/>
      <c r="J60" s="929"/>
      <c r="K60" s="929"/>
      <c r="L60" s="929"/>
    </row>
    <row r="61" spans="2:12" ht="19.5" customHeight="1">
      <c r="B61" s="535"/>
      <c r="C61" s="535"/>
      <c r="D61" s="930" t="s">
        <v>5</v>
      </c>
      <c r="E61" s="930"/>
      <c r="F61" s="543"/>
      <c r="G61" s="535"/>
      <c r="H61" s="535"/>
      <c r="I61" s="535"/>
      <c r="J61" s="535"/>
      <c r="K61" s="535"/>
      <c r="L61" s="535"/>
    </row>
    <row r="62" spans="2:12" ht="19.5" customHeight="1"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</row>
    <row r="64" spans="2:12" ht="19.5" customHeight="1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4"/>
      <c r="L66" s="534"/>
    </row>
    <row r="67" spans="2:12" ht="19.5" customHeight="1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</row>
    <row r="69" spans="2:12" ht="19.5" customHeight="1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</row>
    <row r="71" spans="2:12" ht="19.5" customHeight="1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</row>
    <row r="73" spans="2:12" ht="19.5" customHeight="1">
      <c r="B73" s="928" t="s">
        <v>863</v>
      </c>
      <c r="C73" s="928"/>
      <c r="D73" s="928"/>
      <c r="E73" s="928"/>
      <c r="F73" s="536"/>
      <c r="G73" s="537" t="s">
        <v>864</v>
      </c>
      <c r="H73" s="934">
        <f>'Настройки ТИК'!$C$17</f>
        <v>0</v>
      </c>
      <c r="I73" s="927"/>
      <c r="J73" s="537" t="s">
        <v>790</v>
      </c>
      <c r="K73" s="934">
        <f>'Настройки ТИК'!$D$17</f>
        <v>0</v>
      </c>
      <c r="L73" s="927"/>
    </row>
    <row r="74" spans="2:12" ht="19.5" customHeight="1"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</row>
    <row r="75" spans="2:12" ht="19.5" customHeight="1"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</row>
    <row r="76" spans="2:12" ht="132.75" customHeight="1">
      <c r="B76" s="923" t="s">
        <v>865</v>
      </c>
      <c r="C76" s="923"/>
      <c r="D76" s="923"/>
      <c r="E76" s="923"/>
      <c r="F76" s="539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</row>
    <row r="78" spans="2:12" ht="39.75" customHeight="1">
      <c r="B78" s="925" t="s">
        <v>951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</row>
    <row r="80" spans="2:12" ht="19.5" customHeight="1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</row>
    <row r="82" spans="2:12" ht="19.5" customHeight="1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5" t="s">
        <v>866</v>
      </c>
      <c r="K82" s="938">
        <f ca="1">'Расчётная Ведомость'!U22</f>
        <v>0</v>
      </c>
      <c r="L82" s="939"/>
    </row>
    <row r="83" spans="2:12" ht="19.5" customHeight="1">
      <c r="B83" s="541" t="s">
        <v>888</v>
      </c>
      <c r="C83" s="541"/>
      <c r="D83" s="541"/>
      <c r="E83" s="541"/>
      <c r="F83" s="541"/>
      <c r="I83" s="535"/>
      <c r="J83" s="535"/>
      <c r="K83" s="535"/>
      <c r="L83" s="535"/>
    </row>
    <row r="84" spans="2:12" ht="19.5" customHeight="1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5"/>
      <c r="J84" s="535"/>
      <c r="K84" s="535"/>
      <c r="L84" s="535"/>
    </row>
    <row r="85" spans="2:12" ht="19.5" customHeight="1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5"/>
      <c r="J85" s="535"/>
      <c r="K85" s="535"/>
      <c r="L85" s="535"/>
    </row>
    <row r="86" spans="2:12" ht="19.5" customHeight="1">
      <c r="B86" s="935" t="s">
        <v>263</v>
      </c>
      <c r="C86" s="935"/>
      <c r="D86" s="935"/>
      <c r="E86" s="935"/>
      <c r="F86" s="935"/>
      <c r="I86" s="535"/>
      <c r="J86" s="535"/>
      <c r="K86" s="535"/>
      <c r="L86" s="535"/>
    </row>
    <row r="87" spans="2:12" ht="19.5" customHeight="1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5"/>
      <c r="J87" s="535"/>
      <c r="K87" s="535"/>
      <c r="L87" s="535"/>
    </row>
    <row r="88" spans="2:12" ht="19.5" customHeight="1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5"/>
      <c r="J88" s="535"/>
      <c r="K88" s="535"/>
      <c r="L88" s="535"/>
    </row>
    <row r="89" spans="2:12" ht="19.5" customHeight="1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5"/>
      <c r="J89" s="535"/>
      <c r="K89" s="535"/>
      <c r="L89" s="535"/>
    </row>
    <row r="90" spans="2:12" ht="19.5" customHeight="1">
      <c r="B90" s="544"/>
      <c r="C90" s="544"/>
      <c r="D90" s="544"/>
      <c r="E90" s="544"/>
      <c r="F90" s="544"/>
      <c r="I90" s="535"/>
      <c r="J90" s="535"/>
      <c r="K90" s="535"/>
      <c r="L90" s="535"/>
    </row>
    <row r="91" spans="2:12" ht="19.5" customHeight="1">
      <c r="B91" s="535" t="s">
        <v>140</v>
      </c>
      <c r="C91" s="535"/>
      <c r="D91" s="542"/>
      <c r="E91" s="542"/>
      <c r="F91" s="535"/>
      <c r="G91" s="929">
        <f>'Настройки УИК'!$I$43</f>
        <v>0</v>
      </c>
      <c r="H91" s="929"/>
      <c r="I91" s="929"/>
      <c r="J91" s="929"/>
      <c r="K91" s="929"/>
      <c r="L91" s="929"/>
    </row>
    <row r="92" spans="2:12" ht="19.5" customHeight="1">
      <c r="B92" s="535"/>
      <c r="C92" s="535"/>
      <c r="D92" s="930" t="s">
        <v>5</v>
      </c>
      <c r="E92" s="930"/>
      <c r="F92" s="543"/>
      <c r="G92" s="535"/>
      <c r="H92" s="535"/>
      <c r="I92" s="535"/>
      <c r="J92" s="535"/>
      <c r="K92" s="535"/>
      <c r="L92" s="535"/>
    </row>
    <row r="93" spans="2:12" ht="19.5" customHeight="1"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</row>
    <row r="95" spans="2:12" ht="19.5" customHeight="1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4"/>
      <c r="L97" s="534"/>
    </row>
    <row r="98" spans="2:12" ht="19.5" customHeight="1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</row>
    <row r="100" spans="2:12" ht="19.5" customHeight="1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</row>
    <row r="102" spans="2:12" ht="19.5" customHeight="1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</row>
    <row r="104" spans="2:12" ht="19.5" customHeight="1">
      <c r="B104" s="928" t="s">
        <v>863</v>
      </c>
      <c r="C104" s="928"/>
      <c r="D104" s="928"/>
      <c r="E104" s="928"/>
      <c r="F104" s="536"/>
      <c r="G104" s="537" t="s">
        <v>864</v>
      </c>
      <c r="H104" s="934">
        <f>'Настройки ТИК'!$C$17</f>
        <v>0</v>
      </c>
      <c r="I104" s="927"/>
      <c r="J104" s="537" t="s">
        <v>790</v>
      </c>
      <c r="K104" s="934">
        <f>'Настройки ТИК'!$D$17</f>
        <v>0</v>
      </c>
      <c r="L104" s="927"/>
    </row>
    <row r="105" spans="2:12" ht="19.5" customHeight="1"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</row>
    <row r="106" spans="2:12" ht="19.5" customHeight="1"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</row>
    <row r="107" spans="2:12" ht="132.75" customHeight="1">
      <c r="B107" s="923" t="s">
        <v>865</v>
      </c>
      <c r="C107" s="923"/>
      <c r="D107" s="923"/>
      <c r="E107" s="923"/>
      <c r="F107" s="539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</row>
    <row r="109" spans="2:12" ht="39.75" customHeight="1">
      <c r="B109" s="925" t="s">
        <v>951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</row>
    <row r="111" spans="2:12" ht="19.5" customHeight="1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</row>
    <row r="113" spans="2:12" ht="19.5" customHeight="1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5" t="s">
        <v>866</v>
      </c>
      <c r="K113" s="926">
        <f ca="1">'Расчётная Ведомость'!U23</f>
        <v>0</v>
      </c>
      <c r="L113" s="927"/>
    </row>
    <row r="114" spans="2:12" ht="19.5" customHeight="1">
      <c r="B114" s="541" t="s">
        <v>888</v>
      </c>
      <c r="C114" s="541"/>
      <c r="D114" s="541"/>
      <c r="E114" s="541"/>
      <c r="F114" s="541"/>
      <c r="I114" s="535"/>
      <c r="K114" s="545"/>
      <c r="L114" s="546"/>
    </row>
    <row r="115" spans="2:12" ht="19.5" customHeight="1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5"/>
      <c r="K115" s="545"/>
      <c r="L115" s="546"/>
    </row>
    <row r="116" spans="2:12" ht="19.5" customHeight="1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5"/>
      <c r="K116" s="545"/>
      <c r="L116" s="546"/>
    </row>
    <row r="117" spans="2:12" ht="19.5" customHeight="1">
      <c r="B117" s="935" t="s">
        <v>263</v>
      </c>
      <c r="C117" s="935"/>
      <c r="D117" s="935"/>
      <c r="E117" s="935"/>
      <c r="F117" s="935"/>
      <c r="I117" s="535"/>
      <c r="J117" s="535"/>
      <c r="K117" s="535"/>
      <c r="L117" s="535"/>
    </row>
    <row r="118" spans="2:12" ht="19.5" customHeight="1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5"/>
      <c r="J118" s="535"/>
      <c r="K118" s="535"/>
      <c r="L118" s="535"/>
    </row>
    <row r="119" spans="2:12" ht="19.5" customHeight="1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5"/>
      <c r="J119" s="535"/>
      <c r="K119" s="535"/>
      <c r="L119" s="535"/>
    </row>
    <row r="120" spans="2:12" ht="19.5" customHeight="1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5"/>
      <c r="J120" s="535"/>
      <c r="K120" s="535"/>
      <c r="L120" s="535"/>
    </row>
    <row r="121" spans="2:12" ht="19.5" customHeight="1">
      <c r="B121" s="544"/>
      <c r="C121" s="544"/>
      <c r="D121" s="544"/>
      <c r="E121" s="544"/>
      <c r="F121" s="544"/>
      <c r="I121" s="535"/>
      <c r="J121" s="535"/>
      <c r="K121" s="535"/>
      <c r="L121" s="535"/>
    </row>
    <row r="122" spans="2:12" ht="19.5" customHeight="1">
      <c r="B122" s="535" t="s">
        <v>140</v>
      </c>
      <c r="C122" s="535"/>
      <c r="D122" s="542"/>
      <c r="E122" s="542"/>
      <c r="F122" s="535"/>
      <c r="G122" s="929">
        <f>'Настройки УИК'!$I$43</f>
        <v>0</v>
      </c>
      <c r="H122" s="929"/>
      <c r="I122" s="929"/>
      <c r="J122" s="929"/>
      <c r="K122" s="929"/>
      <c r="L122" s="929"/>
    </row>
    <row r="123" spans="2:12" ht="19.5" customHeight="1">
      <c r="B123" s="535"/>
      <c r="C123" s="535"/>
      <c r="D123" s="930" t="s">
        <v>5</v>
      </c>
      <c r="E123" s="930"/>
      <c r="F123" s="543"/>
      <c r="G123" s="535"/>
      <c r="H123" s="535"/>
      <c r="I123" s="535"/>
      <c r="J123" s="535"/>
      <c r="K123" s="535"/>
      <c r="L123" s="535"/>
    </row>
    <row r="124" spans="2:12" ht="19.5" customHeight="1"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</row>
    <row r="126" spans="2:12" ht="19.5" customHeight="1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4"/>
      <c r="L128" s="534"/>
    </row>
    <row r="129" spans="2:12" ht="19.5" customHeight="1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</row>
    <row r="132" spans="2:12" ht="19.5" customHeight="1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</row>
    <row r="134" spans="2:12" ht="19.5" customHeight="1"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</row>
    <row r="135" spans="2:12" ht="19.5" customHeight="1">
      <c r="B135" s="928" t="s">
        <v>863</v>
      </c>
      <c r="C135" s="928"/>
      <c r="D135" s="928"/>
      <c r="E135" s="928"/>
      <c r="F135" s="536"/>
      <c r="G135" s="537" t="s">
        <v>864</v>
      </c>
      <c r="H135" s="934">
        <f>'Настройки ТИК'!$C$17</f>
        <v>0</v>
      </c>
      <c r="I135" s="927"/>
      <c r="J135" s="537" t="s">
        <v>790</v>
      </c>
      <c r="K135" s="934">
        <f>'Настройки ТИК'!$D$17</f>
        <v>0</v>
      </c>
      <c r="L135" s="927"/>
    </row>
    <row r="136" spans="2:12" ht="19.5" customHeight="1"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</row>
    <row r="137" spans="2:12" ht="19.5" customHeight="1"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</row>
    <row r="138" spans="2:12" ht="132.75" customHeight="1">
      <c r="B138" s="923" t="s">
        <v>865</v>
      </c>
      <c r="C138" s="923"/>
      <c r="D138" s="923"/>
      <c r="E138" s="923"/>
      <c r="F138" s="539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</row>
    <row r="140" spans="2:12" ht="39.75" customHeight="1">
      <c r="B140" s="925" t="s">
        <v>951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</row>
    <row r="142" spans="2:12" ht="19.5" customHeight="1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</row>
    <row r="144" spans="2:12" ht="19.5" customHeight="1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5" t="s">
        <v>866</v>
      </c>
      <c r="K144" s="926">
        <f>'Расчётная Ведомость'!U105</f>
        <v>0</v>
      </c>
      <c r="L144" s="927"/>
    </row>
    <row r="145" spans="2:12" ht="19.5" customHeight="1">
      <c r="B145" s="541" t="s">
        <v>888</v>
      </c>
      <c r="C145" s="541"/>
      <c r="D145" s="541"/>
      <c r="E145" s="541"/>
      <c r="F145" s="541"/>
      <c r="I145" s="535"/>
      <c r="K145" s="547"/>
      <c r="L145" s="548"/>
    </row>
    <row r="146" spans="2:12" ht="19.5" customHeight="1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5"/>
      <c r="K146" s="547"/>
      <c r="L146" s="548"/>
    </row>
    <row r="147" spans="2:12" ht="19.5" customHeight="1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5"/>
      <c r="K147" s="547"/>
      <c r="L147" s="548"/>
    </row>
    <row r="148" spans="2:12" ht="19.5" customHeight="1">
      <c r="B148" s="935" t="s">
        <v>263</v>
      </c>
      <c r="C148" s="935"/>
      <c r="D148" s="935"/>
      <c r="E148" s="935"/>
      <c r="F148" s="935"/>
      <c r="I148" s="535"/>
      <c r="K148" s="547"/>
      <c r="L148" s="548"/>
    </row>
    <row r="149" spans="2:12" ht="19.5" customHeight="1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5"/>
      <c r="J149" s="535"/>
      <c r="K149" s="535"/>
      <c r="L149" s="535"/>
    </row>
    <row r="150" spans="2:12" ht="19.5" customHeight="1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5"/>
      <c r="J150" s="535"/>
      <c r="K150" s="535"/>
      <c r="L150" s="535"/>
    </row>
    <row r="151" spans="2:12" ht="19.5" customHeight="1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5"/>
      <c r="J151" s="535"/>
      <c r="K151" s="535"/>
      <c r="L151" s="535"/>
    </row>
    <row r="152" spans="2:12" ht="19.5" customHeight="1"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</row>
    <row r="153" spans="2:12" ht="19.5" customHeight="1">
      <c r="B153" s="535" t="s">
        <v>140</v>
      </c>
      <c r="C153" s="535"/>
      <c r="D153" s="542"/>
      <c r="E153" s="542"/>
      <c r="F153" s="535"/>
      <c r="G153" s="929">
        <f>'Настройки УИК'!$I$43</f>
        <v>0</v>
      </c>
      <c r="H153" s="929"/>
      <c r="I153" s="929"/>
      <c r="J153" s="929"/>
      <c r="K153" s="929"/>
      <c r="L153" s="929"/>
    </row>
    <row r="154" spans="2:12" ht="19.5" customHeight="1">
      <c r="B154" s="535"/>
      <c r="C154" s="535"/>
      <c r="D154" s="930" t="s">
        <v>5</v>
      </c>
      <c r="E154" s="930"/>
      <c r="F154" s="543"/>
      <c r="G154" s="535"/>
      <c r="H154" s="535"/>
      <c r="I154" s="535"/>
      <c r="J154" s="535"/>
      <c r="K154" s="535"/>
      <c r="L154" s="535"/>
    </row>
    <row r="155" spans="2:12" ht="19.5" customHeight="1"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</row>
    <row r="158" spans="2:12" ht="19.5" customHeight="1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4"/>
      <c r="L160" s="534"/>
    </row>
    <row r="161" spans="2:12" ht="19.5" customHeight="1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</row>
    <row r="164" spans="2:12" ht="19.5" customHeight="1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</row>
    <row r="166" spans="2:12" ht="19.5" customHeight="1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</row>
    <row r="168" spans="2:12" ht="19.5" customHeight="1">
      <c r="B168" s="928" t="s">
        <v>863</v>
      </c>
      <c r="C168" s="928"/>
      <c r="D168" s="928"/>
      <c r="E168" s="928"/>
      <c r="F168" s="536"/>
      <c r="G168" s="537" t="s">
        <v>864</v>
      </c>
      <c r="H168" s="934">
        <f>'Настройки ТИК'!$C$17</f>
        <v>0</v>
      </c>
      <c r="I168" s="927"/>
      <c r="J168" s="537" t="s">
        <v>790</v>
      </c>
      <c r="K168" s="934">
        <f>'Настройки ТИК'!$D$17</f>
        <v>0</v>
      </c>
      <c r="L168" s="927"/>
    </row>
    <row r="169" spans="2:12" ht="19.5" customHeight="1"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</row>
    <row r="170" spans="2:12" ht="19.5" customHeight="1"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</row>
    <row r="171" spans="2:12" ht="132.75" customHeight="1">
      <c r="B171" s="923" t="s">
        <v>865</v>
      </c>
      <c r="C171" s="923"/>
      <c r="D171" s="923"/>
      <c r="E171" s="923"/>
      <c r="F171" s="539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</row>
    <row r="173" spans="2:12" ht="39.75" customHeight="1">
      <c r="B173" s="925" t="s">
        <v>951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</row>
    <row r="175" spans="2:12" ht="19.5" customHeight="1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</row>
    <row r="177" spans="2:12" ht="19.5" customHeight="1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5" t="s">
        <v>866</v>
      </c>
      <c r="K177" s="926">
        <f ca="1">'Расчётная Ведомость'!U25</f>
        <v>0</v>
      </c>
      <c r="L177" s="927"/>
    </row>
    <row r="178" spans="2:12" ht="19.5" customHeight="1">
      <c r="B178" s="541" t="s">
        <v>888</v>
      </c>
      <c r="C178" s="541"/>
      <c r="D178" s="541"/>
      <c r="E178" s="541"/>
      <c r="F178" s="541"/>
      <c r="I178" s="535"/>
      <c r="K178" s="547"/>
      <c r="L178" s="548"/>
    </row>
    <row r="179" spans="2:12" ht="19.5" customHeight="1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5"/>
      <c r="K179" s="547"/>
      <c r="L179" s="548"/>
    </row>
    <row r="180" spans="2:12" ht="19.5" customHeight="1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5"/>
      <c r="K180" s="547"/>
      <c r="L180" s="548"/>
    </row>
    <row r="181" spans="2:12" ht="19.5" customHeight="1">
      <c r="B181" s="935" t="s">
        <v>263</v>
      </c>
      <c r="C181" s="935"/>
      <c r="D181" s="935"/>
      <c r="E181" s="935"/>
      <c r="F181" s="935"/>
      <c r="I181" s="535"/>
      <c r="K181" s="547"/>
      <c r="L181" s="548"/>
    </row>
    <row r="182" spans="2:12" ht="19.5" customHeight="1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5"/>
      <c r="J182" s="535"/>
      <c r="K182" s="535"/>
      <c r="L182" s="535"/>
    </row>
    <row r="183" spans="2:12" ht="19.5" customHeight="1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5"/>
      <c r="J183" s="535"/>
      <c r="K183" s="535"/>
      <c r="L183" s="535"/>
    </row>
    <row r="184" spans="2:12" ht="19.5" customHeight="1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5"/>
      <c r="J184" s="535"/>
      <c r="K184" s="535"/>
      <c r="L184" s="535"/>
    </row>
    <row r="185" spans="2:12" ht="19.5" customHeight="1"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</row>
    <row r="186" spans="2:12" ht="19.5" customHeight="1">
      <c r="B186" s="535" t="s">
        <v>140</v>
      </c>
      <c r="C186" s="535"/>
      <c r="D186" s="542"/>
      <c r="E186" s="542"/>
      <c r="F186" s="535"/>
      <c r="G186" s="929">
        <f>'Настройки УИК'!$I$43</f>
        <v>0</v>
      </c>
      <c r="H186" s="929"/>
      <c r="I186" s="929"/>
      <c r="J186" s="929"/>
      <c r="K186" s="929"/>
      <c r="L186" s="929"/>
    </row>
    <row r="187" spans="2:12" ht="19.5" customHeight="1">
      <c r="B187" s="535"/>
      <c r="C187" s="535"/>
      <c r="D187" s="930" t="s">
        <v>5</v>
      </c>
      <c r="E187" s="930"/>
      <c r="F187" s="543"/>
      <c r="G187" s="535"/>
      <c r="H187" s="535"/>
      <c r="I187" s="535"/>
      <c r="J187" s="535"/>
      <c r="K187" s="535"/>
      <c r="L187" s="535"/>
    </row>
    <row r="188" spans="2:12" ht="19.5" customHeight="1"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</row>
    <row r="191" spans="2:12" ht="19.5" customHeight="1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4"/>
      <c r="L193" s="534"/>
    </row>
    <row r="194" spans="2:12" ht="19.5" customHeight="1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</row>
    <row r="197" spans="2:12" ht="19.5" customHeight="1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</row>
    <row r="199" spans="2:12" ht="19.5" customHeight="1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</row>
    <row r="201" spans="2:12" ht="19.5" customHeight="1">
      <c r="B201" s="928" t="s">
        <v>863</v>
      </c>
      <c r="C201" s="928"/>
      <c r="D201" s="928"/>
      <c r="E201" s="928"/>
      <c r="F201" s="536"/>
      <c r="G201" s="537" t="s">
        <v>864</v>
      </c>
      <c r="H201" s="934">
        <f>'Настройки ТИК'!$C$17</f>
        <v>0</v>
      </c>
      <c r="I201" s="927"/>
      <c r="J201" s="537" t="s">
        <v>790</v>
      </c>
      <c r="K201" s="934">
        <f>'Настройки ТИК'!$D$17</f>
        <v>0</v>
      </c>
      <c r="L201" s="927"/>
    </row>
    <row r="202" spans="2:12" ht="19.5" customHeight="1"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</row>
    <row r="203" spans="2:12" ht="19.5" customHeight="1"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</row>
    <row r="204" spans="2:12" ht="132.75" customHeight="1">
      <c r="B204" s="923" t="s">
        <v>865</v>
      </c>
      <c r="C204" s="923"/>
      <c r="D204" s="923"/>
      <c r="E204" s="923"/>
      <c r="F204" s="539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</row>
    <row r="206" spans="2:12" ht="39.75" customHeight="1">
      <c r="B206" s="925" t="s">
        <v>951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</row>
    <row r="208" spans="2:12" ht="19.5" customHeight="1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</row>
    <row r="210" spans="2:12" ht="19.5" customHeight="1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5" t="s">
        <v>866</v>
      </c>
      <c r="K210" s="926">
        <f ca="1">'Расчётная Ведомость'!U26</f>
        <v>0</v>
      </c>
      <c r="L210" s="927"/>
    </row>
    <row r="211" spans="2:12" ht="19.5" customHeight="1">
      <c r="B211" s="541" t="s">
        <v>888</v>
      </c>
      <c r="C211" s="541"/>
      <c r="D211" s="541"/>
      <c r="E211" s="541"/>
      <c r="F211" s="541"/>
      <c r="I211" s="535"/>
      <c r="J211" s="535"/>
      <c r="K211" s="535"/>
      <c r="L211" s="535"/>
    </row>
    <row r="212" spans="2:12" ht="19.5" customHeight="1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5"/>
      <c r="J212" s="535"/>
      <c r="K212" s="535"/>
      <c r="L212" s="535"/>
    </row>
    <row r="213" spans="2:12" ht="19.5" customHeight="1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5"/>
      <c r="J213" s="535"/>
      <c r="K213" s="535"/>
      <c r="L213" s="535"/>
    </row>
    <row r="214" spans="2:12" ht="19.5" customHeight="1">
      <c r="B214" s="935" t="s">
        <v>263</v>
      </c>
      <c r="C214" s="935"/>
      <c r="D214" s="935"/>
      <c r="E214" s="935"/>
      <c r="F214" s="935"/>
      <c r="I214" s="535"/>
      <c r="J214" s="535"/>
      <c r="K214" s="535"/>
      <c r="L214" s="535"/>
    </row>
    <row r="215" spans="2:12" ht="19.5" customHeight="1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5"/>
      <c r="J215" s="535"/>
      <c r="K215" s="535"/>
      <c r="L215" s="535"/>
    </row>
    <row r="216" spans="2:12" ht="19.5" customHeight="1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5"/>
      <c r="J216" s="535"/>
      <c r="K216" s="535"/>
      <c r="L216" s="535"/>
    </row>
    <row r="217" spans="2:12" ht="19.5" customHeight="1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5"/>
      <c r="J217" s="535"/>
      <c r="K217" s="535"/>
      <c r="L217" s="535"/>
    </row>
    <row r="218" spans="2:12" ht="19.5" customHeight="1"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</row>
    <row r="219" spans="2:12" ht="19.5" customHeight="1">
      <c r="B219" s="535" t="s">
        <v>140</v>
      </c>
      <c r="C219" s="535"/>
      <c r="D219" s="542"/>
      <c r="E219" s="542"/>
      <c r="F219" s="535"/>
      <c r="G219" s="929">
        <f>'Настройки УИК'!$I$43</f>
        <v>0</v>
      </c>
      <c r="H219" s="929"/>
      <c r="I219" s="929"/>
      <c r="J219" s="929"/>
      <c r="K219" s="929"/>
      <c r="L219" s="929"/>
    </row>
    <row r="220" spans="2:12" ht="19.5" customHeight="1">
      <c r="B220" s="535"/>
      <c r="C220" s="535"/>
      <c r="D220" s="930" t="s">
        <v>5</v>
      </c>
      <c r="E220" s="930"/>
      <c r="F220" s="543"/>
      <c r="G220" s="535"/>
      <c r="H220" s="535"/>
      <c r="I220" s="535"/>
      <c r="J220" s="535"/>
      <c r="K220" s="535"/>
      <c r="L220" s="535"/>
    </row>
    <row r="221" spans="2:12" ht="19.5" customHeight="1"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</row>
    <row r="224" spans="2:12" ht="19.5" customHeight="1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4"/>
      <c r="L226" s="534"/>
    </row>
    <row r="227" spans="2:12" ht="19.5" customHeight="1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</row>
    <row r="230" spans="2:12" ht="19.5" customHeight="1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</row>
    <row r="232" spans="2:12" ht="19.5" customHeight="1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</row>
    <row r="234" spans="2:12" ht="19.5" customHeight="1">
      <c r="B234" s="928" t="s">
        <v>863</v>
      </c>
      <c r="C234" s="928"/>
      <c r="D234" s="928"/>
      <c r="E234" s="928"/>
      <c r="F234" s="536"/>
      <c r="G234" s="537" t="s">
        <v>864</v>
      </c>
      <c r="H234" s="934">
        <f>'Настройки ТИК'!$C$17</f>
        <v>0</v>
      </c>
      <c r="I234" s="927"/>
      <c r="J234" s="537" t="s">
        <v>790</v>
      </c>
      <c r="K234" s="934">
        <f>'Настройки ТИК'!$D$17</f>
        <v>0</v>
      </c>
      <c r="L234" s="927"/>
    </row>
    <row r="235" spans="2:12" ht="19.5" customHeight="1"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</row>
    <row r="236" spans="2:12" ht="19.5" customHeight="1"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</row>
    <row r="237" spans="2:12" ht="132.75" customHeight="1">
      <c r="B237" s="923" t="s">
        <v>865</v>
      </c>
      <c r="C237" s="923"/>
      <c r="D237" s="923"/>
      <c r="E237" s="923"/>
      <c r="F237" s="539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</row>
    <row r="239" spans="2:12" ht="39.75" customHeight="1">
      <c r="B239" s="925" t="s">
        <v>951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</row>
    <row r="241" spans="2:12" ht="19.5" customHeight="1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</row>
    <row r="243" spans="2:12" ht="19.5" customHeight="1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5" t="s">
        <v>866</v>
      </c>
      <c r="K243" s="926">
        <f ca="1">'Расчётная Ведомость'!U27</f>
        <v>0</v>
      </c>
      <c r="L243" s="927"/>
    </row>
    <row r="244" spans="2:12" ht="19.5" customHeight="1">
      <c r="B244" s="541" t="s">
        <v>888</v>
      </c>
      <c r="C244" s="541"/>
      <c r="D244" s="541"/>
      <c r="E244" s="541"/>
      <c r="F244" s="541"/>
      <c r="I244" s="535"/>
      <c r="J244" s="535"/>
      <c r="K244" s="535"/>
      <c r="L244" s="535"/>
    </row>
    <row r="245" spans="2:12" ht="19.5" customHeight="1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5"/>
      <c r="J245" s="535"/>
      <c r="K245" s="535"/>
      <c r="L245" s="535"/>
    </row>
    <row r="246" spans="2:12" ht="19.5" customHeight="1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5"/>
      <c r="J246" s="535"/>
      <c r="K246" s="535"/>
      <c r="L246" s="535"/>
    </row>
    <row r="247" spans="2:12" ht="19.5" customHeight="1">
      <c r="B247" s="935" t="s">
        <v>263</v>
      </c>
      <c r="C247" s="935"/>
      <c r="D247" s="935"/>
      <c r="E247" s="935"/>
      <c r="F247" s="935"/>
      <c r="I247" s="535"/>
      <c r="J247" s="535"/>
      <c r="K247" s="535"/>
      <c r="L247" s="535"/>
    </row>
    <row r="248" spans="2:12" ht="19.5" customHeight="1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5"/>
      <c r="J248" s="535"/>
      <c r="K248" s="535"/>
      <c r="L248" s="535"/>
    </row>
    <row r="249" spans="2:12" ht="19.5" customHeight="1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5"/>
      <c r="J249" s="535"/>
      <c r="K249" s="535"/>
      <c r="L249" s="535"/>
    </row>
    <row r="250" spans="2:12" ht="19.5" customHeight="1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5"/>
      <c r="J250" s="535"/>
      <c r="K250" s="535"/>
      <c r="L250" s="535"/>
    </row>
    <row r="251" spans="2:12" ht="19.5" customHeight="1"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</row>
    <row r="252" spans="2:12" ht="19.5" customHeight="1">
      <c r="B252" s="535" t="s">
        <v>140</v>
      </c>
      <c r="C252" s="535"/>
      <c r="D252" s="542"/>
      <c r="E252" s="542"/>
      <c r="F252" s="535"/>
      <c r="G252" s="929">
        <f>'Настройки УИК'!$I$43</f>
        <v>0</v>
      </c>
      <c r="H252" s="929"/>
      <c r="I252" s="929"/>
      <c r="J252" s="929"/>
      <c r="K252" s="929"/>
      <c r="L252" s="929"/>
    </row>
    <row r="253" spans="2:12" ht="19.5" customHeight="1">
      <c r="B253" s="535"/>
      <c r="C253" s="535"/>
      <c r="D253" s="930" t="s">
        <v>5</v>
      </c>
      <c r="E253" s="930"/>
      <c r="F253" s="543"/>
      <c r="G253" s="535"/>
      <c r="H253" s="535"/>
      <c r="I253" s="535"/>
      <c r="J253" s="535"/>
      <c r="K253" s="535"/>
      <c r="L253" s="535"/>
    </row>
    <row r="254" spans="2:12" ht="19.5" customHeight="1"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</row>
    <row r="257" spans="2:12" ht="19.5" customHeight="1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4"/>
      <c r="L259" s="534"/>
    </row>
    <row r="260" spans="2:12" ht="19.5" customHeight="1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</row>
    <row r="262" spans="2:12" ht="19.5" customHeight="1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</row>
    <row r="264" spans="2:12" ht="19.5" customHeight="1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</row>
    <row r="266" spans="2:12" ht="19.5" customHeight="1">
      <c r="B266" s="928" t="s">
        <v>863</v>
      </c>
      <c r="C266" s="928"/>
      <c r="D266" s="928"/>
      <c r="E266" s="928"/>
      <c r="F266" s="536"/>
      <c r="G266" s="537" t="s">
        <v>864</v>
      </c>
      <c r="H266" s="934">
        <f>'Настройки ТИК'!$C$17</f>
        <v>0</v>
      </c>
      <c r="I266" s="927"/>
      <c r="J266" s="537" t="s">
        <v>790</v>
      </c>
      <c r="K266" s="934">
        <f>'Настройки ТИК'!$D$17</f>
        <v>0</v>
      </c>
      <c r="L266" s="927"/>
    </row>
    <row r="267" spans="2:12" ht="19.5" customHeight="1"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</row>
    <row r="268" spans="2:12" ht="19.5" customHeight="1"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</row>
    <row r="269" spans="2:12" ht="132.75" customHeight="1">
      <c r="B269" s="923" t="s">
        <v>865</v>
      </c>
      <c r="C269" s="923"/>
      <c r="D269" s="923"/>
      <c r="E269" s="923"/>
      <c r="F269" s="539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</row>
    <row r="271" spans="2:12" ht="39.75" customHeight="1">
      <c r="B271" s="925" t="s">
        <v>951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</row>
    <row r="273" spans="2:12" ht="19.5" customHeight="1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</row>
    <row r="275" spans="2:12" ht="19.5" customHeight="1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5" t="s">
        <v>866</v>
      </c>
      <c r="K275" s="926">
        <f ca="1">'Расчётная Ведомость'!U28</f>
        <v>0</v>
      </c>
      <c r="L275" s="927"/>
    </row>
    <row r="276" spans="2:12" ht="19.5" customHeight="1">
      <c r="B276" s="541" t="s">
        <v>888</v>
      </c>
      <c r="C276" s="541"/>
      <c r="D276" s="541"/>
      <c r="E276" s="541"/>
      <c r="F276" s="541"/>
      <c r="I276" s="535"/>
      <c r="J276" s="535"/>
      <c r="K276" s="535"/>
      <c r="L276" s="535"/>
    </row>
    <row r="277" spans="2:12" ht="19.5" customHeight="1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5"/>
      <c r="J277" s="535"/>
      <c r="K277" s="535"/>
      <c r="L277" s="535"/>
    </row>
    <row r="278" spans="2:12" ht="19.5" customHeight="1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5"/>
      <c r="J278" s="535"/>
      <c r="K278" s="535"/>
      <c r="L278" s="535"/>
    </row>
    <row r="279" spans="2:12" ht="19.5" customHeight="1">
      <c r="B279" s="935" t="s">
        <v>263</v>
      </c>
      <c r="C279" s="935"/>
      <c r="D279" s="935"/>
      <c r="E279" s="935"/>
      <c r="F279" s="935"/>
      <c r="I279" s="535"/>
      <c r="J279" s="535"/>
      <c r="K279" s="535"/>
      <c r="L279" s="535"/>
    </row>
    <row r="280" spans="2:12" ht="19.5" customHeight="1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5"/>
      <c r="J280" s="535"/>
      <c r="K280" s="535"/>
      <c r="L280" s="535"/>
    </row>
    <row r="281" spans="2:12" ht="19.5" customHeight="1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5"/>
      <c r="J281" s="535"/>
      <c r="K281" s="535"/>
      <c r="L281" s="535"/>
    </row>
    <row r="282" spans="2:12" ht="19.5" customHeight="1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5"/>
      <c r="J282" s="535"/>
      <c r="K282" s="535"/>
      <c r="L282" s="535"/>
    </row>
    <row r="283" spans="2:12" ht="19.5" customHeight="1"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</row>
    <row r="284" spans="2:12" ht="19.5" customHeight="1">
      <c r="B284" s="535" t="s">
        <v>140</v>
      </c>
      <c r="C284" s="535"/>
      <c r="D284" s="542"/>
      <c r="E284" s="542"/>
      <c r="F284" s="535"/>
      <c r="G284" s="929">
        <f>'Настройки УИК'!$I$43</f>
        <v>0</v>
      </c>
      <c r="H284" s="929"/>
      <c r="I284" s="929"/>
      <c r="J284" s="929"/>
      <c r="K284" s="929"/>
      <c r="L284" s="929"/>
    </row>
    <row r="285" spans="2:12" ht="19.5" customHeight="1">
      <c r="B285" s="535"/>
      <c r="C285" s="535"/>
      <c r="D285" s="930" t="s">
        <v>5</v>
      </c>
      <c r="E285" s="930"/>
      <c r="F285" s="543"/>
      <c r="G285" s="535"/>
      <c r="H285" s="535"/>
      <c r="I285" s="535"/>
      <c r="J285" s="535"/>
      <c r="K285" s="535"/>
      <c r="L285" s="535"/>
    </row>
    <row r="286" spans="2:12" ht="19.5" customHeight="1"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</row>
    <row r="289" spans="2:12" ht="19.5" customHeight="1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4"/>
      <c r="L291" s="534"/>
    </row>
    <row r="292" spans="2:12" ht="19.5" customHeight="1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</row>
    <row r="294" spans="2:12" ht="19.5" customHeight="1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</row>
    <row r="296" spans="2:12" ht="19.5" customHeight="1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</row>
    <row r="298" spans="2:12" ht="19.5" customHeight="1">
      <c r="B298" s="928" t="s">
        <v>863</v>
      </c>
      <c r="C298" s="928"/>
      <c r="D298" s="928"/>
      <c r="E298" s="928"/>
      <c r="F298" s="536"/>
      <c r="G298" s="537" t="s">
        <v>864</v>
      </c>
      <c r="H298" s="934">
        <f>'Настройки ТИК'!$C$17</f>
        <v>0</v>
      </c>
      <c r="I298" s="927"/>
      <c r="J298" s="537" t="s">
        <v>790</v>
      </c>
      <c r="K298" s="934">
        <f>'Настройки ТИК'!$D$17</f>
        <v>0</v>
      </c>
      <c r="L298" s="927"/>
    </row>
    <row r="299" spans="2:12" ht="19.5" customHeight="1"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</row>
    <row r="300" spans="2:12" ht="19.5" customHeight="1"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</row>
    <row r="301" spans="2:12" ht="132.75" customHeight="1">
      <c r="B301" s="923" t="s">
        <v>865</v>
      </c>
      <c r="C301" s="923"/>
      <c r="D301" s="923"/>
      <c r="E301" s="923"/>
      <c r="F301" s="539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</row>
    <row r="303" spans="2:12" ht="39.75" customHeight="1">
      <c r="B303" s="925" t="s">
        <v>951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</row>
    <row r="305" spans="2:12" ht="19.5" customHeight="1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</row>
    <row r="307" spans="2:12" ht="19.5" customHeight="1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5" t="s">
        <v>866</v>
      </c>
      <c r="K307" s="926">
        <f ca="1">'Расчётная Ведомость'!U29</f>
        <v>0</v>
      </c>
      <c r="L307" s="927"/>
    </row>
    <row r="308" spans="2:12" ht="19.5" customHeight="1">
      <c r="B308" s="541" t="s">
        <v>888</v>
      </c>
      <c r="C308" s="541"/>
      <c r="D308" s="541"/>
      <c r="E308" s="541"/>
      <c r="F308" s="541"/>
      <c r="I308" s="535"/>
      <c r="J308" s="535"/>
      <c r="K308" s="535"/>
      <c r="L308" s="535"/>
    </row>
    <row r="309" spans="2:12" ht="19.5" customHeight="1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5"/>
      <c r="J309" s="535"/>
      <c r="K309" s="535"/>
      <c r="L309" s="535"/>
    </row>
    <row r="310" spans="2:12" ht="19.5" customHeight="1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5"/>
      <c r="J310" s="535"/>
      <c r="K310" s="535"/>
      <c r="L310" s="535"/>
    </row>
    <row r="311" spans="2:12" ht="19.5" customHeight="1">
      <c r="B311" s="935" t="s">
        <v>263</v>
      </c>
      <c r="C311" s="935"/>
      <c r="D311" s="935"/>
      <c r="E311" s="935"/>
      <c r="F311" s="935"/>
      <c r="I311" s="535"/>
      <c r="J311" s="535"/>
      <c r="K311" s="535"/>
      <c r="L311" s="535"/>
    </row>
    <row r="312" spans="2:12" ht="19.5" customHeight="1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5"/>
      <c r="J312" s="535"/>
      <c r="K312" s="535"/>
      <c r="L312" s="535"/>
    </row>
    <row r="313" spans="2:12" ht="19.5" customHeight="1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5"/>
      <c r="J313" s="535"/>
      <c r="K313" s="535"/>
      <c r="L313" s="535"/>
    </row>
    <row r="314" spans="2:12" ht="19.5" customHeight="1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5"/>
      <c r="J314" s="535"/>
      <c r="K314" s="535"/>
      <c r="L314" s="535"/>
    </row>
    <row r="315" spans="2:12" ht="19.5" customHeight="1"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</row>
    <row r="316" spans="2:12" ht="19.5" customHeight="1">
      <c r="B316" s="535" t="s">
        <v>140</v>
      </c>
      <c r="C316" s="535"/>
      <c r="D316" s="542"/>
      <c r="E316" s="542"/>
      <c r="F316" s="535"/>
      <c r="G316" s="929">
        <f>'Настройки УИК'!$I$43</f>
        <v>0</v>
      </c>
      <c r="H316" s="929"/>
      <c r="I316" s="929"/>
      <c r="J316" s="929"/>
      <c r="K316" s="929"/>
      <c r="L316" s="929"/>
    </row>
    <row r="317" spans="2:12" ht="19.5" customHeight="1">
      <c r="B317" s="535"/>
      <c r="C317" s="535"/>
      <c r="D317" s="930" t="s">
        <v>5</v>
      </c>
      <c r="E317" s="930"/>
      <c r="F317" s="543"/>
      <c r="G317" s="535"/>
      <c r="H317" s="535"/>
      <c r="I317" s="535"/>
      <c r="J317" s="535"/>
      <c r="K317" s="535"/>
      <c r="L317" s="535"/>
    </row>
    <row r="318" spans="2:12" ht="19.5" customHeight="1"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</row>
    <row r="321" spans="2:12" ht="19.5" customHeight="1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4"/>
      <c r="L323" s="534"/>
    </row>
    <row r="324" spans="2:12" ht="19.5" customHeight="1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</row>
    <row r="326" spans="2:12" ht="19.5" customHeight="1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</row>
    <row r="328" spans="2:12" ht="19.5" customHeight="1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</row>
    <row r="330" spans="2:12" ht="19.5" customHeight="1">
      <c r="B330" s="928" t="s">
        <v>863</v>
      </c>
      <c r="C330" s="928"/>
      <c r="D330" s="928"/>
      <c r="E330" s="928"/>
      <c r="F330" s="536"/>
      <c r="G330" s="537" t="s">
        <v>864</v>
      </c>
      <c r="H330" s="934">
        <f>'Настройки ТИК'!$C$17</f>
        <v>0</v>
      </c>
      <c r="I330" s="927"/>
      <c r="J330" s="537" t="s">
        <v>790</v>
      </c>
      <c r="K330" s="934">
        <f>'Настройки ТИК'!$D$17</f>
        <v>0</v>
      </c>
      <c r="L330" s="927"/>
    </row>
    <row r="331" spans="2:12" ht="19.5" customHeight="1"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</row>
    <row r="332" spans="2:12" ht="19.5" customHeight="1"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</row>
    <row r="333" spans="2:12" ht="132.75" customHeight="1">
      <c r="B333" s="923" t="s">
        <v>865</v>
      </c>
      <c r="C333" s="923"/>
      <c r="D333" s="923"/>
      <c r="E333" s="923"/>
      <c r="F333" s="539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</row>
    <row r="335" spans="2:12" ht="39.75" customHeight="1">
      <c r="B335" s="925" t="s">
        <v>951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</row>
    <row r="337" spans="2:12" ht="19.5" customHeight="1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</row>
    <row r="339" spans="2:12" ht="19.5" customHeight="1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5" t="s">
        <v>866</v>
      </c>
      <c r="K339" s="926">
        <f ca="1">'Расчётная Ведомость'!U30</f>
        <v>0</v>
      </c>
      <c r="L339" s="927"/>
    </row>
    <row r="340" spans="2:12" ht="19.5" customHeight="1">
      <c r="B340" s="541" t="s">
        <v>888</v>
      </c>
      <c r="C340" s="541"/>
      <c r="D340" s="541"/>
      <c r="E340" s="541"/>
      <c r="F340" s="541"/>
      <c r="I340" s="535"/>
      <c r="J340" s="535"/>
      <c r="K340" s="535"/>
      <c r="L340" s="535"/>
    </row>
    <row r="341" spans="2:12" ht="19.5" customHeight="1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5"/>
      <c r="J341" s="535"/>
      <c r="K341" s="535"/>
      <c r="L341" s="535"/>
    </row>
    <row r="342" spans="2:12" ht="19.5" customHeight="1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5"/>
      <c r="J342" s="535"/>
      <c r="K342" s="535"/>
      <c r="L342" s="535"/>
    </row>
    <row r="343" spans="2:12" ht="19.5" customHeight="1">
      <c r="B343" s="935" t="s">
        <v>263</v>
      </c>
      <c r="C343" s="935"/>
      <c r="D343" s="935"/>
      <c r="E343" s="935"/>
      <c r="F343" s="935"/>
      <c r="I343" s="535"/>
      <c r="J343" s="535"/>
      <c r="K343" s="535"/>
      <c r="L343" s="535"/>
    </row>
    <row r="344" spans="2:12" ht="19.5" customHeight="1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5"/>
      <c r="J344" s="535"/>
      <c r="K344" s="535"/>
      <c r="L344" s="535"/>
    </row>
    <row r="345" spans="2:12" ht="19.5" customHeight="1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5"/>
      <c r="J345" s="535"/>
      <c r="K345" s="535"/>
      <c r="L345" s="535"/>
    </row>
    <row r="346" spans="2:12" ht="19.5" customHeight="1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5"/>
      <c r="J346" s="535"/>
      <c r="K346" s="535"/>
      <c r="L346" s="535"/>
    </row>
    <row r="347" spans="2:12" ht="19.5" customHeight="1"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</row>
    <row r="348" spans="2:12" ht="19.5" customHeight="1">
      <c r="B348" s="535" t="s">
        <v>140</v>
      </c>
      <c r="C348" s="535"/>
      <c r="D348" s="542"/>
      <c r="E348" s="542"/>
      <c r="F348" s="535"/>
      <c r="G348" s="929">
        <f>'Настройки УИК'!$I$43</f>
        <v>0</v>
      </c>
      <c r="H348" s="929"/>
      <c r="I348" s="929"/>
      <c r="J348" s="929"/>
      <c r="K348" s="929"/>
      <c r="L348" s="929"/>
    </row>
    <row r="349" spans="2:12" ht="19.5" customHeight="1">
      <c r="B349" s="535"/>
      <c r="C349" s="535"/>
      <c r="D349" s="930" t="s">
        <v>5</v>
      </c>
      <c r="E349" s="930"/>
      <c r="F349" s="543"/>
      <c r="G349" s="535"/>
      <c r="H349" s="535"/>
      <c r="I349" s="535"/>
      <c r="J349" s="535"/>
      <c r="K349" s="535"/>
      <c r="L349" s="535"/>
    </row>
    <row r="350" spans="2:12" ht="19.5" customHeight="1"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</row>
    <row r="353" spans="2:12" ht="19.5" customHeight="1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4"/>
      <c r="L355" s="534"/>
    </row>
    <row r="356" spans="2:12" ht="19.5" customHeight="1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</row>
    <row r="358" spans="2:12" ht="19.5" customHeight="1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</row>
    <row r="360" spans="2:12" ht="19.5" customHeight="1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</row>
    <row r="362" spans="2:12" ht="19.5" customHeight="1">
      <c r="B362" s="928" t="s">
        <v>863</v>
      </c>
      <c r="C362" s="928"/>
      <c r="D362" s="928"/>
      <c r="E362" s="928"/>
      <c r="F362" s="536"/>
      <c r="G362" s="537" t="s">
        <v>864</v>
      </c>
      <c r="H362" s="934">
        <f>'Настройки ТИК'!$C$17</f>
        <v>0</v>
      </c>
      <c r="I362" s="927"/>
      <c r="J362" s="537" t="s">
        <v>790</v>
      </c>
      <c r="K362" s="934">
        <f>'Настройки ТИК'!$D$17</f>
        <v>0</v>
      </c>
      <c r="L362" s="927"/>
    </row>
    <row r="363" spans="2:12" ht="19.5" customHeight="1"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</row>
    <row r="364" spans="2:12" ht="19.5" customHeight="1"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</row>
    <row r="365" spans="2:12" ht="132.75" customHeight="1">
      <c r="B365" s="923" t="s">
        <v>865</v>
      </c>
      <c r="C365" s="923"/>
      <c r="D365" s="923"/>
      <c r="E365" s="923"/>
      <c r="F365" s="539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</row>
    <row r="367" spans="2:12" ht="39.75" customHeight="1">
      <c r="B367" s="925" t="s">
        <v>951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</row>
    <row r="369" spans="2:12" ht="19.5" customHeight="1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</row>
    <row r="371" spans="2:12" ht="19.5" customHeight="1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5" t="s">
        <v>866</v>
      </c>
      <c r="K371" s="926">
        <f ca="1">'Расчётная Ведомость'!U31</f>
        <v>0</v>
      </c>
      <c r="L371" s="927"/>
    </row>
    <row r="372" spans="2:12" ht="19.5" customHeight="1">
      <c r="B372" s="541" t="s">
        <v>888</v>
      </c>
      <c r="C372" s="541"/>
      <c r="D372" s="541"/>
      <c r="E372" s="541"/>
      <c r="F372" s="541"/>
      <c r="I372" s="535"/>
      <c r="J372" s="535"/>
      <c r="K372" s="535"/>
      <c r="L372" s="535"/>
    </row>
    <row r="373" spans="2:12" ht="19.5" customHeight="1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5"/>
      <c r="J373" s="535"/>
      <c r="K373" s="535"/>
      <c r="L373" s="535"/>
    </row>
    <row r="374" spans="2:12" ht="19.5" customHeight="1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5"/>
      <c r="J374" s="535"/>
      <c r="K374" s="535"/>
      <c r="L374" s="535"/>
    </row>
    <row r="375" spans="2:12" ht="19.5" customHeight="1">
      <c r="B375" s="935" t="s">
        <v>263</v>
      </c>
      <c r="C375" s="935"/>
      <c r="D375" s="935"/>
      <c r="E375" s="935"/>
      <c r="F375" s="935"/>
      <c r="I375" s="535"/>
      <c r="J375" s="535"/>
      <c r="K375" s="535"/>
      <c r="L375" s="535"/>
    </row>
    <row r="376" spans="2:12" ht="19.5" customHeight="1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5"/>
      <c r="J376" s="535"/>
      <c r="K376" s="535"/>
      <c r="L376" s="535"/>
    </row>
    <row r="377" spans="2:12" ht="19.5" customHeight="1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5"/>
      <c r="J377" s="535"/>
      <c r="K377" s="535"/>
      <c r="L377" s="535"/>
    </row>
    <row r="378" spans="2:12" ht="19.5" customHeight="1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5"/>
      <c r="J378" s="535"/>
      <c r="K378" s="535"/>
      <c r="L378" s="535"/>
    </row>
    <row r="379" spans="2:12" ht="19.5" customHeight="1"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</row>
    <row r="380" spans="2:12" ht="19.5" customHeight="1">
      <c r="B380" s="535" t="s">
        <v>140</v>
      </c>
      <c r="C380" s="535"/>
      <c r="D380" s="542"/>
      <c r="E380" s="542"/>
      <c r="F380" s="535"/>
      <c r="G380" s="929">
        <f>'Настройки УИК'!$I$43</f>
        <v>0</v>
      </c>
      <c r="H380" s="929"/>
      <c r="I380" s="929"/>
      <c r="J380" s="929"/>
      <c r="K380" s="929"/>
      <c r="L380" s="929"/>
    </row>
    <row r="381" spans="2:12" ht="19.5" customHeight="1">
      <c r="B381" s="535"/>
      <c r="C381" s="535"/>
      <c r="D381" s="930" t="s">
        <v>5</v>
      </c>
      <c r="E381" s="930"/>
      <c r="F381" s="543"/>
      <c r="G381" s="535"/>
      <c r="H381" s="535"/>
      <c r="I381" s="535"/>
      <c r="J381" s="535"/>
      <c r="K381" s="535"/>
      <c r="L381" s="535"/>
    </row>
    <row r="382" spans="2:12" ht="19.5" customHeight="1"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</row>
    <row r="385" spans="2:12" ht="19.5" customHeight="1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4"/>
      <c r="L387" s="534"/>
    </row>
    <row r="388" spans="2:12" ht="19.5" customHeight="1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</row>
    <row r="390" spans="2:12" ht="19.5" customHeight="1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</row>
    <row r="392" spans="2:12" ht="19.5" customHeight="1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</row>
    <row r="394" spans="2:12" ht="19.5" customHeight="1">
      <c r="B394" s="928" t="s">
        <v>863</v>
      </c>
      <c r="C394" s="928"/>
      <c r="D394" s="928"/>
      <c r="E394" s="928"/>
      <c r="F394" s="536"/>
      <c r="G394" s="537" t="s">
        <v>864</v>
      </c>
      <c r="H394" s="934">
        <f>'Настройки ТИК'!$C$17</f>
        <v>0</v>
      </c>
      <c r="I394" s="927"/>
      <c r="J394" s="537" t="s">
        <v>790</v>
      </c>
      <c r="K394" s="934">
        <f>'Настройки ТИК'!$D$17</f>
        <v>0</v>
      </c>
      <c r="L394" s="927"/>
    </row>
    <row r="395" spans="2:12" ht="19.5" customHeight="1"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</row>
    <row r="396" spans="2:12" ht="19.5" customHeight="1"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</row>
    <row r="397" spans="2:12" ht="132.75" customHeight="1">
      <c r="B397" s="923" t="s">
        <v>865</v>
      </c>
      <c r="C397" s="923"/>
      <c r="D397" s="923"/>
      <c r="E397" s="923"/>
      <c r="F397" s="539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</row>
    <row r="399" spans="2:12" ht="39.75" customHeight="1">
      <c r="B399" s="925" t="s">
        <v>951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</row>
    <row r="401" spans="2:12" ht="19.5" customHeight="1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</row>
    <row r="403" spans="2:12" ht="19.5" customHeight="1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5" t="s">
        <v>866</v>
      </c>
      <c r="K403" s="926">
        <f ca="1">'Расчётная Ведомость'!U32</f>
        <v>0</v>
      </c>
      <c r="L403" s="927"/>
    </row>
    <row r="404" spans="2:12" ht="19.5" customHeight="1">
      <c r="B404" s="541" t="s">
        <v>888</v>
      </c>
      <c r="C404" s="541"/>
      <c r="D404" s="541"/>
      <c r="E404" s="541"/>
      <c r="F404" s="541"/>
      <c r="I404" s="535"/>
      <c r="J404" s="535"/>
      <c r="K404" s="535"/>
      <c r="L404" s="535"/>
    </row>
    <row r="405" spans="2:12" ht="19.5" customHeight="1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5"/>
      <c r="J405" s="535"/>
      <c r="K405" s="535"/>
      <c r="L405" s="535"/>
    </row>
    <row r="406" spans="2:12" ht="19.5" customHeight="1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5"/>
      <c r="J406" s="535"/>
      <c r="K406" s="535"/>
      <c r="L406" s="535"/>
    </row>
    <row r="407" spans="2:12" ht="19.5" customHeight="1">
      <c r="B407" s="935" t="s">
        <v>263</v>
      </c>
      <c r="C407" s="935"/>
      <c r="D407" s="935"/>
      <c r="E407" s="935"/>
      <c r="F407" s="935"/>
      <c r="I407" s="535"/>
      <c r="J407" s="535"/>
      <c r="K407" s="535"/>
      <c r="L407" s="535"/>
    </row>
    <row r="408" spans="2:12" ht="19.5" customHeight="1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5"/>
      <c r="J408" s="535"/>
      <c r="K408" s="535"/>
      <c r="L408" s="535"/>
    </row>
    <row r="409" spans="2:12" ht="19.5" customHeight="1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5"/>
      <c r="J409" s="535"/>
      <c r="K409" s="535"/>
      <c r="L409" s="535"/>
    </row>
    <row r="410" spans="2:12" ht="19.5" customHeight="1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5"/>
      <c r="J410" s="535"/>
      <c r="K410" s="535"/>
      <c r="L410" s="535"/>
    </row>
    <row r="411" spans="2:12" ht="19.5" customHeight="1"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</row>
    <row r="412" spans="2:12" ht="19.5" customHeight="1">
      <c r="B412" s="535" t="s">
        <v>140</v>
      </c>
      <c r="C412" s="535"/>
      <c r="D412" s="542"/>
      <c r="E412" s="542"/>
      <c r="F412" s="535"/>
      <c r="G412" s="929">
        <f>'Настройки УИК'!$I$43</f>
        <v>0</v>
      </c>
      <c r="H412" s="929"/>
      <c r="I412" s="929"/>
      <c r="J412" s="929"/>
      <c r="K412" s="929"/>
      <c r="L412" s="929"/>
    </row>
    <row r="413" spans="2:12" ht="19.5" customHeight="1">
      <c r="B413" s="535"/>
      <c r="C413" s="535"/>
      <c r="D413" s="930" t="s">
        <v>5</v>
      </c>
      <c r="E413" s="930"/>
      <c r="F413" s="543"/>
      <c r="G413" s="535"/>
      <c r="H413" s="535"/>
      <c r="I413" s="535"/>
      <c r="J413" s="535"/>
      <c r="K413" s="535"/>
      <c r="L413" s="535"/>
    </row>
    <row r="414" spans="2:12" ht="19.5" customHeight="1"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</row>
    <row r="417" spans="2:12" ht="19.5" customHeight="1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4"/>
      <c r="L419" s="534"/>
    </row>
    <row r="420" spans="2:12" ht="19.5" customHeight="1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</row>
    <row r="422" spans="2:12" ht="19.5" customHeight="1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</row>
    <row r="424" spans="2:12" ht="19.5" customHeight="1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</row>
    <row r="426" spans="2:12" ht="19.5" customHeight="1">
      <c r="B426" s="928" t="s">
        <v>863</v>
      </c>
      <c r="C426" s="928"/>
      <c r="D426" s="928"/>
      <c r="E426" s="928"/>
      <c r="F426" s="536"/>
      <c r="G426" s="537" t="s">
        <v>864</v>
      </c>
      <c r="H426" s="934">
        <f>'Настройки ТИК'!$C$17</f>
        <v>0</v>
      </c>
      <c r="I426" s="927"/>
      <c r="J426" s="537" t="s">
        <v>790</v>
      </c>
      <c r="K426" s="934">
        <f>'Настройки ТИК'!$D$17</f>
        <v>0</v>
      </c>
      <c r="L426" s="927"/>
    </row>
    <row r="427" spans="2:12" ht="19.5" customHeight="1"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</row>
    <row r="428" spans="2:12" ht="19.5" customHeight="1"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</row>
    <row r="429" spans="2:12" ht="132.75" customHeight="1">
      <c r="B429" s="923" t="s">
        <v>865</v>
      </c>
      <c r="C429" s="923"/>
      <c r="D429" s="923"/>
      <c r="E429" s="923"/>
      <c r="F429" s="539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</row>
    <row r="431" spans="2:12" ht="39.75" customHeight="1">
      <c r="B431" s="925" t="s">
        <v>951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</row>
    <row r="433" spans="2:12" ht="19.5" customHeight="1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</row>
    <row r="435" spans="2:12" ht="19.5" customHeight="1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5" t="s">
        <v>866</v>
      </c>
      <c r="K435" s="926">
        <f ca="1">'Расчётная Ведомость'!U33</f>
        <v>0</v>
      </c>
      <c r="L435" s="927"/>
    </row>
    <row r="436" spans="2:12" ht="19.5" customHeight="1">
      <c r="B436" s="541" t="s">
        <v>888</v>
      </c>
      <c r="C436" s="541"/>
      <c r="D436" s="541"/>
      <c r="E436" s="541"/>
      <c r="F436" s="541"/>
      <c r="I436" s="535"/>
      <c r="J436" s="535"/>
      <c r="K436" s="535"/>
      <c r="L436" s="535"/>
    </row>
    <row r="437" spans="2:12" ht="19.5" customHeight="1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5"/>
      <c r="J437" s="535"/>
      <c r="K437" s="535"/>
      <c r="L437" s="535"/>
    </row>
    <row r="438" spans="2:12" ht="19.5" customHeight="1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5"/>
      <c r="J438" s="535"/>
      <c r="K438" s="535"/>
      <c r="L438" s="535"/>
    </row>
    <row r="439" spans="2:12" ht="19.5" customHeight="1">
      <c r="B439" s="935" t="s">
        <v>263</v>
      </c>
      <c r="C439" s="935"/>
      <c r="D439" s="935"/>
      <c r="E439" s="935"/>
      <c r="F439" s="935"/>
      <c r="I439" s="535"/>
      <c r="J439" s="535"/>
      <c r="K439" s="535"/>
      <c r="L439" s="535"/>
    </row>
    <row r="440" spans="2:12" ht="19.5" customHeight="1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5"/>
      <c r="J440" s="535"/>
      <c r="K440" s="535"/>
      <c r="L440" s="535"/>
    </row>
    <row r="441" spans="2:12" ht="19.5" customHeight="1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5"/>
      <c r="J441" s="535"/>
      <c r="K441" s="535"/>
      <c r="L441" s="535"/>
    </row>
    <row r="442" spans="2:12" ht="19.5" customHeight="1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5"/>
      <c r="J442" s="535"/>
      <c r="K442" s="535"/>
      <c r="L442" s="535"/>
    </row>
    <row r="443" spans="2:12" ht="19.5" customHeight="1"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</row>
    <row r="444" spans="2:12" ht="19.5" customHeight="1">
      <c r="B444" s="535" t="s">
        <v>140</v>
      </c>
      <c r="C444" s="535"/>
      <c r="D444" s="542"/>
      <c r="E444" s="542"/>
      <c r="F444" s="535"/>
      <c r="G444" s="929">
        <f>'Настройки УИК'!$I$43</f>
        <v>0</v>
      </c>
      <c r="H444" s="929"/>
      <c r="I444" s="929"/>
      <c r="J444" s="929"/>
      <c r="K444" s="929"/>
      <c r="L444" s="929"/>
    </row>
    <row r="445" spans="2:12" ht="19.5" customHeight="1">
      <c r="B445" s="535"/>
      <c r="C445" s="535"/>
      <c r="D445" s="930" t="s">
        <v>5</v>
      </c>
      <c r="E445" s="930"/>
      <c r="F445" s="543"/>
      <c r="G445" s="535"/>
      <c r="H445" s="535"/>
      <c r="I445" s="535"/>
      <c r="J445" s="535"/>
      <c r="K445" s="535"/>
      <c r="L445" s="535"/>
    </row>
    <row r="446" spans="2:12" ht="19.5" customHeight="1"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</row>
    <row r="449" spans="2:12" ht="19.5" customHeight="1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4"/>
      <c r="L451" s="534"/>
    </row>
    <row r="452" spans="2:12" ht="19.5" customHeight="1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</row>
    <row r="454" spans="2:12" ht="19.5" customHeight="1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</row>
    <row r="456" spans="2:12" ht="19.5" customHeight="1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</row>
    <row r="458" spans="2:12" ht="19.5" customHeight="1">
      <c r="B458" s="928" t="s">
        <v>863</v>
      </c>
      <c r="C458" s="928"/>
      <c r="D458" s="928"/>
      <c r="E458" s="928"/>
      <c r="F458" s="536"/>
      <c r="G458" s="537" t="s">
        <v>864</v>
      </c>
      <c r="H458" s="934">
        <f>'Настройки ТИК'!$C$17</f>
        <v>0</v>
      </c>
      <c r="I458" s="927"/>
      <c r="J458" s="537" t="s">
        <v>790</v>
      </c>
      <c r="K458" s="934">
        <f>'Настройки ТИК'!$D$17</f>
        <v>0</v>
      </c>
      <c r="L458" s="927"/>
    </row>
    <row r="459" spans="2:12" ht="19.5" customHeight="1"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</row>
    <row r="460" spans="2:12" ht="19.5" customHeight="1"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</row>
    <row r="461" spans="2:12" ht="132.75" customHeight="1">
      <c r="B461" s="923" t="s">
        <v>865</v>
      </c>
      <c r="C461" s="923"/>
      <c r="D461" s="923"/>
      <c r="E461" s="923"/>
      <c r="F461" s="539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</row>
    <row r="463" spans="2:12" ht="39.75" customHeight="1">
      <c r="B463" s="925" t="s">
        <v>951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</row>
    <row r="465" spans="2:12" ht="19.5" customHeight="1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</row>
    <row r="467" spans="2:12" ht="19.5" customHeight="1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5" t="s">
        <v>866</v>
      </c>
      <c r="K467" s="926">
        <f ca="1">'Расчётная Ведомость'!U34</f>
        <v>0</v>
      </c>
      <c r="L467" s="927"/>
    </row>
    <row r="468" spans="2:12" ht="19.5" customHeight="1">
      <c r="B468" s="541" t="s">
        <v>888</v>
      </c>
      <c r="C468" s="541"/>
      <c r="D468" s="541"/>
      <c r="E468" s="541"/>
      <c r="F468" s="541"/>
      <c r="I468" s="535"/>
      <c r="K468" s="535"/>
      <c r="L468" s="535"/>
    </row>
    <row r="469" spans="2:12" ht="19.5" customHeight="1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5"/>
      <c r="K469" s="535"/>
      <c r="L469" s="535"/>
    </row>
    <row r="470" spans="2:12" ht="19.5" customHeight="1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5"/>
      <c r="K470" s="535"/>
      <c r="L470" s="535"/>
    </row>
    <row r="471" spans="2:12" ht="19.5" customHeight="1">
      <c r="B471" s="935" t="s">
        <v>263</v>
      </c>
      <c r="C471" s="935"/>
      <c r="D471" s="935"/>
      <c r="E471" s="935"/>
      <c r="F471" s="935"/>
      <c r="I471" s="535"/>
      <c r="K471" s="535"/>
      <c r="L471" s="535"/>
    </row>
    <row r="472" spans="2:12" ht="19.5" customHeight="1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5"/>
      <c r="J472" s="535"/>
      <c r="K472" s="535"/>
      <c r="L472" s="535"/>
    </row>
    <row r="473" spans="2:12" ht="19.5" customHeight="1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5"/>
      <c r="J473" s="535"/>
      <c r="K473" s="535"/>
      <c r="L473" s="535"/>
    </row>
    <row r="474" spans="2:12" ht="19.5" customHeight="1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5"/>
      <c r="J474" s="535"/>
      <c r="K474" s="535"/>
      <c r="L474" s="535"/>
    </row>
    <row r="475" spans="2:12" ht="19.5" customHeight="1"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</row>
    <row r="476" spans="2:12" ht="19.5" customHeight="1">
      <c r="B476" s="535" t="s">
        <v>140</v>
      </c>
      <c r="C476" s="535"/>
      <c r="D476" s="542"/>
      <c r="E476" s="542"/>
      <c r="F476" s="535"/>
      <c r="G476" s="929">
        <f>'Настройки УИК'!$I$43</f>
        <v>0</v>
      </c>
      <c r="H476" s="929"/>
      <c r="I476" s="929"/>
      <c r="J476" s="929"/>
      <c r="K476" s="929"/>
      <c r="L476" s="929"/>
    </row>
    <row r="477" spans="2:12" ht="19.5" customHeight="1">
      <c r="B477" s="535"/>
      <c r="C477" s="535"/>
      <c r="D477" s="930" t="s">
        <v>5</v>
      </c>
      <c r="E477" s="930"/>
      <c r="F477" s="543"/>
      <c r="G477" s="535"/>
      <c r="H477" s="535"/>
      <c r="I477" s="535"/>
      <c r="J477" s="535"/>
      <c r="K477" s="535"/>
      <c r="L477" s="535"/>
    </row>
    <row r="478" spans="2:12" ht="19.5" customHeight="1"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</row>
    <row r="481" spans="2:12" ht="19.5" customHeight="1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4"/>
      <c r="L483" s="534"/>
    </row>
    <row r="484" spans="2:12" ht="19.5" customHeight="1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</row>
    <row r="486" spans="2:12" ht="19.5" customHeight="1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</row>
    <row r="488" spans="2:12" ht="19.5" customHeight="1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</row>
    <row r="490" spans="2:12" ht="19.5" customHeight="1">
      <c r="B490" s="928" t="s">
        <v>863</v>
      </c>
      <c r="C490" s="928"/>
      <c r="D490" s="928"/>
      <c r="E490" s="928"/>
      <c r="F490" s="536"/>
      <c r="G490" s="537" t="s">
        <v>864</v>
      </c>
      <c r="H490" s="934">
        <f>'Настройки ТИК'!$C$17</f>
        <v>0</v>
      </c>
      <c r="I490" s="927"/>
      <c r="J490" s="537" t="s">
        <v>790</v>
      </c>
      <c r="K490" s="934">
        <f>'Настройки ТИК'!$D$17</f>
        <v>0</v>
      </c>
      <c r="L490" s="927"/>
    </row>
    <row r="491" spans="2:12" ht="19.5" customHeight="1"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</row>
    <row r="492" spans="2:12" ht="19.5" customHeight="1"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</row>
    <row r="493" spans="2:12" ht="132.75" customHeight="1">
      <c r="B493" s="923" t="s">
        <v>865</v>
      </c>
      <c r="C493" s="923"/>
      <c r="D493" s="923"/>
      <c r="E493" s="923"/>
      <c r="F493" s="539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</row>
    <row r="495" spans="2:12" ht="39.75" customHeight="1">
      <c r="B495" s="925" t="s">
        <v>951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</row>
    <row r="497" spans="2:12" ht="19.5" customHeight="1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</row>
    <row r="499" spans="2:12" ht="19.5" customHeight="1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5" t="s">
        <v>866</v>
      </c>
      <c r="K499" s="926">
        <f ca="1">'Расчётная Ведомость'!U35</f>
        <v>0</v>
      </c>
      <c r="L499" s="927"/>
    </row>
    <row r="500" spans="2:12" ht="19.5" customHeight="1">
      <c r="B500" s="541" t="s">
        <v>888</v>
      </c>
      <c r="C500" s="541"/>
      <c r="D500" s="541"/>
      <c r="E500" s="541"/>
      <c r="F500" s="541"/>
      <c r="I500" s="535"/>
      <c r="J500" s="535"/>
      <c r="K500" s="535"/>
      <c r="L500" s="535"/>
    </row>
    <row r="501" spans="2:12" ht="19.5" customHeight="1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5"/>
      <c r="J501" s="535"/>
      <c r="K501" s="535"/>
      <c r="L501" s="535"/>
    </row>
    <row r="502" spans="2:12" ht="19.5" customHeight="1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5"/>
      <c r="J502" s="535"/>
      <c r="K502" s="535"/>
      <c r="L502" s="535"/>
    </row>
    <row r="503" spans="2:12" ht="19.5" customHeight="1">
      <c r="B503" s="935" t="s">
        <v>263</v>
      </c>
      <c r="C503" s="935"/>
      <c r="D503" s="935"/>
      <c r="E503" s="935"/>
      <c r="F503" s="935"/>
      <c r="I503" s="535"/>
      <c r="J503" s="535"/>
      <c r="K503" s="535"/>
      <c r="L503" s="535"/>
    </row>
    <row r="504" spans="2:12" ht="19.5" customHeight="1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5"/>
      <c r="J504" s="535"/>
      <c r="K504" s="535"/>
      <c r="L504" s="535"/>
    </row>
    <row r="505" spans="2:12" ht="19.5" customHeight="1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5"/>
      <c r="J505" s="535"/>
      <c r="K505" s="535"/>
      <c r="L505" s="535"/>
    </row>
    <row r="506" spans="2:12" ht="19.5" customHeight="1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5"/>
      <c r="J506" s="535"/>
      <c r="K506" s="535"/>
      <c r="L506" s="535"/>
    </row>
    <row r="507" spans="2:12" ht="19.5" customHeight="1"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</row>
    <row r="508" spans="2:12" ht="19.5" customHeight="1">
      <c r="B508" s="535" t="s">
        <v>140</v>
      </c>
      <c r="C508" s="535"/>
      <c r="D508" s="542"/>
      <c r="E508" s="542"/>
      <c r="F508" s="535"/>
      <c r="G508" s="929">
        <f>'Настройки УИК'!$I$43</f>
        <v>0</v>
      </c>
      <c r="H508" s="929"/>
      <c r="I508" s="929"/>
      <c r="J508" s="929"/>
      <c r="K508" s="929"/>
      <c r="L508" s="929"/>
    </row>
    <row r="509" spans="2:12" ht="19.5" customHeight="1">
      <c r="B509" s="535"/>
      <c r="C509" s="535"/>
      <c r="D509" s="930" t="s">
        <v>5</v>
      </c>
      <c r="E509" s="930"/>
      <c r="F509" s="543"/>
      <c r="G509" s="535"/>
      <c r="H509" s="535"/>
      <c r="I509" s="535"/>
      <c r="J509" s="535"/>
      <c r="K509" s="535"/>
      <c r="L509" s="535"/>
    </row>
    <row r="510" spans="2:12" ht="19.5" customHeight="1"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</row>
    <row r="513" spans="2:12" ht="19.5" customHeight="1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4"/>
      <c r="L515" s="534"/>
    </row>
    <row r="516" spans="2:12" ht="19.5" customHeight="1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</row>
    <row r="518" spans="2:12" ht="19.5" customHeight="1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</row>
    <row r="520" spans="2:12" ht="19.5" customHeight="1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</row>
    <row r="522" spans="2:12" ht="19.5" customHeight="1">
      <c r="B522" s="928" t="s">
        <v>863</v>
      </c>
      <c r="C522" s="928"/>
      <c r="D522" s="928"/>
      <c r="E522" s="928"/>
      <c r="F522" s="536"/>
      <c r="G522" s="537" t="s">
        <v>864</v>
      </c>
      <c r="H522" s="934">
        <f>'Настройки ТИК'!$C$17</f>
        <v>0</v>
      </c>
      <c r="I522" s="927"/>
      <c r="J522" s="537" t="s">
        <v>790</v>
      </c>
      <c r="K522" s="934">
        <f>'Настройки ТИК'!$D$17</f>
        <v>0</v>
      </c>
      <c r="L522" s="927"/>
    </row>
    <row r="523" spans="2:12" ht="19.5" customHeight="1"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</row>
    <row r="524" spans="2:12" ht="19.5" customHeight="1"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</row>
    <row r="525" spans="2:12" ht="132.75" customHeight="1">
      <c r="B525" s="923" t="s">
        <v>865</v>
      </c>
      <c r="C525" s="923"/>
      <c r="D525" s="923"/>
      <c r="E525" s="923"/>
      <c r="F525" s="539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</row>
    <row r="527" spans="2:12" ht="39.75" customHeight="1">
      <c r="B527" s="925" t="s">
        <v>951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</row>
    <row r="529" spans="2:12" ht="19.5" customHeight="1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</row>
    <row r="531" spans="2:12" ht="19.5" customHeight="1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5" t="s">
        <v>866</v>
      </c>
      <c r="K531" s="926">
        <f ca="1">'Расчётная Ведомость'!U36</f>
        <v>0</v>
      </c>
      <c r="L531" s="927"/>
    </row>
    <row r="532" spans="2:12" ht="19.5" customHeight="1">
      <c r="B532" s="541" t="s">
        <v>888</v>
      </c>
      <c r="C532" s="541"/>
      <c r="D532" s="541"/>
      <c r="E532" s="541"/>
      <c r="F532" s="541"/>
      <c r="I532" s="535"/>
      <c r="J532" s="535"/>
      <c r="K532" s="535"/>
      <c r="L532" s="535"/>
    </row>
    <row r="533" spans="2:12" ht="19.5" customHeight="1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5"/>
      <c r="J533" s="535"/>
      <c r="K533" s="535"/>
      <c r="L533" s="535"/>
    </row>
    <row r="534" spans="2:12" ht="19.5" customHeight="1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5"/>
      <c r="J534" s="535"/>
      <c r="K534" s="535"/>
      <c r="L534" s="535"/>
    </row>
    <row r="535" spans="2:12" ht="19.5" customHeight="1">
      <c r="B535" s="935" t="s">
        <v>263</v>
      </c>
      <c r="C535" s="935"/>
      <c r="D535" s="935"/>
      <c r="E535" s="935"/>
      <c r="F535" s="935"/>
      <c r="I535" s="535"/>
      <c r="J535" s="535"/>
      <c r="K535" s="535"/>
      <c r="L535" s="535"/>
    </row>
    <row r="536" spans="2:12" ht="19.5" customHeight="1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5"/>
      <c r="J536" s="535"/>
      <c r="K536" s="535"/>
      <c r="L536" s="535"/>
    </row>
    <row r="537" spans="2:12" ht="19.5" customHeight="1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5"/>
      <c r="J537" s="535"/>
      <c r="K537" s="535"/>
      <c r="L537" s="535"/>
    </row>
    <row r="538" spans="2:12" ht="19.5" customHeight="1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5"/>
      <c r="J538" s="535"/>
      <c r="K538" s="535"/>
      <c r="L538" s="535"/>
    </row>
    <row r="539" spans="2:12" ht="19.5" customHeight="1"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</row>
    <row r="540" spans="2:12" ht="19.5" customHeight="1">
      <c r="B540" s="535" t="s">
        <v>140</v>
      </c>
      <c r="C540" s="535"/>
      <c r="D540" s="542"/>
      <c r="E540" s="542"/>
      <c r="F540" s="535"/>
      <c r="G540" s="929">
        <f>'Настройки УИК'!$I$43</f>
        <v>0</v>
      </c>
      <c r="H540" s="929"/>
      <c r="I540" s="929"/>
      <c r="J540" s="929"/>
      <c r="K540" s="929"/>
      <c r="L540" s="929"/>
    </row>
    <row r="541" spans="2:12" ht="19.5" customHeight="1">
      <c r="B541" s="535"/>
      <c r="C541" s="535"/>
      <c r="D541" s="930" t="s">
        <v>5</v>
      </c>
      <c r="E541" s="930"/>
      <c r="F541" s="543"/>
      <c r="G541" s="535"/>
      <c r="H541" s="535"/>
      <c r="I541" s="535"/>
      <c r="J541" s="535"/>
      <c r="K541" s="535"/>
      <c r="L541" s="535"/>
    </row>
    <row r="542" spans="2:12" ht="19.5" customHeight="1"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</row>
    <row r="545" spans="2:12" ht="19.5" customHeight="1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4"/>
      <c r="L547" s="534"/>
    </row>
    <row r="548" spans="2:12" ht="19.5" customHeight="1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</row>
    <row r="550" spans="2:12" ht="19.5" customHeight="1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</row>
    <row r="552" spans="2:12" ht="19.5" customHeight="1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</row>
    <row r="554" spans="2:12" ht="19.5" customHeight="1">
      <c r="B554" s="928" t="s">
        <v>863</v>
      </c>
      <c r="C554" s="928"/>
      <c r="D554" s="928"/>
      <c r="E554" s="928"/>
      <c r="F554" s="536"/>
      <c r="G554" s="537" t="s">
        <v>864</v>
      </c>
      <c r="H554" s="934">
        <f>'Настройки ТИК'!$C$17</f>
        <v>0</v>
      </c>
      <c r="I554" s="927"/>
      <c r="J554" s="537" t="s">
        <v>790</v>
      </c>
      <c r="K554" s="934">
        <f>'Настройки ТИК'!$D$17</f>
        <v>0</v>
      </c>
      <c r="L554" s="927"/>
    </row>
    <row r="555" spans="2:12" ht="19.5" customHeight="1"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</row>
    <row r="556" spans="2:12" ht="19.5" customHeight="1"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</row>
    <row r="557" spans="2:12" ht="132.75" customHeight="1">
      <c r="B557" s="923" t="s">
        <v>865</v>
      </c>
      <c r="C557" s="923"/>
      <c r="D557" s="923"/>
      <c r="E557" s="923"/>
      <c r="F557" s="539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</row>
    <row r="559" spans="2:12" ht="39.75" customHeight="1">
      <c r="B559" s="925" t="s">
        <v>951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</row>
    <row r="561" spans="2:13" ht="19.5" customHeight="1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</row>
    <row r="563" spans="2:13" ht="19.5" customHeight="1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5" t="s">
        <v>866</v>
      </c>
      <c r="K563" s="926">
        <f ca="1">'Расчётная Ведомость'!U37</f>
        <v>0</v>
      </c>
      <c r="L563" s="927"/>
    </row>
    <row r="564" spans="2:13" ht="19.5" customHeight="1">
      <c r="B564" s="541" t="s">
        <v>888</v>
      </c>
      <c r="C564" s="541"/>
      <c r="D564" s="541"/>
      <c r="E564" s="541"/>
      <c r="F564" s="541"/>
      <c r="I564" s="535"/>
      <c r="K564" s="535"/>
      <c r="L564" s="535"/>
    </row>
    <row r="565" spans="2:13" ht="19.5" customHeight="1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5"/>
      <c r="K565" s="535"/>
      <c r="L565" s="535"/>
    </row>
    <row r="566" spans="2:13" ht="19.5" customHeight="1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5"/>
      <c r="K566" s="535"/>
      <c r="L566" s="535"/>
    </row>
    <row r="567" spans="2:13" ht="19.5" customHeight="1">
      <c r="B567" s="935" t="s">
        <v>263</v>
      </c>
      <c r="C567" s="935"/>
      <c r="D567" s="935"/>
      <c r="E567" s="935"/>
      <c r="F567" s="935"/>
      <c r="I567" s="535"/>
      <c r="K567" s="535"/>
      <c r="L567" s="535"/>
    </row>
    <row r="568" spans="2:13" ht="19.5" customHeight="1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5"/>
      <c r="J568" s="535"/>
      <c r="K568" s="535"/>
      <c r="L568" s="535"/>
    </row>
    <row r="569" spans="2:13" ht="19.5" customHeight="1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5"/>
      <c r="J569" s="535"/>
      <c r="K569" s="535"/>
      <c r="L569" s="535"/>
    </row>
    <row r="570" spans="2:13" ht="19.5" customHeight="1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5"/>
      <c r="J570" s="535"/>
      <c r="K570" s="535"/>
      <c r="L570" s="535"/>
    </row>
    <row r="571" spans="2:13" ht="19.5" customHeight="1"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</row>
    <row r="572" spans="2:13" ht="19.5" customHeight="1">
      <c r="B572" s="535" t="s">
        <v>140</v>
      </c>
      <c r="C572" s="535"/>
      <c r="D572" s="542"/>
      <c r="E572" s="542"/>
      <c r="F572" s="535"/>
      <c r="G572" s="929">
        <f>'Настройки УИК'!$I$43</f>
        <v>0</v>
      </c>
      <c r="H572" s="929"/>
      <c r="I572" s="929"/>
      <c r="J572" s="929"/>
      <c r="K572" s="929"/>
      <c r="L572" s="929"/>
    </row>
    <row r="573" spans="2:13" ht="19.5" customHeight="1">
      <c r="B573" s="535"/>
      <c r="C573" s="535"/>
      <c r="D573" s="930" t="s">
        <v>5</v>
      </c>
      <c r="E573" s="930"/>
      <c r="F573" s="543"/>
      <c r="G573" s="535"/>
      <c r="H573" s="535"/>
      <c r="I573" s="535"/>
      <c r="J573" s="535"/>
      <c r="K573" s="535"/>
      <c r="L573" s="535"/>
    </row>
    <row r="574" spans="2:13" ht="19.5" customHeight="1"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</row>
    <row r="575" spans="2:13" ht="19.5" customHeight="1">
      <c r="M575" s="635"/>
    </row>
  </sheetData>
  <sheetProtection password="C09F" sheet="1" objects="1" scenarios="1"/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1023">
        <f>'Настройки УИК'!$I$43</f>
        <v>0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/>
    <row r="9" spans="1:109" s="85" customFormat="1" ht="16.5" thickBot="1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УИК'!$B$22=0," ",'Настройки УИК'!$B$22)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УИК'!$B$23=0," ",'Настройки УИК'!$B$23)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УИК'!$B$24=0," ",'Настройки УИК'!$B$24)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УИК'!$B$25=0," ",'Настройки УИК'!$B$25)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УИК'!$B$26=0," ",'Настройки УИК'!$B$26)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УИК'!$B$27=0," ",'Настройки УИК'!$B$27)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УИК'!$B$28=0," ",'Настройки УИК'!$B$28)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УИК'!$B$29=0," ",'Настройки УИК'!$B$29)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УИК'!$B$30=0," ",'Настройки УИК'!$B$30)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УИК'!$B$31=0," ",'Настройки УИК'!$B$31)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УИК'!$B$32=0," ",'Настройки УИК'!$B$32)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УИК'!$B$33=0," ",'Настройки УИК'!$B$33)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УИК'!$B$34=0," ",'Настройки УИК'!$B$34)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УИК'!$B$35=0," ",'Настройки УИК'!$B$35)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УИК'!$B$36=0," ",'Настройки УИК'!$B$36)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УИК'!$B$37=0," ",'Настройки УИК'!$B$37)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УИК'!$B$38=0," ",'Настройки УИК'!$B$38)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УИК'!$B$39=0," ",'Настройки УИК'!$B$39)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УИК'!$B$22:B22,19-MATCH('Настройки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4"/>
    </row>
  </sheetData>
  <sheetProtection password="C09F" sheet="1" objects="1" scenarios="1"/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35.25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5" customFormat="1" ht="47.2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116"/>
      <c r="K5" s="1116"/>
      <c r="L5" s="1116"/>
      <c r="M5" s="488" t="s">
        <v>524</v>
      </c>
      <c r="N5" s="489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89"/>
      <c r="AK5" s="1116"/>
      <c r="AL5" s="1116"/>
      <c r="AM5" s="1116"/>
      <c r="AN5" s="1116"/>
      <c r="AO5" s="1116"/>
      <c r="AP5" s="1116"/>
      <c r="AQ5" s="1116"/>
      <c r="AR5" s="1116"/>
      <c r="AS5" s="1116"/>
      <c r="AT5" s="489"/>
      <c r="AU5" s="490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116"/>
      <c r="BG5" s="1116"/>
      <c r="BH5" s="1116"/>
      <c r="BI5" s="488" t="s">
        <v>524</v>
      </c>
      <c r="BJ5" s="489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89"/>
      <c r="CG5" s="1116"/>
      <c r="CH5" s="1116"/>
      <c r="CI5" s="1116"/>
      <c r="CJ5" s="1116"/>
      <c r="CK5" s="1116"/>
      <c r="CL5" s="1116"/>
      <c r="CM5" s="1116"/>
      <c r="CN5" s="1116"/>
      <c r="CO5" s="1116"/>
      <c r="CP5" s="489"/>
      <c r="CQ5" s="490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116"/>
      <c r="DC5" s="1116"/>
      <c r="DD5" s="1116"/>
      <c r="DE5" s="488" t="s">
        <v>524</v>
      </c>
      <c r="DF5" s="489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89"/>
      <c r="EC5" s="1116"/>
      <c r="ED5" s="1116"/>
      <c r="EE5" s="1116"/>
      <c r="EF5" s="1116"/>
      <c r="EG5" s="1116"/>
      <c r="EH5" s="1116"/>
      <c r="EI5" s="1116"/>
      <c r="EJ5" s="1116"/>
      <c r="EK5" s="1116"/>
      <c r="EL5" s="489"/>
      <c r="EM5" s="490" t="s">
        <v>375</v>
      </c>
    </row>
    <row r="6" spans="1:143" ht="33.75" customHeight="1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116"/>
      <c r="K11" s="1116"/>
      <c r="L11" s="1116"/>
      <c r="M11" s="523" t="s">
        <v>524</v>
      </c>
      <c r="N11" s="524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4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4"/>
      <c r="AU11" s="525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116"/>
      <c r="BG11" s="1116"/>
      <c r="BH11" s="1116"/>
      <c r="BI11" s="523" t="s">
        <v>524</v>
      </c>
      <c r="BJ11" s="524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4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4"/>
      <c r="CQ11" s="525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116"/>
      <c r="DC11" s="1116"/>
      <c r="DD11" s="1116"/>
      <c r="DE11" s="523" t="s">
        <v>524</v>
      </c>
      <c r="DF11" s="524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4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4"/>
      <c r="EM11" s="525" t="s">
        <v>375</v>
      </c>
    </row>
    <row r="12" spans="1:143" ht="33.75" customHeight="1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120"/>
      <c r="K12" s="1120"/>
      <c r="L12" s="1120"/>
      <c r="M12" s="526" t="s">
        <v>524</v>
      </c>
      <c r="N12" s="524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4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4"/>
      <c r="AU12" s="525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120"/>
      <c r="BG12" s="1120"/>
      <c r="BH12" s="1120"/>
      <c r="BI12" s="526" t="s">
        <v>524</v>
      </c>
      <c r="BJ12" s="524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4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4"/>
      <c r="CQ12" s="525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120"/>
      <c r="DC12" s="1120"/>
      <c r="DD12" s="1120"/>
      <c r="DE12" s="526" t="s">
        <v>524</v>
      </c>
      <c r="DF12" s="524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4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4"/>
      <c r="EM12" s="525" t="s">
        <v>375</v>
      </c>
    </row>
    <row r="13" spans="1:143" ht="33.75" customHeight="1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120"/>
      <c r="K15" s="1120"/>
      <c r="L15" s="1120"/>
      <c r="M15" s="526" t="s">
        <v>524</v>
      </c>
      <c r="N15" s="524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4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4"/>
      <c r="AU15" s="525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120"/>
      <c r="BG15" s="1120"/>
      <c r="BH15" s="1120"/>
      <c r="BI15" s="526" t="s">
        <v>524</v>
      </c>
      <c r="BJ15" s="524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4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4"/>
      <c r="CQ15" s="525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120"/>
      <c r="DC15" s="1120"/>
      <c r="DD15" s="1120"/>
      <c r="DE15" s="526" t="s">
        <v>524</v>
      </c>
      <c r="DF15" s="524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4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4"/>
      <c r="EM15" s="525" t="s">
        <v>375</v>
      </c>
    </row>
    <row r="16" spans="1:143" ht="34.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3.25" customHeight="1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2" t="s">
        <v>523</v>
      </c>
      <c r="J28" s="1025"/>
      <c r="K28" s="1025"/>
      <c r="L28" s="1025"/>
      <c r="M28" s="526" t="s">
        <v>524</v>
      </c>
      <c r="N28" s="524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4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4"/>
      <c r="AU28" s="525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2" t="s">
        <v>523</v>
      </c>
      <c r="BF28" s="1025"/>
      <c r="BG28" s="1025"/>
      <c r="BH28" s="1025"/>
      <c r="BI28" s="526" t="s">
        <v>524</v>
      </c>
      <c r="BJ28" s="524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4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4"/>
      <c r="CQ28" s="525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2" t="s">
        <v>523</v>
      </c>
      <c r="DB28" s="1025"/>
      <c r="DC28" s="1025"/>
      <c r="DD28" s="1025"/>
      <c r="DE28" s="526" t="s">
        <v>524</v>
      </c>
      <c r="DF28" s="524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4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4"/>
      <c r="EM28" s="525" t="s">
        <v>375</v>
      </c>
    </row>
    <row r="29" spans="1:143" ht="145.5" customHeight="1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>
        <f>I$9</f>
        <v>0</v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>
        <f>BE$9</f>
        <v>0</v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>
        <f>DA$9</f>
        <v>0</v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5"/>
      <c r="AW45" s="485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6"/>
      <c r="CS45" s="485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5"/>
      <c r="AW89" s="485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6"/>
      <c r="CS89" s="485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5"/>
      <c r="AW109" s="485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6"/>
      <c r="CS109" s="485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5"/>
      <c r="AW122" s="485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6"/>
      <c r="CS122" s="485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>
        <f>N$41</f>
        <v>0</v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>
        <f>BJ$41</f>
        <v>0</v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>
        <f>DF$41</f>
        <v>0</v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>
      <c r="A147" s="178"/>
      <c r="B147" s="1081" t="s">
        <v>978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978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978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978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978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978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>
        <f>N$41</f>
        <v>0</v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>
        <f>BJ$41</f>
        <v>0</v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>
        <f>DF$41</f>
        <v>0</v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>
        <f>N164</f>
        <v>0</v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>
        <f>BJ164</f>
        <v>0</v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>
        <f>DF164</f>
        <v>0</v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>
      <c r="A183" s="1081" t="s">
        <v>978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978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978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978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978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978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>
        <f>N$41</f>
        <v>0</v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>
        <f>BJ$41</f>
        <v>0</v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>
        <f>DF$41</f>
        <v>0</v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>
        <f>N199</f>
        <v>0</v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>
        <f>BJ199</f>
        <v>0</v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>
        <f>DF199</f>
        <v>0</v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>
      <c r="A220" s="1081" t="s">
        <v>978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978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978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978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978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978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>
        <f>I$9</f>
        <v>0</v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>
        <f>BE$9</f>
        <v>0</v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>
        <f>DA$9</f>
        <v>0</v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6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6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3">
        <f>I$9</f>
        <v>0</v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3">
        <f>BE$9</f>
        <v>0</v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3">
        <f>DA$9</f>
        <v>0</v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5"/>
    </row>
  </sheetData>
  <sheetProtection password="C09F" sheet="1" objects="1" scenarios="1"/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32.25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2" customFormat="1" ht="30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025"/>
      <c r="K5" s="1025"/>
      <c r="L5" s="1025"/>
      <c r="M5" s="488" t="s">
        <v>524</v>
      </c>
      <c r="N5" s="489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89"/>
      <c r="AK5" s="1025"/>
      <c r="AL5" s="1025"/>
      <c r="AM5" s="1025"/>
      <c r="AN5" s="1025"/>
      <c r="AO5" s="1025"/>
      <c r="AP5" s="1025"/>
      <c r="AQ5" s="1025"/>
      <c r="AR5" s="1025"/>
      <c r="AS5" s="1025"/>
      <c r="AT5" s="489"/>
      <c r="AU5" s="490" t="s">
        <v>375</v>
      </c>
      <c r="AV5" s="493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025"/>
      <c r="BG5" s="1025"/>
      <c r="BH5" s="1025"/>
      <c r="BI5" s="488" t="s">
        <v>524</v>
      </c>
      <c r="BJ5" s="489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89"/>
      <c r="CG5" s="1025"/>
      <c r="CH5" s="1025"/>
      <c r="CI5" s="1025"/>
      <c r="CJ5" s="1025"/>
      <c r="CK5" s="1025"/>
      <c r="CL5" s="1025"/>
      <c r="CM5" s="1025"/>
      <c r="CN5" s="1025"/>
      <c r="CO5" s="1025"/>
      <c r="CP5" s="489"/>
      <c r="CQ5" s="490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025"/>
      <c r="DC5" s="1025"/>
      <c r="DD5" s="1025"/>
      <c r="DE5" s="488" t="s">
        <v>524</v>
      </c>
      <c r="DF5" s="489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89"/>
      <c r="EC5" s="1025"/>
      <c r="ED5" s="1025"/>
      <c r="EE5" s="1025"/>
      <c r="EF5" s="1025"/>
      <c r="EG5" s="1025"/>
      <c r="EH5" s="1025"/>
      <c r="EI5" s="1025"/>
      <c r="EJ5" s="1025"/>
      <c r="EK5" s="1025"/>
      <c r="EL5" s="489"/>
      <c r="EM5" s="490" t="s">
        <v>375</v>
      </c>
    </row>
    <row r="6" spans="1:143" ht="19.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66">
        <f>'Настройки УИК'!$I$43</f>
        <v>0</v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>
        <f>'Настройки УИК'!$I$43</f>
        <v>0</v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>
        <f>'Настройки УИК'!$I$43</f>
        <v>0</v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025"/>
      <c r="K11" s="1025"/>
      <c r="L11" s="1025"/>
      <c r="M11" s="523" t="s">
        <v>524</v>
      </c>
      <c r="N11" s="524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4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4"/>
      <c r="AU11" s="525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025"/>
      <c r="BG11" s="1025"/>
      <c r="BH11" s="1025"/>
      <c r="BI11" s="523" t="s">
        <v>524</v>
      </c>
      <c r="BJ11" s="524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4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4"/>
      <c r="CQ11" s="525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025"/>
      <c r="DC11" s="1025"/>
      <c r="DD11" s="1025"/>
      <c r="DE11" s="523" t="s">
        <v>524</v>
      </c>
      <c r="DF11" s="524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4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4"/>
      <c r="EM11" s="525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025"/>
      <c r="K12" s="1025"/>
      <c r="L12" s="1025"/>
      <c r="M12" s="526" t="s">
        <v>524</v>
      </c>
      <c r="N12" s="524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4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4"/>
      <c r="AU12" s="525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025"/>
      <c r="BG12" s="1025"/>
      <c r="BH12" s="1025"/>
      <c r="BI12" s="526" t="s">
        <v>524</v>
      </c>
      <c r="BJ12" s="524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4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4"/>
      <c r="CQ12" s="525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025"/>
      <c r="DC12" s="1025"/>
      <c r="DD12" s="1025"/>
      <c r="DE12" s="526" t="s">
        <v>524</v>
      </c>
      <c r="DF12" s="524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4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4"/>
      <c r="EM12" s="525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025"/>
      <c r="K15" s="1025"/>
      <c r="L15" s="1025"/>
      <c r="M15" s="526" t="s">
        <v>524</v>
      </c>
      <c r="N15" s="524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4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4"/>
      <c r="AU15" s="525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025"/>
      <c r="BG15" s="1025"/>
      <c r="BH15" s="1025"/>
      <c r="BI15" s="526" t="s">
        <v>524</v>
      </c>
      <c r="BJ15" s="524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4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4"/>
      <c r="CQ15" s="525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025"/>
      <c r="DC15" s="1025"/>
      <c r="DD15" s="1025"/>
      <c r="DE15" s="526" t="s">
        <v>524</v>
      </c>
      <c r="DF15" s="524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4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4"/>
      <c r="EM15" s="525" t="s">
        <v>375</v>
      </c>
    </row>
    <row r="16" spans="1:143" ht="33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7" customHeight="1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6"/>
      <c r="AW82" s="485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6"/>
      <c r="CS82" s="485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>
        <f>I$9</f>
        <v>0</v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>
        <f>BE$9</f>
        <v>0</v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>
        <f>DA$9</f>
        <v>0</v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1081" t="s">
        <v>978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978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978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>
      <c r="A113" s="178"/>
      <c r="Y113" s="1081" t="s">
        <v>978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978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978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>
        <f>I$9</f>
        <v>0</v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>
        <f>BE$9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>
        <f>DA$9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>
      <c r="A147" s="1081" t="s">
        <v>978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978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978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978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978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978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>
        <f>I$9</f>
        <v>0</v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>
        <f>BE$9</f>
        <v>0</v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>
        <f>DA$9</f>
        <v>0</v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8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8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3">
        <f>I$9</f>
        <v>0</v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3">
        <f>BE$9</f>
        <v>0</v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3">
        <f>DA$9</f>
        <v>0</v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5"/>
    </row>
  </sheetData>
  <sheetProtection password="C09F" sheet="1" objects="1" scenarios="1"/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025"/>
      <c r="K5" s="1025"/>
      <c r="L5" s="1025"/>
      <c r="M5" s="488" t="s">
        <v>524</v>
      </c>
      <c r="N5" s="489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89"/>
      <c r="AK5" s="1025"/>
      <c r="AL5" s="1025"/>
      <c r="AM5" s="1025"/>
      <c r="AN5" s="1025"/>
      <c r="AO5" s="1025"/>
      <c r="AP5" s="1025"/>
      <c r="AQ5" s="1025"/>
      <c r="AR5" s="1025"/>
      <c r="AS5" s="1025"/>
      <c r="AT5" s="489"/>
      <c r="AU5" s="490" t="s">
        <v>375</v>
      </c>
      <c r="AV5" s="491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025"/>
      <c r="BG5" s="1025"/>
      <c r="BH5" s="1025"/>
      <c r="BI5" s="488" t="s">
        <v>524</v>
      </c>
      <c r="BJ5" s="489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89"/>
      <c r="CG5" s="1025"/>
      <c r="CH5" s="1025"/>
      <c r="CI5" s="1025"/>
      <c r="CJ5" s="1025"/>
      <c r="CK5" s="1025"/>
      <c r="CL5" s="1025"/>
      <c r="CM5" s="1025"/>
      <c r="CN5" s="1025"/>
      <c r="CO5" s="1025"/>
      <c r="CP5" s="489"/>
      <c r="CQ5" s="490" t="s">
        <v>375</v>
      </c>
      <c r="CR5" s="492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025"/>
      <c r="DC5" s="1025"/>
      <c r="DD5" s="1025"/>
      <c r="DE5" s="488" t="s">
        <v>524</v>
      </c>
      <c r="DF5" s="489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89"/>
      <c r="EC5" s="1025"/>
      <c r="ED5" s="1025"/>
      <c r="EE5" s="1025"/>
      <c r="EF5" s="1025"/>
      <c r="EG5" s="1025"/>
      <c r="EH5" s="1025"/>
      <c r="EI5" s="1025"/>
      <c r="EJ5" s="1025"/>
      <c r="EK5" s="1025"/>
      <c r="EL5" s="489"/>
      <c r="EM5" s="490" t="s">
        <v>375</v>
      </c>
    </row>
    <row r="6" spans="1:143" ht="1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025"/>
      <c r="K11" s="1025"/>
      <c r="L11" s="1025"/>
      <c r="M11" s="523" t="s">
        <v>524</v>
      </c>
      <c r="N11" s="524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4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4"/>
      <c r="AU11" s="525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025"/>
      <c r="BG11" s="1025"/>
      <c r="BH11" s="1025"/>
      <c r="BI11" s="523" t="s">
        <v>524</v>
      </c>
      <c r="BJ11" s="524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4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4"/>
      <c r="CQ11" s="525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025"/>
      <c r="DC11" s="1025"/>
      <c r="DD11" s="1025"/>
      <c r="DE11" s="523" t="s">
        <v>524</v>
      </c>
      <c r="DF11" s="524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4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4"/>
      <c r="EM11" s="525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025"/>
      <c r="K12" s="1025"/>
      <c r="L12" s="1025"/>
      <c r="M12" s="526" t="s">
        <v>524</v>
      </c>
      <c r="N12" s="524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4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4"/>
      <c r="AU12" s="525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025"/>
      <c r="BG12" s="1025"/>
      <c r="BH12" s="1025"/>
      <c r="BI12" s="526" t="s">
        <v>524</v>
      </c>
      <c r="BJ12" s="524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4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4"/>
      <c r="CQ12" s="525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025"/>
      <c r="DC12" s="1025"/>
      <c r="DD12" s="1025"/>
      <c r="DE12" s="526" t="s">
        <v>524</v>
      </c>
      <c r="DF12" s="524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4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4"/>
      <c r="EM12" s="525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025"/>
      <c r="K15" s="1025"/>
      <c r="L15" s="1025"/>
      <c r="M15" s="526" t="s">
        <v>524</v>
      </c>
      <c r="N15" s="524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4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4"/>
      <c r="AU15" s="525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025"/>
      <c r="BG15" s="1025"/>
      <c r="BH15" s="1025"/>
      <c r="BI15" s="526" t="s">
        <v>524</v>
      </c>
      <c r="BJ15" s="524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4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4"/>
      <c r="CQ15" s="525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025"/>
      <c r="DC15" s="1025"/>
      <c r="DD15" s="1025"/>
      <c r="DE15" s="526" t="s">
        <v>524</v>
      </c>
      <c r="DF15" s="524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4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4"/>
      <c r="EM15" s="525" t="s">
        <v>375</v>
      </c>
    </row>
    <row r="16" spans="1:143" ht="1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4" customHeight="1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6"/>
      <c r="AW81" s="485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6"/>
      <c r="CS81" s="485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>
        <f>I$9</f>
        <v>0</v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>
        <f>BE$9</f>
        <v>0</v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>
        <f>DA$9</f>
        <v>0</v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>
      <c r="A107" s="178"/>
      <c r="B107" s="1081" t="s">
        <v>978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978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978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>
      <c r="A112" s="178"/>
      <c r="Y112" s="1081" t="s">
        <v>978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978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978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>
        <f>I$9</f>
        <v>0</v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>
        <f>BE$9</f>
        <v>0</v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>
        <f>DA$9</f>
        <v>0</v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>
      <c r="A146" s="1081" t="s">
        <v>978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978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978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978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978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978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>
        <f>I$9</f>
        <v>0</v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>
        <f>BE$9</f>
        <v>0</v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>
        <f>DA$9</f>
        <v>0</v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8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8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3">
        <f>I$9</f>
        <v>0</v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3">
        <f>BE$9</f>
        <v>0</v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3">
        <f>DA$9</f>
        <v>0</v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5"/>
    </row>
  </sheetData>
  <sheetProtection password="C09F" sheet="1" objects="1" scenarios="1"/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3" t="s">
        <v>997</v>
      </c>
      <c r="B2" s="1183"/>
      <c r="C2" s="1183"/>
      <c r="D2" s="1183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4" t="s">
        <v>998</v>
      </c>
      <c r="B5" s="1186" t="s">
        <v>288</v>
      </c>
      <c r="C5" s="1188" t="s">
        <v>999</v>
      </c>
      <c r="D5" s="1189"/>
    </row>
    <row r="6" spans="1:5" ht="24">
      <c r="A6" s="1185"/>
      <c r="B6" s="1187"/>
      <c r="C6" s="589" t="s">
        <v>1000</v>
      </c>
      <c r="D6" s="589" t="s">
        <v>1001</v>
      </c>
    </row>
    <row r="7" spans="1:5" ht="51">
      <c r="A7" s="590" t="s">
        <v>1002</v>
      </c>
      <c r="B7" s="591" t="s">
        <v>339</v>
      </c>
      <c r="C7" s="592">
        <f ca="1">C8+C9+C10+C11</f>
        <v>0</v>
      </c>
      <c r="D7" s="593">
        <f ca="1">D8+D9+D10+D11</f>
        <v>0</v>
      </c>
    </row>
    <row r="8" spans="1:5" ht="25.5">
      <c r="A8" s="594" t="s">
        <v>1003</v>
      </c>
      <c r="B8" s="591" t="s">
        <v>293</v>
      </c>
      <c r="C8" s="605">
        <f ca="1">SUMIF('В авансовый отчет'!$A$80:$A$93,"9.1",'В авансовый отчет'!$G$80:$G$93)</f>
        <v>0</v>
      </c>
      <c r="D8" s="595">
        <f ca="1">SUMIF('В авансовый отчет'!$A$80:$A$93,"9.1",'В авансовый отчет'!$I$80:$I$93)</f>
        <v>0</v>
      </c>
    </row>
    <row r="9" spans="1:5" ht="38.25">
      <c r="A9" s="594" t="s">
        <v>1004</v>
      </c>
      <c r="B9" s="591" t="s">
        <v>294</v>
      </c>
      <c r="C9" s="605">
        <f ca="1">SUMIF('В авансовый отчет'!$A$80:$A$93,"9.2",'В авансовый отчет'!$G$80:$G$93)</f>
        <v>0</v>
      </c>
      <c r="D9" s="595">
        <f ca="1">SUMIF('В авансовый отчет'!$A$80:$A$93,"9.2",'В авансовый отчет'!$I$80:$I$93)</f>
        <v>0</v>
      </c>
    </row>
    <row r="10" spans="1:5" ht="38.25">
      <c r="A10" s="594" t="s">
        <v>1005</v>
      </c>
      <c r="B10" s="591" t="s">
        <v>295</v>
      </c>
      <c r="C10" s="605">
        <f ca="1">SUMIF('В авансовый отчет'!$A$80:$A$93,"9.3",'В авансовый отчет'!$G$80:$G$93)</f>
        <v>0</v>
      </c>
      <c r="D10" s="595">
        <f ca="1">SUMIF('В авансовый отчет'!$A$80:$A$93,"9.3",'В авансовый отчет'!$I$80:$I$93)</f>
        <v>0</v>
      </c>
    </row>
    <row r="11" spans="1:5" ht="25.5">
      <c r="A11" s="594" t="s">
        <v>1006</v>
      </c>
      <c r="B11" s="591" t="s">
        <v>301</v>
      </c>
      <c r="C11" s="592">
        <f ca="1">SUM(C13:C14)</f>
        <v>0</v>
      </c>
      <c r="D11" s="593">
        <f ca="1">SUM(D13,D14)</f>
        <v>0</v>
      </c>
    </row>
    <row r="12" spans="1:5">
      <c r="A12" s="596" t="s">
        <v>263</v>
      </c>
      <c r="B12" s="597"/>
      <c r="C12" s="598"/>
      <c r="D12" s="599"/>
    </row>
    <row r="13" spans="1:5" ht="25.5">
      <c r="A13" s="600" t="s">
        <v>1007</v>
      </c>
      <c r="B13" s="601" t="s">
        <v>1008</v>
      </c>
      <c r="C13" s="605">
        <f ca="1">SUMIF('В авансовый отчет'!$A$80:$A$93,"9.4.1",'В авансовый отчет'!$G$80:$G$93)</f>
        <v>0</v>
      </c>
      <c r="D13" s="595">
        <f ca="1">SUMIF('В авансовый отчет'!$A$80:$A$93,"9.4.1",'В авансовый отчет'!$I$80:$I$93)</f>
        <v>0</v>
      </c>
    </row>
    <row r="14" spans="1:5">
      <c r="A14" s="602" t="s">
        <v>1009</v>
      </c>
      <c r="B14" s="603" t="s">
        <v>1010</v>
      </c>
      <c r="C14" s="605">
        <f ca="1">SUMIF('В авансовый отчет'!$A$80:$A$93,"9.4.2",'В авансовый отчет'!$G$80:$G$93)</f>
        <v>0</v>
      </c>
      <c r="D14" s="595">
        <f ca="1">SUMIF('В авансовый отчет'!$A$80:$A$93,"9.4.2",'В авансовый отчет'!$I$80:$I$93)</f>
        <v>0</v>
      </c>
    </row>
    <row r="16" spans="1:5">
      <c r="E16" s="495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6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0" t="str">
        <f>IF(LOWER(LEFT($AI$11,3))="янв","01","")</f>
        <v/>
      </c>
    </row>
    <row r="2" spans="1:110" ht="15.75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0" t="str">
        <f>IF(LOWER(LEFT($AI$11,3))="фев","02","")</f>
        <v/>
      </c>
    </row>
    <row r="3" spans="1:110" ht="15.75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0" t="str">
        <f>IF(LOWER(LEFT($AI$11,3))="мар","03","")</f>
        <v/>
      </c>
    </row>
    <row r="4" spans="1:110" ht="15.75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0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0" t="str">
        <f>IF(LOWER(LEFT($AI$11,3))="мая","05","")</f>
        <v/>
      </c>
    </row>
    <row r="6" spans="1:110" ht="15.75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0" t="str">
        <f>IF(LOWER(LEFT($AI$11,3))="июн","06","")</f>
        <v/>
      </c>
    </row>
    <row r="7" spans="1:110" ht="15.75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0" t="str">
        <f>IF(LOWER(LEFT($AI$11,3))="июл","07","")</f>
        <v/>
      </c>
    </row>
    <row r="8" spans="1:110" s="4" customFormat="1" ht="15.75">
      <c r="DE8" s="345"/>
      <c r="DF8" s="570" t="str">
        <f>IF(LOWER(LEFT($AI$11,3))="авг","08","")</f>
        <v/>
      </c>
    </row>
    <row r="9" spans="1:110" s="4" customFormat="1" ht="16.5" thickBot="1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0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0" t="str">
        <f>IF(LOWER(LEFT($AI$11,3))="окт","10","")</f>
        <v/>
      </c>
    </row>
    <row r="11" spans="1:110" ht="15.75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0" t="str">
        <f>IF(LOWER(LEFT($AI$11,3))="ноя","11","")</f>
        <v/>
      </c>
    </row>
    <row r="12" spans="1:110" ht="23.25" customHeight="1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0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0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0" t="str">
        <f>"20"&amp;$BE$11&amp;"-"&amp;IF($DF$13="",$AI$11,$DF$13)&amp;"-"&amp;$AA$11</f>
        <v>20--</v>
      </c>
    </row>
    <row r="15" spans="1:110" ht="15.7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>
      <c r="A16" s="1" t="s">
        <v>191</v>
      </c>
      <c r="U16" s="1320">
        <f>'Настройки УИК'!$I$43</f>
        <v>0</v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/>
    <row r="23" spans="1:108" ht="15" customHeight="1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/>
    <row r="59" spans="1:109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1">
        <f>'Настройки ТИК'!$C$55</f>
        <v>0</v>
      </c>
      <c r="DL75" s="571">
        <f t="shared" ref="DL75:DL98" si="0">$BC$9</f>
        <v>0</v>
      </c>
    </row>
    <row r="76" spans="1:131" ht="137.25" customHeight="1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1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1">
        <f t="shared" si="0"/>
        <v>0</v>
      </c>
      <c r="EA76" s="1" t="str">
        <f>'В авансовый отчет'!B31</f>
        <v>${rashod}</v>
      </c>
    </row>
    <row r="77" spans="1:131" ht="137.25" customHeight="1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1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1">
        <f t="shared" si="0"/>
        <v>0</v>
      </c>
      <c r="EA77" s="1">
        <f>'В авансовый отчет'!B32</f>
        <v>0</v>
      </c>
    </row>
    <row r="78" spans="1:131" ht="137.25" customHeight="1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1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1">
        <f t="shared" si="0"/>
        <v>0</v>
      </c>
      <c r="EA78" s="1">
        <f>'В авансовый отчет'!B33</f>
        <v>0</v>
      </c>
    </row>
    <row r="79" spans="1:131" ht="137.25" customHeight="1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1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1">
        <f t="shared" si="0"/>
        <v>0</v>
      </c>
      <c r="EA79" s="1">
        <f>'В авансовый отчет'!B34</f>
        <v>0</v>
      </c>
    </row>
    <row r="80" spans="1:131" ht="137.25" customHeight="1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1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1">
        <f t="shared" si="0"/>
        <v>0</v>
      </c>
      <c r="EA80" s="1">
        <f>'В авансовый отчет'!B35</f>
        <v>0</v>
      </c>
    </row>
    <row r="81" spans="1:131" ht="137.25" customHeight="1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1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1">
        <f t="shared" si="0"/>
        <v>0</v>
      </c>
      <c r="EA81" s="1">
        <f>'В авансовый отчет'!B36</f>
        <v>0</v>
      </c>
    </row>
    <row r="82" spans="1:131" ht="137.25" customHeight="1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1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1">
        <f t="shared" si="0"/>
        <v>0</v>
      </c>
      <c r="EA82" s="1">
        <f>'В авансовый отчет'!B37</f>
        <v>0</v>
      </c>
    </row>
    <row r="83" spans="1:131" ht="137.25" customHeight="1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1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1">
        <f t="shared" si="0"/>
        <v>0</v>
      </c>
      <c r="EA83" s="1">
        <f>'В авансовый отчет'!B38</f>
        <v>0</v>
      </c>
    </row>
    <row r="84" spans="1:131" ht="137.25" customHeight="1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1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1">
        <f t="shared" si="0"/>
        <v>0</v>
      </c>
      <c r="EA84" s="1">
        <f>'В авансовый отчет'!B39</f>
        <v>0</v>
      </c>
    </row>
    <row r="85" spans="1:131" ht="137.25" customHeight="1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1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1">
        <f t="shared" si="0"/>
        <v>0</v>
      </c>
      <c r="EA85" s="1">
        <f>'В авансовый отчет'!B40</f>
        <v>0</v>
      </c>
    </row>
    <row r="86" spans="1:131" ht="15.7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1">
        <f>'Настройки ТИК'!$C$55</f>
        <v>0</v>
      </c>
      <c r="DL86" s="571">
        <f t="shared" si="0"/>
        <v>0</v>
      </c>
      <c r="EA86" s="1">
        <f>'В авансовый отчет'!B41</f>
        <v>0</v>
      </c>
    </row>
    <row r="87" spans="1:131" ht="15.7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1">
        <f>'Настройки ТИК'!$C$55</f>
        <v>0</v>
      </c>
      <c r="DL87" s="571">
        <f t="shared" si="0"/>
        <v>0</v>
      </c>
    </row>
    <row r="88" spans="1:131" ht="15.7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1">
        <f>'Настройки ТИК'!$C$55</f>
        <v>0</v>
      </c>
      <c r="DL88" s="571">
        <f t="shared" si="0"/>
        <v>0</v>
      </c>
    </row>
    <row r="89" spans="1:131" ht="15.7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1">
        <f>'Настройки ТИК'!$C$55</f>
        <v>0</v>
      </c>
      <c r="DL89" s="571">
        <f t="shared" si="0"/>
        <v>0</v>
      </c>
    </row>
    <row r="90" spans="1:131" ht="15.7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1">
        <f>'Настройки ТИК'!$C$55</f>
        <v>0</v>
      </c>
      <c r="DL90" s="571">
        <f t="shared" si="0"/>
        <v>0</v>
      </c>
    </row>
    <row r="91" spans="1:131" ht="15.7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1">
        <f>'Настройки ТИК'!$C$55</f>
        <v>0</v>
      </c>
      <c r="DL91" s="571">
        <f t="shared" si="0"/>
        <v>0</v>
      </c>
    </row>
    <row r="92" spans="1:131" ht="15.7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1">
        <f>'Настройки ТИК'!$C$55</f>
        <v>0</v>
      </c>
      <c r="DL92" s="571">
        <f t="shared" si="0"/>
        <v>0</v>
      </c>
    </row>
    <row r="93" spans="1:131" ht="15.7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1">
        <f>'Настройки ТИК'!$C$55</f>
        <v>0</v>
      </c>
      <c r="DL93" s="571">
        <f t="shared" si="0"/>
        <v>0</v>
      </c>
    </row>
    <row r="94" spans="1:131" ht="15.7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1">
        <f>'Настройки ТИК'!$C$55</f>
        <v>0</v>
      </c>
      <c r="DL94" s="571">
        <f t="shared" si="0"/>
        <v>0</v>
      </c>
    </row>
    <row r="95" spans="1:131" ht="15.7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1">
        <f>'Настройки ТИК'!$C$55</f>
        <v>0</v>
      </c>
      <c r="DL95" s="571">
        <f t="shared" si="0"/>
        <v>0</v>
      </c>
    </row>
    <row r="96" spans="1:131" ht="15.7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1">
        <f>'Настройки ТИК'!$C$55</f>
        <v>0</v>
      </c>
      <c r="DL96" s="571">
        <f t="shared" si="0"/>
        <v>0</v>
      </c>
    </row>
    <row r="97" spans="1:117" ht="15.7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1">
        <f>'Настройки ТИК'!$C$55</f>
        <v>0</v>
      </c>
      <c r="DL97" s="571">
        <f t="shared" si="0"/>
        <v>0</v>
      </c>
    </row>
    <row r="98" spans="1:117" ht="16.5" thickBot="1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1">
        <f>'Настройки ТИК'!$C$55</f>
        <v>0</v>
      </c>
      <c r="DL98" s="571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>
        <f>U16</f>
        <v>0</v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>
      <c r="DM112" s="571"/>
    </row>
  </sheetData>
  <sheetProtection password="C09F" sheet="1" objects="1" scenarios="1"/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14" priority="3" stopIfTrue="1">
      <formula>OR($A$76:$BC$85="",$A$76:$BC$85=0)</formula>
    </cfRule>
  </conditionalFormatting>
  <conditionalFormatting sqref="BM76:BW85">
    <cfRule type="expression" dxfId="13" priority="2" stopIfTrue="1">
      <formula>OR($BM$76:$BW$85="",$BM$76:$BW$85=0)</formula>
    </cfRule>
  </conditionalFormatting>
  <conditionalFormatting sqref="AA11:AE11 AI11:AZ11 BE11:BH11">
    <cfRule type="expression" dxfId="12" priority="1" stopIfTrue="1">
      <formula>IF(OR($AA$11="",$AI$11="",$BE$11=""),TRUE,FALSE)</formula>
    </cfRule>
  </conditionalFormatting>
  <dataValidations count="4"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:DE98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57" workbookViewId="0">
      <selection activeCell="F79" sqref="F79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1" customWidth="1"/>
    <col min="11" max="11" width="16.140625" style="561" customWidth="1"/>
    <col min="12" max="14" width="9.140625" style="561"/>
    <col min="15" max="15" width="21" style="234" customWidth="1"/>
    <col min="16" max="16384" width="9.140625" style="234"/>
  </cols>
  <sheetData>
    <row r="1" spans="1:43">
      <c r="A1" s="495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5"/>
    </row>
    <row r="2" spans="1:43">
      <c r="A2" s="495"/>
      <c r="J2" s="450"/>
      <c r="K2" s="450"/>
      <c r="L2" s="450"/>
      <c r="M2" s="450"/>
      <c r="N2" s="450"/>
      <c r="O2" s="448"/>
      <c r="P2" s="448"/>
    </row>
    <row r="3" spans="1:43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6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4">
        <f>IF(W5&lt;&gt;0,ROW(W5),0)</f>
        <v>0</v>
      </c>
      <c r="Y5" s="564">
        <f>IF(X5&lt;&gt;0,X5,0)</f>
        <v>0</v>
      </c>
      <c r="Z5" s="564">
        <v>0</v>
      </c>
      <c r="AA5" s="564">
        <v>0</v>
      </c>
      <c r="AB5" s="564">
        <v>0</v>
      </c>
      <c r="AC5" s="564">
        <v>0</v>
      </c>
      <c r="AD5" s="564">
        <v>0</v>
      </c>
      <c r="AE5" s="564">
        <v>0</v>
      </c>
      <c r="AF5" s="564">
        <v>0</v>
      </c>
      <c r="AG5" s="564">
        <v>0</v>
      </c>
      <c r="AH5" s="564">
        <v>0</v>
      </c>
      <c r="AI5" s="564">
        <v>0</v>
      </c>
      <c r="AJ5" s="564">
        <v>0</v>
      </c>
      <c r="AK5" s="564">
        <v>0</v>
      </c>
      <c r="AL5" s="564">
        <v>0</v>
      </c>
      <c r="AM5" s="564">
        <v>0</v>
      </c>
      <c r="AN5" s="564">
        <v>0</v>
      </c>
      <c r="AO5" s="564">
        <v>0</v>
      </c>
      <c r="AP5" s="564">
        <v>0</v>
      </c>
      <c r="AQ5" s="564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7" t="str">
        <f>IF('Аренда ТС'!$I$16="","",'Аренда ТС'!$I$16)</f>
        <v/>
      </c>
      <c r="G6" s="552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6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4">
        <f t="shared" ref="X6:X23" si="4">IF(W6&lt;&gt;0,ROW(W6),0)</f>
        <v>0</v>
      </c>
      <c r="Y6" s="564">
        <f>IF(AND(SUM($Y$5:Y5)=0,X6&lt;&gt;0),X6,0)</f>
        <v>0</v>
      </c>
      <c r="Z6" s="564">
        <f>IF(AND(SUM(Z$5:Z5)=0,$X6&lt;&gt;0,SUM($X$5:$X5)=SUM($Y$25:Y$25)),$X6,0)</f>
        <v>0</v>
      </c>
      <c r="AA6" s="564">
        <f>IF(AND(SUM(AA$5:AA5)=0,$X6&lt;&gt;0,SUM($X$5:$X5)=SUM($Y$25:Z$25)),$X6,0)</f>
        <v>0</v>
      </c>
      <c r="AB6" s="564">
        <f>IF(AND(SUM(AB$5:AB5)=0,$X6&lt;&gt;0,SUM($X$5:$X5)=SUM($Y$25:AA$25)),$X6,0)</f>
        <v>0</v>
      </c>
      <c r="AC6" s="564">
        <f>IF(AND(SUM(AC$5:AC5)=0,$X6&lt;&gt;0,SUM($X$5:$X5)=SUM($Y$25:AB$25)),$X6,0)</f>
        <v>0</v>
      </c>
      <c r="AD6" s="564">
        <f>IF(AND(SUM(AD$5:AD5)=0,$X6&lt;&gt;0,SUM($X$5:$X5)=SUM($Y$25:AC$25)),$X6,0)</f>
        <v>0</v>
      </c>
      <c r="AE6" s="564">
        <f>IF(AND(SUM(AE$5:AE5)=0,$X6&lt;&gt;0,SUM($X$5:$X5)=SUM($Y$25:AD$25)),$X6,0)</f>
        <v>0</v>
      </c>
      <c r="AF6" s="564">
        <f>IF(AND(SUM(AF$5:AF5)=0,$X6&lt;&gt;0,SUM($X$5:$X5)=SUM($Y$25:AE$25)),$X6,0)</f>
        <v>0</v>
      </c>
      <c r="AG6" s="564">
        <f>IF(AND(SUM(AG$5:AG5)=0,$X6&lt;&gt;0,SUM($X$5:$X5)=SUM($Y$25:AF$25)),$X6,0)</f>
        <v>0</v>
      </c>
      <c r="AH6" s="564">
        <f>IF(AND(SUM(AH$5:AH5)=0,$X6&lt;&gt;0,SUM($X$5:$X5)=SUM($Y$25:AG$25)),$X6,0)</f>
        <v>0</v>
      </c>
      <c r="AI6" s="564">
        <f>IF(AND(SUM(AI$5:AI5)=0,$X6&lt;&gt;0,SUM($X$5:$X5)=SUM($Y$25:AH$25)),$X6,0)</f>
        <v>0</v>
      </c>
      <c r="AJ6" s="564">
        <f>IF(AND(SUM(AJ$5:AJ5)=0,$X6&lt;&gt;0,SUM($X$5:$X5)=SUM($Y$25:AI$25)),$X6,0)</f>
        <v>0</v>
      </c>
      <c r="AK6" s="564">
        <f>IF(AND(SUM(AK$5:AK5)=0,$X6&lt;&gt;0,SUM($X$5:$X5)=SUM($Y$25:AJ$25)),$X6,0)</f>
        <v>0</v>
      </c>
      <c r="AL6" s="564">
        <f>IF(AND(SUM(AL$5:AL5)=0,$X6&lt;&gt;0,SUM($X$5:$X5)=SUM($Y$25:AK$25)),$X6,0)</f>
        <v>0</v>
      </c>
      <c r="AM6" s="564">
        <f>IF(AND(SUM(AM$5:AM5)=0,$X6&lt;&gt;0,SUM($X$5:$X5)=SUM($Y$25:AL$25)),$X6,0)</f>
        <v>0</v>
      </c>
      <c r="AN6" s="564">
        <f>IF(AND(SUM(AN$5:AN5)=0,$X6&lt;&gt;0,SUM($X$5:$X5)=SUM($Y$25:AM$25)),$X6,0)</f>
        <v>0</v>
      </c>
      <c r="AO6" s="564">
        <f>IF(AND(SUM(AO$5:AO5)=0,$X6&lt;&gt;0,SUM($X$5:$X5)=SUM($Y$25:AN$25)),$X6,0)</f>
        <v>0</v>
      </c>
      <c r="AP6" s="564">
        <f>IF(AND(SUM(AP$5:AP5)=0,$X6&lt;&gt;0,SUM($X$5:$X5)=SUM($Y$25:AO$25)),$X6,0)</f>
        <v>0</v>
      </c>
      <c r="AQ6" s="564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7" t="str">
        <f>IF('Аренда ТС'!$BE$16="","",'Аренда ТС'!$BE$16)</f>
        <v/>
      </c>
      <c r="G7" s="552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6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4">
        <f t="shared" si="4"/>
        <v>0</v>
      </c>
      <c r="Y7" s="564">
        <f>IF(AND(SUM($Y$5:Y6)=0,X7&lt;&gt;0),X7,0)</f>
        <v>0</v>
      </c>
      <c r="Z7" s="564">
        <f>IF(AND(SUM($Z$5:Z6)=0,$X7&lt;&gt;0,SUM($X$5:X6)=Y$25),$X7,0)</f>
        <v>0</v>
      </c>
      <c r="AA7" s="564">
        <f>IF(AND(SUM(AA$5:AA6)=0,$X7&lt;&gt;0,SUM($X$5:$X6)=SUM($Y$25:Z$25)),$X7,0)</f>
        <v>0</v>
      </c>
      <c r="AB7" s="564">
        <f>IF(AND(SUM(AB$5:AB6)=0,$X7&lt;&gt;0,SUM($X$5:$X6)=SUM($Y$25:AA$25)),$X7,0)</f>
        <v>0</v>
      </c>
      <c r="AC7" s="564">
        <f>IF(AND(SUM(AC$5:AC6)=0,$X7&lt;&gt;0,SUM($X$5:$X6)=SUM($Y$25:AB$25)),$X7,0)</f>
        <v>0</v>
      </c>
      <c r="AD7" s="564">
        <f>IF(AND(SUM(AD$5:AD6)=0,$X7&lt;&gt;0,SUM($X$5:$X6)=SUM($Y$25:AC$25)),$X7,0)</f>
        <v>0</v>
      </c>
      <c r="AE7" s="564">
        <f>IF(AND(SUM(AE$5:AE6)=0,$X7&lt;&gt;0,SUM($X$5:$X6)=SUM($Y$25:AD$25)),$X7,0)</f>
        <v>0</v>
      </c>
      <c r="AF7" s="564">
        <f>IF(AND(SUM(AF$5:AF6)=0,$X7&lt;&gt;0,SUM($X$5:$X6)=SUM($Y$25:AE$25)),$X7,0)</f>
        <v>0</v>
      </c>
      <c r="AG7" s="564">
        <f>IF(AND(SUM(AG$5:AG6)=0,$X7&lt;&gt;0,SUM($X$5:$X6)=SUM($Y$25:AF$25)),$X7,0)</f>
        <v>0</v>
      </c>
      <c r="AH7" s="564">
        <f>IF(AND(SUM(AH$5:AH6)=0,$X7&lt;&gt;0,SUM($X$5:$X6)=SUM($Y$25:AG$25)),$X7,0)</f>
        <v>0</v>
      </c>
      <c r="AI7" s="564">
        <f>IF(AND(SUM(AI$5:AI6)=0,$X7&lt;&gt;0,SUM($X$5:$X6)=SUM($Y$25:AH$25)),$X7,0)</f>
        <v>0</v>
      </c>
      <c r="AJ7" s="564">
        <f>IF(AND(SUM(AJ$5:AJ6)=0,$X7&lt;&gt;0,SUM($X$5:$X6)=SUM($Y$25:AI$25)),$X7,0)</f>
        <v>0</v>
      </c>
      <c r="AK7" s="564">
        <f>IF(AND(SUM(AK$5:AK6)=0,$X7&lt;&gt;0,SUM($X$5:$X6)=SUM($Y$25:AJ$25)),$X7,0)</f>
        <v>0</v>
      </c>
      <c r="AL7" s="564">
        <f>IF(AND(SUM(AL$5:AL6)=0,$X7&lt;&gt;0,SUM($X$5:$X6)=SUM($Y$25:AK$25)),$X7,0)</f>
        <v>0</v>
      </c>
      <c r="AM7" s="564">
        <f>IF(AND(SUM(AM$5:AM6)=0,$X7&lt;&gt;0,SUM($X$5:$X6)=SUM($Y$25:AL$25)),$X7,0)</f>
        <v>0</v>
      </c>
      <c r="AN7" s="564">
        <f>IF(AND(SUM(AN$5:AN6)=0,$X7&lt;&gt;0,SUM($X$5:$X6)=SUM($Y$25:AM$25)),$X7,0)</f>
        <v>0</v>
      </c>
      <c r="AO7" s="564">
        <f>IF(AND(SUM(AO$5:AO6)=0,$X7&lt;&gt;0,SUM($X$5:$X6)=SUM($Y$25:AN$25)),$X7,0)</f>
        <v>0</v>
      </c>
      <c r="AP7" s="564">
        <f>IF(AND(SUM(AP$5:AP6)=0,$X7&lt;&gt;0,SUM($X$5:$X6)=SUM($Y$25:AO$25)),$X7,0)</f>
        <v>0</v>
      </c>
      <c r="AQ7" s="564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7" t="str">
        <f>IF('Аренда ТС'!DA16="","",'Аренда ТС'!DA16)</f>
        <v/>
      </c>
      <c r="G8" s="552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6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4">
        <f t="shared" si="4"/>
        <v>0</v>
      </c>
      <c r="Y8" s="564">
        <f>IF(AND(SUM($Y$5:Y7)=0,X8&lt;&gt;0),X8,0)</f>
        <v>0</v>
      </c>
      <c r="Z8" s="564">
        <f>IF(AND(SUM($Z$5:Z7)=0,$X8&lt;&gt;0,SUM($X$5:X7)=Y$25),$X8,0)</f>
        <v>0</v>
      </c>
      <c r="AA8" s="564">
        <f>IF(AND(SUM(AA$5:AA7)=0,$X8&lt;&gt;0,SUM($X$5:$X7)=SUM($Y$25:Z$25)),$X8,0)</f>
        <v>0</v>
      </c>
      <c r="AB8" s="564">
        <f>IF(AND(SUM(AB$5:AB7)=0,$X8&lt;&gt;0,SUM($X$5:$X7)=SUM($Y$25:AA$25)),$X8,0)</f>
        <v>0</v>
      </c>
      <c r="AC8" s="564">
        <f>IF(AND(SUM(AC$5:AC7)=0,$X8&lt;&gt;0,SUM($X$5:$X7)=SUM($Y$25:AB$25)),$X8,0)</f>
        <v>0</v>
      </c>
      <c r="AD8" s="564">
        <f>IF(AND(SUM(AD$5:AD7)=0,$X8&lt;&gt;0,SUM($X$5:$X7)=SUM($Y$25:AC$25)),$X8,0)</f>
        <v>0</v>
      </c>
      <c r="AE8" s="564">
        <f>IF(AND(SUM(AE$5:AE7)=0,$X8&lt;&gt;0,SUM($X$5:$X7)=SUM($Y$25:AD$25)),$X8,0)</f>
        <v>0</v>
      </c>
      <c r="AF8" s="564">
        <f>IF(AND(SUM(AF$5:AF7)=0,$X8&lt;&gt;0,SUM($X$5:$X7)=SUM($Y$25:AE$25)),$X8,0)</f>
        <v>0</v>
      </c>
      <c r="AG8" s="564">
        <f>IF(AND(SUM(AG$5:AG7)=0,$X8&lt;&gt;0,SUM($X$5:$X7)=SUM($Y$25:AF$25)),$X8,0)</f>
        <v>0</v>
      </c>
      <c r="AH8" s="564">
        <f>IF(AND(SUM(AH$5:AH7)=0,$X8&lt;&gt;0,SUM($X$5:$X7)=SUM($Y$25:AG$25)),$X8,0)</f>
        <v>0</v>
      </c>
      <c r="AI8" s="564">
        <f>IF(AND(SUM(AI$5:AI7)=0,$X8&lt;&gt;0,SUM($X$5:$X7)=SUM($Y$25:AH$25)),$X8,0)</f>
        <v>0</v>
      </c>
      <c r="AJ8" s="564">
        <f>IF(AND(SUM(AJ$5:AJ7)=0,$X8&lt;&gt;0,SUM($X$5:$X7)=SUM($Y$25:AI$25)),$X8,0)</f>
        <v>0</v>
      </c>
      <c r="AK8" s="564">
        <f>IF(AND(SUM(AK$5:AK7)=0,$X8&lt;&gt;0,SUM($X$5:$X7)=SUM($Y$25:AJ$25)),$X8,0)</f>
        <v>0</v>
      </c>
      <c r="AL8" s="564">
        <f>IF(AND(SUM(AL$5:AL7)=0,$X8&lt;&gt;0,SUM($X$5:$X7)=SUM($Y$25:AK$25)),$X8,0)</f>
        <v>0</v>
      </c>
      <c r="AM8" s="564">
        <f>IF(AND(SUM(AM$5:AM7)=0,$X8&lt;&gt;0,SUM($X$5:$X7)=SUM($Y$25:AL$25)),$X8,0)</f>
        <v>0</v>
      </c>
      <c r="AN8" s="564">
        <f>IF(AND(SUM(AN$5:AN7)=0,$X8&lt;&gt;0,SUM($X$5:$X7)=SUM($Y$25:AM$25)),$X8,0)</f>
        <v>0</v>
      </c>
      <c r="AO8" s="564">
        <f>IF(AND(SUM(AO$5:AO7)=0,$X8&lt;&gt;0,SUM($X$5:$X7)=SUM($Y$25:AN$25)),$X8,0)</f>
        <v>0</v>
      </c>
      <c r="AP8" s="564">
        <f>IF(AND(SUM(AP$5:AP7)=0,$X8&lt;&gt;0,SUM($X$5:$X7)=SUM($Y$25:AO$25)),$X8,0)</f>
        <v>0</v>
      </c>
      <c r="AQ8" s="564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6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4">
        <f t="shared" si="4"/>
        <v>0</v>
      </c>
      <c r="Y9" s="564">
        <f>IF(AND(SUM($Y$5:Y8)=0,X9&lt;&gt;0),X9,0)</f>
        <v>0</v>
      </c>
      <c r="Z9" s="564">
        <f>IF(AND(SUM($Z$5:Z8)=0,$X9&lt;&gt;0,SUM($X$5:X8)=Y$25),$X9,0)</f>
        <v>0</v>
      </c>
      <c r="AA9" s="564">
        <f>IF(AND(SUM(AA$5:AA8)=0,$X9&lt;&gt;0,SUM($X$5:$X8)=SUM($Y$25:Z$25)),$X9,0)</f>
        <v>0</v>
      </c>
      <c r="AB9" s="564">
        <f>IF(AND(SUM(AB$5:AB8)=0,$X9&lt;&gt;0,SUM($X$5:$X8)=SUM($Y$25:AA$25)),$X9,0)</f>
        <v>0</v>
      </c>
      <c r="AC9" s="564">
        <f>IF(AND(SUM(AC$5:AC8)=0,$X9&lt;&gt;0,SUM($X$5:$X8)=SUM($Y$25:AB$25)),$X9,0)</f>
        <v>0</v>
      </c>
      <c r="AD9" s="564">
        <f>IF(AND(SUM(AD$5:AD8)=0,$X9&lt;&gt;0,SUM($X$5:$X8)=SUM($Y$25:AC$25)),$X9,0)</f>
        <v>0</v>
      </c>
      <c r="AE9" s="564">
        <f>IF(AND(SUM(AE$5:AE8)=0,$X9&lt;&gt;0,SUM($X$5:$X8)=SUM($Y$25:AD$25)),$X9,0)</f>
        <v>0</v>
      </c>
      <c r="AF9" s="564">
        <f>IF(AND(SUM(AF$5:AF8)=0,$X9&lt;&gt;0,SUM($X$5:$X8)=SUM($Y$25:AE$25)),$X9,0)</f>
        <v>0</v>
      </c>
      <c r="AG9" s="564">
        <f>IF(AND(SUM(AG$5:AG8)=0,$X9&lt;&gt;0,SUM($X$5:$X8)=SUM($Y$25:AF$25)),$X9,0)</f>
        <v>0</v>
      </c>
      <c r="AH9" s="564">
        <f>IF(AND(SUM(AH$5:AH8)=0,$X9&lt;&gt;0,SUM($X$5:$X8)=SUM($Y$25:AG$25)),$X9,0)</f>
        <v>0</v>
      </c>
      <c r="AI9" s="564">
        <f>IF(AND(SUM(AI$5:AI8)=0,$X9&lt;&gt;0,SUM($X$5:$X8)=SUM($Y$25:AH$25)),$X9,0)</f>
        <v>0</v>
      </c>
      <c r="AJ9" s="564">
        <f>IF(AND(SUM(AJ$5:AJ8)=0,$X9&lt;&gt;0,SUM($X$5:$X8)=SUM($Y$25:AI$25)),$X9,0)</f>
        <v>0</v>
      </c>
      <c r="AK9" s="564">
        <f>IF(AND(SUM(AK$5:AK8)=0,$X9&lt;&gt;0,SUM($X$5:$X8)=SUM($Y$25:AJ$25)),$X9,0)</f>
        <v>0</v>
      </c>
      <c r="AL9" s="564">
        <f>IF(AND(SUM(AL$5:AL8)=0,$X9&lt;&gt;0,SUM($X$5:$X8)=SUM($Y$25:AK$25)),$X9,0)</f>
        <v>0</v>
      </c>
      <c r="AM9" s="564">
        <f>IF(AND(SUM(AM$5:AM8)=0,$X9&lt;&gt;0,SUM($X$5:$X8)=SUM($Y$25:AL$25)),$X9,0)</f>
        <v>0</v>
      </c>
      <c r="AN9" s="564">
        <f>IF(AND(SUM(AN$5:AN8)=0,$X9&lt;&gt;0,SUM($X$5:$X8)=SUM($Y$25:AM$25)),$X9,0)</f>
        <v>0</v>
      </c>
      <c r="AO9" s="564">
        <f>IF(AND(SUM(AO$5:AO8)=0,$X9&lt;&gt;0,SUM($X$5:$X8)=SUM($Y$25:AN$25)),$X9,0)</f>
        <v>0</v>
      </c>
      <c r="AP9" s="564">
        <f>IF(AND(SUM(AP$5:AP8)=0,$X9&lt;&gt;0,SUM($X$5:$X8)=SUM($Y$25:AO$25)),$X9,0)</f>
        <v>0</v>
      </c>
      <c r="AQ9" s="564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6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4">
        <f t="shared" si="4"/>
        <v>0</v>
      </c>
      <c r="Y10" s="564">
        <f>IF(AND(SUM($Y$5:Y9)=0,X10&lt;&gt;0),X10,0)</f>
        <v>0</v>
      </c>
      <c r="Z10" s="564">
        <f>IF(AND(SUM($Z$5:Z9)=0,$X10&lt;&gt;0,SUM($X$5:X9)=Y$25),$X10,0)</f>
        <v>0</v>
      </c>
      <c r="AA10" s="564">
        <f>IF(AND(SUM(AA$5:AA9)=0,$X10&lt;&gt;0,SUM($X$5:$X9)=SUM($Y$25:Z$25)),$X10,0)</f>
        <v>0</v>
      </c>
      <c r="AB10" s="564">
        <f>IF(AND(SUM(AB$5:AB9)=0,$X10&lt;&gt;0,SUM($X$5:$X9)=SUM($Y$25:AA$25)),$X10,0)</f>
        <v>0</v>
      </c>
      <c r="AC10" s="564">
        <f>IF(AND(SUM(AC$5:AC9)=0,$X10&lt;&gt;0,SUM($X$5:$X9)=SUM($Y$25:AB$25)),$X10,0)</f>
        <v>0</v>
      </c>
      <c r="AD10" s="564">
        <f>IF(AND(SUM(AD$5:AD9)=0,$X10&lt;&gt;0,SUM($X$5:$X9)=SUM($Y$25:AC$25)),$X10,0)</f>
        <v>0</v>
      </c>
      <c r="AE10" s="564">
        <f>IF(AND(SUM(AE$5:AE9)=0,$X10&lt;&gt;0,SUM($X$5:$X9)=SUM($Y$25:AD$25)),$X10,0)</f>
        <v>0</v>
      </c>
      <c r="AF10" s="564">
        <f>IF(AND(SUM(AF$5:AF9)=0,$X10&lt;&gt;0,SUM($X$5:$X9)=SUM($Y$25:AE$25)),$X10,0)</f>
        <v>0</v>
      </c>
      <c r="AG10" s="564">
        <f>IF(AND(SUM(AG$5:AG9)=0,$X10&lt;&gt;0,SUM($X$5:$X9)=SUM($Y$25:AF$25)),$X10,0)</f>
        <v>0</v>
      </c>
      <c r="AH10" s="564">
        <f>IF(AND(SUM(AH$5:AH9)=0,$X10&lt;&gt;0,SUM($X$5:$X9)=SUM($Y$25:AG$25)),$X10,0)</f>
        <v>0</v>
      </c>
      <c r="AI10" s="564">
        <f>IF(AND(SUM(AI$5:AI9)=0,$X10&lt;&gt;0,SUM($X$5:$X9)=SUM($Y$25:AH$25)),$X10,0)</f>
        <v>0</v>
      </c>
      <c r="AJ10" s="564">
        <f>IF(AND(SUM(AJ$5:AJ9)=0,$X10&lt;&gt;0,SUM($X$5:$X9)=SUM($Y$25:AI$25)),$X10,0)</f>
        <v>0</v>
      </c>
      <c r="AK10" s="564">
        <f>IF(AND(SUM(AK$5:AK9)=0,$X10&lt;&gt;0,SUM($X$5:$X9)=SUM($Y$25:AJ$25)),$X10,0)</f>
        <v>0</v>
      </c>
      <c r="AL10" s="564">
        <f>IF(AND(SUM(AL$5:AL9)=0,$X10&lt;&gt;0,SUM($X$5:$X9)=SUM($Y$25:AK$25)),$X10,0)</f>
        <v>0</v>
      </c>
      <c r="AM10" s="564">
        <f>IF(AND(SUM(AM$5:AM9)=0,$X10&lt;&gt;0,SUM($X$5:$X9)=SUM($Y$25:AL$25)),$X10,0)</f>
        <v>0</v>
      </c>
      <c r="AN10" s="564">
        <f>IF(AND(SUM(AN$5:AN9)=0,$X10&lt;&gt;0,SUM($X$5:$X9)=SUM($Y$25:AM$25)),$X10,0)</f>
        <v>0</v>
      </c>
      <c r="AO10" s="564">
        <f>IF(AND(SUM(AO$5:AO9)=0,$X10&lt;&gt;0,SUM($X$5:$X9)=SUM($Y$25:AN$25)),$X10,0)</f>
        <v>0</v>
      </c>
      <c r="AP10" s="564">
        <f>IF(AND(SUM(AP$5:AP9)=0,$X10&lt;&gt;0,SUM($X$5:$X9)=SUM($Y$25:AO$25)),$X10,0)</f>
        <v>0</v>
      </c>
      <c r="AQ10" s="564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6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4">
        <f t="shared" si="4"/>
        <v>0</v>
      </c>
      <c r="Y11" s="564">
        <f>IF(AND(SUM($Y$5:Y10)=0,X11&lt;&gt;0),X11,0)</f>
        <v>0</v>
      </c>
      <c r="Z11" s="564">
        <f>IF(AND(SUM($Z$5:Z10)=0,$X11&lt;&gt;0,SUM($X$5:X10)=Y$25),$X11,0)</f>
        <v>0</v>
      </c>
      <c r="AA11" s="564">
        <f>IF(AND(SUM(AA$5:AA10)=0,$X11&lt;&gt;0,SUM($X$5:$X10)=SUM($Y$25:Z$25)),$X11,0)</f>
        <v>0</v>
      </c>
      <c r="AB11" s="564">
        <f>IF(AND(SUM(AB$5:AB10)=0,$X11&lt;&gt;0,SUM($X$5:$X10)=SUM($Y$25:AA$25)),$X11,0)</f>
        <v>0</v>
      </c>
      <c r="AC11" s="564">
        <f>IF(AND(SUM(AC$5:AC10)=0,$X11&lt;&gt;0,SUM($X$5:$X10)=SUM($Y$25:AB$25)),$X11,0)</f>
        <v>0</v>
      </c>
      <c r="AD11" s="564">
        <f>IF(AND(SUM(AD$5:AD10)=0,$X11&lt;&gt;0,SUM($X$5:$X10)=SUM($Y$25:AC$25)),$X11,0)</f>
        <v>0</v>
      </c>
      <c r="AE11" s="564">
        <f>IF(AND(SUM(AE$5:AE10)=0,$X11&lt;&gt;0,SUM($X$5:$X10)=SUM($Y$25:AD$25)),$X11,0)</f>
        <v>0</v>
      </c>
      <c r="AF11" s="564">
        <f>IF(AND(SUM(AF$5:AF10)=0,$X11&lt;&gt;0,SUM($X$5:$X10)=SUM($Y$25:AE$25)),$X11,0)</f>
        <v>0</v>
      </c>
      <c r="AG11" s="564">
        <f>IF(AND(SUM(AG$5:AG10)=0,$X11&lt;&gt;0,SUM($X$5:$X10)=SUM($Y$25:AF$25)),$X11,0)</f>
        <v>0</v>
      </c>
      <c r="AH11" s="564">
        <f>IF(AND(SUM(AH$5:AH10)=0,$X11&lt;&gt;0,SUM($X$5:$X10)=SUM($Y$25:AG$25)),$X11,0)</f>
        <v>0</v>
      </c>
      <c r="AI11" s="564">
        <f>IF(AND(SUM(AI$5:AI10)=0,$X11&lt;&gt;0,SUM($X$5:$X10)=SUM($Y$25:AH$25)),$X11,0)</f>
        <v>0</v>
      </c>
      <c r="AJ11" s="564">
        <f>IF(AND(SUM(AJ$5:AJ10)=0,$X11&lt;&gt;0,SUM($X$5:$X10)=SUM($Y$25:AI$25)),$X11,0)</f>
        <v>0</v>
      </c>
      <c r="AK11" s="564">
        <f>IF(AND(SUM(AK$5:AK10)=0,$X11&lt;&gt;0,SUM($X$5:$X10)=SUM($Y$25:AJ$25)),$X11,0)</f>
        <v>0</v>
      </c>
      <c r="AL11" s="564">
        <f>IF(AND(SUM(AL$5:AL10)=0,$X11&lt;&gt;0,SUM($X$5:$X10)=SUM($Y$25:AK$25)),$X11,0)</f>
        <v>0</v>
      </c>
      <c r="AM11" s="564">
        <f>IF(AND(SUM(AM$5:AM10)=0,$X11&lt;&gt;0,SUM($X$5:$X10)=SUM($Y$25:AL$25)),$X11,0)</f>
        <v>0</v>
      </c>
      <c r="AN11" s="564">
        <f>IF(AND(SUM(AN$5:AN10)=0,$X11&lt;&gt;0,SUM($X$5:$X10)=SUM($Y$25:AM$25)),$X11,0)</f>
        <v>0</v>
      </c>
      <c r="AO11" s="564">
        <f>IF(AND(SUM(AO$5:AO10)=0,$X11&lt;&gt;0,SUM($X$5:$X10)=SUM($Y$25:AN$25)),$X11,0)</f>
        <v>0</v>
      </c>
      <c r="AP11" s="564">
        <f>IF(AND(SUM(AP$5:AP10)=0,$X11&lt;&gt;0,SUM($X$5:$X10)=SUM($Y$25:AO$25)),$X11,0)</f>
        <v>0</v>
      </c>
      <c r="AQ11" s="564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6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4">
        <f t="shared" si="4"/>
        <v>0</v>
      </c>
      <c r="Y12" s="564">
        <f>IF(AND(SUM($Y$5:Y11)=0,X12&lt;&gt;0),X12,0)</f>
        <v>0</v>
      </c>
      <c r="Z12" s="564">
        <f>IF(AND(SUM($Z$5:Z11)=0,$X12&lt;&gt;0,SUM($X$5:X11)=Y$25),$X12,0)</f>
        <v>0</v>
      </c>
      <c r="AA12" s="564">
        <f>IF(AND(SUM(AA$5:AA11)=0,$X12&lt;&gt;0,SUM($X$5:$X11)=SUM($Y$25:Z$25)),$X12,0)</f>
        <v>0</v>
      </c>
      <c r="AB12" s="564">
        <f>IF(AND(SUM(AB$5:AB11)=0,$X12&lt;&gt;0,SUM($X$5:$X11)=SUM($Y$25:AA$25)),$X12,0)</f>
        <v>0</v>
      </c>
      <c r="AC12" s="564">
        <f>IF(AND(SUM(AC$5:AC11)=0,$X12&lt;&gt;0,SUM($X$5:$X11)=SUM($Y$25:AB$25)),$X12,0)</f>
        <v>0</v>
      </c>
      <c r="AD12" s="564">
        <f>IF(AND(SUM(AD$5:AD11)=0,$X12&lt;&gt;0,SUM($X$5:$X11)=SUM($Y$25:AC$25)),$X12,0)</f>
        <v>0</v>
      </c>
      <c r="AE12" s="564">
        <f>IF(AND(SUM(AE$5:AE11)=0,$X12&lt;&gt;0,SUM($X$5:$X11)=SUM($Y$25:AD$25)),$X12,0)</f>
        <v>0</v>
      </c>
      <c r="AF12" s="564">
        <f>IF(AND(SUM(AF$5:AF11)=0,$X12&lt;&gt;0,SUM($X$5:$X11)=SUM($Y$25:AE$25)),$X12,0)</f>
        <v>0</v>
      </c>
      <c r="AG12" s="564">
        <f>IF(AND(SUM(AG$5:AG11)=0,$X12&lt;&gt;0,SUM($X$5:$X11)=SUM($Y$25:AF$25)),$X12,0)</f>
        <v>0</v>
      </c>
      <c r="AH12" s="564">
        <f>IF(AND(SUM(AH$5:AH11)=0,$X12&lt;&gt;0,SUM($X$5:$X11)=SUM($Y$25:AG$25)),$X12,0)</f>
        <v>0</v>
      </c>
      <c r="AI12" s="564">
        <f>IF(AND(SUM(AI$5:AI11)=0,$X12&lt;&gt;0,SUM($X$5:$X11)=SUM($Y$25:AH$25)),$X12,0)</f>
        <v>0</v>
      </c>
      <c r="AJ12" s="564">
        <f>IF(AND(SUM(AJ$5:AJ11)=0,$X12&lt;&gt;0,SUM($X$5:$X11)=SUM($Y$25:AI$25)),$X12,0)</f>
        <v>0</v>
      </c>
      <c r="AK12" s="564">
        <f>IF(AND(SUM(AK$5:AK11)=0,$X12&lt;&gt;0,SUM($X$5:$X11)=SUM($Y$25:AJ$25)),$X12,0)</f>
        <v>0</v>
      </c>
      <c r="AL12" s="564">
        <f>IF(AND(SUM(AL$5:AL11)=0,$X12&lt;&gt;0,SUM($X$5:$X11)=SUM($Y$25:AK$25)),$X12,0)</f>
        <v>0</v>
      </c>
      <c r="AM12" s="564">
        <f>IF(AND(SUM(AM$5:AM11)=0,$X12&lt;&gt;0,SUM($X$5:$X11)=SUM($Y$25:AL$25)),$X12,0)</f>
        <v>0</v>
      </c>
      <c r="AN12" s="564">
        <f>IF(AND(SUM(AN$5:AN11)=0,$X12&lt;&gt;0,SUM($X$5:$X11)=SUM($Y$25:AM$25)),$X12,0)</f>
        <v>0</v>
      </c>
      <c r="AO12" s="564">
        <f>IF(AND(SUM(AO$5:AO11)=0,$X12&lt;&gt;0,SUM($X$5:$X11)=SUM($Y$25:AN$25)),$X12,0)</f>
        <v>0</v>
      </c>
      <c r="AP12" s="564">
        <f>IF(AND(SUM(AP$5:AP11)=0,$X12&lt;&gt;0,SUM($X$5:$X11)=SUM($Y$25:AO$25)),$X12,0)</f>
        <v>0</v>
      </c>
      <c r="AQ12" s="564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6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4">
        <f t="shared" si="4"/>
        <v>0</v>
      </c>
      <c r="Y13" s="564">
        <f>IF(AND(SUM($Y$5:Y12)=0,X13&lt;&gt;0),X13,0)</f>
        <v>0</v>
      </c>
      <c r="Z13" s="564">
        <f>IF(AND(SUM($Z$5:Z12)=0,$X13&lt;&gt;0,SUM($X$5:X12)=Y$25),$X13,0)</f>
        <v>0</v>
      </c>
      <c r="AA13" s="564">
        <f>IF(AND(SUM(AA$5:AA12)=0,$X13&lt;&gt;0,SUM($X$5:$X12)=SUM($Y$25:Z$25)),$X13,0)</f>
        <v>0</v>
      </c>
      <c r="AB13" s="564">
        <f>IF(AND(SUM(AB$5:AB12)=0,$X13&lt;&gt;0,SUM($X$5:$X12)=SUM($Y$25:AA$25)),$X13,0)</f>
        <v>0</v>
      </c>
      <c r="AC13" s="564">
        <f>IF(AND(SUM(AC$5:AC12)=0,$X13&lt;&gt;0,SUM($X$5:$X12)=SUM($Y$25:AB$25)),$X13,0)</f>
        <v>0</v>
      </c>
      <c r="AD13" s="564">
        <f>IF(AND(SUM(AD$5:AD12)=0,$X13&lt;&gt;0,SUM($X$5:$X12)=SUM($Y$25:AC$25)),$X13,0)</f>
        <v>0</v>
      </c>
      <c r="AE13" s="564">
        <f>IF(AND(SUM(AE$5:AE12)=0,$X13&lt;&gt;0,SUM($X$5:$X12)=SUM($Y$25:AD$25)),$X13,0)</f>
        <v>0</v>
      </c>
      <c r="AF13" s="564">
        <f>IF(AND(SUM(AF$5:AF12)=0,$X13&lt;&gt;0,SUM($X$5:$X12)=SUM($Y$25:AE$25)),$X13,0)</f>
        <v>0</v>
      </c>
      <c r="AG13" s="564">
        <f>IF(AND(SUM(AG$5:AG12)=0,$X13&lt;&gt;0,SUM($X$5:$X12)=SUM($Y$25:AF$25)),$X13,0)</f>
        <v>0</v>
      </c>
      <c r="AH13" s="564">
        <f>IF(AND(SUM(AH$5:AH12)=0,$X13&lt;&gt;0,SUM($X$5:$X12)=SUM($Y$25:AG$25)),$X13,0)</f>
        <v>0</v>
      </c>
      <c r="AI13" s="564">
        <f>IF(AND(SUM(AI$5:AI12)=0,$X13&lt;&gt;0,SUM($X$5:$X12)=SUM($Y$25:AH$25)),$X13,0)</f>
        <v>0</v>
      </c>
      <c r="AJ13" s="564">
        <f>IF(AND(SUM(AJ$5:AJ12)=0,$X13&lt;&gt;0,SUM($X$5:$X12)=SUM($Y$25:AI$25)),$X13,0)</f>
        <v>0</v>
      </c>
      <c r="AK13" s="564">
        <f>IF(AND(SUM(AK$5:AK12)=0,$X13&lt;&gt;0,SUM($X$5:$X12)=SUM($Y$25:AJ$25)),$X13,0)</f>
        <v>0</v>
      </c>
      <c r="AL13" s="564">
        <f>IF(AND(SUM(AL$5:AL12)=0,$X13&lt;&gt;0,SUM($X$5:$X12)=SUM($Y$25:AK$25)),$X13,0)</f>
        <v>0</v>
      </c>
      <c r="AM13" s="564">
        <f>IF(AND(SUM(AM$5:AM12)=0,$X13&lt;&gt;0,SUM($X$5:$X12)=SUM($Y$25:AL$25)),$X13,0)</f>
        <v>0</v>
      </c>
      <c r="AN13" s="564">
        <f>IF(AND(SUM(AN$5:AN12)=0,$X13&lt;&gt;0,SUM($X$5:$X12)=SUM($Y$25:AM$25)),$X13,0)</f>
        <v>0</v>
      </c>
      <c r="AO13" s="564">
        <f>IF(AND(SUM(AO$5:AO12)=0,$X13&lt;&gt;0,SUM($X$5:$X12)=SUM($Y$25:AN$25)),$X13,0)</f>
        <v>0</v>
      </c>
      <c r="AP13" s="564">
        <f>IF(AND(SUM(AP$5:AP12)=0,$X13&lt;&gt;0,SUM($X$5:$X12)=SUM($Y$25:AO$25)),$X13,0)</f>
        <v>0</v>
      </c>
      <c r="AQ13" s="564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6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4">
        <f t="shared" si="4"/>
        <v>0</v>
      </c>
      <c r="Y14" s="564">
        <f>IF(AND(SUM($Y$5:Y13)=0,X14&lt;&gt;0),X14,0)</f>
        <v>0</v>
      </c>
      <c r="Z14" s="564">
        <f>IF(AND(SUM($Z$5:Z13)=0,$X14&lt;&gt;0,SUM($X$5:X13)=Y$25),$X14,0)</f>
        <v>0</v>
      </c>
      <c r="AA14" s="564">
        <f>IF(AND(SUM(AA$5:AA13)=0,$X14&lt;&gt;0,SUM($X$5:$X13)=SUM($Y$25:Z$25)),$X14,0)</f>
        <v>0</v>
      </c>
      <c r="AB14" s="564">
        <f>IF(AND(SUM(AB$5:AB13)=0,$X14&lt;&gt;0,SUM($X$5:$X13)=SUM($Y$25:AA$25)),$X14,0)</f>
        <v>0</v>
      </c>
      <c r="AC14" s="564">
        <f>IF(AND(SUM(AC$5:AC13)=0,$X14&lt;&gt;0,SUM($X$5:$X13)=SUM($Y$25:AB$25)),$X14,0)</f>
        <v>0</v>
      </c>
      <c r="AD14" s="564">
        <f>IF(AND(SUM(AD$5:AD13)=0,$X14&lt;&gt;0,SUM($X$5:$X13)=SUM($Y$25:AC$25)),$X14,0)</f>
        <v>0</v>
      </c>
      <c r="AE14" s="564">
        <f>IF(AND(SUM(AE$5:AE13)=0,$X14&lt;&gt;0,SUM($X$5:$X13)=SUM($Y$25:AD$25)),$X14,0)</f>
        <v>0</v>
      </c>
      <c r="AF14" s="564">
        <f>IF(AND(SUM(AF$5:AF13)=0,$X14&lt;&gt;0,SUM($X$5:$X13)=SUM($Y$25:AE$25)),$X14,0)</f>
        <v>0</v>
      </c>
      <c r="AG14" s="564">
        <f>IF(AND(SUM(AG$5:AG13)=0,$X14&lt;&gt;0,SUM($X$5:$X13)=SUM($Y$25:AF$25)),$X14,0)</f>
        <v>0</v>
      </c>
      <c r="AH14" s="564">
        <f>IF(AND(SUM(AH$5:AH13)=0,$X14&lt;&gt;0,SUM($X$5:$X13)=SUM($Y$25:AG$25)),$X14,0)</f>
        <v>0</v>
      </c>
      <c r="AI14" s="564">
        <f>IF(AND(SUM(AI$5:AI13)=0,$X14&lt;&gt;0,SUM($X$5:$X13)=SUM($Y$25:AH$25)),$X14,0)</f>
        <v>0</v>
      </c>
      <c r="AJ14" s="564">
        <f>IF(AND(SUM(AJ$5:AJ13)=0,$X14&lt;&gt;0,SUM($X$5:$X13)=SUM($Y$25:AI$25)),$X14,0)</f>
        <v>0</v>
      </c>
      <c r="AK14" s="564">
        <f>IF(AND(SUM(AK$5:AK13)=0,$X14&lt;&gt;0,SUM($X$5:$X13)=SUM($Y$25:AJ$25)),$X14,0)</f>
        <v>0</v>
      </c>
      <c r="AL14" s="564">
        <f>IF(AND(SUM(AL$5:AL13)=0,$X14&lt;&gt;0,SUM($X$5:$X13)=SUM($Y$25:AK$25)),$X14,0)</f>
        <v>0</v>
      </c>
      <c r="AM14" s="564">
        <f>IF(AND(SUM(AM$5:AM13)=0,$X14&lt;&gt;0,SUM($X$5:$X13)=SUM($Y$25:AL$25)),$X14,0)</f>
        <v>0</v>
      </c>
      <c r="AN14" s="564">
        <f>IF(AND(SUM(AN$5:AN13)=0,$X14&lt;&gt;0,SUM($X$5:$X13)=SUM($Y$25:AM$25)),$X14,0)</f>
        <v>0</v>
      </c>
      <c r="AO14" s="564">
        <f>IF(AND(SUM(AO$5:AO13)=0,$X14&lt;&gt;0,SUM($X$5:$X13)=SUM($Y$25:AN$25)),$X14,0)</f>
        <v>0</v>
      </c>
      <c r="AP14" s="564">
        <f>IF(AND(SUM(AP$5:AP13)=0,$X14&lt;&gt;0,SUM($X$5:$X13)=SUM($Y$25:AO$25)),$X14,0)</f>
        <v>0</v>
      </c>
      <c r="AQ14" s="564">
        <f>IF(AND(SUM(AQ$5:AQ13)=0,$X14&lt;&gt;0,SUM($X$5:$X13)=SUM($Y$25:AP$25)),$X14,0)</f>
        <v>0</v>
      </c>
    </row>
    <row r="15" spans="1:43">
      <c r="A15" s="495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4">
        <f t="shared" si="4"/>
        <v>0</v>
      </c>
      <c r="Y15" s="564">
        <f>IF(AND(SUM($Y$5:Y14)=0,X15&lt;&gt;0),X15,0)</f>
        <v>0</v>
      </c>
      <c r="Z15" s="564">
        <f>IF(AND(SUM($Z$5:Z14)=0,$X15&lt;&gt;0,SUM($X$5:X14)=Y$25),$X15,0)</f>
        <v>0</v>
      </c>
      <c r="AA15" s="564">
        <f>IF(AND(SUM(AA$5:AA14)=0,$X15&lt;&gt;0,SUM($X$5:$X14)=SUM($Y$25:Z$25)),$X15,0)</f>
        <v>0</v>
      </c>
      <c r="AB15" s="564">
        <f>IF(AND(SUM(AB$5:AB14)=0,$X15&lt;&gt;0,SUM($X$5:$X14)=SUM($Y$25:AA$25)),$X15,0)</f>
        <v>0</v>
      </c>
      <c r="AC15" s="564">
        <f>IF(AND(SUM(AC$5:AC14)=0,$X15&lt;&gt;0,SUM($X$5:$X14)=SUM($Y$25:AB$25)),$X15,0)</f>
        <v>0</v>
      </c>
      <c r="AD15" s="564">
        <f>IF(AND(SUM(AD$5:AD14)=0,$X15&lt;&gt;0,SUM($X$5:$X14)=SUM($Y$25:AC$25)),$X15,0)</f>
        <v>0</v>
      </c>
      <c r="AE15" s="564">
        <f>IF(AND(SUM(AE$5:AE14)=0,$X15&lt;&gt;0,SUM($X$5:$X14)=SUM($Y$25:AD$25)),$X15,0)</f>
        <v>0</v>
      </c>
      <c r="AF15" s="564">
        <f>IF(AND(SUM(AF$5:AF14)=0,$X15&lt;&gt;0,SUM($X$5:$X14)=SUM($Y$25:AE$25)),$X15,0)</f>
        <v>0</v>
      </c>
      <c r="AG15" s="564">
        <f>IF(AND(SUM(AG$5:AG14)=0,$X15&lt;&gt;0,SUM($X$5:$X14)=SUM($Y$25:AF$25)),$X15,0)</f>
        <v>0</v>
      </c>
      <c r="AH15" s="564">
        <f>IF(AND(SUM(AH$5:AH14)=0,$X15&lt;&gt;0,SUM($X$5:$X14)=SUM($Y$25:AG$25)),$X15,0)</f>
        <v>0</v>
      </c>
      <c r="AI15" s="564">
        <f>IF(AND(SUM(AI$5:AI14)=0,$X15&lt;&gt;0,SUM($X$5:$X14)=SUM($Y$25:AH$25)),$X15,0)</f>
        <v>0</v>
      </c>
      <c r="AJ15" s="564">
        <f>IF(AND(SUM(AJ$5:AJ14)=0,$X15&lt;&gt;0,SUM($X$5:$X14)=SUM($Y$25:AI$25)),$X15,0)</f>
        <v>0</v>
      </c>
      <c r="AK15" s="564">
        <f>IF(AND(SUM(AK$5:AK14)=0,$X15&lt;&gt;0,SUM($X$5:$X14)=SUM($Y$25:AJ$25)),$X15,0)</f>
        <v>0</v>
      </c>
      <c r="AL15" s="564">
        <f>IF(AND(SUM(AL$5:AL14)=0,$X15&lt;&gt;0,SUM($X$5:$X14)=SUM($Y$25:AK$25)),$X15,0)</f>
        <v>0</v>
      </c>
      <c r="AM15" s="564">
        <f>IF(AND(SUM(AM$5:AM14)=0,$X15&lt;&gt;0,SUM($X$5:$X14)=SUM($Y$25:AL$25)),$X15,0)</f>
        <v>0</v>
      </c>
      <c r="AN15" s="564">
        <f>IF(AND(SUM(AN$5:AN14)=0,$X15&lt;&gt;0,SUM($X$5:$X14)=SUM($Y$25:AM$25)),$X15,0)</f>
        <v>0</v>
      </c>
      <c r="AO15" s="564">
        <f>IF(AND(SUM(AO$5:AO14)=0,$X15&lt;&gt;0,SUM($X$5:$X14)=SUM($Y$25:AN$25)),$X15,0)</f>
        <v>0</v>
      </c>
      <c r="AP15" s="564">
        <f>IF(AND(SUM(AP$5:AP14)=0,$X15&lt;&gt;0,SUM($X$5:$X14)=SUM($Y$25:AO$25)),$X15,0)</f>
        <v>0</v>
      </c>
      <c r="AQ15" s="564">
        <f>IF(AND(SUM(AQ$5:AQ14)=0,$X15&lt;&gt;0,SUM($X$5:$X14)=SUM($Y$25:AP$25)),$X15,0)</f>
        <v>0</v>
      </c>
    </row>
    <row r="16" spans="1:43">
      <c r="A16" s="495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4">
        <f t="shared" si="4"/>
        <v>0</v>
      </c>
      <c r="Y16" s="564">
        <f>IF(AND(SUM($Y$5:Y15)=0,X16&lt;&gt;0),X16,0)</f>
        <v>0</v>
      </c>
      <c r="Z16" s="564">
        <f>IF(AND(SUM($Z$5:Z15)=0,$X16&lt;&gt;0,SUM($X$5:X15)=Y$25),$X16,0)</f>
        <v>0</v>
      </c>
      <c r="AA16" s="564">
        <f>IF(AND(SUM(AA$5:AA15)=0,$X16&lt;&gt;0,SUM($X$5:$X15)=SUM($Y$25:Z$25)),$X16,0)</f>
        <v>0</v>
      </c>
      <c r="AB16" s="564">
        <f>IF(AND(SUM(AB$5:AB15)=0,$X16&lt;&gt;0,SUM($X$5:$X15)=SUM($Y$25:AA$25)),$X16,0)</f>
        <v>0</v>
      </c>
      <c r="AC16" s="564">
        <f>IF(AND(SUM(AC$5:AC15)=0,$X16&lt;&gt;0,SUM($X$5:$X15)=SUM($Y$25:AB$25)),$X16,0)</f>
        <v>0</v>
      </c>
      <c r="AD16" s="564">
        <f>IF(AND(SUM(AD$5:AD15)=0,$X16&lt;&gt;0,SUM($X$5:$X15)=SUM($Y$25:AC$25)),$X16,0)</f>
        <v>0</v>
      </c>
      <c r="AE16" s="564">
        <f>IF(AND(SUM(AE$5:AE15)=0,$X16&lt;&gt;0,SUM($X$5:$X15)=SUM($Y$25:AD$25)),$X16,0)</f>
        <v>0</v>
      </c>
      <c r="AF16" s="564">
        <f>IF(AND(SUM(AF$5:AF15)=0,$X16&lt;&gt;0,SUM($X$5:$X15)=SUM($Y$25:AE$25)),$X16,0)</f>
        <v>0</v>
      </c>
      <c r="AG16" s="564">
        <f>IF(AND(SUM(AG$5:AG15)=0,$X16&lt;&gt;0,SUM($X$5:$X15)=SUM($Y$25:AF$25)),$X16,0)</f>
        <v>0</v>
      </c>
      <c r="AH16" s="564">
        <f>IF(AND(SUM(AH$5:AH15)=0,$X16&lt;&gt;0,SUM($X$5:$X15)=SUM($Y$25:AG$25)),$X16,0)</f>
        <v>0</v>
      </c>
      <c r="AI16" s="564">
        <f>IF(AND(SUM(AI$5:AI15)=0,$X16&lt;&gt;0,SUM($X$5:$X15)=SUM($Y$25:AH$25)),$X16,0)</f>
        <v>0</v>
      </c>
      <c r="AJ16" s="564">
        <f>IF(AND(SUM(AJ$5:AJ15)=0,$X16&lt;&gt;0,SUM($X$5:$X15)=SUM($Y$25:AI$25)),$X16,0)</f>
        <v>0</v>
      </c>
      <c r="AK16" s="564">
        <f>IF(AND(SUM(AK$5:AK15)=0,$X16&lt;&gt;0,SUM($X$5:$X15)=SUM($Y$25:AJ$25)),$X16,0)</f>
        <v>0</v>
      </c>
      <c r="AL16" s="564">
        <f>IF(AND(SUM(AL$5:AL15)=0,$X16&lt;&gt;0,SUM($X$5:$X15)=SUM($Y$25:AK$25)),$X16,0)</f>
        <v>0</v>
      </c>
      <c r="AM16" s="564">
        <f>IF(AND(SUM(AM$5:AM15)=0,$X16&lt;&gt;0,SUM($X$5:$X15)=SUM($Y$25:AL$25)),$X16,0)</f>
        <v>0</v>
      </c>
      <c r="AN16" s="564">
        <f>IF(AND(SUM(AN$5:AN15)=0,$X16&lt;&gt;0,SUM($X$5:$X15)=SUM($Y$25:AM$25)),$X16,0)</f>
        <v>0</v>
      </c>
      <c r="AO16" s="564">
        <f>IF(AND(SUM(AO$5:AO15)=0,$X16&lt;&gt;0,SUM($X$5:$X15)=SUM($Y$25:AN$25)),$X16,0)</f>
        <v>0</v>
      </c>
      <c r="AP16" s="564">
        <f>IF(AND(SUM(AP$5:AP15)=0,$X16&lt;&gt;0,SUM($X$5:$X15)=SUM($Y$25:AO$25)),$X16,0)</f>
        <v>0</v>
      </c>
      <c r="AQ16" s="564">
        <f>IF(AND(SUM(AQ$5:AQ15)=0,$X16&lt;&gt;0,SUM($X$5:$X15)=SUM($Y$25:AP$25)),$X16,0)</f>
        <v>0</v>
      </c>
    </row>
    <row r="17" spans="1:43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4">
        <f t="shared" si="4"/>
        <v>0</v>
      </c>
      <c r="Y17" s="564">
        <f>IF(AND(SUM($Y$5:Y16)=0,X17&lt;&gt;0),X17,0)</f>
        <v>0</v>
      </c>
      <c r="Z17" s="564">
        <f>IF(AND(SUM($Z$5:Z16)=0,$X17&lt;&gt;0,SUM($X$5:X16)=Y$25),$X17,0)</f>
        <v>0</v>
      </c>
      <c r="AA17" s="564">
        <f>IF(AND(SUM(AA$5:AA16)=0,$X17&lt;&gt;0,SUM($X$5:$X16)=SUM($Y$25:Z$25)),$X17,0)</f>
        <v>0</v>
      </c>
      <c r="AB17" s="564">
        <f>IF(AND(SUM(AB$5:AB16)=0,$X17&lt;&gt;0,SUM($X$5:$X16)=SUM($Y$25:AA$25)),$X17,0)</f>
        <v>0</v>
      </c>
      <c r="AC17" s="564">
        <f>IF(AND(SUM(AC$5:AC16)=0,$X17&lt;&gt;0,SUM($X$5:$X16)=SUM($Y$25:AB$25)),$X17,0)</f>
        <v>0</v>
      </c>
      <c r="AD17" s="564">
        <f>IF(AND(SUM(AD$5:AD16)=0,$X17&lt;&gt;0,SUM($X$5:$X16)=SUM($Y$25:AC$25)),$X17,0)</f>
        <v>0</v>
      </c>
      <c r="AE17" s="564">
        <f>IF(AND(SUM(AE$5:AE16)=0,$X17&lt;&gt;0,SUM($X$5:$X16)=SUM($Y$25:AD$25)),$X17,0)</f>
        <v>0</v>
      </c>
      <c r="AF17" s="564">
        <f>IF(AND(SUM(AF$5:AF16)=0,$X17&lt;&gt;0,SUM($X$5:$X16)=SUM($Y$25:AE$25)),$X17,0)</f>
        <v>0</v>
      </c>
      <c r="AG17" s="564">
        <f>IF(AND(SUM(AG$5:AG16)=0,$X17&lt;&gt;0,SUM($X$5:$X16)=SUM($Y$25:AF$25)),$X17,0)</f>
        <v>0</v>
      </c>
      <c r="AH17" s="564">
        <f>IF(AND(SUM(AH$5:AH16)=0,$X17&lt;&gt;0,SUM($X$5:$X16)=SUM($Y$25:AG$25)),$X17,0)</f>
        <v>0</v>
      </c>
      <c r="AI17" s="564">
        <f>IF(AND(SUM(AI$5:AI16)=0,$X17&lt;&gt;0,SUM($X$5:$X16)=SUM($Y$25:AH$25)),$X17,0)</f>
        <v>0</v>
      </c>
      <c r="AJ17" s="564">
        <f>IF(AND(SUM(AJ$5:AJ16)=0,$X17&lt;&gt;0,SUM($X$5:$X16)=SUM($Y$25:AI$25)),$X17,0)</f>
        <v>0</v>
      </c>
      <c r="AK17" s="564">
        <f>IF(AND(SUM(AK$5:AK16)=0,$X17&lt;&gt;0,SUM($X$5:$X16)=SUM($Y$25:AJ$25)),$X17,0)</f>
        <v>0</v>
      </c>
      <c r="AL17" s="564">
        <f>IF(AND(SUM(AL$5:AL16)=0,$X17&lt;&gt;0,SUM($X$5:$X16)=SUM($Y$25:AK$25)),$X17,0)</f>
        <v>0</v>
      </c>
      <c r="AM17" s="564">
        <f>IF(AND(SUM(AM$5:AM16)=0,$X17&lt;&gt;0,SUM($X$5:$X16)=SUM($Y$25:AL$25)),$X17,0)</f>
        <v>0</v>
      </c>
      <c r="AN17" s="564">
        <f>IF(AND(SUM(AN$5:AN16)=0,$X17&lt;&gt;0,SUM($X$5:$X16)=SUM($Y$25:AM$25)),$X17,0)</f>
        <v>0</v>
      </c>
      <c r="AO17" s="564">
        <f>IF(AND(SUM(AO$5:AO16)=0,$X17&lt;&gt;0,SUM($X$5:$X16)=SUM($Y$25:AN$25)),$X17,0)</f>
        <v>0</v>
      </c>
      <c r="AP17" s="564">
        <f>IF(AND(SUM(AP$5:AP16)=0,$X17&lt;&gt;0,SUM($X$5:$X16)=SUM($Y$25:AO$25)),$X17,0)</f>
        <v>0</v>
      </c>
      <c r="AQ17" s="564">
        <f>IF(AND(SUM(AQ$5:AQ16)=0,$X17&lt;&gt;0,SUM($X$5:$X16)=SUM($Y$25:AP$25)),$X17,0)</f>
        <v>0</v>
      </c>
    </row>
    <row r="18" spans="1:43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4">
        <f t="shared" si="4"/>
        <v>0</v>
      </c>
      <c r="Y18" s="564">
        <f>IF(AND(SUM($Y$5:Y17)=0,X18&lt;&gt;0),X18,0)</f>
        <v>0</v>
      </c>
      <c r="Z18" s="564">
        <f>IF(AND(SUM($Z$5:Z17)=0,$X18&lt;&gt;0,SUM($X$5:X17)=Y$25),$X18,0)</f>
        <v>0</v>
      </c>
      <c r="AA18" s="564">
        <f>IF(AND(SUM(AA$5:AA17)=0,$X18&lt;&gt;0,SUM($X$5:$X17)=SUM($Y$25:Z$25)),$X18,0)</f>
        <v>0</v>
      </c>
      <c r="AB18" s="564">
        <f>IF(AND(SUM(AB$5:AB17)=0,$X18&lt;&gt;0,SUM($X$5:$X17)=SUM($Y$25:AA$25)),$X18,0)</f>
        <v>0</v>
      </c>
      <c r="AC18" s="564">
        <f>IF(AND(SUM(AC$5:AC17)=0,$X18&lt;&gt;0,SUM($X$5:$X17)=SUM($Y$25:AB$25)),$X18,0)</f>
        <v>0</v>
      </c>
      <c r="AD18" s="564">
        <f>IF(AND(SUM(AD$5:AD17)=0,$X18&lt;&gt;0,SUM($X$5:$X17)=SUM($Y$25:AC$25)),$X18,0)</f>
        <v>0</v>
      </c>
      <c r="AE18" s="564">
        <f>IF(AND(SUM(AE$5:AE17)=0,$X18&lt;&gt;0,SUM($X$5:$X17)=SUM($Y$25:AD$25)),$X18,0)</f>
        <v>0</v>
      </c>
      <c r="AF18" s="564">
        <f>IF(AND(SUM(AF$5:AF17)=0,$X18&lt;&gt;0,SUM($X$5:$X17)=SUM($Y$25:AE$25)),$X18,0)</f>
        <v>0</v>
      </c>
      <c r="AG18" s="564">
        <f>IF(AND(SUM(AG$5:AG17)=0,$X18&lt;&gt;0,SUM($X$5:$X17)=SUM($Y$25:AF$25)),$X18,0)</f>
        <v>0</v>
      </c>
      <c r="AH18" s="564">
        <f>IF(AND(SUM(AH$5:AH17)=0,$X18&lt;&gt;0,SUM($X$5:$X17)=SUM($Y$25:AG$25)),$X18,0)</f>
        <v>0</v>
      </c>
      <c r="AI18" s="564">
        <f>IF(AND(SUM(AI$5:AI17)=0,$X18&lt;&gt;0,SUM($X$5:$X17)=SUM($Y$25:AH$25)),$X18,0)</f>
        <v>0</v>
      </c>
      <c r="AJ18" s="564">
        <f>IF(AND(SUM(AJ$5:AJ17)=0,$X18&lt;&gt;0,SUM($X$5:$X17)=SUM($Y$25:AI$25)),$X18,0)</f>
        <v>0</v>
      </c>
      <c r="AK18" s="564">
        <f>IF(AND(SUM(AK$5:AK17)=0,$X18&lt;&gt;0,SUM($X$5:$X17)=SUM($Y$25:AJ$25)),$X18,0)</f>
        <v>0</v>
      </c>
      <c r="AL18" s="564">
        <f>IF(AND(SUM(AL$5:AL17)=0,$X18&lt;&gt;0,SUM($X$5:$X17)=SUM($Y$25:AK$25)),$X18,0)</f>
        <v>0</v>
      </c>
      <c r="AM18" s="564">
        <f>IF(AND(SUM(AM$5:AM17)=0,$X18&lt;&gt;0,SUM($X$5:$X17)=SUM($Y$25:AL$25)),$X18,0)</f>
        <v>0</v>
      </c>
      <c r="AN18" s="564">
        <f>IF(AND(SUM(AN$5:AN17)=0,$X18&lt;&gt;0,SUM($X$5:$X17)=SUM($Y$25:AM$25)),$X18,0)</f>
        <v>0</v>
      </c>
      <c r="AO18" s="564">
        <f>IF(AND(SUM(AO$5:AO17)=0,$X18&lt;&gt;0,SUM($X$5:$X17)=SUM($Y$25:AN$25)),$X18,0)</f>
        <v>0</v>
      </c>
      <c r="AP18" s="564">
        <f>IF(AND(SUM(AP$5:AP17)=0,$X18&lt;&gt;0,SUM($X$5:$X17)=SUM($Y$25:AO$25)),$X18,0)</f>
        <v>0</v>
      </c>
      <c r="AQ18" s="564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4">
        <f t="shared" si="4"/>
        <v>0</v>
      </c>
      <c r="Y19" s="564">
        <f>IF(AND(SUM($Y$5:Y18)=0,X19&lt;&gt;0),X19,0)</f>
        <v>0</v>
      </c>
      <c r="Z19" s="564">
        <f>IF(AND(SUM($Z$5:Z18)=0,$X19&lt;&gt;0,SUM($X$5:X18)=Y$25),$X19,0)</f>
        <v>0</v>
      </c>
      <c r="AA19" s="564">
        <f>IF(AND(SUM(AA$5:AA18)=0,$X19&lt;&gt;0,SUM($X$5:$X18)=SUM($Y$25:Z$25)),$X19,0)</f>
        <v>0</v>
      </c>
      <c r="AB19" s="564">
        <f>IF(AND(SUM(AB$5:AB18)=0,$X19&lt;&gt;0,SUM($X$5:$X18)=SUM($Y$25:AA$25)),$X19,0)</f>
        <v>0</v>
      </c>
      <c r="AC19" s="564">
        <f>IF(AND(SUM(AC$5:AC18)=0,$X19&lt;&gt;0,SUM($X$5:$X18)=SUM($Y$25:AB$25)),$X19,0)</f>
        <v>0</v>
      </c>
      <c r="AD19" s="564">
        <f>IF(AND(SUM(AD$5:AD18)=0,$X19&lt;&gt;0,SUM($X$5:$X18)=SUM($Y$25:AC$25)),$X19,0)</f>
        <v>0</v>
      </c>
      <c r="AE19" s="564">
        <f>IF(AND(SUM(AE$5:AE18)=0,$X19&lt;&gt;0,SUM($X$5:$X18)=SUM($Y$25:AD$25)),$X19,0)</f>
        <v>0</v>
      </c>
      <c r="AF19" s="564">
        <f>IF(AND(SUM(AF$5:AF18)=0,$X19&lt;&gt;0,SUM($X$5:$X18)=SUM($Y$25:AE$25)),$X19,0)</f>
        <v>0</v>
      </c>
      <c r="AG19" s="564">
        <f>IF(AND(SUM(AG$5:AG18)=0,$X19&lt;&gt;0,SUM($X$5:$X18)=SUM($Y$25:AF$25)),$X19,0)</f>
        <v>0</v>
      </c>
      <c r="AH19" s="564">
        <f>IF(AND(SUM(AH$5:AH18)=0,$X19&lt;&gt;0,SUM($X$5:$X18)=SUM($Y$25:AG$25)),$X19,0)</f>
        <v>0</v>
      </c>
      <c r="AI19" s="564">
        <f>IF(AND(SUM(AI$5:AI18)=0,$X19&lt;&gt;0,SUM($X$5:$X18)=SUM($Y$25:AH$25)),$X19,0)</f>
        <v>0</v>
      </c>
      <c r="AJ19" s="564">
        <f>IF(AND(SUM(AJ$5:AJ18)=0,$X19&lt;&gt;0,SUM($X$5:$X18)=SUM($Y$25:AI$25)),$X19,0)</f>
        <v>0</v>
      </c>
      <c r="AK19" s="564">
        <f>IF(AND(SUM(AK$5:AK18)=0,$X19&lt;&gt;0,SUM($X$5:$X18)=SUM($Y$25:AJ$25)),$X19,0)</f>
        <v>0</v>
      </c>
      <c r="AL19" s="564">
        <f>IF(AND(SUM(AL$5:AL18)=0,$X19&lt;&gt;0,SUM($X$5:$X18)=SUM($Y$25:AK$25)),$X19,0)</f>
        <v>0</v>
      </c>
      <c r="AM19" s="564">
        <f>IF(AND(SUM(AM$5:AM18)=0,$X19&lt;&gt;0,SUM($X$5:$X18)=SUM($Y$25:AL$25)),$X19,0)</f>
        <v>0</v>
      </c>
      <c r="AN19" s="564">
        <f>IF(AND(SUM(AN$5:AN18)=0,$X19&lt;&gt;0,SUM($X$5:$X18)=SUM($Y$25:AM$25)),$X19,0)</f>
        <v>0</v>
      </c>
      <c r="AO19" s="564">
        <f>IF(AND(SUM(AO$5:AO18)=0,$X19&lt;&gt;0,SUM($X$5:$X18)=SUM($Y$25:AN$25)),$X19,0)</f>
        <v>0</v>
      </c>
      <c r="AP19" s="564">
        <f>IF(AND(SUM(AP$5:AP18)=0,$X19&lt;&gt;0,SUM($X$5:$X18)=SUM($Y$25:AO$25)),$X19,0)</f>
        <v>0</v>
      </c>
      <c r="AQ19" s="564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4">
        <f t="shared" si="4"/>
        <v>0</v>
      </c>
      <c r="Y20" s="564">
        <f>IF(AND(SUM($Y$5:Y19)=0,X20&lt;&gt;0),X20,0)</f>
        <v>0</v>
      </c>
      <c r="Z20" s="564">
        <f>IF(AND(SUM($Z$5:Z19)=0,$X20&lt;&gt;0,SUM($X$5:X19)=Y$25),$X20,0)</f>
        <v>0</v>
      </c>
      <c r="AA20" s="564">
        <f>IF(AND(SUM(AA$5:AA19)=0,$X20&lt;&gt;0,SUM($X$5:$X19)=SUM($Y$25:Z$25)),$X20,0)</f>
        <v>0</v>
      </c>
      <c r="AB20" s="564">
        <f>IF(AND(SUM(AB$5:AB19)=0,$X20&lt;&gt;0,SUM($X$5:$X19)=SUM($Y$25:AA$25)),$X20,0)</f>
        <v>0</v>
      </c>
      <c r="AC20" s="564">
        <f>IF(AND(SUM(AC$5:AC19)=0,$X20&lt;&gt;0,SUM($X$5:$X19)=SUM($Y$25:AB$25)),$X20,0)</f>
        <v>0</v>
      </c>
      <c r="AD20" s="564">
        <f>IF(AND(SUM(AD$5:AD19)=0,$X20&lt;&gt;0,SUM($X$5:$X19)=SUM($Y$25:AC$25)),$X20,0)</f>
        <v>0</v>
      </c>
      <c r="AE20" s="564">
        <f>IF(AND(SUM(AE$5:AE19)=0,$X20&lt;&gt;0,SUM($X$5:$X19)=SUM($Y$25:AD$25)),$X20,0)</f>
        <v>0</v>
      </c>
      <c r="AF20" s="564">
        <f>IF(AND(SUM(AF$5:AF19)=0,$X20&lt;&gt;0,SUM($X$5:$X19)=SUM($Y$25:AE$25)),$X20,0)</f>
        <v>0</v>
      </c>
      <c r="AG20" s="564">
        <f>IF(AND(SUM(AG$5:AG19)=0,$X20&lt;&gt;0,SUM($X$5:$X19)=SUM($Y$25:AF$25)),$X20,0)</f>
        <v>0</v>
      </c>
      <c r="AH20" s="564">
        <f>IF(AND(SUM(AH$5:AH19)=0,$X20&lt;&gt;0,SUM($X$5:$X19)=SUM($Y$25:AG$25)),$X20,0)</f>
        <v>0</v>
      </c>
      <c r="AI20" s="564">
        <f>IF(AND(SUM(AI$5:AI19)=0,$X20&lt;&gt;0,SUM($X$5:$X19)=SUM($Y$25:AH$25)),$X20,0)</f>
        <v>0</v>
      </c>
      <c r="AJ20" s="564">
        <f>IF(AND(SUM(AJ$5:AJ19)=0,$X20&lt;&gt;0,SUM($X$5:$X19)=SUM($Y$25:AI$25)),$X20,0)</f>
        <v>0</v>
      </c>
      <c r="AK20" s="564">
        <f>IF(AND(SUM(AK$5:AK19)=0,$X20&lt;&gt;0,SUM($X$5:$X19)=SUM($Y$25:AJ$25)),$X20,0)</f>
        <v>0</v>
      </c>
      <c r="AL20" s="564">
        <f>IF(AND(SUM(AL$5:AL19)=0,$X20&lt;&gt;0,SUM($X$5:$X19)=SUM($Y$25:AK$25)),$X20,0)</f>
        <v>0</v>
      </c>
      <c r="AM20" s="564">
        <f>IF(AND(SUM(AM$5:AM19)=0,$X20&lt;&gt;0,SUM($X$5:$X19)=SUM($Y$25:AL$25)),$X20,0)</f>
        <v>0</v>
      </c>
      <c r="AN20" s="564">
        <f>IF(AND(SUM(AN$5:AN19)=0,$X20&lt;&gt;0,SUM($X$5:$X19)=SUM($Y$25:AM$25)),$X20,0)</f>
        <v>0</v>
      </c>
      <c r="AO20" s="564">
        <f>IF(AND(SUM(AO$5:AO19)=0,$X20&lt;&gt;0,SUM($X$5:$X19)=SUM($Y$25:AN$25)),$X20,0)</f>
        <v>0</v>
      </c>
      <c r="AP20" s="564">
        <f>IF(AND(SUM(AP$5:AP19)=0,$X20&lt;&gt;0,SUM($X$5:$X19)=SUM($Y$25:AO$25)),$X20,0)</f>
        <v>0</v>
      </c>
      <c r="AQ20" s="564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4">
        <f t="shared" si="4"/>
        <v>0</v>
      </c>
      <c r="Y21" s="564">
        <f>IF(AND(SUM($Y$5:Y20)=0,X21&lt;&gt;0),X21,0)</f>
        <v>0</v>
      </c>
      <c r="Z21" s="564">
        <f>IF(AND(SUM($Z$5:Z20)=0,$X21&lt;&gt;0,SUM($X$5:X20)=Y$25),$X21,0)</f>
        <v>0</v>
      </c>
      <c r="AA21" s="564">
        <f>IF(AND(SUM(AA$5:AA20)=0,$X21&lt;&gt;0,SUM($X$5:$X20)=SUM($Y$25:Z$25)),$X21,0)</f>
        <v>0</v>
      </c>
      <c r="AB21" s="564">
        <f>IF(AND(SUM(AB$5:AB20)=0,$X21&lt;&gt;0,SUM($X$5:$X20)=SUM($Y$25:AA$25)),$X21,0)</f>
        <v>0</v>
      </c>
      <c r="AC21" s="564">
        <f>IF(AND(SUM(AC$5:AC20)=0,$X21&lt;&gt;0,SUM($X$5:$X20)=SUM($Y$25:AB$25)),$X21,0)</f>
        <v>0</v>
      </c>
      <c r="AD21" s="564">
        <f>IF(AND(SUM(AD$5:AD20)=0,$X21&lt;&gt;0,SUM($X$5:$X20)=SUM($Y$25:AC$25)),$X21,0)</f>
        <v>0</v>
      </c>
      <c r="AE21" s="564">
        <f>IF(AND(SUM(AE$5:AE20)=0,$X21&lt;&gt;0,SUM($X$5:$X20)=SUM($Y$25:AD$25)),$X21,0)</f>
        <v>0</v>
      </c>
      <c r="AF21" s="564">
        <f>IF(AND(SUM(AF$5:AF20)=0,$X21&lt;&gt;0,SUM($X$5:$X20)=SUM($Y$25:AE$25)),$X21,0)</f>
        <v>0</v>
      </c>
      <c r="AG21" s="564">
        <f>IF(AND(SUM(AG$5:AG20)=0,$X21&lt;&gt;0,SUM($X$5:$X20)=SUM($Y$25:AF$25)),$X21,0)</f>
        <v>0</v>
      </c>
      <c r="AH21" s="564">
        <f>IF(AND(SUM(AH$5:AH20)=0,$X21&lt;&gt;0,SUM($X$5:$X20)=SUM($Y$25:AG$25)),$X21,0)</f>
        <v>0</v>
      </c>
      <c r="AI21" s="564">
        <f>IF(AND(SUM(AI$5:AI20)=0,$X21&lt;&gt;0,SUM($X$5:$X20)=SUM($Y$25:AH$25)),$X21,0)</f>
        <v>0</v>
      </c>
      <c r="AJ21" s="564">
        <f>IF(AND(SUM(AJ$5:AJ20)=0,$X21&lt;&gt;0,SUM($X$5:$X20)=SUM($Y$25:AI$25)),$X21,0)</f>
        <v>0</v>
      </c>
      <c r="AK21" s="564">
        <f>IF(AND(SUM(AK$5:AK20)=0,$X21&lt;&gt;0,SUM($X$5:$X20)=SUM($Y$25:AJ$25)),$X21,0)</f>
        <v>0</v>
      </c>
      <c r="AL21" s="564">
        <f>IF(AND(SUM(AL$5:AL20)=0,$X21&lt;&gt;0,SUM($X$5:$X20)=SUM($Y$25:AK$25)),$X21,0)</f>
        <v>0</v>
      </c>
      <c r="AM21" s="564">
        <f>IF(AND(SUM(AM$5:AM20)=0,$X21&lt;&gt;0,SUM($X$5:$X20)=SUM($Y$25:AL$25)),$X21,0)</f>
        <v>0</v>
      </c>
      <c r="AN21" s="564">
        <f>IF(AND(SUM(AN$5:AN20)=0,$X21&lt;&gt;0,SUM($X$5:$X20)=SUM($Y$25:AM$25)),$X21,0)</f>
        <v>0</v>
      </c>
      <c r="AO21" s="564">
        <f>IF(AND(SUM(AO$5:AO20)=0,$X21&lt;&gt;0,SUM($X$5:$X20)=SUM($Y$25:AN$25)),$X21,0)</f>
        <v>0</v>
      </c>
      <c r="AP21" s="564">
        <f>IF(AND(SUM(AP$5:AP20)=0,$X21&lt;&gt;0,SUM($X$5:$X20)=SUM($Y$25:AO$25)),$X21,0)</f>
        <v>0</v>
      </c>
      <c r="AQ21" s="564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4">
        <f t="shared" si="4"/>
        <v>0</v>
      </c>
      <c r="Y22" s="564">
        <f>IF(AND(SUM($Y$5:Y21)=0,X22&lt;&gt;0),X22,0)</f>
        <v>0</v>
      </c>
      <c r="Z22" s="564">
        <f>IF(AND(SUM($Z$5:Z21)=0,$X22&lt;&gt;0,SUM($X$5:X21)=Y$25),$X22,0)</f>
        <v>0</v>
      </c>
      <c r="AA22" s="564">
        <f>IF(AND(SUM(AA$5:AA21)=0,$X22&lt;&gt;0,SUM($X$5:$X21)=SUM($Y$25:Z$25)),$X22,0)</f>
        <v>0</v>
      </c>
      <c r="AB22" s="564">
        <f>IF(AND(SUM(AB$5:AB21)=0,$X22&lt;&gt;0,SUM($X$5:$X21)=SUM($Y$25:AA$25)),$X22,0)</f>
        <v>0</v>
      </c>
      <c r="AC22" s="564">
        <f>IF(AND(SUM(AC$5:AC21)=0,$X22&lt;&gt;0,SUM($X$5:$X21)=SUM($Y$25:AB$25)),$X22,0)</f>
        <v>0</v>
      </c>
      <c r="AD22" s="564">
        <f>IF(AND(SUM(AD$5:AD21)=0,$X22&lt;&gt;0,SUM($X$5:$X21)=SUM($Y$25:AC$25)),$X22,0)</f>
        <v>0</v>
      </c>
      <c r="AE22" s="564">
        <f>IF(AND(SUM(AE$5:AE21)=0,$X22&lt;&gt;0,SUM($X$5:$X21)=SUM($Y$25:AD$25)),$X22,0)</f>
        <v>0</v>
      </c>
      <c r="AF22" s="564">
        <f>IF(AND(SUM(AF$5:AF21)=0,$X22&lt;&gt;0,SUM($X$5:$X21)=SUM($Y$25:AE$25)),$X22,0)</f>
        <v>0</v>
      </c>
      <c r="AG22" s="564">
        <f>IF(AND(SUM(AG$5:AG21)=0,$X22&lt;&gt;0,SUM($X$5:$X21)=SUM($Y$25:AF$25)),$X22,0)</f>
        <v>0</v>
      </c>
      <c r="AH22" s="564">
        <f>IF(AND(SUM(AH$5:AH21)=0,$X22&lt;&gt;0,SUM($X$5:$X21)=SUM($Y$25:AG$25)),$X22,0)</f>
        <v>0</v>
      </c>
      <c r="AI22" s="564">
        <f>IF(AND(SUM(AI$5:AI21)=0,$X22&lt;&gt;0,SUM($X$5:$X21)=SUM($Y$25:AH$25)),$X22,0)</f>
        <v>0</v>
      </c>
      <c r="AJ22" s="564">
        <f>IF(AND(SUM(AJ$5:AJ21)=0,$X22&lt;&gt;0,SUM($X$5:$X21)=SUM($Y$25:AI$25)),$X22,0)</f>
        <v>0</v>
      </c>
      <c r="AK22" s="564">
        <f>IF(AND(SUM(AK$5:AK21)=0,$X22&lt;&gt;0,SUM($X$5:$X21)=SUM($Y$25:AJ$25)),$X22,0)</f>
        <v>0</v>
      </c>
      <c r="AL22" s="564">
        <f>IF(AND(SUM(AL$5:AL21)=0,$X22&lt;&gt;0,SUM($X$5:$X21)=SUM($Y$25:AK$25)),$X22,0)</f>
        <v>0</v>
      </c>
      <c r="AM22" s="564">
        <f>IF(AND(SUM(AM$5:AM21)=0,$X22&lt;&gt;0,SUM($X$5:$X21)=SUM($Y$25:AL$25)),$X22,0)</f>
        <v>0</v>
      </c>
      <c r="AN22" s="564">
        <f>IF(AND(SUM(AN$5:AN21)=0,$X22&lt;&gt;0,SUM($X$5:$X21)=SUM($Y$25:AM$25)),$X22,0)</f>
        <v>0</v>
      </c>
      <c r="AO22" s="564">
        <f>IF(AND(SUM(AO$5:AO21)=0,$X22&lt;&gt;0,SUM($X$5:$X21)=SUM($Y$25:AN$25)),$X22,0)</f>
        <v>0</v>
      </c>
      <c r="AP22" s="564">
        <f>IF(AND(SUM(AP$5:AP21)=0,$X22&lt;&gt;0,SUM($X$5:$X21)=SUM($Y$25:AO$25)),$X22,0)</f>
        <v>0</v>
      </c>
      <c r="AQ22" s="564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4">
        <f t="shared" si="4"/>
        <v>0</v>
      </c>
      <c r="Y23" s="564">
        <f>IF(AND(SUM($Y$5:Y22)=0,X23&lt;&gt;0),X23,0)</f>
        <v>0</v>
      </c>
      <c r="Z23" s="564">
        <f>IF(AND(SUM($Z$5:Z22)=0,$X23&lt;&gt;0,SUM($X$5:X22)=Y$25),$X23,0)</f>
        <v>0</v>
      </c>
      <c r="AA23" s="564">
        <f>IF(AND(SUM(AA$5:AA22)=0,$X23&lt;&gt;0,SUM($X$5:$X22)=SUM($Y$25:Z$25)),$X23,0)</f>
        <v>0</v>
      </c>
      <c r="AB23" s="564">
        <f>IF(AND(SUM(AB$5:AB22)=0,$X23&lt;&gt;0,SUM($X$5:$X22)=SUM($Y$25:AA$25)),$X23,0)</f>
        <v>0</v>
      </c>
      <c r="AC23" s="564">
        <f>IF(AND(SUM(AC$5:AC22)=0,$X23&lt;&gt;0,SUM($X$5:$X22)=SUM($Y$25:AB$25)),$X23,0)</f>
        <v>0</v>
      </c>
      <c r="AD23" s="564">
        <f>IF(AND(SUM(AD$5:AD22)=0,$X23&lt;&gt;0,SUM($X$5:$X22)=SUM($Y$25:AC$25)),$X23,0)</f>
        <v>0</v>
      </c>
      <c r="AE23" s="564">
        <f>IF(AND(SUM(AE$5:AE22)=0,$X23&lt;&gt;0,SUM($X$5:$X22)=SUM($Y$25:AD$25)),$X23,0)</f>
        <v>0</v>
      </c>
      <c r="AF23" s="564">
        <f>IF(AND(SUM(AF$5:AF22)=0,$X23&lt;&gt;0,SUM($X$5:$X22)=SUM($Y$25:AE$25)),$X23,0)</f>
        <v>0</v>
      </c>
      <c r="AG23" s="564">
        <f>IF(AND(SUM(AG$5:AG22)=0,$X23&lt;&gt;0,SUM($X$5:$X22)=SUM($Y$25:AF$25)),$X23,0)</f>
        <v>0</v>
      </c>
      <c r="AH23" s="564">
        <f>IF(AND(SUM(AH$5:AH22)=0,$X23&lt;&gt;0,SUM($X$5:$X22)=SUM($Y$25:AG$25)),$X23,0)</f>
        <v>0</v>
      </c>
      <c r="AI23" s="564">
        <f>IF(AND(SUM(AI$5:AI22)=0,$X23&lt;&gt;0,SUM($X$5:$X22)=SUM($Y$25:AH$25)),$X23,0)</f>
        <v>0</v>
      </c>
      <c r="AJ23" s="564">
        <f>IF(AND(SUM(AJ$5:AJ22)=0,$X23&lt;&gt;0,SUM($X$5:$X22)=SUM($Y$25:AI$25)),$X23,0)</f>
        <v>0</v>
      </c>
      <c r="AK23" s="564">
        <f>IF(AND(SUM(AK$5:AK22)=0,$X23&lt;&gt;0,SUM($X$5:$X22)=SUM($Y$25:AJ$25)),$X23,0)</f>
        <v>0</v>
      </c>
      <c r="AL23" s="564">
        <f>IF(AND(SUM(AL$5:AL22)=0,$X23&lt;&gt;0,SUM($X$5:$X22)=SUM($Y$25:AK$25)),$X23,0)</f>
        <v>0</v>
      </c>
      <c r="AM23" s="564">
        <f>IF(AND(SUM(AM$5:AM22)=0,$X23&lt;&gt;0,SUM($X$5:$X22)=SUM($Y$25:AL$25)),$X23,0)</f>
        <v>0</v>
      </c>
      <c r="AN23" s="564">
        <f>IF(AND(SUM(AN$5:AN22)=0,$X23&lt;&gt;0,SUM($X$5:$X22)=SUM($Y$25:AM$25)),$X23,0)</f>
        <v>0</v>
      </c>
      <c r="AO23" s="564">
        <f>IF(AND(SUM(AO$5:AO22)=0,$X23&lt;&gt;0,SUM($X$5:$X22)=SUM($Y$25:AN$25)),$X23,0)</f>
        <v>0</v>
      </c>
      <c r="AP23" s="564">
        <f>IF(AND(SUM(AP$5:AP22)=0,$X23&lt;&gt;0,SUM($X$5:$X22)=SUM($Y$25:AO$25)),$X23,0)</f>
        <v>0</v>
      </c>
      <c r="AQ23" s="564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5">
        <f>SUM(Y5:Y23)</f>
        <v>0</v>
      </c>
      <c r="Z25" s="565">
        <f t="shared" ref="Z25:AQ25" si="21">SUM(Z5:Z23)</f>
        <v>0</v>
      </c>
      <c r="AA25" s="565">
        <f t="shared" si="21"/>
        <v>0</v>
      </c>
      <c r="AB25" s="565">
        <f t="shared" si="21"/>
        <v>0</v>
      </c>
      <c r="AC25" s="565">
        <f t="shared" si="21"/>
        <v>0</v>
      </c>
      <c r="AD25" s="565">
        <f t="shared" si="21"/>
        <v>0</v>
      </c>
      <c r="AE25" s="565">
        <f t="shared" si="21"/>
        <v>0</v>
      </c>
      <c r="AF25" s="565">
        <f t="shared" si="21"/>
        <v>0</v>
      </c>
      <c r="AG25" s="565">
        <f t="shared" si="21"/>
        <v>0</v>
      </c>
      <c r="AH25" s="565">
        <f t="shared" si="21"/>
        <v>0</v>
      </c>
      <c r="AI25" s="565">
        <f t="shared" si="21"/>
        <v>0</v>
      </c>
      <c r="AJ25" s="565">
        <f t="shared" si="21"/>
        <v>0</v>
      </c>
      <c r="AK25" s="565">
        <f t="shared" si="21"/>
        <v>0</v>
      </c>
      <c r="AL25" s="565">
        <f t="shared" si="21"/>
        <v>0</v>
      </c>
      <c r="AM25" s="565">
        <f t="shared" si="21"/>
        <v>0</v>
      </c>
      <c r="AN25" s="565">
        <f t="shared" si="21"/>
        <v>0</v>
      </c>
      <c r="AO25" s="565">
        <f t="shared" si="21"/>
        <v>0</v>
      </c>
      <c r="AP25" s="565">
        <f t="shared" si="21"/>
        <v>0</v>
      </c>
      <c r="AQ25" s="565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7" t="str">
        <f t="shared" ref="Y26:AQ26" ca="1" si="22">INDIRECT("A"&amp;(N(Y25)+26))&amp;" "&amp;INDIRECT("B"&amp;(N(Y25)+26))</f>
        <v xml:space="preserve">8.0 </v>
      </c>
      <c r="Z26" s="567" t="str">
        <f t="shared" ca="1" si="22"/>
        <v xml:space="preserve">8.0 </v>
      </c>
      <c r="AA26" s="567" t="str">
        <f t="shared" ca="1" si="22"/>
        <v xml:space="preserve">8.0 </v>
      </c>
      <c r="AB26" s="567" t="str">
        <f t="shared" ca="1" si="22"/>
        <v xml:space="preserve">8.0 </v>
      </c>
      <c r="AC26" s="567" t="str">
        <f t="shared" ca="1" si="22"/>
        <v xml:space="preserve">8.0 </v>
      </c>
      <c r="AD26" s="567" t="str">
        <f t="shared" ca="1" si="22"/>
        <v xml:space="preserve">8.0 </v>
      </c>
      <c r="AE26" s="567" t="str">
        <f t="shared" ca="1" si="22"/>
        <v xml:space="preserve">8.0 </v>
      </c>
      <c r="AF26" s="567" t="str">
        <f t="shared" ca="1" si="22"/>
        <v xml:space="preserve">8.0 </v>
      </c>
      <c r="AG26" s="567" t="str">
        <f t="shared" ca="1" si="22"/>
        <v xml:space="preserve">8.0 </v>
      </c>
      <c r="AH26" s="567" t="str">
        <f t="shared" ca="1" si="22"/>
        <v xml:space="preserve">8.0 </v>
      </c>
      <c r="AI26" s="567" t="str">
        <f t="shared" ca="1" si="22"/>
        <v xml:space="preserve">8.0 </v>
      </c>
      <c r="AJ26" s="567" t="str">
        <f t="shared" ca="1" si="22"/>
        <v xml:space="preserve">8.0 </v>
      </c>
      <c r="AK26" s="567" t="str">
        <f t="shared" ca="1" si="22"/>
        <v xml:space="preserve">8.0 </v>
      </c>
      <c r="AL26" s="567" t="str">
        <f t="shared" ca="1" si="22"/>
        <v xml:space="preserve">8.0 </v>
      </c>
      <c r="AM26" s="567" t="str">
        <f t="shared" ca="1" si="22"/>
        <v xml:space="preserve">8.0 </v>
      </c>
      <c r="AN26" s="567" t="str">
        <f t="shared" ca="1" si="22"/>
        <v xml:space="preserve">8.0 </v>
      </c>
      <c r="AO26" s="567" t="str">
        <f t="shared" ca="1" si="22"/>
        <v xml:space="preserve">8.0 </v>
      </c>
      <c r="AP26" s="567" t="str">
        <f t="shared" ca="1" si="22"/>
        <v xml:space="preserve">8.0 </v>
      </c>
      <c r="AQ26" s="567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8" t="str">
        <f>IF(Y25&gt;0,Y26,"")</f>
        <v/>
      </c>
      <c r="Z27" s="568" t="str">
        <f t="shared" ref="Z27:AQ27" si="23">IF(Z25&gt;0,Z26,"")</f>
        <v/>
      </c>
      <c r="AA27" s="568" t="str">
        <f t="shared" si="23"/>
        <v/>
      </c>
      <c r="AB27" s="568" t="str">
        <f t="shared" si="23"/>
        <v/>
      </c>
      <c r="AC27" s="568" t="str">
        <f t="shared" si="23"/>
        <v/>
      </c>
      <c r="AD27" s="568" t="str">
        <f t="shared" si="23"/>
        <v/>
      </c>
      <c r="AE27" s="568" t="str">
        <f t="shared" si="23"/>
        <v/>
      </c>
      <c r="AF27" s="568" t="str">
        <f t="shared" si="23"/>
        <v/>
      </c>
      <c r="AG27" s="568" t="str">
        <f t="shared" si="23"/>
        <v/>
      </c>
      <c r="AH27" s="568" t="str">
        <f t="shared" si="23"/>
        <v/>
      </c>
      <c r="AI27" s="568" t="str">
        <f t="shared" si="23"/>
        <v/>
      </c>
      <c r="AJ27" s="568" t="str">
        <f t="shared" si="23"/>
        <v/>
      </c>
      <c r="AK27" s="568" t="str">
        <f t="shared" si="23"/>
        <v/>
      </c>
      <c r="AL27" s="568" t="str">
        <f t="shared" si="23"/>
        <v/>
      </c>
      <c r="AM27" s="568" t="str">
        <f t="shared" si="23"/>
        <v/>
      </c>
      <c r="AN27" s="568" t="str">
        <f t="shared" si="23"/>
        <v/>
      </c>
      <c r="AO27" s="568" t="str">
        <f t="shared" si="23"/>
        <v/>
      </c>
      <c r="AP27" s="568" t="str">
        <f t="shared" si="23"/>
        <v/>
      </c>
      <c r="AQ27" s="568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5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2" t="str">
        <f>'Фактические расходы'!$A$13</f>
        <v>${pp}</v>
      </c>
      <c r="B31" s="562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69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2" t="str">
        <f>'Фактические расходы'!$A$14</f>
        <v>Всего расходов</v>
      </c>
      <c r="B32" s="562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69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2">
        <f>'Фактические расходы'!$A$15</f>
        <v>0</v>
      </c>
      <c r="B33" s="562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69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2">
        <f>'Фактические расходы'!$A$16</f>
        <v>0</v>
      </c>
      <c r="B34" s="562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3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69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2">
        <f>'Фактические расходы'!$A$17</f>
        <v>0</v>
      </c>
      <c r="B35" s="562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3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69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2">
        <f>'Фактические расходы'!$A$18</f>
        <v>0</v>
      </c>
      <c r="B36" s="562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69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2">
        <f>'Фактические расходы'!$A$19</f>
        <v>0</v>
      </c>
      <c r="B37" s="562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69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2">
        <f>'Фактические расходы'!$A$20</f>
        <v>0</v>
      </c>
      <c r="B38" s="562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3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69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2">
        <f>'Фактические расходы'!$A$21</f>
        <v>0</v>
      </c>
      <c r="B39" s="562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3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69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2">
        <f>'Фактические расходы'!$A$22</f>
        <v>0</v>
      </c>
      <c r="B40" s="562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3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69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2">
        <f>'Фактические расходы'!$A$23</f>
        <v>0</v>
      </c>
      <c r="B41" s="562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3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69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2">
        <f>'Фактические расходы'!$A$24</f>
        <v>0</v>
      </c>
      <c r="B42" s="562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69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2">
        <f>'Фактические расходы'!$A$25</f>
        <v>0</v>
      </c>
      <c r="B43" s="562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69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2">
        <f>'Фактические расходы'!$A$26</f>
        <v>0</v>
      </c>
      <c r="B44" s="562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69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2">
        <f>'Фактические расходы'!$A$27</f>
        <v>0</v>
      </c>
      <c r="B45" s="562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69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2">
        <f>'Фактические расходы'!$A$28</f>
        <v>0</v>
      </c>
      <c r="B46" s="562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69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2">
        <f>'Фактические расходы'!$A$29</f>
        <v>0</v>
      </c>
      <c r="B47" s="562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69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2">
        <f>'Фактические расходы'!$A$30</f>
        <v>0</v>
      </c>
      <c r="B48" s="562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69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2">
        <f>'Фактические расходы'!$A$31</f>
        <v>0</v>
      </c>
      <c r="B49" s="562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69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2" t="s">
        <v>980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3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8">
        <f>D55-DATE(H55,G55,1)+1</f>
        <v>0</v>
      </c>
      <c r="G55" s="578" t="str">
        <f>IF(MONTH(D55)&lt;10,"0"&amp;MONTH(D55),MONTH(D55))</f>
        <v>01</v>
      </c>
      <c r="H55" s="578">
        <f>YEAR(D55)</f>
        <v>1900</v>
      </c>
      <c r="I55" s="585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3" t="s">
        <v>1031</v>
      </c>
      <c r="D56" s="584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8">
        <f t="shared" ref="F56:F64" si="40">D56-DATE(H56,G56,1)+1</f>
        <v>0</v>
      </c>
      <c r="G56" s="578" t="str">
        <f t="shared" ref="G56:G64" si="41">IF(MONTH(D56)&lt;10,"0"&amp;MONTH(D56),MONTH(D56))</f>
        <v>01</v>
      </c>
      <c r="H56" s="578">
        <f t="shared" ref="H56:H64" si="42">YEAR(D56)</f>
        <v>1900</v>
      </c>
      <c r="I56" s="585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3" t="s">
        <v>1032</v>
      </c>
      <c r="D57" s="584">
        <f>IF(('Аренда ТС'!$CM$258)&gt;DATE(1900,1,1),'Аренда ТС'!$CM$258,0)</f>
        <v>0</v>
      </c>
      <c r="E57" s="234" t="str">
        <f t="shared" si="39"/>
        <v>0</v>
      </c>
      <c r="F57" s="578">
        <f t="shared" si="40"/>
        <v>0</v>
      </c>
      <c r="G57" s="578" t="str">
        <f t="shared" si="41"/>
        <v>01</v>
      </c>
      <c r="H57" s="578">
        <f t="shared" si="42"/>
        <v>1900</v>
      </c>
      <c r="I57" s="585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3" t="s">
        <v>1033</v>
      </c>
      <c r="D58" s="584">
        <f>IF(('Аренда ТС'!$EI$258)&gt;DATE(1900,1,1),'Аренда ТС'!$EI$258,0)</f>
        <v>0</v>
      </c>
      <c r="E58" s="234" t="str">
        <f t="shared" si="39"/>
        <v>0</v>
      </c>
      <c r="F58" s="578">
        <f t="shared" si="40"/>
        <v>0</v>
      </c>
      <c r="G58" s="578" t="str">
        <f t="shared" si="41"/>
        <v>01</v>
      </c>
      <c r="H58" s="578">
        <f t="shared" si="42"/>
        <v>1900</v>
      </c>
      <c r="I58" s="585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3" t="s">
        <v>1034</v>
      </c>
      <c r="D59" s="584">
        <f>IF(('Оказание услуг'!$AQ$188)&gt;DATE(1900,1,1),'Оказание услуг'!$AQ$188,0)</f>
        <v>0</v>
      </c>
      <c r="E59" s="234" t="str">
        <f t="shared" si="39"/>
        <v>0</v>
      </c>
      <c r="F59" s="578">
        <f t="shared" si="40"/>
        <v>0</v>
      </c>
      <c r="G59" s="578" t="str">
        <f t="shared" si="41"/>
        <v>01</v>
      </c>
      <c r="H59" s="578">
        <f t="shared" si="42"/>
        <v>1900</v>
      </c>
      <c r="I59" s="585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3" t="s">
        <v>1035</v>
      </c>
      <c r="D60" s="584">
        <f>IF(('Оказание услуг'!$CM$188)&gt;DATE(1900,1,1),'Оказание услуг'!$CM$188,0)</f>
        <v>0</v>
      </c>
      <c r="E60" s="234" t="str">
        <f t="shared" si="39"/>
        <v>0</v>
      </c>
      <c r="F60" s="578">
        <f t="shared" si="40"/>
        <v>0</v>
      </c>
      <c r="G60" s="578" t="str">
        <f t="shared" si="41"/>
        <v>01</v>
      </c>
      <c r="H60" s="578">
        <f t="shared" si="42"/>
        <v>1900</v>
      </c>
      <c r="I60" s="585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3" t="s">
        <v>1036</v>
      </c>
      <c r="D61" s="584">
        <f>IF(('Оказание услуг'!$EI$188)&gt;DATE(1900,1,1),'Оказание услуг'!$EI$188,0)</f>
        <v>0</v>
      </c>
      <c r="E61" s="234" t="str">
        <f t="shared" si="39"/>
        <v>0</v>
      </c>
      <c r="F61" s="578">
        <f t="shared" si="40"/>
        <v>0</v>
      </c>
      <c r="G61" s="578" t="str">
        <f t="shared" si="41"/>
        <v>01</v>
      </c>
      <c r="H61" s="578">
        <f t="shared" si="42"/>
        <v>1900</v>
      </c>
      <c r="I61" s="585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3" t="s">
        <v>1037</v>
      </c>
      <c r="D62" s="584">
        <f>IF(('Выполнение работ'!$AQ$189)&gt;DATE(1900,1,1),'Выполнение работ'!$AQ$189,0)</f>
        <v>0</v>
      </c>
      <c r="E62" s="234" t="str">
        <f t="shared" si="39"/>
        <v>0</v>
      </c>
      <c r="F62" s="578">
        <f t="shared" si="40"/>
        <v>0</v>
      </c>
      <c r="G62" s="578" t="str">
        <f t="shared" si="41"/>
        <v>01</v>
      </c>
      <c r="H62" s="578">
        <f t="shared" si="42"/>
        <v>1900</v>
      </c>
      <c r="I62" s="585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3" t="s">
        <v>1039</v>
      </c>
      <c r="D63" s="584">
        <f>IF(('Выполнение работ'!$CM$189)&gt;DATE(1900,1,1),'Выполнение работ'!$CM$189,0)</f>
        <v>0</v>
      </c>
      <c r="E63" s="234" t="str">
        <f t="shared" si="39"/>
        <v>0</v>
      </c>
      <c r="F63" s="578">
        <f t="shared" si="40"/>
        <v>0</v>
      </c>
      <c r="G63" s="578" t="str">
        <f t="shared" si="41"/>
        <v>01</v>
      </c>
      <c r="H63" s="578">
        <f t="shared" si="42"/>
        <v>1900</v>
      </c>
      <c r="I63" s="585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3" t="s">
        <v>1038</v>
      </c>
      <c r="D64" s="584">
        <f>IF(('Выполнение работ'!$EI$189)&gt;DATE(1900,1,1),'Выполнение работ'!$EI$189,0)</f>
        <v>0</v>
      </c>
      <c r="E64" s="234" t="str">
        <f t="shared" si="39"/>
        <v>0</v>
      </c>
      <c r="F64" s="578">
        <f t="shared" si="40"/>
        <v>0</v>
      </c>
      <c r="G64" s="578" t="str">
        <f t="shared" si="41"/>
        <v>01</v>
      </c>
      <c r="H64" s="578">
        <f t="shared" si="42"/>
        <v>1900</v>
      </c>
      <c r="I64" s="585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2" t="s">
        <v>993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6">
        <f>'Аренда ТС'!O5</f>
        <v>0</v>
      </c>
      <c r="B67" s="587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6">
        <f>'Аренда ТС'!BK5</f>
        <v>0</v>
      </c>
      <c r="B68" s="587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6">
        <f>'Аренда ТС'!DG5</f>
        <v>0</v>
      </c>
      <c r="B69" s="587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6">
        <f>'Оказание услуг'!$O$5</f>
        <v>0</v>
      </c>
      <c r="B70" s="587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6">
        <f>'Оказание услуг'!BK5</f>
        <v>0</v>
      </c>
      <c r="B71" s="587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6">
        <f>'Оказание услуг'!DG5</f>
        <v>0</v>
      </c>
      <c r="B72" s="587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6">
        <f>'Выполнение работ'!O5</f>
        <v>0</v>
      </c>
      <c r="B73" s="587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6">
        <f>'Выполнение работ'!BK5</f>
        <v>0</v>
      </c>
      <c r="B74" s="587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6">
        <f>'Выполнение работ'!DG5</f>
        <v>0</v>
      </c>
      <c r="B75" s="587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/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7">
        <f>'Аренда ТС'!$AF$274</f>
        <v>0</v>
      </c>
      <c r="C96" s="586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7">
        <f>'Аренда ТС'!$CB$274</f>
        <v>0</v>
      </c>
      <c r="C97" s="586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7">
        <f>'Аренда ТС'!$DX$274</f>
        <v>0</v>
      </c>
      <c r="C98" s="586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7">
        <f>'Оказание услуг'!$AF$204</f>
        <v>0</v>
      </c>
      <c r="C99" s="586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7">
        <f>'Оказание услуг'!$CB$204</f>
        <v>0</v>
      </c>
      <c r="C100" s="586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7">
        <f>'Оказание услуг'!$DX$204</f>
        <v>0</v>
      </c>
      <c r="C101" s="586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7">
        <f>'Выполнение работ'!$AF$205</f>
        <v>0</v>
      </c>
      <c r="C102" s="586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7">
        <f>'Выполнение работ'!$CB$205</f>
        <v>0</v>
      </c>
      <c r="C103" s="586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7">
        <f>'Выполнение работ'!$DX$205</f>
        <v>0</v>
      </c>
      <c r="C104" s="586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5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5"/>
      <c r="J106" s="451"/>
      <c r="K106" s="451"/>
      <c r="L106" s="451"/>
      <c r="M106" s="451"/>
      <c r="N106" s="451"/>
    </row>
    <row r="107" spans="1:21">
      <c r="A107" s="495"/>
      <c r="J107" s="234"/>
      <c r="K107" s="1359" t="s">
        <v>966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59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6" t="str">
        <f>'Фактические расходы'!$A$13</f>
        <v>${pp}</v>
      </c>
      <c r="B109" s="486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0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8">
        <f>K109+M109+P109+Q109</f>
        <v>0</v>
      </c>
      <c r="P109" s="558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6" t="str">
        <f>'Фактические расходы'!$A$14</f>
        <v>Всего расходов</v>
      </c>
      <c r="B110" s="486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0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8">
        <f t="shared" ref="O110:O127" si="84">K110+M110+P110+Q110</f>
        <v>0</v>
      </c>
      <c r="P110" s="558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6">
        <f>'Фактические расходы'!$A$15</f>
        <v>0</v>
      </c>
      <c r="B111" s="486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0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8">
        <f t="shared" si="84"/>
        <v>0</v>
      </c>
      <c r="P111" s="558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6">
        <f>'Фактические расходы'!$A$16</f>
        <v>0</v>
      </c>
      <c r="B112" s="486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0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8">
        <f t="shared" si="84"/>
        <v>0</v>
      </c>
      <c r="P112" s="558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6">
        <f>'Фактические расходы'!$A$17</f>
        <v>0</v>
      </c>
      <c r="B113" s="486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0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8">
        <f t="shared" si="84"/>
        <v>0</v>
      </c>
      <c r="P113" s="558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6">
        <f>'Фактические расходы'!$A$18</f>
        <v>0</v>
      </c>
      <c r="B114" s="486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0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8">
        <f t="shared" si="84"/>
        <v>0</v>
      </c>
      <c r="P114" s="558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6">
        <f>'Фактические расходы'!$A$19</f>
        <v>0</v>
      </c>
      <c r="B115" s="486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0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8">
        <f t="shared" si="84"/>
        <v>0</v>
      </c>
      <c r="P115" s="558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6">
        <f>'Фактические расходы'!$A$20</f>
        <v>0</v>
      </c>
      <c r="B116" s="486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0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8">
        <f t="shared" si="84"/>
        <v>0</v>
      </c>
      <c r="P116" s="558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6">
        <f>'Фактические расходы'!$A$21</f>
        <v>0</v>
      </c>
      <c r="B117" s="486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0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8">
        <f t="shared" si="84"/>
        <v>0</v>
      </c>
      <c r="P117" s="558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6">
        <f>'Фактические расходы'!$A$22</f>
        <v>0</v>
      </c>
      <c r="B118" s="486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0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8">
        <f t="shared" si="84"/>
        <v>0</v>
      </c>
      <c r="P118" s="558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6">
        <f>'Фактические расходы'!$A$23</f>
        <v>0</v>
      </c>
      <c r="B119" s="486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0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8">
        <f t="shared" si="84"/>
        <v>0</v>
      </c>
      <c r="P119" s="558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6">
        <f>'Фактические расходы'!$A$24</f>
        <v>0</v>
      </c>
      <c r="B120" s="486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0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8">
        <f t="shared" si="84"/>
        <v>0</v>
      </c>
      <c r="P120" s="558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6">
        <f>'Фактические расходы'!$A$25</f>
        <v>0</v>
      </c>
      <c r="B121" s="486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0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8">
        <f t="shared" si="84"/>
        <v>0</v>
      </c>
      <c r="P121" s="558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6">
        <f>'Фактические расходы'!$A$26</f>
        <v>0</v>
      </c>
      <c r="B122" s="486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0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8">
        <f t="shared" si="84"/>
        <v>0</v>
      </c>
      <c r="P122" s="558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6">
        <f>'Фактические расходы'!$A$27</f>
        <v>0</v>
      </c>
      <c r="B123" s="486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0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8">
        <f t="shared" si="84"/>
        <v>0</v>
      </c>
      <c r="P123" s="558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6">
        <f>'Фактические расходы'!$A$28</f>
        <v>0</v>
      </c>
      <c r="B124" s="486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0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8">
        <f t="shared" si="84"/>
        <v>0</v>
      </c>
      <c r="P124" s="558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6">
        <f>'Фактические расходы'!$A$29</f>
        <v>0</v>
      </c>
      <c r="B125" s="486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0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8">
        <f t="shared" si="84"/>
        <v>0</v>
      </c>
      <c r="P125" s="558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6">
        <f>'Фактические расходы'!$A$30</f>
        <v>0</v>
      </c>
      <c r="B126" s="486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0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8">
        <f t="shared" si="84"/>
        <v>0</v>
      </c>
      <c r="P126" s="558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6">
        <f>'Фактические расходы'!$A$31</f>
        <v>0</v>
      </c>
      <c r="B127" s="486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0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8">
        <f t="shared" si="84"/>
        <v>0</v>
      </c>
      <c r="P127" s="558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8">
        <f>IF(NOT('Настройки ТИК'!$C$14="не участник зарплатного проекта"),SUM(K109:K127),SUM(O109:O127)-SUM(M109:M127))</f>
        <v>0</v>
      </c>
      <c r="AQ129" s="495"/>
    </row>
    <row r="130" spans="1:43">
      <c r="A130" s="642">
        <f ca="1">COUNTA(INDIRECT("$A$131:$A$144"))</f>
        <v>1</v>
      </c>
      <c r="B130" s="642"/>
      <c r="C130" s="642">
        <f ca="1">SUM(INDIRECT("$C$131:$C$144"))</f>
        <v>0</v>
      </c>
      <c r="D130" s="643"/>
      <c r="E130" s="643"/>
      <c r="F130" s="643"/>
      <c r="G130" s="643"/>
      <c r="H130" s="643"/>
      <c r="I130" s="643"/>
      <c r="J130" s="643"/>
      <c r="K130" s="643"/>
      <c r="L130" s="643"/>
      <c r="M130" s="643"/>
      <c r="N130" s="643"/>
      <c r="O130" s="643"/>
      <c r="P130" s="643"/>
      <c r="Q130" s="643"/>
      <c r="R130" s="643"/>
      <c r="S130" s="643"/>
      <c r="T130" s="643"/>
      <c r="U130" s="643"/>
      <c r="V130" s="643"/>
      <c r="W130" s="643"/>
      <c r="X130" s="643"/>
      <c r="Y130" s="643"/>
      <c r="Z130" s="643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4" t="s">
        <v>399</v>
      </c>
    </row>
    <row r="131" spans="1:43">
      <c r="A131" s="604" t="s">
        <v>961</v>
      </c>
      <c r="B131" s="604" t="s">
        <v>907</v>
      </c>
      <c r="C131" s="604" t="s">
        <v>962</v>
      </c>
      <c r="D131" s="495"/>
      <c r="J131" s="234"/>
      <c r="K131" s="234"/>
      <c r="L131" s="234"/>
      <c r="M131" s="234"/>
      <c r="N131" s="234"/>
      <c r="AQ131" s="641" t="s">
        <v>399</v>
      </c>
    </row>
    <row r="132" spans="1:43">
      <c r="J132" s="234"/>
      <c r="K132" s="234"/>
      <c r="L132" s="234"/>
      <c r="M132" s="234"/>
      <c r="N132" s="234"/>
      <c r="AQ132" s="495"/>
    </row>
    <row r="133" spans="1:43">
      <c r="J133" s="234"/>
      <c r="K133" s="234"/>
      <c r="L133" s="234"/>
      <c r="M133" s="234"/>
      <c r="N133" s="234"/>
      <c r="AQ133" s="495"/>
    </row>
    <row r="134" spans="1:43">
      <c r="J134" s="234"/>
      <c r="K134" s="234"/>
      <c r="L134" s="234"/>
      <c r="M134" s="234"/>
      <c r="N134" s="234"/>
      <c r="AQ134" s="495"/>
    </row>
    <row r="135" spans="1:43">
      <c r="J135" s="234"/>
      <c r="K135" s="234"/>
      <c r="L135" s="234"/>
      <c r="M135" s="234"/>
      <c r="N135" s="234"/>
      <c r="AQ135" s="495"/>
    </row>
    <row r="136" spans="1:43">
      <c r="J136" s="234"/>
      <c r="K136" s="234"/>
      <c r="L136" s="234"/>
      <c r="M136" s="234"/>
      <c r="N136" s="234"/>
      <c r="AQ136" s="495"/>
    </row>
    <row r="137" spans="1:43">
      <c r="J137" s="234"/>
      <c r="K137" s="234"/>
      <c r="L137" s="234"/>
      <c r="M137" s="234"/>
      <c r="N137" s="234"/>
      <c r="AQ137" s="495"/>
    </row>
    <row r="138" spans="1:43">
      <c r="J138" s="234"/>
      <c r="K138" s="234"/>
      <c r="L138" s="234"/>
      <c r="M138" s="234"/>
      <c r="N138" s="234"/>
      <c r="AQ138" s="495"/>
    </row>
    <row r="139" spans="1:43">
      <c r="J139" s="234"/>
      <c r="K139" s="234"/>
      <c r="L139" s="234"/>
      <c r="M139" s="234"/>
      <c r="N139" s="234"/>
      <c r="AQ139" s="495"/>
    </row>
    <row r="140" spans="1:43">
      <c r="J140" s="234"/>
      <c r="K140" s="234"/>
      <c r="L140" s="234"/>
      <c r="M140" s="234"/>
      <c r="N140" s="234"/>
      <c r="AQ140" s="495"/>
    </row>
    <row r="141" spans="1:43">
      <c r="J141" s="234"/>
      <c r="K141" s="234"/>
      <c r="L141" s="234"/>
      <c r="M141" s="234"/>
      <c r="N141" s="234"/>
      <c r="AQ141" s="495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3" zoomScaleNormal="100" zoomScaleSheetLayoutView="115" workbookViewId="0">
      <selection activeCell="A7" sqref="A7:E7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9.140625" style="235" customWidth="1"/>
    <col min="23" max="16384" width="9.140625" style="235"/>
  </cols>
  <sheetData>
    <row r="3" spans="1:21" ht="15.7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6">
        <f ca="1">COUNTIF($P$12:$P$52,'Настройки УИК'!$R$2)</f>
        <v>19</v>
      </c>
    </row>
    <row r="7" spans="1:21" ht="30.75" customHeight="1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33" customHeight="1">
      <c r="A13" s="555" t="s">
        <v>961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79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0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8">
        <f ca="1">OFFSET($M$13:$M$13,0,0)</f>
        <v>0</v>
      </c>
      <c r="M13" s="581"/>
      <c r="N13" s="558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6">
        <f ca="1">SUMIF(Смета!$A$18:$A$37,INDIRECT("A"&amp;(MROUND(N($U$6),1)+13)),Смета!$J$18:$J$37)</f>
        <v>0</v>
      </c>
      <c r="K14" s="557">
        <f>'В авансовый отчет'!$O$129</f>
        <v>0</v>
      </c>
      <c r="L14" s="618">
        <v>1</v>
      </c>
      <c r="M14" s="581">
        <f>'В авансовый отчет'!O109</f>
        <v>0</v>
      </c>
      <c r="N14" s="576">
        <f ca="1">COUNTIF(Смета!$A$18:$A$37,INDIRECT("P"&amp;(MROUND(N($U$6),1)+13)))</f>
        <v>0</v>
      </c>
      <c r="O14" s="576" t="str">
        <f ca="1">IF(INDIRECT("T"&amp;(MROUND(N(IF(NOT($Q$13=""),$Q$13,($U$6+2))),1)+12))="","",INDIRECT("T"&amp;(MROUND(N(IF(NOT($Q$13=""),$Q$13,($U$6+2))),1)+12)))</f>
        <v/>
      </c>
      <c r="P14" s="576" t="str">
        <f ca="1">INDIRECT("A"&amp;(13))</f>
        <v>${pp}</v>
      </c>
      <c r="Q14" s="410"/>
    </row>
    <row r="15" spans="1:21">
      <c r="L15" s="618">
        <v>2</v>
      </c>
      <c r="M15" s="581">
        <f>'В авансовый отчет'!O110</f>
        <v>0</v>
      </c>
      <c r="N15" s="576">
        <f ca="1">COUNTIF(Смета!$A$18:$A$37,INDIRECT("P"&amp;(MROUND(N($U$6),1)+14)))</f>
        <v>0</v>
      </c>
      <c r="O15" s="576" t="str">
        <f ca="1">IF(INDIRECT("T"&amp;(MROUND(N(IF(NOT($Q$14=""),$Q$14,($U$6+2))),1)+12))="","",INDIRECT("T"&amp;(MROUND(N(IF(NOT($Q$14=""),$Q$14,($U$6+2))),1)+12)))</f>
        <v/>
      </c>
      <c r="P15" s="576" t="str">
        <f ca="1">INDIRECT("A"&amp;(14))</f>
        <v>Всего расходов</v>
      </c>
      <c r="Q15" s="410"/>
    </row>
    <row r="16" spans="1:21">
      <c r="L16" s="618">
        <v>3</v>
      </c>
      <c r="M16" s="581">
        <f>'В авансовый отчет'!O111</f>
        <v>0</v>
      </c>
      <c r="N16" s="576">
        <f ca="1">COUNTIF(Смета!$A$18:$A$37,INDIRECT("P"&amp;(MROUND(N($U$6),1)+15)))</f>
        <v>0</v>
      </c>
      <c r="O16" s="576" t="str">
        <f ca="1">IF(INDIRECT("T"&amp;(MROUND(N(IF(NOT($Q$15=""),$Q$15,($U$6+2))),1)+12))="","",INDIRECT("T"&amp;(MROUND(N(IF(NOT($Q$15=""),$Q$15,($U$6+2))),1)+12)))</f>
        <v/>
      </c>
      <c r="P16" s="576">
        <f ca="1">INDIRECT("A"&amp;(15))</f>
        <v>0</v>
      </c>
      <c r="Q16" s="410"/>
    </row>
    <row r="17" spans="1:21">
      <c r="L17" s="618">
        <v>4</v>
      </c>
      <c r="M17" s="581">
        <f>'В авансовый отчет'!O112</f>
        <v>0</v>
      </c>
      <c r="N17" s="576">
        <f ca="1">COUNTIF(Смета!$A$18:$A$37,INDIRECT("P"&amp;(MROUND(N($U$6),1)+16)))</f>
        <v>0</v>
      </c>
      <c r="O17" s="576" t="str">
        <f ca="1">IF(INDIRECT("T"&amp;(MROUND(N(IF(NOT($Q$16=""),$Q$16,($U$6+2))),1)+12))="","",INDIRECT("T"&amp;(MROUND(N(IF(NOT($Q$16=""),$Q$16,($U$6+2))),1)+12)))</f>
        <v/>
      </c>
      <c r="P17" s="576">
        <f ca="1">INDIRECT("A"&amp;(16))</f>
        <v>0</v>
      </c>
      <c r="Q17" s="410"/>
    </row>
    <row r="18" spans="1:21">
      <c r="A18" s="582"/>
      <c r="B18" s="582"/>
      <c r="C18" s="582"/>
      <c r="D18" s="582"/>
      <c r="E18" s="582"/>
      <c r="F18" s="582"/>
      <c r="G18" s="582"/>
      <c r="H18" s="582"/>
      <c r="I18" s="582"/>
      <c r="J18" s="582"/>
      <c r="K18" s="582"/>
      <c r="L18" s="618">
        <v>5</v>
      </c>
      <c r="M18" s="581">
        <f>'В авансовый отчет'!O113</f>
        <v>0</v>
      </c>
      <c r="N18" s="576">
        <f ca="1">COUNTIF(Смета!$A$18:$A$37,INDIRECT("P"&amp;(MROUND(N($U$6),1)+17)))</f>
        <v>0</v>
      </c>
      <c r="O18" s="576" t="str">
        <f ca="1">IF(INDIRECT("T"&amp;(MROUND(N(IF(NOT($Q$17=""),$Q$17,($U$6+2))),1)+12))="","",INDIRECT("T"&amp;(MROUND(N(IF(NOT($Q$17=""),$Q$17,($U$6+2))),1)+12)))</f>
        <v/>
      </c>
      <c r="P18" s="576">
        <f ca="1">INDIRECT("A"&amp;(17))</f>
        <v>0</v>
      </c>
      <c r="Q18" s="410"/>
    </row>
    <row r="19" spans="1:21">
      <c r="A19" s="582"/>
      <c r="B19" s="582"/>
      <c r="C19" s="582"/>
      <c r="D19" s="582"/>
      <c r="E19" s="582"/>
      <c r="F19" s="582"/>
      <c r="G19" s="582"/>
      <c r="H19" s="582"/>
      <c r="I19" s="582"/>
      <c r="J19" s="582"/>
      <c r="K19" s="582"/>
      <c r="L19" s="618">
        <v>6</v>
      </c>
      <c r="M19" s="581">
        <f>'В авансовый отчет'!O114</f>
        <v>0</v>
      </c>
      <c r="N19" s="576">
        <f ca="1">COUNTIF(Смета!$A$18:$A$37,INDIRECT("P"&amp;(MROUND(N($U$6),1)+18)))</f>
        <v>0</v>
      </c>
      <c r="O19" s="576" t="str">
        <f ca="1">IF(INDIRECT("T"&amp;(MROUND(N(IF(NOT($Q$18=""),$Q$18,($U$6+2))),1)+12))="","",INDIRECT("T"&amp;(MROUND(N(IF(NOT($Q$18=""),$Q$18,($U$6+2))),1)+12)))</f>
        <v/>
      </c>
      <c r="P19" s="576">
        <f ca="1">INDIRECT("A"&amp;(18))</f>
        <v>0</v>
      </c>
      <c r="Q19" s="410"/>
    </row>
    <row r="20" spans="1:21">
      <c r="A20" s="582"/>
      <c r="B20" s="582"/>
      <c r="C20" s="582"/>
      <c r="D20" s="582"/>
      <c r="E20" s="582"/>
      <c r="F20" s="582"/>
      <c r="G20" s="582"/>
      <c r="H20" s="582"/>
      <c r="I20" s="582"/>
      <c r="J20" s="582"/>
      <c r="K20" s="582"/>
      <c r="L20" s="618">
        <v>7</v>
      </c>
      <c r="M20" s="581">
        <f>'В авансовый отчет'!O115</f>
        <v>0</v>
      </c>
      <c r="N20" s="576">
        <f ca="1">COUNTIF(Смета!$A$18:$A$37,INDIRECT("P"&amp;(MROUND(N($U$6),1)+19)))</f>
        <v>0</v>
      </c>
      <c r="O20" s="576" t="str">
        <f ca="1">IF(INDIRECT("T"&amp;(MROUND(N(IF(NOT($Q$19=""),$Q$19,($U$6+2))),1)+12))="","",INDIRECT("T"&amp;(MROUND(N(IF(NOT($Q$19=""),$Q$19,($U$6+2))),1)+12)))</f>
        <v/>
      </c>
      <c r="P20" s="576">
        <f ca="1">INDIRECT("A"&amp;(19))</f>
        <v>0</v>
      </c>
      <c r="Q20" s="410"/>
    </row>
    <row r="21" spans="1:21">
      <c r="A21" s="582"/>
      <c r="B21" s="582"/>
      <c r="C21" s="582"/>
      <c r="D21" s="582"/>
      <c r="E21" s="582"/>
      <c r="F21" s="582"/>
      <c r="G21" s="582"/>
      <c r="H21" s="582"/>
      <c r="I21" s="582"/>
      <c r="J21" s="582"/>
      <c r="K21" s="582"/>
      <c r="L21" s="618">
        <v>8</v>
      </c>
      <c r="M21" s="581">
        <f>'В авансовый отчет'!O116</f>
        <v>0</v>
      </c>
      <c r="N21" s="576">
        <f ca="1">COUNTIF(Смета!$A$18:$A$37,INDIRECT("P"&amp;(MROUND(N($U$6),1)+20)))</f>
        <v>0</v>
      </c>
      <c r="O21" s="576" t="str">
        <f ca="1">IF(INDIRECT("T"&amp;(MROUND(N(IF(NOT($Q$20=""),$Q$20,($U$6+2))),1)+12))="","",INDIRECT("T"&amp;(MROUND(N(IF(NOT($Q$20=""),$Q$20,($U$6+2))),1)+12)))</f>
        <v/>
      </c>
      <c r="P21" s="576">
        <f ca="1">INDIRECT("A"&amp;(20))</f>
        <v>0</v>
      </c>
      <c r="Q21" s="410"/>
    </row>
    <row r="22" spans="1:21">
      <c r="A22" s="582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618">
        <v>9</v>
      </c>
      <c r="M22" s="581">
        <f>'В авансовый отчет'!O117</f>
        <v>0</v>
      </c>
      <c r="N22" s="576">
        <f ca="1">COUNTIF(Смета!$A$18:$A$37,INDIRECT("P"&amp;(MROUND(N($U$6),1)+21)))</f>
        <v>0</v>
      </c>
      <c r="O22" s="576" t="str">
        <f ca="1">IF(INDIRECT("T"&amp;(MROUND(N(IF(NOT($Q$21=""),$Q$21,($U$6+2))),1)+12))="","",INDIRECT("T"&amp;(MROUND(N(IF(NOT($Q$21=""),$Q$21,($U$6+2))),1)+12)))</f>
        <v/>
      </c>
      <c r="P22" s="576">
        <f ca="1">INDIRECT("A"&amp;(21))</f>
        <v>0</v>
      </c>
      <c r="Q22" s="410"/>
    </row>
    <row r="23" spans="1:21">
      <c r="A23" s="582"/>
      <c r="B23" s="582"/>
      <c r="C23" s="582"/>
      <c r="D23" s="582"/>
      <c r="E23" s="582"/>
      <c r="F23" s="582"/>
      <c r="G23" s="582"/>
      <c r="H23" s="582"/>
      <c r="I23" s="582"/>
      <c r="J23" s="582"/>
      <c r="K23" s="582"/>
      <c r="L23" s="618">
        <v>10</v>
      </c>
      <c r="M23" s="581">
        <f>'В авансовый отчет'!O118</f>
        <v>0</v>
      </c>
      <c r="N23" s="576">
        <f ca="1">COUNTIF(Смета!$A$18:$A$37,INDIRECT("P"&amp;(MROUND(N($U$6),1)+22)))</f>
        <v>0</v>
      </c>
      <c r="O23" s="576" t="str">
        <f ca="1">IF(INDIRECT("T"&amp;(MROUND(N(IF(NOT($Q$22=""),$Q$22,($U$6+2))),1)+12))="","",INDIRECT("T"&amp;(MROUND(N(IF(NOT($Q$22=""),$Q$22,($U$6+2))),1)+12)))</f>
        <v/>
      </c>
      <c r="P23" s="576">
        <f ca="1">INDIRECT("A"&amp;(22))</f>
        <v>0</v>
      </c>
      <c r="Q23" s="410"/>
    </row>
    <row r="24" spans="1:21">
      <c r="A24" s="582"/>
      <c r="B24" s="582"/>
      <c r="C24" s="582"/>
      <c r="D24" s="582"/>
      <c r="E24" s="582"/>
      <c r="F24" s="582"/>
      <c r="G24" s="582"/>
      <c r="H24" s="582"/>
      <c r="I24" s="582"/>
      <c r="J24" s="582"/>
      <c r="K24" s="582"/>
      <c r="L24" s="618">
        <v>11</v>
      </c>
      <c r="M24" s="581">
        <f>'В авансовый отчет'!O119</f>
        <v>0</v>
      </c>
      <c r="N24" s="576">
        <f ca="1">COUNTIF(Смета!$A$18:$A$37,INDIRECT("P"&amp;(MROUND(N($U$6),1)+23)))</f>
        <v>0</v>
      </c>
      <c r="O24" s="576" t="str">
        <f ca="1">IF(INDIRECT("T"&amp;(MROUND(N(IF(NOT($Q$23=""),$Q$23,($U$6+2))),1)+12))="","",INDIRECT("T"&amp;(MROUND(N(IF(NOT($Q$23=""),$Q$23,($U$6+2))),1)+12)))</f>
        <v/>
      </c>
      <c r="P24" s="576">
        <f ca="1">INDIRECT("A"&amp;(23))</f>
        <v>0</v>
      </c>
      <c r="Q24" s="410"/>
    </row>
    <row r="25" spans="1:21">
      <c r="A25" s="582"/>
      <c r="B25" s="582"/>
      <c r="D25" s="582"/>
      <c r="E25" s="582"/>
      <c r="F25" s="582"/>
      <c r="G25" s="582"/>
      <c r="H25" s="582"/>
      <c r="I25" s="582"/>
      <c r="J25" s="582"/>
      <c r="K25" s="582"/>
      <c r="L25" s="618">
        <v>12</v>
      </c>
      <c r="M25" s="581">
        <f>'В авансовый отчет'!O120</f>
        <v>0</v>
      </c>
      <c r="N25" s="576">
        <f ca="1">COUNTIF(Смета!$A$18:$A$37,INDIRECT("P"&amp;(MROUND(N($U$6),1)+24)))</f>
        <v>0</v>
      </c>
      <c r="O25" s="576" t="str">
        <f ca="1">IF(INDIRECT("T"&amp;(MROUND(N(IF(NOT($Q$24=""),$Q$24,($U$6+2))),1)+12))="","",INDIRECT("T"&amp;(MROUND(N(IF(NOT($Q$24=""),$Q$24,($U$6+2))),1)+12)))</f>
        <v/>
      </c>
      <c r="P25" s="576">
        <f ca="1">INDIRECT("A"&amp;(24))</f>
        <v>0</v>
      </c>
      <c r="Q25" s="410"/>
      <c r="U25" s="619">
        <f>'Настройки ТИК'!$C$14</f>
        <v>0</v>
      </c>
    </row>
    <row r="26" spans="1:21">
      <c r="A26" s="582"/>
      <c r="B26" s="582"/>
      <c r="C26" s="582"/>
      <c r="D26" s="582"/>
      <c r="E26" s="582"/>
      <c r="F26" s="582"/>
      <c r="G26" s="582"/>
      <c r="H26" s="582"/>
      <c r="I26" s="582"/>
      <c r="J26" s="582"/>
      <c r="K26" s="582"/>
      <c r="L26" s="618">
        <v>13</v>
      </c>
      <c r="M26" s="581">
        <f>'В авансовый отчет'!O121</f>
        <v>0</v>
      </c>
      <c r="N26" s="576">
        <f ca="1">COUNTIF(Смета!$A$18:$A$37,INDIRECT("P"&amp;(MROUND(N($U$6),1)+25)))</f>
        <v>0</v>
      </c>
      <c r="O26" s="576" t="str">
        <f ca="1">IF(INDIRECT("T"&amp;(MROUND(N(IF(NOT($Q$25=""),$Q$25,($U$6+2))),1)+12))="","",INDIRECT("T"&amp;(MROUND(N(IF(NOT($Q$25=""),$Q$25,($U$6+2))),1)+12)))</f>
        <v/>
      </c>
      <c r="P26" s="576">
        <f ca="1">INDIRECT("A"&amp;(25))</f>
        <v>0</v>
      </c>
      <c r="Q26" s="410"/>
    </row>
    <row r="27" spans="1:21">
      <c r="A27" s="582"/>
      <c r="B27" s="582"/>
      <c r="C27" s="582"/>
      <c r="D27" s="582"/>
      <c r="E27" s="582"/>
      <c r="F27" s="582"/>
      <c r="G27" s="582"/>
      <c r="H27" s="582"/>
      <c r="I27" s="582"/>
      <c r="J27" s="582"/>
      <c r="K27" s="582"/>
      <c r="L27" s="618">
        <v>14</v>
      </c>
      <c r="M27" s="581">
        <f>'В авансовый отчет'!O122</f>
        <v>0</v>
      </c>
      <c r="N27" s="576">
        <f ca="1">COUNTIF(Смета!$A$18:$A$37,INDIRECT("P"&amp;(MROUND(N($U$6),1)+26)))</f>
        <v>0</v>
      </c>
      <c r="O27" s="576" t="str">
        <f ca="1">IF(INDIRECT("T"&amp;(MROUND(N(IF(NOT($Q$26=""),$Q$26,($U$6+2))),1)+12))="","",INDIRECT("T"&amp;(MROUND(N(IF(NOT($Q$26=""),$Q$26,($U$6+2))),1)+12)))</f>
        <v/>
      </c>
      <c r="P27" s="576">
        <f ca="1">INDIRECT("A"&amp;(26))</f>
        <v>0</v>
      </c>
      <c r="Q27" s="410"/>
    </row>
    <row r="28" spans="1:21">
      <c r="A28" s="582"/>
      <c r="B28" s="582"/>
      <c r="C28" s="582"/>
      <c r="D28" s="582"/>
      <c r="E28" s="582"/>
      <c r="F28" s="582"/>
      <c r="G28" s="582"/>
      <c r="H28" s="582"/>
      <c r="I28" s="582"/>
      <c r="J28" s="582"/>
      <c r="K28" s="582"/>
      <c r="L28" s="618">
        <v>15</v>
      </c>
      <c r="M28" s="581">
        <f>'В авансовый отчет'!O123</f>
        <v>0</v>
      </c>
      <c r="N28" s="576">
        <f ca="1">COUNTIF(Смета!$A$18:$A$37,INDIRECT("P"&amp;(MROUND(N($U$6),1)+27)))</f>
        <v>0</v>
      </c>
      <c r="O28" s="576" t="str">
        <f ca="1">IF(INDIRECT("T"&amp;(MROUND(N(IF(NOT($Q$27=""),$Q$27,($U$6+2))),1)+12))="","",INDIRECT("T"&amp;(MROUND(N(IF(NOT($Q$27=""),$Q$27,($U$6+2))),1)+12)))</f>
        <v/>
      </c>
      <c r="P28" s="576">
        <f ca="1">INDIRECT("A"&amp;(27))</f>
        <v>0</v>
      </c>
      <c r="Q28" s="410"/>
    </row>
    <row r="29" spans="1:21">
      <c r="A29" s="582"/>
      <c r="B29" s="582"/>
      <c r="C29" s="582"/>
      <c r="D29" s="582"/>
      <c r="E29" s="582"/>
      <c r="F29" s="582"/>
      <c r="G29" s="582"/>
      <c r="H29" s="582"/>
      <c r="I29" s="582"/>
      <c r="J29" s="582"/>
      <c r="K29" s="582"/>
      <c r="L29" s="618">
        <v>16</v>
      </c>
      <c r="M29" s="581">
        <f>'В авансовый отчет'!O124</f>
        <v>0</v>
      </c>
      <c r="N29" s="576">
        <f ca="1">COUNTIF(Смета!$A$18:$A$37,INDIRECT("P"&amp;(MROUND(N($U$6),1)+28)))</f>
        <v>0</v>
      </c>
      <c r="O29" s="576" t="str">
        <f ca="1">IF(INDIRECT("T"&amp;(MROUND(N(IF(NOT($Q$28=""),$Q$28,($U$6+2))),1)+12))="","",INDIRECT("T"&amp;(MROUND(N(IF(NOT($Q$28=""),$Q$28,($U$6+2))),1)+12)))</f>
        <v/>
      </c>
      <c r="P29" s="576">
        <f ca="1">INDIRECT("A"&amp;(28))</f>
        <v>0</v>
      </c>
      <c r="Q29" s="410"/>
    </row>
    <row r="30" spans="1:21">
      <c r="A30" s="582"/>
      <c r="B30" s="582"/>
      <c r="C30" s="582"/>
      <c r="D30" s="582"/>
      <c r="E30" s="582"/>
      <c r="F30" s="582"/>
      <c r="G30" s="582"/>
      <c r="H30" s="582"/>
      <c r="I30" s="582"/>
      <c r="J30" s="582"/>
      <c r="K30" s="582"/>
      <c r="L30" s="618">
        <v>17</v>
      </c>
      <c r="M30" s="581">
        <f>'В авансовый отчет'!O125</f>
        <v>0</v>
      </c>
      <c r="N30" s="576">
        <f ca="1">COUNTIF(Смета!$A$18:$A$37,INDIRECT("P"&amp;(MROUND(N($U$6),1)+29)))</f>
        <v>0</v>
      </c>
      <c r="O30" s="576" t="str">
        <f ca="1">IF(INDIRECT("T"&amp;(MROUND(N(IF(NOT($Q$29=""),$Q$29,($U$6+2))),1)+12))="","",INDIRECT("T"&amp;(MROUND(N(IF(NOT($Q$29=""),$Q$29,($U$6+2))),1)+12)))</f>
        <v/>
      </c>
      <c r="P30" s="576">
        <f ca="1">INDIRECT("A"&amp;(29))</f>
        <v>0</v>
      </c>
      <c r="Q30" s="410"/>
    </row>
    <row r="31" spans="1:21">
      <c r="A31" s="582"/>
      <c r="B31" s="582"/>
      <c r="C31" s="582"/>
      <c r="D31" s="582"/>
      <c r="E31" s="582"/>
      <c r="F31" s="582"/>
      <c r="G31" s="582"/>
      <c r="H31" s="582"/>
      <c r="I31" s="582"/>
      <c r="J31" s="582"/>
      <c r="K31" s="582"/>
      <c r="L31" s="618">
        <v>18</v>
      </c>
      <c r="M31" s="581">
        <f>'В авансовый отчет'!O126</f>
        <v>0</v>
      </c>
      <c r="N31" s="576">
        <f ca="1">COUNTIF(Смета!$A$18:$A$37,INDIRECT("P"&amp;(MROUND(N($U$6),1)+30)))</f>
        <v>0</v>
      </c>
      <c r="O31" s="576" t="str">
        <f ca="1">IF(INDIRECT("T"&amp;(MROUND(N(IF(NOT($Q$30=""),$Q$30,($U$6+2))),1)+12))="","",INDIRECT("T"&amp;(MROUND(N(IF(NOT($Q$30=""),$Q$30,($U$6+2))),1)+12)))</f>
        <v/>
      </c>
      <c r="P31" s="576">
        <f ca="1">INDIRECT("A"&amp;(30))</f>
        <v>0</v>
      </c>
      <c r="Q31" s="410"/>
    </row>
    <row r="32" spans="1:21">
      <c r="A32" s="582"/>
      <c r="B32" s="582"/>
      <c r="C32" s="582"/>
      <c r="D32" s="582"/>
      <c r="E32" s="582"/>
      <c r="F32" s="582"/>
      <c r="G32" s="582"/>
      <c r="H32" s="582"/>
      <c r="I32" s="582"/>
      <c r="J32" s="582"/>
      <c r="K32" s="582"/>
      <c r="L32" s="618">
        <v>19</v>
      </c>
      <c r="M32" s="581">
        <f>'В авансовый отчет'!O127</f>
        <v>0</v>
      </c>
      <c r="N32" s="576">
        <f ca="1">COUNTIF(Смета!$A$18:$A$37,INDIRECT("P"&amp;(MROUND(N($U$6),1)+31)))</f>
        <v>0</v>
      </c>
      <c r="O32" s="576" t="str">
        <f ca="1">IF(INDIRECT("T"&amp;(MROUND(N(IF(NOT($Q$31=""),$Q$31,($U$6+2))),1)+12))="","",INDIRECT("T"&amp;(MROUND(N(IF(NOT($Q$31=""),$Q$31,($U$6+2))),1)+12)))</f>
        <v/>
      </c>
      <c r="P32" s="576">
        <f ca="1">INDIRECT("A"&amp;(31))</f>
        <v>0</v>
      </c>
      <c r="Q32" s="410"/>
    </row>
    <row r="33" spans="1:21">
      <c r="A33" s="582"/>
      <c r="B33" s="582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76">
        <f ca="1">COUNTIF(Смета!$A$18:$A$37,INDIRECT("P"&amp;(MROUND(N($U$6),1)+32)))</f>
        <v>0</v>
      </c>
      <c r="O33" s="576" t="str">
        <f ca="1">IF(INDIRECT("T"&amp;(MROUND(N(IF(NOT($Q$32=""),$Q$32,($U$6+2))),1)+12))="","",INDIRECT("T"&amp;(MROUND(N(IF(NOT($Q$32=""),$Q$32,($U$6+2))),1)+12)))</f>
        <v/>
      </c>
      <c r="P33" s="576">
        <f ca="1">INDIRECT("A"&amp;(32))</f>
        <v>0</v>
      </c>
      <c r="U33" s="582">
        <v>1</v>
      </c>
    </row>
    <row r="34" spans="1:21">
      <c r="B34" s="582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U34" s="235">
        <v>1</v>
      </c>
    </row>
    <row r="35" spans="1:21">
      <c r="A35" s="582"/>
      <c r="B35" s="582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</row>
    <row r="36" spans="1:21">
      <c r="A36" s="582"/>
      <c r="B36" s="582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</row>
    <row r="37" spans="1:21">
      <c r="A37" s="582"/>
      <c r="B37" s="582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</row>
    <row r="38" spans="1:21">
      <c r="A38" s="582"/>
      <c r="B38" s="582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</row>
    <row r="39" spans="1:21">
      <c r="A39" s="582"/>
      <c r="B39" s="582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</row>
    <row r="40" spans="1:21">
      <c r="A40" s="582"/>
      <c r="B40" s="582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</row>
    <row r="41" spans="1:21">
      <c r="A41" s="582"/>
      <c r="B41" s="582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</row>
    <row r="42" spans="1:21">
      <c r="A42" s="582"/>
      <c r="B42" s="582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</row>
  </sheetData>
  <sheetProtection password="C09F" sheet="1" objects="1" scenarios="1"/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11" priority="13" stopIfTrue="1">
      <formula>IF($K13&gt;$J13,TRUE,FALSE)</formula>
    </cfRule>
  </conditionalFormatting>
  <conditionalFormatting sqref="J13:K32">
    <cfRule type="expression" dxfId="10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106" zoomScaleNormal="100" zoomScaleSheetLayoutView="100" workbookViewId="0">
      <selection activeCell="AV109" sqref="AV109:BE109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>
      <c r="A4" s="549"/>
    </row>
    <row r="6" spans="1:163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>
      <c r="A10" s="153" t="s">
        <v>281</v>
      </c>
    </row>
    <row r="11" spans="1:163" ht="15.75" customHeight="1" thickBot="1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49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49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49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49"/>
    </row>
    <row r="37" spans="1:163" ht="17.25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49"/>
    </row>
    <row r="38" spans="1:163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49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49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49"/>
    </row>
    <row r="41" spans="1:163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49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49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2" t="s">
        <v>954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49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49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49"/>
    </row>
    <row r="56" spans="1:163" ht="27.75" customHeight="1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49"/>
    </row>
    <row r="57" spans="1:163" ht="27.75" customHeight="1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49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49"/>
    </row>
    <row r="59" spans="1:163" ht="28.5" customHeight="1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49"/>
    </row>
    <row r="60" spans="1:163" ht="26.25" customHeight="1" thickBot="1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49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49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2" t="s">
        <v>955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49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49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49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49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2" t="s">
        <v>952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49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49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49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9" t="s">
        <v>953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49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49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49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4" t="s">
        <v>956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49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49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49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49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49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49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49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49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3"/>
    </row>
  </sheetData>
  <sheetProtection password="C09F" sheet="1" objects="1" scenarios="1"/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9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tabSelected="1" topLeftCell="A106" zoomScaleNormal="100" workbookViewId="0">
      <selection activeCell="AL112" sqref="AL112:AU1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0"/>
      <c r="CQ1" s="630"/>
      <c r="CR1" s="630"/>
      <c r="CS1" s="630"/>
      <c r="CT1" s="630"/>
      <c r="CU1" s="630"/>
      <c r="CV1" s="630"/>
      <c r="CW1" s="630"/>
      <c r="CX1" s="630"/>
      <c r="CY1" s="630"/>
      <c r="CZ1" s="630"/>
      <c r="DA1" s="630"/>
      <c r="DB1" s="630"/>
      <c r="DC1" s="630"/>
      <c r="DD1" s="630"/>
      <c r="DE1" s="630"/>
      <c r="DF1" s="630"/>
      <c r="DG1" s="630"/>
      <c r="DH1" s="630"/>
      <c r="DI1" s="630"/>
      <c r="DJ1" s="630"/>
      <c r="DK1" s="630"/>
      <c r="DL1" s="630"/>
      <c r="DM1" s="630"/>
      <c r="DN1" s="630"/>
      <c r="DO1" s="630"/>
      <c r="DP1" s="630"/>
      <c r="DQ1" s="630"/>
      <c r="DR1" s="630"/>
      <c r="DS1" s="630"/>
      <c r="DT1" s="630"/>
      <c r="DU1" s="630"/>
      <c r="DV1" s="630"/>
      <c r="DW1" s="630"/>
      <c r="DX1" s="630"/>
      <c r="DY1" s="630"/>
      <c r="DZ1" s="630"/>
      <c r="EA1" s="630"/>
      <c r="EB1" s="630"/>
      <c r="EC1" s="630"/>
      <c r="ED1" s="630"/>
      <c r="EE1" s="630"/>
      <c r="EF1" s="630"/>
      <c r="EG1" s="630"/>
      <c r="EH1" s="630"/>
      <c r="EI1" s="630"/>
      <c r="EJ1" s="630"/>
      <c r="EK1" s="630"/>
      <c r="EL1" s="630"/>
      <c r="EM1" s="630"/>
      <c r="EN1" s="630"/>
      <c r="EO1" s="630"/>
      <c r="EP1" s="630"/>
      <c r="EQ1" s="630"/>
      <c r="ER1" s="630"/>
      <c r="ES1" s="630"/>
      <c r="ET1" s="630"/>
      <c r="EU1" s="630"/>
      <c r="EV1" s="630"/>
      <c r="EW1" s="630"/>
      <c r="EX1" s="630"/>
      <c r="EY1" s="630"/>
      <c r="EZ1" s="630"/>
      <c r="FA1" s="630"/>
      <c r="FB1" s="630"/>
      <c r="FC1" s="630"/>
      <c r="FD1" s="630"/>
      <c r="FE1" s="630"/>
      <c r="FF1" s="630"/>
      <c r="FG1" s="630"/>
      <c r="FH1" s="630"/>
      <c r="FI1" s="630"/>
      <c r="FJ1" s="630"/>
      <c r="FK1" s="630"/>
      <c r="FL1" s="630"/>
      <c r="FM1" s="630"/>
      <c r="FN1" s="630"/>
      <c r="FO1" s="630"/>
      <c r="FP1" s="630"/>
      <c r="FQ1" s="630"/>
      <c r="FR1" s="630"/>
      <c r="FS1" s="630"/>
      <c r="FT1" s="630"/>
      <c r="FU1" s="630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1"/>
      <c r="CQ2" s="631"/>
      <c r="CR2" s="631"/>
      <c r="CS2" s="631"/>
      <c r="CT2" s="631"/>
      <c r="CU2" s="631"/>
      <c r="CV2" s="631"/>
      <c r="CW2" s="631"/>
      <c r="CX2" s="631"/>
      <c r="CY2" s="631"/>
      <c r="CZ2" s="631"/>
      <c r="DA2" s="631"/>
      <c r="DB2" s="631"/>
      <c r="DC2" s="631"/>
      <c r="DD2" s="631"/>
      <c r="DE2" s="631"/>
      <c r="DF2" s="631"/>
      <c r="DG2" s="631"/>
      <c r="DH2" s="631"/>
      <c r="DI2" s="631"/>
      <c r="DJ2" s="631"/>
      <c r="DK2" s="631"/>
      <c r="DL2" s="631"/>
      <c r="DM2" s="631"/>
      <c r="DN2" s="631"/>
      <c r="DO2" s="631"/>
      <c r="DP2" s="631"/>
      <c r="DQ2" s="631"/>
      <c r="DR2" s="631"/>
      <c r="DS2" s="631"/>
      <c r="DT2" s="631"/>
      <c r="DU2" s="631"/>
      <c r="DV2" s="631"/>
      <c r="DW2" s="631"/>
      <c r="DX2" s="631"/>
      <c r="DY2" s="631"/>
      <c r="DZ2" s="631"/>
      <c r="EA2" s="631"/>
      <c r="EB2" s="631"/>
      <c r="EC2" s="631"/>
      <c r="ED2" s="631"/>
      <c r="EE2" s="631"/>
      <c r="EF2" s="631"/>
      <c r="EG2" s="631"/>
      <c r="EH2" s="631"/>
      <c r="EI2" s="631"/>
      <c r="EJ2" s="631"/>
      <c r="EK2" s="631"/>
      <c r="EL2" s="631"/>
      <c r="EM2" s="631"/>
      <c r="EN2" s="631"/>
      <c r="EO2" s="631"/>
      <c r="EP2" s="631"/>
      <c r="EQ2" s="631"/>
      <c r="ER2" s="631"/>
      <c r="ES2" s="631"/>
      <c r="ET2" s="631"/>
      <c r="EU2" s="631"/>
      <c r="EV2" s="631"/>
      <c r="EW2" s="631"/>
      <c r="EX2" s="631"/>
      <c r="EY2" s="631"/>
      <c r="EZ2" s="631"/>
      <c r="FA2" s="631"/>
      <c r="FB2" s="631"/>
      <c r="FC2" s="631"/>
      <c r="FD2" s="631"/>
      <c r="FE2" s="631"/>
      <c r="FF2" s="631"/>
      <c r="FG2" s="631"/>
      <c r="FH2" s="631"/>
      <c r="FI2" s="631"/>
      <c r="FJ2" s="631"/>
      <c r="FK2" s="631"/>
      <c r="FL2" s="631"/>
      <c r="FM2" s="631"/>
      <c r="FN2" s="631"/>
      <c r="FO2" s="631"/>
      <c r="FP2" s="631"/>
      <c r="FQ2" s="631"/>
      <c r="FR2" s="631"/>
      <c r="FS2" s="631"/>
      <c r="FT2" s="631"/>
      <c r="FU2" s="631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2"/>
      <c r="CQ3" s="632"/>
      <c r="CR3" s="632"/>
      <c r="CS3" s="632"/>
      <c r="CT3" s="632"/>
      <c r="CU3" s="632"/>
      <c r="CV3" s="632"/>
      <c r="CW3" s="632"/>
      <c r="CX3" s="632"/>
      <c r="CY3" s="632"/>
      <c r="CZ3" s="632"/>
      <c r="DA3" s="632"/>
      <c r="DB3" s="632"/>
      <c r="DC3" s="632"/>
      <c r="DD3" s="632"/>
      <c r="DE3" s="632"/>
      <c r="DF3" s="632"/>
      <c r="DG3" s="632"/>
      <c r="DH3" s="632"/>
      <c r="DI3" s="632"/>
      <c r="DJ3" s="632"/>
      <c r="DK3" s="632"/>
      <c r="DL3" s="632"/>
      <c r="DM3" s="632"/>
      <c r="DN3" s="632"/>
      <c r="DO3" s="632"/>
      <c r="DP3" s="632"/>
      <c r="DQ3" s="632"/>
      <c r="DR3" s="632"/>
      <c r="DS3" s="632"/>
      <c r="DT3" s="632"/>
      <c r="DU3" s="632"/>
      <c r="DV3" s="632"/>
      <c r="DW3" s="632"/>
      <c r="DX3" s="632"/>
      <c r="DY3" s="632"/>
      <c r="DZ3" s="632"/>
      <c r="EA3" s="632"/>
      <c r="EB3" s="632"/>
      <c r="EC3" s="632"/>
      <c r="ED3" s="632"/>
      <c r="EE3" s="632"/>
      <c r="EF3" s="632"/>
      <c r="EG3" s="632"/>
      <c r="EH3" s="632"/>
      <c r="EI3" s="632"/>
      <c r="EJ3" s="632"/>
      <c r="EK3" s="632"/>
      <c r="EL3" s="632"/>
      <c r="EM3" s="632"/>
      <c r="EN3" s="632"/>
      <c r="EO3" s="632"/>
      <c r="EP3" s="632"/>
      <c r="EQ3" s="632"/>
      <c r="ER3" s="632"/>
      <c r="ES3" s="632"/>
      <c r="ET3" s="632"/>
      <c r="EU3" s="632"/>
      <c r="EV3" s="632"/>
      <c r="EW3" s="632"/>
      <c r="EX3" s="632"/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32"/>
      <c r="FK3" s="632"/>
      <c r="FL3" s="632"/>
      <c r="FM3" s="632"/>
      <c r="FN3" s="632"/>
      <c r="FO3" s="632"/>
      <c r="FP3" s="632"/>
      <c r="FQ3" s="632"/>
      <c r="FR3" s="632"/>
      <c r="FS3" s="632"/>
      <c r="FT3" s="632"/>
      <c r="FU3" s="632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0"/>
      <c r="FF6" s="620"/>
      <c r="FG6" s="620"/>
      <c r="FH6" s="620"/>
      <c r="FI6" s="620"/>
      <c r="FJ6" s="620"/>
      <c r="FK6" s="620"/>
      <c r="FL6" s="620"/>
      <c r="FM6" s="620"/>
      <c r="FN6" s="620"/>
      <c r="FO6" s="620"/>
      <c r="FP6" s="620"/>
      <c r="FQ6" s="620"/>
      <c r="FR6" s="620"/>
      <c r="FS6" s="620"/>
      <c r="FT6" s="620"/>
      <c r="FU6" s="620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1"/>
      <c r="BD8" s="621"/>
      <c r="BE8" s="621"/>
      <c r="BF8" s="621"/>
      <c r="BG8" s="621"/>
      <c r="BH8" s="621"/>
      <c r="BI8" s="621"/>
      <c r="BJ8" s="621"/>
      <c r="BK8" s="621"/>
      <c r="BL8" s="621"/>
      <c r="BM8" s="621"/>
      <c r="BN8" s="621"/>
      <c r="BO8" s="621"/>
      <c r="BP8" s="621"/>
      <c r="BQ8" s="621"/>
      <c r="BR8" s="621"/>
      <c r="BS8" s="621"/>
      <c r="BT8" s="621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2"/>
      <c r="FF9" s="622"/>
      <c r="FG9" s="622"/>
      <c r="FH9" s="622"/>
      <c r="FI9" s="622"/>
      <c r="FJ9" s="622"/>
      <c r="FK9" s="622"/>
      <c r="FL9" s="622"/>
      <c r="FM9" s="622"/>
      <c r="FN9" s="622"/>
      <c r="FO9" s="622"/>
      <c r="FP9" s="622"/>
      <c r="FQ9" s="622"/>
      <c r="FR9" s="622"/>
      <c r="FS9" s="622"/>
      <c r="FT9" s="622"/>
      <c r="FU9" s="622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7"/>
      <c r="DQ16" s="623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0"/>
      <c r="DQ17" s="624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7"/>
      <c r="DQ21" s="623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5"/>
      <c r="FF28" s="625"/>
      <c r="FG28" s="625"/>
      <c r="FH28" s="625"/>
      <c r="FI28" s="625"/>
      <c r="FJ28" s="625"/>
      <c r="FK28" s="625"/>
      <c r="FL28" s="625"/>
      <c r="FM28" s="625"/>
      <c r="FN28" s="625"/>
      <c r="FO28" s="625"/>
      <c r="FP28" s="625"/>
      <c r="FQ28" s="625"/>
      <c r="FR28" s="625"/>
      <c r="FS28" s="625"/>
      <c r="FT28" s="625"/>
      <c r="FU28" s="625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1"/>
      <c r="EB31" s="611"/>
      <c r="EC31" s="611"/>
      <c r="ED31" s="611"/>
      <c r="EE31" s="611"/>
      <c r="EF31" s="611"/>
      <c r="EG31" s="611"/>
      <c r="EH31" s="611"/>
      <c r="EI31" s="611"/>
      <c r="EJ31" s="611"/>
      <c r="EK31" s="611"/>
      <c r="EL31" s="611"/>
      <c r="EM31" s="611"/>
      <c r="EN31" s="611"/>
      <c r="EO31" s="611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09"/>
      <c r="EB32" s="609"/>
      <c r="EC32" s="609"/>
      <c r="ED32" s="609"/>
      <c r="EE32" s="609"/>
      <c r="EF32" s="609"/>
      <c r="EG32" s="609"/>
      <c r="EH32" s="609"/>
      <c r="EI32" s="609"/>
      <c r="EJ32" s="609"/>
      <c r="EK32" s="609"/>
      <c r="EL32" s="609"/>
      <c r="EM32" s="609"/>
      <c r="EN32" s="609"/>
      <c r="EO32" s="609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4"/>
      <c r="EB33" s="614"/>
      <c r="EC33" s="614"/>
      <c r="ED33" s="614"/>
      <c r="EE33" s="614"/>
      <c r="EF33" s="614"/>
      <c r="EG33" s="614"/>
      <c r="EH33" s="614"/>
      <c r="EI33" s="614"/>
      <c r="EJ33" s="614"/>
      <c r="EK33" s="614"/>
      <c r="EL33" s="614"/>
      <c r="EM33" s="614"/>
      <c r="EN33" s="614"/>
      <c r="EO33" s="614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49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8"/>
      <c r="EB34" s="608"/>
      <c r="EC34" s="608"/>
      <c r="ED34" s="608"/>
      <c r="EE34" s="608"/>
      <c r="EF34" s="608"/>
      <c r="EG34" s="608"/>
      <c r="EH34" s="608"/>
      <c r="EI34" s="608"/>
      <c r="EJ34" s="608"/>
      <c r="EK34" s="608"/>
      <c r="EL34" s="608"/>
      <c r="EM34" s="608"/>
      <c r="EN34" s="608"/>
      <c r="EO34" s="608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49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8"/>
      <c r="EB35" s="608"/>
      <c r="EC35" s="608"/>
      <c r="ED35" s="608"/>
      <c r="EE35" s="608"/>
      <c r="EF35" s="608"/>
      <c r="EG35" s="608"/>
      <c r="EH35" s="608"/>
      <c r="EI35" s="608"/>
      <c r="EJ35" s="608"/>
      <c r="EK35" s="608"/>
      <c r="EL35" s="608"/>
      <c r="EM35" s="608"/>
      <c r="EN35" s="608"/>
      <c r="EO35" s="608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49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2"/>
      <c r="EB36" s="612"/>
      <c r="EC36" s="612"/>
      <c r="ED36" s="612"/>
      <c r="EE36" s="612"/>
      <c r="EF36" s="612"/>
      <c r="EG36" s="612"/>
      <c r="EH36" s="612"/>
      <c r="EI36" s="612"/>
      <c r="EJ36" s="612"/>
      <c r="EK36" s="612"/>
      <c r="EL36" s="612"/>
      <c r="EM36" s="612"/>
      <c r="EN36" s="612"/>
      <c r="EO36" s="612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3"/>
      <c r="EB37" s="613"/>
      <c r="EC37" s="613"/>
      <c r="ED37" s="613"/>
      <c r="EE37" s="613"/>
      <c r="EF37" s="613"/>
      <c r="EG37" s="613"/>
      <c r="EH37" s="613"/>
      <c r="EI37" s="613"/>
      <c r="EJ37" s="613"/>
      <c r="EK37" s="613"/>
      <c r="EL37" s="613"/>
      <c r="EM37" s="613"/>
      <c r="EN37" s="613"/>
      <c r="EO37" s="613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8"/>
      <c r="EB38" s="608"/>
      <c r="EC38" s="608"/>
      <c r="ED38" s="608"/>
      <c r="EE38" s="608"/>
      <c r="EF38" s="608"/>
      <c r="EG38" s="608"/>
      <c r="EH38" s="608"/>
      <c r="EI38" s="608"/>
      <c r="EJ38" s="608"/>
      <c r="EK38" s="608"/>
      <c r="EL38" s="608"/>
      <c r="EM38" s="608"/>
      <c r="EN38" s="608"/>
      <c r="EO38" s="608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49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8"/>
      <c r="EB39" s="608"/>
      <c r="EC39" s="608"/>
      <c r="ED39" s="608"/>
      <c r="EE39" s="608"/>
      <c r="EF39" s="608"/>
      <c r="EG39" s="608"/>
      <c r="EH39" s="608"/>
      <c r="EI39" s="608"/>
      <c r="EJ39" s="608"/>
      <c r="EK39" s="608"/>
      <c r="EL39" s="608"/>
      <c r="EM39" s="608"/>
      <c r="EN39" s="608"/>
      <c r="EO39" s="608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49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2"/>
      <c r="EB40" s="612"/>
      <c r="EC40" s="612"/>
      <c r="ED40" s="612"/>
      <c r="EE40" s="612"/>
      <c r="EF40" s="612"/>
      <c r="EG40" s="612"/>
      <c r="EH40" s="612"/>
      <c r="EI40" s="612"/>
      <c r="EJ40" s="612"/>
      <c r="EK40" s="612"/>
      <c r="EL40" s="612"/>
      <c r="EM40" s="612"/>
      <c r="EN40" s="612"/>
      <c r="EO40" s="612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5"/>
      <c r="EB41" s="615"/>
      <c r="EC41" s="615"/>
      <c r="ED41" s="615"/>
      <c r="EE41" s="615"/>
      <c r="EF41" s="615"/>
      <c r="EG41" s="615"/>
      <c r="EH41" s="615"/>
      <c r="EI41" s="615"/>
      <c r="EJ41" s="615"/>
      <c r="EK41" s="615"/>
      <c r="EL41" s="615"/>
      <c r="EM41" s="615"/>
      <c r="EN41" s="615"/>
      <c r="EO41" s="615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49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5"/>
      <c r="FF45" s="625"/>
      <c r="FG45" s="625"/>
      <c r="FH45" s="625"/>
      <c r="FI45" s="625"/>
      <c r="FJ45" s="625"/>
      <c r="FK45" s="625"/>
      <c r="FL45" s="625"/>
      <c r="FM45" s="625"/>
      <c r="FN45" s="625"/>
      <c r="FO45" s="625"/>
      <c r="FP45" s="625"/>
      <c r="FQ45" s="625"/>
      <c r="FR45" s="625"/>
      <c r="FS45" s="625"/>
      <c r="FT45" s="625"/>
      <c r="FU45" s="625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9" t="s">
        <v>1023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49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49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8" t="s">
        <v>1024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49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49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49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49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9" t="s">
        <v>1025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49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49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49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9" t="s">
        <v>1026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49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49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49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4" t="s">
        <v>1027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49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49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49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49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49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49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расходы'!$A$14:$A$33,"Всего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49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49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6"/>
      <c r="N114" s="626"/>
      <c r="O114" s="626"/>
      <c r="P114" s="626"/>
      <c r="Q114" s="626"/>
      <c r="R114" s="626"/>
      <c r="S114" s="626"/>
      <c r="T114" s="626"/>
      <c r="U114" s="626"/>
      <c r="V114" s="626"/>
      <c r="W114" s="626"/>
      <c r="X114" s="626"/>
      <c r="Y114" s="626"/>
      <c r="Z114" s="626"/>
      <c r="AA114" s="626"/>
      <c r="AB114" s="626"/>
      <c r="AC114" s="626"/>
      <c r="AD114" s="626"/>
      <c r="AE114" s="626"/>
      <c r="AF114" s="626"/>
      <c r="AG114" s="626"/>
      <c r="AH114" s="626"/>
      <c r="AI114" s="626"/>
      <c r="AJ114" s="626"/>
      <c r="AK114" s="626"/>
      <c r="AL114" s="626"/>
      <c r="AM114" s="626"/>
      <c r="AN114" s="626"/>
      <c r="AO114" s="626"/>
      <c r="AP114" s="626"/>
      <c r="AQ114" s="626"/>
      <c r="AR114" s="626"/>
      <c r="AS114" s="626"/>
      <c r="AT114" s="626"/>
      <c r="AU114" s="626"/>
      <c r="AV114" s="626"/>
      <c r="AW114" s="626"/>
      <c r="AX114" s="626"/>
      <c r="AY114" s="626"/>
      <c r="AZ114" s="626"/>
      <c r="BA114" s="626"/>
      <c r="BB114" s="626"/>
      <c r="BC114" s="626"/>
      <c r="BD114" s="626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626"/>
      <c r="AA115" s="626"/>
      <c r="AB115" s="626"/>
      <c r="AC115" s="626"/>
      <c r="AD115" s="626"/>
      <c r="AE115" s="626"/>
      <c r="AF115" s="626"/>
      <c r="AG115" s="626"/>
      <c r="AH115" s="626"/>
      <c r="AI115" s="626"/>
      <c r="AJ115" s="626"/>
      <c r="AK115" s="626"/>
      <c r="AL115" s="626"/>
      <c r="AM115" s="626"/>
      <c r="AN115" s="626"/>
      <c r="AO115" s="626"/>
      <c r="AP115" s="626"/>
      <c r="AQ115" s="626"/>
      <c r="AR115" s="626"/>
      <c r="AS115" s="626"/>
      <c r="AT115" s="626"/>
      <c r="AU115" s="626"/>
      <c r="AV115" s="626"/>
      <c r="AW115" s="626"/>
      <c r="AX115" s="626"/>
      <c r="AY115" s="626"/>
      <c r="AZ115" s="626"/>
      <c r="BA115" s="626"/>
      <c r="BB115" s="626"/>
      <c r="BC115" s="626"/>
      <c r="BD115" s="626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6"/>
      <c r="N116" s="626"/>
      <c r="O116" s="626"/>
      <c r="P116" s="626"/>
      <c r="Q116" s="626"/>
      <c r="R116" s="626"/>
      <c r="S116" s="626"/>
      <c r="T116" s="626"/>
      <c r="U116" s="626"/>
      <c r="V116" s="626"/>
      <c r="W116" s="626"/>
      <c r="X116" s="626"/>
      <c r="Y116" s="626"/>
      <c r="Z116" s="626"/>
      <c r="AA116" s="626"/>
      <c r="AB116" s="626"/>
      <c r="AC116" s="626"/>
      <c r="AD116" s="626"/>
      <c r="AE116" s="626"/>
      <c r="AF116" s="626"/>
      <c r="AG116" s="626"/>
      <c r="AH116" s="626"/>
      <c r="AI116" s="626"/>
      <c r="AJ116" s="626"/>
      <c r="AK116" s="626"/>
      <c r="AL116" s="626"/>
      <c r="AM116" s="626"/>
      <c r="AN116" s="626"/>
      <c r="AO116" s="626"/>
      <c r="AP116" s="626"/>
      <c r="AQ116" s="626"/>
      <c r="AR116" s="626"/>
      <c r="AS116" s="626"/>
      <c r="AT116" s="626"/>
      <c r="AU116" s="626"/>
      <c r="AV116" s="626"/>
      <c r="AW116" s="626"/>
      <c r="AX116" s="626"/>
      <c r="AY116" s="626"/>
      <c r="AZ116" s="626"/>
      <c r="BA116" s="626"/>
      <c r="BB116" s="626"/>
      <c r="BC116" s="626"/>
      <c r="BD116" s="626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7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8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29"/>
      <c r="AC125" s="629"/>
      <c r="AD125" s="629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3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8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105</vt:i4>
      </vt:variant>
    </vt:vector>
  </HeadingPairs>
  <TitlesOfParts>
    <vt:vector size="126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sum_all_uik</vt:lpstr>
      <vt:lpstr>sum_all_uik_dop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2020-07-03T11:40:29Z</dcterms:modified>
</cp:coreProperties>
</file>