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4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state="hidden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state="hidden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sum_all_uik">'Настройки УИК'!$J$8</definedName>
    <definedName name="sum_all_uik_dop">'Настройки УИК'!$J$9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var_line">'В авансовый отчет'!$131:$131</definedName>
    <definedName name="var_pp">'В авансовый отчет'!$A$131</definedName>
    <definedName name="var_rashod">'В авансовый отчет'!$B$131</definedName>
    <definedName name="var_summ">'В авансовый отчет'!$C$131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отчет'!$D$80:$D$93</definedName>
    <definedName name="Список_смета">'В авансовый отчет'!$I$31:$I$49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calcOnSave="0"/>
</workbook>
</file>

<file path=xl/calcChain.xml><?xml version="1.0" encoding="utf-8"?>
<calcChain xmlns="http://schemas.openxmlformats.org/spreadsheetml/2006/main">
  <c r="O14" i="9"/>
  <c r="DB18" i="15" l="1"/>
  <c r="CV18"/>
  <c r="CP18"/>
  <c r="CJ18"/>
  <c r="CD18"/>
  <c r="BX18"/>
  <c r="BR18"/>
  <c r="BL18"/>
  <c r="BF18"/>
  <c r="AZ18"/>
  <c r="AT18"/>
  <c r="AN18"/>
  <c r="AH18"/>
  <c r="AB18"/>
  <c r="V18"/>
  <c r="P18"/>
  <c r="J18"/>
  <c r="D18"/>
  <c r="DC18"/>
  <c r="CW18"/>
  <c r="CQ18"/>
  <c r="CK18"/>
  <c r="CE18"/>
  <c r="BY18"/>
  <c r="BS18"/>
  <c r="BM18"/>
  <c r="BG18"/>
  <c r="BA18"/>
  <c r="AU18"/>
  <c r="AO18"/>
  <c r="AI18"/>
  <c r="AC18"/>
  <c r="W18"/>
  <c r="Q18"/>
  <c r="K18"/>
  <c r="E18"/>
  <c r="G18" l="1"/>
  <c r="M18"/>
  <c r="S18"/>
  <c r="Y18"/>
  <c r="AE18"/>
  <c r="AK18"/>
  <c r="AQ18"/>
  <c r="AW18"/>
  <c r="BC18"/>
  <c r="BI18"/>
  <c r="BO18"/>
  <c r="BU18"/>
  <c r="CA18"/>
  <c r="CG18"/>
  <c r="CM18"/>
  <c r="CS18"/>
  <c r="CY18"/>
  <c r="DE18"/>
  <c r="C127" i="20" l="1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B127" l="1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 l="1"/>
  <c r="AC21" i="2"/>
  <c r="AC22"/>
  <c r="AC23"/>
  <c r="AC24"/>
  <c r="AC25"/>
  <c r="AC26"/>
  <c r="AC27"/>
  <c r="AC28"/>
  <c r="AC29"/>
  <c r="AC30"/>
  <c r="AC31"/>
  <c r="AC32"/>
  <c r="AC33"/>
  <c r="AC34"/>
  <c r="AC35"/>
  <c r="AC36"/>
  <c r="AC37"/>
  <c r="I30" i="20"/>
  <c r="C92"/>
  <c r="B87"/>
  <c r="B81"/>
  <c r="C83"/>
  <c r="A89"/>
  <c r="C87"/>
  <c r="B82"/>
  <c r="A84"/>
  <c r="B88"/>
  <c r="A81"/>
  <c r="B90"/>
  <c r="A92"/>
  <c r="C86"/>
  <c r="B91"/>
  <c r="C90"/>
  <c r="B85"/>
  <c r="A87"/>
  <c r="C88"/>
  <c r="B83"/>
  <c r="A80"/>
  <c r="C85"/>
  <c r="B93"/>
  <c r="A82"/>
  <c r="C89"/>
  <c r="B80"/>
  <c r="C93"/>
  <c r="B84"/>
  <c r="A90"/>
  <c r="C91"/>
  <c r="B86"/>
  <c r="A88"/>
  <c r="A85"/>
  <c r="A83"/>
  <c r="C80"/>
  <c r="A86"/>
  <c r="C84"/>
  <c r="A93"/>
  <c r="C81"/>
  <c r="B89"/>
  <c r="A91"/>
  <c r="C82"/>
  <c r="B92"/>
  <c r="HG29" i="1" l="1"/>
  <c r="HF29"/>
  <c r="GU29"/>
  <c r="GT29"/>
  <c r="GI29"/>
  <c r="GH29"/>
  <c r="FW29"/>
  <c r="FV29"/>
  <c r="FK29"/>
  <c r="FJ29"/>
  <c r="EY29"/>
  <c r="EX29"/>
  <c r="EM29"/>
  <c r="EL29"/>
  <c r="EA29"/>
  <c r="DZ29"/>
  <c r="DO29"/>
  <c r="DN29"/>
  <c r="DC29"/>
  <c r="DB29"/>
  <c r="CQ29"/>
  <c r="CP29"/>
  <c r="CE29"/>
  <c r="CD29"/>
  <c r="BS29"/>
  <c r="BR29"/>
  <c r="BG29"/>
  <c r="BF29"/>
  <c r="AU29"/>
  <c r="AT29"/>
  <c r="AI29"/>
  <c r="AH29"/>
  <c r="W29"/>
  <c r="V29"/>
  <c r="K29"/>
  <c r="J29"/>
  <c r="L24" i="14"/>
  <c r="M24"/>
  <c r="H24"/>
  <c r="D24"/>
  <c r="I24"/>
  <c r="Q24"/>
  <c r="N24"/>
  <c r="J24"/>
  <c r="P24"/>
  <c r="S24"/>
  <c r="R24"/>
  <c r="O24"/>
  <c r="G24"/>
  <c r="T24"/>
  <c r="F24"/>
  <c r="K24"/>
  <c r="C24"/>
  <c r="E24"/>
  <c r="U16" i="5" l="1"/>
  <c r="DA9" i="19"/>
  <c r="BE9"/>
  <c r="I9"/>
  <c r="DA9" i="18"/>
  <c r="BE9"/>
  <c r="I9"/>
  <c r="DA9" i="17"/>
  <c r="BE9"/>
  <c r="I9"/>
  <c r="BQ4" i="11"/>
  <c r="G572" i="13"/>
  <c r="G540"/>
  <c r="G508"/>
  <c r="G476"/>
  <c r="G444"/>
  <c r="G412"/>
  <c r="G380"/>
  <c r="G348"/>
  <c r="G316"/>
  <c r="G284"/>
  <c r="G252"/>
  <c r="G219"/>
  <c r="G186"/>
  <c r="G153"/>
  <c r="G122"/>
  <c r="G91"/>
  <c r="G60"/>
  <c r="G29"/>
  <c r="N4" i="14"/>
  <c r="BQ5" i="1"/>
  <c r="I43" i="11" l="1"/>
  <c r="I42"/>
  <c r="I41"/>
  <c r="I40"/>
  <c r="I37"/>
  <c r="I36"/>
  <c r="I35"/>
  <c r="I34"/>
  <c r="I33"/>
  <c r="I32"/>
  <c r="I31"/>
  <c r="I30"/>
  <c r="I29"/>
  <c r="I28"/>
  <c r="I27"/>
  <c r="I26"/>
  <c r="H17" i="4" l="1"/>
  <c r="U16" i="15"/>
  <c r="AY16"/>
  <c r="BK16"/>
  <c r="CI16"/>
  <c r="CO16"/>
  <c r="M35" i="2"/>
  <c r="M26"/>
  <c r="M33"/>
  <c r="FE26" i="1"/>
  <c r="M37" i="2"/>
  <c r="HA26" i="1"/>
  <c r="BM26"/>
  <c r="BA26"/>
  <c r="C16" i="15"/>
  <c r="FQ26" i="1"/>
  <c r="M32" i="2"/>
  <c r="BE16" i="15"/>
  <c r="M29" i="2"/>
  <c r="M28"/>
  <c r="M34"/>
  <c r="ES26" i="1"/>
  <c r="AC26"/>
  <c r="BQ16" i="15"/>
  <c r="AG16"/>
  <c r="M22" i="2"/>
  <c r="EG26" i="1"/>
  <c r="M30" i="2"/>
  <c r="DU26" i="1"/>
  <c r="BY26"/>
  <c r="DI26"/>
  <c r="O16" i="15"/>
  <c r="DA16"/>
  <c r="AO26" i="1"/>
  <c r="GO26"/>
  <c r="E26"/>
  <c r="CU16" i="15"/>
  <c r="M31" i="2"/>
  <c r="AM16" i="15"/>
  <c r="AS16"/>
  <c r="M27" i="2"/>
  <c r="GC26" i="1"/>
  <c r="M21" i="2"/>
  <c r="Q26" i="1"/>
  <c r="AA16" i="15"/>
  <c r="M25" i="2"/>
  <c r="M36"/>
  <c r="CK26" i="1"/>
  <c r="I16" i="15"/>
  <c r="CW26" i="1"/>
  <c r="M24" i="2"/>
  <c r="M23"/>
  <c r="B5" l="1"/>
  <c r="B27"/>
  <c r="B20"/>
  <c r="B34"/>
  <c r="G25"/>
  <c r="F31"/>
  <c r="B25"/>
  <c r="F35"/>
  <c r="F28"/>
  <c r="G21"/>
  <c r="B30"/>
  <c r="G22"/>
  <c r="B37"/>
  <c r="F33"/>
  <c r="F23"/>
  <c r="G26"/>
  <c r="G24"/>
  <c r="G29"/>
  <c r="B22"/>
  <c r="G36"/>
  <c r="B26"/>
  <c r="G35"/>
  <c r="B35"/>
  <c r="G37"/>
  <c r="G32"/>
  <c r="B31"/>
  <c r="B23"/>
  <c r="B24"/>
  <c r="F30"/>
  <c r="G34"/>
  <c r="B21"/>
  <c r="F21"/>
  <c r="F32"/>
  <c r="G23"/>
  <c r="F27"/>
  <c r="B28"/>
  <c r="F34"/>
  <c r="G28"/>
  <c r="F37"/>
  <c r="B29"/>
  <c r="G27"/>
  <c r="G30"/>
  <c r="F29"/>
  <c r="F22"/>
  <c r="G33"/>
  <c r="F36"/>
  <c r="B36"/>
  <c r="X31" l="1"/>
  <c r="X28"/>
  <c r="X23"/>
  <c r="X26"/>
  <c r="X22"/>
  <c r="X21"/>
  <c r="X29"/>
  <c r="X30"/>
  <c r="X20"/>
  <c r="X24"/>
  <c r="X25"/>
  <c r="X27"/>
  <c r="G22" i="6" l="1"/>
  <c r="H22" s="1"/>
  <c r="M22" l="1"/>
  <c r="BB56" i="11" s="1"/>
  <c r="I26" i="6"/>
  <c r="I27"/>
  <c r="I47" i="2"/>
  <c r="I28" i="6"/>
  <c r="I15" i="4" l="1"/>
  <c r="CK20" i="1"/>
  <c r="EG20"/>
  <c r="C30" i="2"/>
  <c r="BA20" i="1"/>
  <c r="I17" i="4"/>
  <c r="AC25" i="1"/>
  <c r="BA25"/>
  <c r="BM20"/>
  <c r="C24" i="2"/>
  <c r="Q20" i="1"/>
  <c r="C28" i="2"/>
  <c r="CW20" i="1"/>
  <c r="F24" i="2"/>
  <c r="C35"/>
  <c r="F25"/>
  <c r="C22"/>
  <c r="C34"/>
  <c r="EG25" i="1"/>
  <c r="BM25"/>
  <c r="C37" i="2"/>
  <c r="DU20" i="1"/>
  <c r="FQ20"/>
  <c r="C25" i="2"/>
  <c r="BY25" i="1"/>
  <c r="Q25"/>
  <c r="C31" i="2"/>
  <c r="J17" i="4"/>
  <c r="GC25" i="1"/>
  <c r="GC20"/>
  <c r="CW25"/>
  <c r="AO20"/>
  <c r="AC20"/>
  <c r="CK25"/>
  <c r="DU25"/>
  <c r="E20"/>
  <c r="C26" i="2"/>
  <c r="DI25" i="1"/>
  <c r="C36" i="2"/>
  <c r="AM9" i="1"/>
  <c r="GO20"/>
  <c r="C23" i="2"/>
  <c r="C5" i="1"/>
  <c r="C27" i="2"/>
  <c r="HA25" i="1"/>
  <c r="HA20"/>
  <c r="AO25"/>
  <c r="F26" i="2"/>
  <c r="BY20" i="1"/>
  <c r="GO25"/>
  <c r="C21" i="2"/>
  <c r="C29"/>
  <c r="FQ25" i="1"/>
  <c r="DI20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N21" i="2" l="1"/>
  <c r="N22"/>
  <c r="N23"/>
  <c r="N24"/>
  <c r="N25"/>
  <c r="N26"/>
  <c r="N27"/>
  <c r="N28"/>
  <c r="N29"/>
  <c r="N30"/>
  <c r="N31"/>
  <c r="N32"/>
  <c r="N33"/>
  <c r="N34"/>
  <c r="N35"/>
  <c r="N36"/>
  <c r="N37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E104" s="1"/>
  <c r="H104" s="1"/>
  <c r="C103"/>
  <c r="E103" s="1"/>
  <c r="C102"/>
  <c r="C101"/>
  <c r="E101" s="1"/>
  <c r="C100"/>
  <c r="C99"/>
  <c r="E99" s="1"/>
  <c r="C98"/>
  <c r="C97"/>
  <c r="C96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F49"/>
  <c r="F48"/>
  <c r="F47"/>
  <c r="G46" s="1"/>
  <c r="F45"/>
  <c r="F43"/>
  <c r="EA86" i="5"/>
  <c r="F40" i="20"/>
  <c r="F39"/>
  <c r="G38" s="1"/>
  <c r="F38"/>
  <c r="EA82" i="5"/>
  <c r="EA81"/>
  <c r="F36" i="20"/>
  <c r="F34"/>
  <c r="EA78" i="5"/>
  <c r="D64" i="20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Q127" i="20"/>
  <c r="E127"/>
  <c r="P126"/>
  <c r="E126"/>
  <c r="Q125"/>
  <c r="E125"/>
  <c r="E124"/>
  <c r="P123"/>
  <c r="E122"/>
  <c r="P121"/>
  <c r="E121"/>
  <c r="Q120"/>
  <c r="E120"/>
  <c r="P119"/>
  <c r="E119"/>
  <c r="Q118"/>
  <c r="E118"/>
  <c r="P117"/>
  <c r="S117"/>
  <c r="E116"/>
  <c r="Q115"/>
  <c r="E115"/>
  <c r="E114"/>
  <c r="Q113"/>
  <c r="E113"/>
  <c r="P112"/>
  <c r="E112"/>
  <c r="P111"/>
  <c r="E111"/>
  <c r="P110"/>
  <c r="E110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16"/>
  <c r="P116"/>
  <c r="P120"/>
  <c r="R13" i="7"/>
  <c r="DH29" i="15" s="1"/>
  <c r="R12" i="7"/>
  <c r="F8" i="20"/>
  <c r="F6"/>
  <c r="HE29" i="1"/>
  <c r="GS29"/>
  <c r="GG29"/>
  <c r="FU29"/>
  <c r="FI29"/>
  <c r="EW29"/>
  <c r="EK29"/>
  <c r="DY29"/>
  <c r="DM29"/>
  <c r="DA29"/>
  <c r="CO29"/>
  <c r="CC29"/>
  <c r="BQ29"/>
  <c r="BE29"/>
  <c r="AS29"/>
  <c r="AG29"/>
  <c r="U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H29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N86" s="1"/>
  <c r="GQ86" s="1"/>
  <c r="GA86"/>
  <c r="FZ86"/>
  <c r="GB86" s="1"/>
  <c r="GE86" s="1"/>
  <c r="FO86"/>
  <c r="FN86"/>
  <c r="FP86" s="1"/>
  <c r="FS86" s="1"/>
  <c r="FC86"/>
  <c r="FB86"/>
  <c r="EQ86"/>
  <c r="EP86"/>
  <c r="ER86" s="1"/>
  <c r="EV86" s="1"/>
  <c r="EE86"/>
  <c r="ED86"/>
  <c r="DS86"/>
  <c r="DR86"/>
  <c r="DG86"/>
  <c r="DF86"/>
  <c r="CU86"/>
  <c r="CT86"/>
  <c r="CI86"/>
  <c r="CH86"/>
  <c r="BW86"/>
  <c r="BV86"/>
  <c r="BK86"/>
  <c r="BJ86"/>
  <c r="AY86"/>
  <c r="AX86"/>
  <c r="AZ86" s="1"/>
  <c r="AM86"/>
  <c r="AL86"/>
  <c r="AA86"/>
  <c r="Z86"/>
  <c r="O86"/>
  <c r="N86"/>
  <c r="C86"/>
  <c r="B86"/>
  <c r="D86" s="1"/>
  <c r="H86" s="1"/>
  <c r="GY85"/>
  <c r="GX85"/>
  <c r="GM85"/>
  <c r="GL85"/>
  <c r="GN85" s="1"/>
  <c r="GA85"/>
  <c r="FZ85"/>
  <c r="FO85"/>
  <c r="FN85"/>
  <c r="FP85" s="1"/>
  <c r="FC85"/>
  <c r="FB85"/>
  <c r="EQ85"/>
  <c r="EP85"/>
  <c r="ER85" s="1"/>
  <c r="EE85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L85"/>
  <c r="AA85"/>
  <c r="Z85"/>
  <c r="AB85" s="1"/>
  <c r="O85"/>
  <c r="N85"/>
  <c r="C85"/>
  <c r="B85"/>
  <c r="D85" s="1"/>
  <c r="GY84"/>
  <c r="GX84"/>
  <c r="GM84"/>
  <c r="GL84"/>
  <c r="GN84" s="1"/>
  <c r="GR84" s="1"/>
  <c r="GA84"/>
  <c r="FZ84"/>
  <c r="GB84" s="1"/>
  <c r="GE84" s="1"/>
  <c r="FO84"/>
  <c r="FN84"/>
  <c r="FC84"/>
  <c r="FB84"/>
  <c r="EQ84"/>
  <c r="EP84"/>
  <c r="EE84"/>
  <c r="ED84"/>
  <c r="DS84"/>
  <c r="DR84"/>
  <c r="DG84"/>
  <c r="DF84"/>
  <c r="CU84"/>
  <c r="CT84"/>
  <c r="CV84" s="1"/>
  <c r="CY84" s="1"/>
  <c r="CI84"/>
  <c r="CH84"/>
  <c r="BW84"/>
  <c r="BV84"/>
  <c r="BK84"/>
  <c r="BJ84"/>
  <c r="AY84"/>
  <c r="AX84"/>
  <c r="AZ84" s="1"/>
  <c r="BD84" s="1"/>
  <c r="AM84"/>
  <c r="AL84"/>
  <c r="AA84"/>
  <c r="Z84"/>
  <c r="AB84" s="1"/>
  <c r="O84"/>
  <c r="N84"/>
  <c r="C84"/>
  <c r="B84"/>
  <c r="D84" s="1"/>
  <c r="GY83"/>
  <c r="GX83"/>
  <c r="GZ83" s="1"/>
  <c r="HC83" s="1"/>
  <c r="GM83"/>
  <c r="GL83"/>
  <c r="GN83" s="1"/>
  <c r="GA83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H83"/>
  <c r="BW83"/>
  <c r="BV83"/>
  <c r="BK83"/>
  <c r="BJ83"/>
  <c r="AY83"/>
  <c r="AX83"/>
  <c r="AM83"/>
  <c r="AL83"/>
  <c r="AA83"/>
  <c r="Z83"/>
  <c r="AB83" s="1"/>
  <c r="O83"/>
  <c r="N83"/>
  <c r="C83"/>
  <c r="B83"/>
  <c r="D83" s="1"/>
  <c r="GY82"/>
  <c r="GX82"/>
  <c r="GM82"/>
  <c r="GL82"/>
  <c r="GN82" s="1"/>
  <c r="GR82" s="1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V82" s="1"/>
  <c r="CY82" s="1"/>
  <c r="CI82"/>
  <c r="CH82"/>
  <c r="CJ82" s="1"/>
  <c r="BW82"/>
  <c r="BV82"/>
  <c r="BX82" s="1"/>
  <c r="BK82"/>
  <c r="BJ82"/>
  <c r="AY82"/>
  <c r="AX82"/>
  <c r="AZ82" s="1"/>
  <c r="AM82"/>
  <c r="AL82"/>
  <c r="AA82"/>
  <c r="Z82"/>
  <c r="O82"/>
  <c r="N82"/>
  <c r="P82" s="1"/>
  <c r="C82"/>
  <c r="B82"/>
  <c r="D82" s="1"/>
  <c r="GY81"/>
  <c r="GX81"/>
  <c r="GM81"/>
  <c r="GL81"/>
  <c r="GA81"/>
  <c r="FZ81"/>
  <c r="FO81"/>
  <c r="FN81"/>
  <c r="FP81" s="1"/>
  <c r="FS81" s="1"/>
  <c r="FC81"/>
  <c r="FB81"/>
  <c r="EQ81"/>
  <c r="EP81"/>
  <c r="EE81"/>
  <c r="ED81"/>
  <c r="DS81"/>
  <c r="DR81"/>
  <c r="DG81"/>
  <c r="DF81"/>
  <c r="CU81"/>
  <c r="CT81"/>
  <c r="CI81"/>
  <c r="CH81"/>
  <c r="BW81"/>
  <c r="BV81"/>
  <c r="BK81"/>
  <c r="BJ81"/>
  <c r="AY81"/>
  <c r="AX81"/>
  <c r="AZ81" s="1"/>
  <c r="AM81"/>
  <c r="AL81"/>
  <c r="AA81"/>
  <c r="Z81"/>
  <c r="AB81" s="1"/>
  <c r="O81"/>
  <c r="N81"/>
  <c r="C81"/>
  <c r="B81"/>
  <c r="GY80"/>
  <c r="GX80"/>
  <c r="GM80"/>
  <c r="GL80"/>
  <c r="GN80" s="1"/>
  <c r="GQ80" s="1"/>
  <c r="GA80"/>
  <c r="FZ80"/>
  <c r="GB80" s="1"/>
  <c r="GF80" s="1"/>
  <c r="FO80"/>
  <c r="FN80"/>
  <c r="FC80"/>
  <c r="FB80"/>
  <c r="EQ80"/>
  <c r="EP80"/>
  <c r="ER80" s="1"/>
  <c r="EV80" s="1"/>
  <c r="EE80"/>
  <c r="ED80"/>
  <c r="DS80"/>
  <c r="DR80"/>
  <c r="DG80"/>
  <c r="DF80"/>
  <c r="CU80"/>
  <c r="CT80"/>
  <c r="CI80"/>
  <c r="CH80"/>
  <c r="BW80"/>
  <c r="BV80"/>
  <c r="BK80"/>
  <c r="BJ80"/>
  <c r="AY80"/>
  <c r="AX80"/>
  <c r="AZ80" s="1"/>
  <c r="BD80" s="1"/>
  <c r="AM80"/>
  <c r="AL80"/>
  <c r="AA80"/>
  <c r="Z80"/>
  <c r="O80"/>
  <c r="N80"/>
  <c r="P80" s="1"/>
  <c r="C80"/>
  <c r="B80"/>
  <c r="D80" s="1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H79"/>
  <c r="CJ79" s="1"/>
  <c r="BW79"/>
  <c r="BV79"/>
  <c r="BX79" s="1"/>
  <c r="CA79" s="1"/>
  <c r="BK79"/>
  <c r="BJ79"/>
  <c r="AY79"/>
  <c r="AX79"/>
  <c r="AZ79" s="1"/>
  <c r="BD79" s="1"/>
  <c r="AM79"/>
  <c r="AL79"/>
  <c r="AN79" s="1"/>
  <c r="AA79"/>
  <c r="Z79"/>
  <c r="AB79" s="1"/>
  <c r="AF79" s="1"/>
  <c r="O79"/>
  <c r="N79"/>
  <c r="C79"/>
  <c r="B79"/>
  <c r="D79" s="1"/>
  <c r="H79" s="1"/>
  <c r="GY78"/>
  <c r="GX78"/>
  <c r="GM78"/>
  <c r="GL78"/>
  <c r="GN78" s="1"/>
  <c r="GA78"/>
  <c r="FZ78"/>
  <c r="FO78"/>
  <c r="FN78"/>
  <c r="FC78"/>
  <c r="FB78"/>
  <c r="EQ78"/>
  <c r="EP78"/>
  <c r="EE78"/>
  <c r="ED78"/>
  <c r="DS78"/>
  <c r="DR78"/>
  <c r="DT78" s="1"/>
  <c r="DG78"/>
  <c r="DF78"/>
  <c r="CU78"/>
  <c r="CT78"/>
  <c r="CV78" s="1"/>
  <c r="CY78" s="1"/>
  <c r="CI78"/>
  <c r="CH78"/>
  <c r="BW78"/>
  <c r="BV78"/>
  <c r="BK78"/>
  <c r="BJ78"/>
  <c r="AY78"/>
  <c r="AX78"/>
  <c r="AM78"/>
  <c r="AL78"/>
  <c r="AA78"/>
  <c r="Z78"/>
  <c r="O78"/>
  <c r="N78"/>
  <c r="C78"/>
  <c r="B78"/>
  <c r="D78" s="1"/>
  <c r="H78" s="1"/>
  <c r="GY77"/>
  <c r="GX77"/>
  <c r="GM77"/>
  <c r="GL77"/>
  <c r="GN77" s="1"/>
  <c r="GR77" s="1"/>
  <c r="GA77"/>
  <c r="FZ77"/>
  <c r="FO77"/>
  <c r="FN77"/>
  <c r="FP77" s="1"/>
  <c r="FC77"/>
  <c r="FB77"/>
  <c r="EQ77"/>
  <c r="EP77"/>
  <c r="ER77" s="1"/>
  <c r="EE77"/>
  <c r="ED77"/>
  <c r="DS77"/>
  <c r="DR77"/>
  <c r="DT77" s="1"/>
  <c r="DX77" s="1"/>
  <c r="DG77"/>
  <c r="DF77"/>
  <c r="CU77"/>
  <c r="CT77"/>
  <c r="CI77"/>
  <c r="CH77"/>
  <c r="BW77"/>
  <c r="BV77"/>
  <c r="BK77"/>
  <c r="BJ77"/>
  <c r="AY77"/>
  <c r="AX77"/>
  <c r="AZ77" s="1"/>
  <c r="BC77" s="1"/>
  <c r="AM77"/>
  <c r="AL77"/>
  <c r="AN77" s="1"/>
  <c r="AR77" s="1"/>
  <c r="AA77"/>
  <c r="Z77"/>
  <c r="AB77" s="1"/>
  <c r="O77"/>
  <c r="N77"/>
  <c r="C77"/>
  <c r="B77"/>
  <c r="GY76"/>
  <c r="GX76"/>
  <c r="GM76"/>
  <c r="GL76"/>
  <c r="GN76" s="1"/>
  <c r="GA76"/>
  <c r="FZ76"/>
  <c r="FO76"/>
  <c r="FN76"/>
  <c r="FC76"/>
  <c r="FB76"/>
  <c r="EQ76"/>
  <c r="EP76"/>
  <c r="ER76" s="1"/>
  <c r="EE76"/>
  <c r="ED76"/>
  <c r="DS76"/>
  <c r="DR76"/>
  <c r="DG76"/>
  <c r="DF76"/>
  <c r="CU76"/>
  <c r="CT76"/>
  <c r="CV76" s="1"/>
  <c r="CZ76" s="1"/>
  <c r="CI76"/>
  <c r="CH76"/>
  <c r="BW76"/>
  <c r="BV76"/>
  <c r="BK76"/>
  <c r="BJ76"/>
  <c r="BL76" s="1"/>
  <c r="BP76" s="1"/>
  <c r="AY76"/>
  <c r="AX76"/>
  <c r="AZ76" s="1"/>
  <c r="BD76" s="1"/>
  <c r="AM76"/>
  <c r="AL76"/>
  <c r="AA76"/>
  <c r="Z76"/>
  <c r="AB76" s="1"/>
  <c r="AE76" s="1"/>
  <c r="O76"/>
  <c r="N76"/>
  <c r="C76"/>
  <c r="B76"/>
  <c r="D76" s="1"/>
  <c r="G76" s="1"/>
  <c r="GY75"/>
  <c r="GX75"/>
  <c r="GM75"/>
  <c r="GL75"/>
  <c r="GA75"/>
  <c r="FZ75"/>
  <c r="FO75"/>
  <c r="FN75"/>
  <c r="FP75" s="1"/>
  <c r="FT75" s="1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AB75" s="1"/>
  <c r="AE75" s="1"/>
  <c r="O75"/>
  <c r="N75"/>
  <c r="C75"/>
  <c r="B75"/>
  <c r="GY74"/>
  <c r="GX74"/>
  <c r="GM74"/>
  <c r="GL74"/>
  <c r="GN74" s="1"/>
  <c r="GR74" s="1"/>
  <c r="GA74"/>
  <c r="FZ74"/>
  <c r="FO74"/>
  <c r="FN74"/>
  <c r="FC74"/>
  <c r="FB74"/>
  <c r="EQ74"/>
  <c r="EP74"/>
  <c r="ER74" s="1"/>
  <c r="EE74"/>
  <c r="ED74"/>
  <c r="EF74" s="1"/>
  <c r="EI74" s="1"/>
  <c r="DS74"/>
  <c r="DR74"/>
  <c r="DG74"/>
  <c r="DF74"/>
  <c r="CU74"/>
  <c r="CT74"/>
  <c r="CV74" s="1"/>
  <c r="CI74"/>
  <c r="CH74"/>
  <c r="CJ74" s="1"/>
  <c r="CM74" s="1"/>
  <c r="BW74"/>
  <c r="BV74"/>
  <c r="BK74"/>
  <c r="BJ74"/>
  <c r="AY74"/>
  <c r="AX74"/>
  <c r="AZ74" s="1"/>
  <c r="BC74" s="1"/>
  <c r="AM74"/>
  <c r="AL74"/>
  <c r="AA74"/>
  <c r="Z74"/>
  <c r="O74"/>
  <c r="N74"/>
  <c r="C74"/>
  <c r="B74"/>
  <c r="D74" s="1"/>
  <c r="GY73"/>
  <c r="GX73"/>
  <c r="GM73"/>
  <c r="GL73"/>
  <c r="GA73"/>
  <c r="FZ73"/>
  <c r="FO73"/>
  <c r="FN73"/>
  <c r="FC73"/>
  <c r="FB73"/>
  <c r="EQ73"/>
  <c r="EP73"/>
  <c r="EE73"/>
  <c r="ED73"/>
  <c r="DS73"/>
  <c r="DR73"/>
  <c r="DT73" s="1"/>
  <c r="DG73"/>
  <c r="DF73"/>
  <c r="CU73"/>
  <c r="CT73"/>
  <c r="CI73"/>
  <c r="CH73"/>
  <c r="BW73"/>
  <c r="BV73"/>
  <c r="BX73" s="1"/>
  <c r="CA73" s="1"/>
  <c r="BK73"/>
  <c r="BJ73"/>
  <c r="BL73" s="1"/>
  <c r="AY73"/>
  <c r="AX73"/>
  <c r="AM73"/>
  <c r="AL73"/>
  <c r="AA73"/>
  <c r="Z73"/>
  <c r="AB73" s="1"/>
  <c r="O73"/>
  <c r="N73"/>
  <c r="P73" s="1"/>
  <c r="S73" s="1"/>
  <c r="C73"/>
  <c r="B73"/>
  <c r="GY72"/>
  <c r="GX72"/>
  <c r="GM72"/>
  <c r="GL72"/>
  <c r="GN72" s="1"/>
  <c r="GA72"/>
  <c r="FZ72"/>
  <c r="FO72"/>
  <c r="FN72"/>
  <c r="FC72"/>
  <c r="FB72"/>
  <c r="EQ72"/>
  <c r="EP72"/>
  <c r="ER72" s="1"/>
  <c r="EU72" s="1"/>
  <c r="EE72"/>
  <c r="ED72"/>
  <c r="DS72"/>
  <c r="DR72"/>
  <c r="DG72"/>
  <c r="DF72"/>
  <c r="CU72"/>
  <c r="CT72"/>
  <c r="CV72" s="1"/>
  <c r="CZ72" s="1"/>
  <c r="CI72"/>
  <c r="CH72"/>
  <c r="BW72"/>
  <c r="BV72"/>
  <c r="BK72"/>
  <c r="BJ72"/>
  <c r="AY72"/>
  <c r="AX72"/>
  <c r="AZ72" s="1"/>
  <c r="AM72"/>
  <c r="AL72"/>
  <c r="AA72"/>
  <c r="Z72"/>
  <c r="O72"/>
  <c r="N72"/>
  <c r="C72"/>
  <c r="B72"/>
  <c r="GY71"/>
  <c r="GX71"/>
  <c r="GZ71" s="1"/>
  <c r="GM71"/>
  <c r="GL71"/>
  <c r="GA71"/>
  <c r="FZ71"/>
  <c r="FO71"/>
  <c r="FN71"/>
  <c r="FP71" s="1"/>
  <c r="FC71"/>
  <c r="FB71"/>
  <c r="EQ71"/>
  <c r="EP71"/>
  <c r="EE71"/>
  <c r="ED71"/>
  <c r="DS71"/>
  <c r="DR71"/>
  <c r="DT71" s="1"/>
  <c r="DG71"/>
  <c r="DF71"/>
  <c r="CU71"/>
  <c r="CT71"/>
  <c r="CI71"/>
  <c r="CH71"/>
  <c r="BW71"/>
  <c r="BV71"/>
  <c r="BX71" s="1"/>
  <c r="BK71"/>
  <c r="BJ71"/>
  <c r="AY71"/>
  <c r="AX71"/>
  <c r="AM71"/>
  <c r="AL71"/>
  <c r="AA71"/>
  <c r="Z71"/>
  <c r="AB71" s="1"/>
  <c r="AE71" s="1"/>
  <c r="O71"/>
  <c r="N71"/>
  <c r="C71"/>
  <c r="B71"/>
  <c r="GY70"/>
  <c r="GX70"/>
  <c r="GM70"/>
  <c r="GL70"/>
  <c r="GN70" s="1"/>
  <c r="GA70"/>
  <c r="FZ70"/>
  <c r="FO70"/>
  <c r="FN70"/>
  <c r="FC70"/>
  <c r="FB70"/>
  <c r="EQ70"/>
  <c r="EP70"/>
  <c r="EE70"/>
  <c r="ED70"/>
  <c r="DS70"/>
  <c r="DR70"/>
  <c r="DG70"/>
  <c r="DF70"/>
  <c r="CU70"/>
  <c r="CT70"/>
  <c r="CV70" s="1"/>
  <c r="CY70" s="1"/>
  <c r="CI70"/>
  <c r="CH70"/>
  <c r="BW70"/>
  <c r="BV70"/>
  <c r="BK70"/>
  <c r="BJ70"/>
  <c r="BL70" s="1"/>
  <c r="BO70" s="1"/>
  <c r="AY70"/>
  <c r="AX70"/>
  <c r="AZ70" s="1"/>
  <c r="AM70"/>
  <c r="AL70"/>
  <c r="AA70"/>
  <c r="Z70"/>
  <c r="O70"/>
  <c r="N70"/>
  <c r="C70"/>
  <c r="B70"/>
  <c r="L70" s="1"/>
  <c r="GY69"/>
  <c r="GX69"/>
  <c r="GM69"/>
  <c r="GL69"/>
  <c r="GA69"/>
  <c r="FZ69"/>
  <c r="FO69"/>
  <c r="FN69"/>
  <c r="FP69" s="1"/>
  <c r="FC69"/>
  <c r="FB69"/>
  <c r="EQ69"/>
  <c r="EP69"/>
  <c r="EE69"/>
  <c r="ED69"/>
  <c r="EF69" s="1"/>
  <c r="DS69"/>
  <c r="DR69"/>
  <c r="DT69" s="1"/>
  <c r="DG69"/>
  <c r="DF69"/>
  <c r="CU69"/>
  <c r="CT69"/>
  <c r="CI69"/>
  <c r="CH69"/>
  <c r="BW69"/>
  <c r="BV69"/>
  <c r="BK69"/>
  <c r="BJ69"/>
  <c r="AY69"/>
  <c r="AX69"/>
  <c r="AM69"/>
  <c r="AL69"/>
  <c r="AA69"/>
  <c r="Z69"/>
  <c r="O69"/>
  <c r="N69"/>
  <c r="C69"/>
  <c r="B69"/>
  <c r="GY68"/>
  <c r="GX68"/>
  <c r="GM68"/>
  <c r="GL68"/>
  <c r="GN68" s="1"/>
  <c r="GA68"/>
  <c r="FZ68"/>
  <c r="FO68"/>
  <c r="FN68"/>
  <c r="FC68"/>
  <c r="FB68"/>
  <c r="FD68" s="1"/>
  <c r="FG68" s="1"/>
  <c r="EQ68"/>
  <c r="EP68"/>
  <c r="ER68" s="1"/>
  <c r="EV68" s="1"/>
  <c r="EE68"/>
  <c r="ED68"/>
  <c r="DS68"/>
  <c r="DR68"/>
  <c r="DG68"/>
  <c r="DF68"/>
  <c r="CU68"/>
  <c r="CT68"/>
  <c r="CI68"/>
  <c r="CH68"/>
  <c r="BW68"/>
  <c r="BV68"/>
  <c r="BK68"/>
  <c r="BJ68"/>
  <c r="AY68"/>
  <c r="AX68"/>
  <c r="AZ68" s="1"/>
  <c r="AM68"/>
  <c r="AL68"/>
  <c r="AA68"/>
  <c r="Z68"/>
  <c r="O68"/>
  <c r="N68"/>
  <c r="C68"/>
  <c r="B68"/>
  <c r="GY67"/>
  <c r="GX67"/>
  <c r="GM67"/>
  <c r="GL67"/>
  <c r="GA67"/>
  <c r="FZ67"/>
  <c r="FO67"/>
  <c r="FN67"/>
  <c r="FP67" s="1"/>
  <c r="FC67"/>
  <c r="FB67"/>
  <c r="EQ67"/>
  <c r="EP67"/>
  <c r="EE67"/>
  <c r="ED67"/>
  <c r="DS67"/>
  <c r="DR67"/>
  <c r="DT67" s="1"/>
  <c r="DG67"/>
  <c r="DF67"/>
  <c r="CU67"/>
  <c r="CT67"/>
  <c r="CI67"/>
  <c r="CH67"/>
  <c r="BW67"/>
  <c r="BV67"/>
  <c r="BX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N66" s="1"/>
  <c r="GA66"/>
  <c r="FZ66"/>
  <c r="FO66"/>
  <c r="FN66"/>
  <c r="FC66"/>
  <c r="FB66"/>
  <c r="EQ66"/>
  <c r="EP66"/>
  <c r="ER66" s="1"/>
  <c r="EE66"/>
  <c r="ED66"/>
  <c r="DS66"/>
  <c r="DR66"/>
  <c r="DG66"/>
  <c r="DF66"/>
  <c r="DH66" s="1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D66" s="1"/>
  <c r="H66" s="1"/>
  <c r="GY65"/>
  <c r="GX65"/>
  <c r="GM65"/>
  <c r="GL65"/>
  <c r="GA65"/>
  <c r="FZ65"/>
  <c r="GB65" s="1"/>
  <c r="GE65" s="1"/>
  <c r="FO65"/>
  <c r="FN65"/>
  <c r="FP65" s="1"/>
  <c r="FC65"/>
  <c r="FB65"/>
  <c r="EQ65"/>
  <c r="EP65"/>
  <c r="EE65"/>
  <c r="ED65"/>
  <c r="DS65"/>
  <c r="DR65"/>
  <c r="DT65" s="1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GX64"/>
  <c r="GM64"/>
  <c r="GL64"/>
  <c r="GN64" s="1"/>
  <c r="GA64"/>
  <c r="FZ64"/>
  <c r="FO64"/>
  <c r="FN64"/>
  <c r="FP64" s="1"/>
  <c r="FC64"/>
  <c r="FB64"/>
  <c r="FD64" s="1"/>
  <c r="FG64" s="1"/>
  <c r="EQ64"/>
  <c r="EP64"/>
  <c r="ER64" s="1"/>
  <c r="EU64" s="1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Z64" s="1"/>
  <c r="BC64" s="1"/>
  <c r="AM64"/>
  <c r="AL64"/>
  <c r="AA64"/>
  <c r="Z64"/>
  <c r="AB64" s="1"/>
  <c r="AE64" s="1"/>
  <c r="O64"/>
  <c r="N64"/>
  <c r="C64"/>
  <c r="B64"/>
  <c r="D64" s="1"/>
  <c r="G64" s="1"/>
  <c r="GY63"/>
  <c r="GX63"/>
  <c r="GM63"/>
  <c r="GL63"/>
  <c r="GA63"/>
  <c r="FZ63"/>
  <c r="FO63"/>
  <c r="FN63"/>
  <c r="FP63" s="1"/>
  <c r="FC63"/>
  <c r="FB63"/>
  <c r="EQ63"/>
  <c r="EP63"/>
  <c r="EE63"/>
  <c r="ED63"/>
  <c r="DS63"/>
  <c r="DR63"/>
  <c r="DT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AB63" s="1"/>
  <c r="AF63" s="1"/>
  <c r="O63"/>
  <c r="N63"/>
  <c r="C63"/>
  <c r="B63"/>
  <c r="D63" s="1"/>
  <c r="G63" s="1"/>
  <c r="GY62"/>
  <c r="GX62"/>
  <c r="GM62"/>
  <c r="GL62"/>
  <c r="GA62"/>
  <c r="FZ62"/>
  <c r="FO62"/>
  <c r="FN62"/>
  <c r="FC62"/>
  <c r="FB62"/>
  <c r="FD62" s="1"/>
  <c r="FG62" s="1"/>
  <c r="EQ62"/>
  <c r="EP62"/>
  <c r="ER62" s="1"/>
  <c r="EV62" s="1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BL62" s="1"/>
  <c r="BP62" s="1"/>
  <c r="AY62"/>
  <c r="AX62"/>
  <c r="AZ62" s="1"/>
  <c r="AM62"/>
  <c r="AL62"/>
  <c r="AA62"/>
  <c r="Z62"/>
  <c r="AB62" s="1"/>
  <c r="O62"/>
  <c r="N62"/>
  <c r="C62"/>
  <c r="B62"/>
  <c r="GY61"/>
  <c r="GX61"/>
  <c r="GM61"/>
  <c r="GL61"/>
  <c r="GA61"/>
  <c r="FZ61"/>
  <c r="FO61"/>
  <c r="FN61"/>
  <c r="FC61"/>
  <c r="FB61"/>
  <c r="EQ6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X61" s="1"/>
  <c r="CA61" s="1"/>
  <c r="BK61"/>
  <c r="BJ61"/>
  <c r="AY61"/>
  <c r="AX61"/>
  <c r="AZ61" s="1"/>
  <c r="AM61"/>
  <c r="AL61"/>
  <c r="AA61"/>
  <c r="Z61"/>
  <c r="AB61" s="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E60"/>
  <c r="ED60"/>
  <c r="DS60"/>
  <c r="DR60"/>
  <c r="DG60"/>
  <c r="DF60"/>
  <c r="CU60"/>
  <c r="CT60"/>
  <c r="CI60"/>
  <c r="CH60"/>
  <c r="BW60"/>
  <c r="BV60"/>
  <c r="BK60"/>
  <c r="BJ60"/>
  <c r="AY60"/>
  <c r="AX60"/>
  <c r="AM60"/>
  <c r="AL60"/>
  <c r="AA60"/>
  <c r="Z60"/>
  <c r="O60"/>
  <c r="N60"/>
  <c r="C60"/>
  <c r="B60"/>
  <c r="GY59"/>
  <c r="GX59"/>
  <c r="GM59"/>
  <c r="GL59"/>
  <c r="GA59"/>
  <c r="FZ59"/>
  <c r="FO59"/>
  <c r="FN59"/>
  <c r="FP59" s="1"/>
  <c r="FC59"/>
  <c r="FB59"/>
  <c r="FD59" s="1"/>
  <c r="EQ59"/>
  <c r="EP59"/>
  <c r="EE59"/>
  <c r="ED59"/>
  <c r="DS59"/>
  <c r="DR59"/>
  <c r="DG59"/>
  <c r="DF59"/>
  <c r="CU59"/>
  <c r="CT59"/>
  <c r="CI59"/>
  <c r="CH59"/>
  <c r="BW59"/>
  <c r="BV59"/>
  <c r="BK59"/>
  <c r="BJ59"/>
  <c r="AY59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V58" s="1"/>
  <c r="CI58"/>
  <c r="CH58"/>
  <c r="BW58"/>
  <c r="BV58"/>
  <c r="BK58"/>
  <c r="BJ58"/>
  <c r="AY58"/>
  <c r="AX58"/>
  <c r="AM58"/>
  <c r="AL58"/>
  <c r="AA58"/>
  <c r="Z58"/>
  <c r="O58"/>
  <c r="N58"/>
  <c r="C58"/>
  <c r="B58"/>
  <c r="GY57"/>
  <c r="GX57"/>
  <c r="GZ57" s="1"/>
  <c r="HD57" s="1"/>
  <c r="GM57"/>
  <c r="GL57"/>
  <c r="GA57"/>
  <c r="FZ57"/>
  <c r="FO57"/>
  <c r="FN57"/>
  <c r="FC57"/>
  <c r="FB57"/>
  <c r="FD57" s="1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AB57" s="1"/>
  <c r="AE57" s="1"/>
  <c r="O57"/>
  <c r="N57"/>
  <c r="P57" s="1"/>
  <c r="T57" s="1"/>
  <c r="C57"/>
  <c r="B57"/>
  <c r="D57" s="1"/>
  <c r="GY56"/>
  <c r="GX56"/>
  <c r="GM56"/>
  <c r="GL56"/>
  <c r="GN56" s="1"/>
  <c r="GQ56" s="1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H56"/>
  <c r="CJ56" s="1"/>
  <c r="BW56"/>
  <c r="BV56"/>
  <c r="BK56"/>
  <c r="BJ56"/>
  <c r="AY56"/>
  <c r="AX56"/>
  <c r="AZ56" s="1"/>
  <c r="BD56" s="1"/>
  <c r="AM56"/>
  <c r="AL56"/>
  <c r="AA56"/>
  <c r="Z56"/>
  <c r="AB56" s="1"/>
  <c r="AE56" s="1"/>
  <c r="O56"/>
  <c r="N56"/>
  <c r="C56"/>
  <c r="B56"/>
  <c r="D56" s="1"/>
  <c r="H56" s="1"/>
  <c r="GY55"/>
  <c r="GX55"/>
  <c r="GZ55" s="1"/>
  <c r="GM55"/>
  <c r="GL55"/>
  <c r="GN55" s="1"/>
  <c r="GQ55" s="1"/>
  <c r="GA55"/>
  <c r="FZ55"/>
  <c r="FO55"/>
  <c r="FN55"/>
  <c r="FP55" s="1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AB55" s="1"/>
  <c r="AF55" s="1"/>
  <c r="O55"/>
  <c r="N55"/>
  <c r="P55" s="1"/>
  <c r="T55" s="1"/>
  <c r="C55"/>
  <c r="B55"/>
  <c r="D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V54" s="1"/>
  <c r="CI54"/>
  <c r="CH54"/>
  <c r="CJ54" s="1"/>
  <c r="CM54" s="1"/>
  <c r="BW54"/>
  <c r="BV54"/>
  <c r="BX54" s="1"/>
  <c r="CA54" s="1"/>
  <c r="BK54"/>
  <c r="BJ54"/>
  <c r="AY54"/>
  <c r="AX54"/>
  <c r="AZ54" s="1"/>
  <c r="BD54" s="1"/>
  <c r="AM54"/>
  <c r="AL54"/>
  <c r="AN54" s="1"/>
  <c r="AA54"/>
  <c r="Z54"/>
  <c r="AB54" s="1"/>
  <c r="O54"/>
  <c r="N54"/>
  <c r="C54"/>
  <c r="B54"/>
  <c r="D54" s="1"/>
  <c r="G54" s="1"/>
  <c r="GY53"/>
  <c r="GX53"/>
  <c r="GM53"/>
  <c r="GL53"/>
  <c r="GA53"/>
  <c r="FZ53"/>
  <c r="FO53"/>
  <c r="FN53"/>
  <c r="FP53" s="1"/>
  <c r="FC53"/>
  <c r="FB53"/>
  <c r="FD53" s="1"/>
  <c r="FG53" s="1"/>
  <c r="EQ53"/>
  <c r="EP53"/>
  <c r="EE53"/>
  <c r="ED53"/>
  <c r="DS53"/>
  <c r="DR53"/>
  <c r="DT53" s="1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R52" s="1"/>
  <c r="EE52"/>
  <c r="ED52"/>
  <c r="EF52" s="1"/>
  <c r="EI52" s="1"/>
  <c r="DS52"/>
  <c r="DR52"/>
  <c r="DT52" s="1"/>
  <c r="DW52" s="1"/>
  <c r="DG52"/>
  <c r="DF52"/>
  <c r="CU52"/>
  <c r="CT52"/>
  <c r="CV52" s="1"/>
  <c r="CZ52" s="1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Z50" s="1"/>
  <c r="GM50"/>
  <c r="GL50"/>
  <c r="GN50" s="1"/>
  <c r="GR50" s="1"/>
  <c r="GA50"/>
  <c r="FZ50"/>
  <c r="FO50"/>
  <c r="FN50"/>
  <c r="FC50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P49" s="1"/>
  <c r="FC49"/>
  <c r="FB49"/>
  <c r="EQ49"/>
  <c r="EP49"/>
  <c r="ER49" s="1"/>
  <c r="EE49"/>
  <c r="ED49"/>
  <c r="EF49" s="1"/>
  <c r="DS49"/>
  <c r="DR49"/>
  <c r="DT49" s="1"/>
  <c r="DG49"/>
  <c r="DF49"/>
  <c r="CU49"/>
  <c r="CT49"/>
  <c r="CV49" s="1"/>
  <c r="CI49"/>
  <c r="CH49"/>
  <c r="CJ49" s="1"/>
  <c r="CM49" s="1"/>
  <c r="BW49"/>
  <c r="BV49"/>
  <c r="BX49" s="1"/>
  <c r="CA49" s="1"/>
  <c r="BK49"/>
  <c r="BJ49"/>
  <c r="AY49"/>
  <c r="AX49"/>
  <c r="AM49"/>
  <c r="AL49"/>
  <c r="AA49"/>
  <c r="Z49"/>
  <c r="AB49" s="1"/>
  <c r="O49"/>
  <c r="N49"/>
  <c r="C49"/>
  <c r="B49"/>
  <c r="GY48"/>
  <c r="GX48"/>
  <c r="GZ48" s="1"/>
  <c r="GM48"/>
  <c r="GL48"/>
  <c r="GN48" s="1"/>
  <c r="GA48"/>
  <c r="FZ48"/>
  <c r="FO48"/>
  <c r="FN48"/>
  <c r="FC48"/>
  <c r="FB48"/>
  <c r="FD48" s="1"/>
  <c r="EQ48"/>
  <c r="EP48"/>
  <c r="ER48" s="1"/>
  <c r="EE48"/>
  <c r="ED48"/>
  <c r="DS48"/>
  <c r="DR48"/>
  <c r="DG48"/>
  <c r="DF48"/>
  <c r="CU48"/>
  <c r="CT48"/>
  <c r="CV48" s="1"/>
  <c r="CI48"/>
  <c r="CH48"/>
  <c r="BW48"/>
  <c r="BV48"/>
  <c r="BK48"/>
  <c r="BJ48"/>
  <c r="AY48"/>
  <c r="AX48"/>
  <c r="AZ48" s="1"/>
  <c r="AM48"/>
  <c r="AL48"/>
  <c r="AA48"/>
  <c r="Z48"/>
  <c r="O48"/>
  <c r="N48"/>
  <c r="P48" s="1"/>
  <c r="C48"/>
  <c r="B48"/>
  <c r="D48" s="1"/>
  <c r="GY47"/>
  <c r="GX47"/>
  <c r="GM47"/>
  <c r="GL47"/>
  <c r="GA47"/>
  <c r="FZ47"/>
  <c r="GB47" s="1"/>
  <c r="FO47"/>
  <c r="FN47"/>
  <c r="FP47" s="1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X47" s="1"/>
  <c r="BK47"/>
  <c r="BJ47"/>
  <c r="AY47"/>
  <c r="AX47"/>
  <c r="AM47"/>
  <c r="AL47"/>
  <c r="AA47"/>
  <c r="Z47"/>
  <c r="AB47" s="1"/>
  <c r="O47"/>
  <c r="N47"/>
  <c r="C47"/>
  <c r="B47"/>
  <c r="GY46"/>
  <c r="GX46"/>
  <c r="GZ46" s="1"/>
  <c r="HC46" s="1"/>
  <c r="GM46"/>
  <c r="GL46"/>
  <c r="GN46" s="1"/>
  <c r="GA46"/>
  <c r="FZ46"/>
  <c r="FO46"/>
  <c r="FN46"/>
  <c r="FC46"/>
  <c r="FB46"/>
  <c r="EQ46"/>
  <c r="EP46"/>
  <c r="ER46" s="1"/>
  <c r="EU46" s="1"/>
  <c r="EE46"/>
  <c r="ED46"/>
  <c r="DS46"/>
  <c r="DR46"/>
  <c r="DG46"/>
  <c r="DF46"/>
  <c r="CU46"/>
  <c r="CT46"/>
  <c r="CV46" s="1"/>
  <c r="CZ46" s="1"/>
  <c r="CI46"/>
  <c r="CH46"/>
  <c r="CJ46" s="1"/>
  <c r="CM46" s="1"/>
  <c r="BW46"/>
  <c r="BV46"/>
  <c r="BK46"/>
  <c r="BJ46"/>
  <c r="AY46"/>
  <c r="AX46"/>
  <c r="AZ46" s="1"/>
  <c r="BC46" s="1"/>
  <c r="AM46"/>
  <c r="AL46"/>
  <c r="AA46"/>
  <c r="Z46"/>
  <c r="O46"/>
  <c r="N46"/>
  <c r="P46" s="1"/>
  <c r="C46"/>
  <c r="B46"/>
  <c r="D46" s="1"/>
  <c r="G46" s="1"/>
  <c r="GY45"/>
  <c r="GX45"/>
  <c r="GM45"/>
  <c r="GL45"/>
  <c r="GA45"/>
  <c r="FZ45"/>
  <c r="FO45"/>
  <c r="FN45"/>
  <c r="FP45" s="1"/>
  <c r="FS45" s="1"/>
  <c r="FC45"/>
  <c r="FB45"/>
  <c r="EQ45"/>
  <c r="EP45"/>
  <c r="EE45"/>
  <c r="ED45"/>
  <c r="EF45" s="1"/>
  <c r="DS45"/>
  <c r="DR45"/>
  <c r="DT45" s="1"/>
  <c r="DW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AB45" s="1"/>
  <c r="AE45" s="1"/>
  <c r="O45"/>
  <c r="N45"/>
  <c r="C45"/>
  <c r="B45"/>
  <c r="GY44"/>
  <c r="GX44"/>
  <c r="GM44"/>
  <c r="GL44"/>
  <c r="GN44" s="1"/>
  <c r="GQ44" s="1"/>
  <c r="GA44"/>
  <c r="FZ44"/>
  <c r="FO44"/>
  <c r="FN44"/>
  <c r="FC44"/>
  <c r="FB44"/>
  <c r="FD44" s="1"/>
  <c r="FG44" s="1"/>
  <c r="EQ44"/>
  <c r="EP44"/>
  <c r="ER44" s="1"/>
  <c r="EU44" s="1"/>
  <c r="EE44"/>
  <c r="ED44"/>
  <c r="EF44" s="1"/>
  <c r="EI44" s="1"/>
  <c r="DS44"/>
  <c r="DR44"/>
  <c r="DG44"/>
  <c r="DF44"/>
  <c r="CU44"/>
  <c r="CT44"/>
  <c r="CV44" s="1"/>
  <c r="CI44"/>
  <c r="CH44"/>
  <c r="BW44"/>
  <c r="BV44"/>
  <c r="BK44"/>
  <c r="BJ44"/>
  <c r="AY44"/>
  <c r="AX44"/>
  <c r="AZ44" s="1"/>
  <c r="AM44"/>
  <c r="AL44"/>
  <c r="AA44"/>
  <c r="Z44"/>
  <c r="O44"/>
  <c r="N44"/>
  <c r="C44"/>
  <c r="B44"/>
  <c r="D44" s="1"/>
  <c r="GY43"/>
  <c r="GX43"/>
  <c r="GM43"/>
  <c r="GL43"/>
  <c r="GA43"/>
  <c r="FZ43"/>
  <c r="GB43" s="1"/>
  <c r="GE43" s="1"/>
  <c r="FO43"/>
  <c r="FN43"/>
  <c r="FP43" s="1"/>
  <c r="FC43"/>
  <c r="FB43"/>
  <c r="FD43" s="1"/>
  <c r="FG43" s="1"/>
  <c r="EQ43"/>
  <c r="EP43"/>
  <c r="ER43" s="1"/>
  <c r="EV43" s="1"/>
  <c r="EE43"/>
  <c r="ED43"/>
  <c r="DS43"/>
  <c r="DR43"/>
  <c r="DT43" s="1"/>
  <c r="DW43" s="1"/>
  <c r="DG43"/>
  <c r="DF43"/>
  <c r="CU43"/>
  <c r="CT43"/>
  <c r="CV43" s="1"/>
  <c r="CI43"/>
  <c r="CH43"/>
  <c r="BW43"/>
  <c r="BV43"/>
  <c r="BX43" s="1"/>
  <c r="CA43" s="1"/>
  <c r="BK43"/>
  <c r="BJ43"/>
  <c r="BL43" s="1"/>
  <c r="BO43" s="1"/>
  <c r="AY43"/>
  <c r="AX43"/>
  <c r="AZ43" s="1"/>
  <c r="AM43"/>
  <c r="AL43"/>
  <c r="AA43"/>
  <c r="Z43"/>
  <c r="AB43" s="1"/>
  <c r="O43"/>
  <c r="N43"/>
  <c r="P43" s="1"/>
  <c r="S43" s="1"/>
  <c r="C43"/>
  <c r="B43"/>
  <c r="D43" s="1"/>
  <c r="GY42"/>
  <c r="GX42"/>
  <c r="GM42"/>
  <c r="GL42"/>
  <c r="GN42" s="1"/>
  <c r="GA42"/>
  <c r="FZ42"/>
  <c r="GB42" s="1"/>
  <c r="GE42" s="1"/>
  <c r="FO42"/>
  <c r="FN42"/>
  <c r="FC42"/>
  <c r="FB42"/>
  <c r="EQ42"/>
  <c r="EP42"/>
  <c r="ER42" s="1"/>
  <c r="EE42"/>
  <c r="ED42"/>
  <c r="EF42" s="1"/>
  <c r="DS42"/>
  <c r="DR42"/>
  <c r="DT42" s="1"/>
  <c r="DG42"/>
  <c r="DF42"/>
  <c r="CU42"/>
  <c r="CT42"/>
  <c r="CV42" s="1"/>
  <c r="CY42" s="1"/>
  <c r="CI42"/>
  <c r="CH42"/>
  <c r="BW42"/>
  <c r="BV42"/>
  <c r="BX42" s="1"/>
  <c r="BK42"/>
  <c r="BJ42"/>
  <c r="AY42"/>
  <c r="AX42"/>
  <c r="AZ42" s="1"/>
  <c r="BD42" s="1"/>
  <c r="AM42"/>
  <c r="AL42"/>
  <c r="AN42" s="1"/>
  <c r="AQ42" s="1"/>
  <c r="AA42"/>
  <c r="Z42"/>
  <c r="AB42" s="1"/>
  <c r="O42"/>
  <c r="N42"/>
  <c r="C42"/>
  <c r="B42"/>
  <c r="D42" s="1"/>
  <c r="H42" s="1"/>
  <c r="GY41"/>
  <c r="GX41"/>
  <c r="GM41"/>
  <c r="GL41"/>
  <c r="GN41" s="1"/>
  <c r="GA41"/>
  <c r="FZ41"/>
  <c r="FO41"/>
  <c r="FN41"/>
  <c r="FP41" s="1"/>
  <c r="FS41" s="1"/>
  <c r="FC41"/>
  <c r="FB41"/>
  <c r="FD41" s="1"/>
  <c r="EQ41"/>
  <c r="EP41"/>
  <c r="ER41" s="1"/>
  <c r="EE41"/>
  <c r="ED41"/>
  <c r="DS41"/>
  <c r="DR41"/>
  <c r="DT41" s="1"/>
  <c r="DW41" s="1"/>
  <c r="DG41"/>
  <c r="DF41"/>
  <c r="CU41"/>
  <c r="CT41"/>
  <c r="CV41" s="1"/>
  <c r="CI41"/>
  <c r="CH41"/>
  <c r="BW41"/>
  <c r="BV41"/>
  <c r="BX41" s="1"/>
  <c r="BK41"/>
  <c r="BJ41"/>
  <c r="BL41" s="1"/>
  <c r="AY41"/>
  <c r="AX41"/>
  <c r="AZ41" s="1"/>
  <c r="AM41"/>
  <c r="AL41"/>
  <c r="AA41"/>
  <c r="Z41"/>
  <c r="AB41" s="1"/>
  <c r="O41"/>
  <c r="N41"/>
  <c r="C41"/>
  <c r="B41"/>
  <c r="D41" s="1"/>
  <c r="H41" s="1"/>
  <c r="GY40"/>
  <c r="GX40"/>
  <c r="GM40"/>
  <c r="GL40"/>
  <c r="GN40" s="1"/>
  <c r="GQ40" s="1"/>
  <c r="GA40"/>
  <c r="FZ40"/>
  <c r="GB40" s="1"/>
  <c r="FO40"/>
  <c r="FN40"/>
  <c r="FP40" s="1"/>
  <c r="FC40"/>
  <c r="FB40"/>
  <c r="EQ40"/>
  <c r="EP40"/>
  <c r="ER40" s="1"/>
  <c r="EU40" s="1"/>
  <c r="EE40"/>
  <c r="ED40"/>
  <c r="DS40"/>
  <c r="DR40"/>
  <c r="DT40" s="1"/>
  <c r="DG40"/>
  <c r="DF40"/>
  <c r="CU40"/>
  <c r="CT40"/>
  <c r="CV40" s="1"/>
  <c r="CY40" s="1"/>
  <c r="CI40"/>
  <c r="CH40"/>
  <c r="CJ40" s="1"/>
  <c r="BW40"/>
  <c r="BV40"/>
  <c r="BK40"/>
  <c r="BJ40"/>
  <c r="AY40"/>
  <c r="AX40"/>
  <c r="AZ40" s="1"/>
  <c r="AM40"/>
  <c r="AL40"/>
  <c r="AN40" s="1"/>
  <c r="AQ40" s="1"/>
  <c r="AA40"/>
  <c r="Z40"/>
  <c r="AB40" s="1"/>
  <c r="O40"/>
  <c r="N40"/>
  <c r="C40"/>
  <c r="B40"/>
  <c r="D40" s="1"/>
  <c r="GY39"/>
  <c r="GX39"/>
  <c r="GZ39" s="1"/>
  <c r="HC39" s="1"/>
  <c r="GM39"/>
  <c r="GL39"/>
  <c r="GN39" s="1"/>
  <c r="GQ39" s="1"/>
  <c r="GA39"/>
  <c r="FZ39"/>
  <c r="FO39"/>
  <c r="FN39"/>
  <c r="FP39" s="1"/>
  <c r="FS39" s="1"/>
  <c r="FC39"/>
  <c r="FB39"/>
  <c r="FD39" s="1"/>
  <c r="FG39" s="1"/>
  <c r="EQ39"/>
  <c r="EP39"/>
  <c r="ER39" s="1"/>
  <c r="EE39"/>
  <c r="ED39"/>
  <c r="DS39"/>
  <c r="DR39"/>
  <c r="DT39" s="1"/>
  <c r="DG39"/>
  <c r="DF39"/>
  <c r="DH39" s="1"/>
  <c r="DK39" s="1"/>
  <c r="CU39"/>
  <c r="CT39"/>
  <c r="CV39" s="1"/>
  <c r="CI39"/>
  <c r="CH39"/>
  <c r="BW39"/>
  <c r="BV39"/>
  <c r="BX39" s="1"/>
  <c r="BK39"/>
  <c r="BJ39"/>
  <c r="BL39" s="1"/>
  <c r="BO39" s="1"/>
  <c r="AY39"/>
  <c r="AX39"/>
  <c r="AZ39" s="1"/>
  <c r="AM39"/>
  <c r="AL39"/>
  <c r="AA39"/>
  <c r="Z39"/>
  <c r="AB39" s="1"/>
  <c r="O39"/>
  <c r="N39"/>
  <c r="C39"/>
  <c r="B39"/>
  <c r="D39" s="1"/>
  <c r="GY38"/>
  <c r="GX38"/>
  <c r="GM38"/>
  <c r="GL38"/>
  <c r="GN38" s="1"/>
  <c r="GR38" s="1"/>
  <c r="GA38"/>
  <c r="FZ38"/>
  <c r="GB38" s="1"/>
  <c r="FO38"/>
  <c r="FN38"/>
  <c r="FP38" s="1"/>
  <c r="FT38" s="1"/>
  <c r="FC38"/>
  <c r="FB38"/>
  <c r="EQ38"/>
  <c r="EP38"/>
  <c r="ER38" s="1"/>
  <c r="EE38"/>
  <c r="ED38"/>
  <c r="EF38" s="1"/>
  <c r="EI38" s="1"/>
  <c r="DS38"/>
  <c r="DR38"/>
  <c r="DT38" s="1"/>
  <c r="DG38"/>
  <c r="DF38"/>
  <c r="CU38"/>
  <c r="CT38"/>
  <c r="CV38" s="1"/>
  <c r="CZ38" s="1"/>
  <c r="CI38"/>
  <c r="CH38"/>
  <c r="BW38"/>
  <c r="BV38"/>
  <c r="BX38" s="1"/>
  <c r="BK38"/>
  <c r="BJ38"/>
  <c r="AY38"/>
  <c r="AX38"/>
  <c r="AZ38" s="1"/>
  <c r="BD38" s="1"/>
  <c r="AM38"/>
  <c r="AL38"/>
  <c r="AN38" s="1"/>
  <c r="AQ38" s="1"/>
  <c r="AA38"/>
  <c r="Z38"/>
  <c r="AB38" s="1"/>
  <c r="AE38" s="1"/>
  <c r="O38"/>
  <c r="N38"/>
  <c r="C38"/>
  <c r="B38"/>
  <c r="D38" s="1"/>
  <c r="G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X37" s="1"/>
  <c r="BK37"/>
  <c r="BJ37"/>
  <c r="AY37"/>
  <c r="AX37"/>
  <c r="AZ37" s="1"/>
  <c r="AM37"/>
  <c r="AL37"/>
  <c r="AA37"/>
  <c r="Z37"/>
  <c r="O37"/>
  <c r="N37"/>
  <c r="P37" s="1"/>
  <c r="S37" s="1"/>
  <c r="C37"/>
  <c r="B37"/>
  <c r="D37" s="1"/>
  <c r="H37" s="1"/>
  <c r="GY36"/>
  <c r="GX36"/>
  <c r="GM36"/>
  <c r="GL36"/>
  <c r="GN36" s="1"/>
  <c r="GA36"/>
  <c r="FZ36"/>
  <c r="GB36" s="1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P36" s="1"/>
  <c r="C36"/>
  <c r="B36"/>
  <c r="GY35"/>
  <c r="GX35"/>
  <c r="GZ35" s="1"/>
  <c r="HC35" s="1"/>
  <c r="GM35"/>
  <c r="GL35"/>
  <c r="GA35"/>
  <c r="FZ35"/>
  <c r="FO35"/>
  <c r="FN35"/>
  <c r="FC35"/>
  <c r="FB35"/>
  <c r="EQ35"/>
  <c r="EP35"/>
  <c r="EE35"/>
  <c r="ED35"/>
  <c r="DS35"/>
  <c r="DR35"/>
  <c r="DG35"/>
  <c r="DF35"/>
  <c r="DH35" s="1"/>
  <c r="CU35"/>
  <c r="CT35"/>
  <c r="CV35" s="1"/>
  <c r="CZ35" s="1"/>
  <c r="CI35"/>
  <c r="CH35"/>
  <c r="BW35"/>
  <c r="BV35"/>
  <c r="BK35"/>
  <c r="BJ35"/>
  <c r="AY35"/>
  <c r="AX35"/>
  <c r="AZ35" s="1"/>
  <c r="BD35" s="1"/>
  <c r="AM35"/>
  <c r="AL35"/>
  <c r="AA35"/>
  <c r="Z35"/>
  <c r="AB35" s="1"/>
  <c r="O35"/>
  <c r="N35"/>
  <c r="C35"/>
  <c r="B35"/>
  <c r="D35" s="1"/>
  <c r="GY34"/>
  <c r="GX34"/>
  <c r="GM34"/>
  <c r="GL34"/>
  <c r="GA34"/>
  <c r="FZ34"/>
  <c r="FO34"/>
  <c r="FN34"/>
  <c r="FC34"/>
  <c r="FB34"/>
  <c r="EQ34"/>
  <c r="EP34"/>
  <c r="ER34" s="1"/>
  <c r="EU34" s="1"/>
  <c r="EE34"/>
  <c r="ED34"/>
  <c r="EF34" s="1"/>
  <c r="DS34"/>
  <c r="DR34"/>
  <c r="DT34" s="1"/>
  <c r="DX34" s="1"/>
  <c r="DG34"/>
  <c r="DF34"/>
  <c r="DH34" s="1"/>
  <c r="DL34" s="1"/>
  <c r="CU34"/>
  <c r="CT34"/>
  <c r="CI34"/>
  <c r="CH34"/>
  <c r="BW34"/>
  <c r="BV34"/>
  <c r="BX34" s="1"/>
  <c r="CB34" s="1"/>
  <c r="BK34"/>
  <c r="BJ34"/>
  <c r="BL34" s="1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FD33" s="1"/>
  <c r="FG33" s="1"/>
  <c r="EQ33"/>
  <c r="EP33"/>
  <c r="EE33"/>
  <c r="ED33"/>
  <c r="DS33"/>
  <c r="DR33"/>
  <c r="DG33"/>
  <c r="DF33"/>
  <c r="CU33"/>
  <c r="CT33"/>
  <c r="CV33" s="1"/>
  <c r="CY33" s="1"/>
  <c r="CI33"/>
  <c r="CH33"/>
  <c r="BW33"/>
  <c r="BV33"/>
  <c r="BK33"/>
  <c r="BJ33"/>
  <c r="AY33"/>
  <c r="AX33"/>
  <c r="AZ33" s="1"/>
  <c r="AM33"/>
  <c r="AL33"/>
  <c r="AA33"/>
  <c r="Z33"/>
  <c r="O33"/>
  <c r="N33"/>
  <c r="C33"/>
  <c r="B33"/>
  <c r="D33" s="1"/>
  <c r="GY32"/>
  <c r="GX32"/>
  <c r="GM32"/>
  <c r="GL32"/>
  <c r="GA32"/>
  <c r="FZ32"/>
  <c r="GB32" s="1"/>
  <c r="FO32"/>
  <c r="FN32"/>
  <c r="FC32"/>
  <c r="FB32"/>
  <c r="EQ32"/>
  <c r="EP32"/>
  <c r="EE32"/>
  <c r="ED32"/>
  <c r="DS32"/>
  <c r="DR32"/>
  <c r="DT32" s="1"/>
  <c r="DX32" s="1"/>
  <c r="DG32"/>
  <c r="DF32"/>
  <c r="CU32"/>
  <c r="CT32"/>
  <c r="CI32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D32" s="1"/>
  <c r="GY31"/>
  <c r="GX31"/>
  <c r="GZ31" s="1"/>
  <c r="HC31" s="1"/>
  <c r="GM31"/>
  <c r="GL31"/>
  <c r="GA31"/>
  <c r="FZ31"/>
  <c r="FO31"/>
  <c r="FN31"/>
  <c r="FC31"/>
  <c r="FB31"/>
  <c r="EQ31"/>
  <c r="EP31"/>
  <c r="EE31"/>
  <c r="ED31"/>
  <c r="EF31" s="1"/>
  <c r="DS31"/>
  <c r="DR31"/>
  <c r="DG31"/>
  <c r="DF31"/>
  <c r="CU31"/>
  <c r="CT31"/>
  <c r="CI31"/>
  <c r="CH31"/>
  <c r="BW31"/>
  <c r="BV31"/>
  <c r="BK31"/>
  <c r="BJ31"/>
  <c r="BL31" s="1"/>
  <c r="AY31"/>
  <c r="AX31"/>
  <c r="AZ31" s="1"/>
  <c r="AM31"/>
  <c r="AL31"/>
  <c r="AA31"/>
  <c r="Z31"/>
  <c r="AB31" s="1"/>
  <c r="O31"/>
  <c r="N31"/>
  <c r="P31" s="1"/>
  <c r="T31" s="1"/>
  <c r="C31"/>
  <c r="B31"/>
  <c r="D31" s="1"/>
  <c r="G31" s="1"/>
  <c r="GY30"/>
  <c r="GX30"/>
  <c r="GM30"/>
  <c r="GL30"/>
  <c r="GA30"/>
  <c r="FZ30"/>
  <c r="FO30"/>
  <c r="FN30"/>
  <c r="FC30"/>
  <c r="FB30"/>
  <c r="EQ30"/>
  <c r="EP30"/>
  <c r="EE30"/>
  <c r="ED30"/>
  <c r="DS30"/>
  <c r="DR30"/>
  <c r="DT30" s="1"/>
  <c r="DG30"/>
  <c r="DF30"/>
  <c r="DH30" s="1"/>
  <c r="DK30" s="1"/>
  <c r="CU30"/>
  <c r="CT30"/>
  <c r="CI30"/>
  <c r="CH30"/>
  <c r="BW30"/>
  <c r="BV30"/>
  <c r="BX30" s="1"/>
  <c r="BK30"/>
  <c r="BJ30"/>
  <c r="AY30"/>
  <c r="AX30"/>
  <c r="AM30"/>
  <c r="AL30"/>
  <c r="AA30"/>
  <c r="Z30"/>
  <c r="AB30" s="1"/>
  <c r="AE30" s="1"/>
  <c r="O30"/>
  <c r="N30"/>
  <c r="P30" s="1"/>
  <c r="C30"/>
  <c r="B30"/>
  <c r="D30" s="1"/>
  <c r="H30" s="1"/>
  <c r="GY29"/>
  <c r="GX29"/>
  <c r="GM29"/>
  <c r="GL29"/>
  <c r="GN29" s="1"/>
  <c r="GA29"/>
  <c r="FZ29"/>
  <c r="FO29"/>
  <c r="FN29"/>
  <c r="FC29"/>
  <c r="FB29"/>
  <c r="EQ29"/>
  <c r="EP29"/>
  <c r="EE29"/>
  <c r="ED29"/>
  <c r="DS29"/>
  <c r="DR29"/>
  <c r="DT29" s="1"/>
  <c r="DX29" s="1"/>
  <c r="DG29"/>
  <c r="DF29"/>
  <c r="CU29"/>
  <c r="CT29"/>
  <c r="CV29" s="1"/>
  <c r="CI29"/>
  <c r="CH29"/>
  <c r="BW29"/>
  <c r="BV29"/>
  <c r="BK29"/>
  <c r="BJ29"/>
  <c r="AY29"/>
  <c r="AX29"/>
  <c r="AZ29" s="1"/>
  <c r="AM29"/>
  <c r="AL29"/>
  <c r="AA29"/>
  <c r="Z29"/>
  <c r="O29"/>
  <c r="N29"/>
  <c r="C29"/>
  <c r="B29"/>
  <c r="D29" s="1"/>
  <c r="GY28"/>
  <c r="GX28"/>
  <c r="GM28"/>
  <c r="GL28"/>
  <c r="GA28"/>
  <c r="FZ28"/>
  <c r="FO28"/>
  <c r="FN28"/>
  <c r="FC28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H28"/>
  <c r="BW28"/>
  <c r="BV28"/>
  <c r="BX28" s="1"/>
  <c r="CA28" s="1"/>
  <c r="BK28"/>
  <c r="BJ28"/>
  <c r="AY28"/>
  <c r="AX28"/>
  <c r="AZ28" s="1"/>
  <c r="AM28"/>
  <c r="AL28"/>
  <c r="AA28"/>
  <c r="Z28"/>
  <c r="AB28" s="1"/>
  <c r="O28"/>
  <c r="N28"/>
  <c r="C28"/>
  <c r="B28"/>
  <c r="GY27"/>
  <c r="GX27"/>
  <c r="GM27"/>
  <c r="GL27"/>
  <c r="GA27"/>
  <c r="FZ27"/>
  <c r="FO27"/>
  <c r="FN27"/>
  <c r="FC27"/>
  <c r="FB27"/>
  <c r="EQ27"/>
  <c r="EP27"/>
  <c r="EE27"/>
  <c r="ED27"/>
  <c r="DS27"/>
  <c r="DR27"/>
  <c r="DG27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L27"/>
  <c r="AN27" s="1"/>
  <c r="AA27"/>
  <c r="Z27"/>
  <c r="O27"/>
  <c r="N27"/>
  <c r="C27"/>
  <c r="B27"/>
  <c r="D27" s="1"/>
  <c r="GY26"/>
  <c r="GX26"/>
  <c r="GM26"/>
  <c r="GL26"/>
  <c r="GA26"/>
  <c r="FZ26"/>
  <c r="FO26"/>
  <c r="FN26"/>
  <c r="FC26"/>
  <c r="FB26"/>
  <c r="EQ26"/>
  <c r="EP26"/>
  <c r="EE26"/>
  <c r="ED26"/>
  <c r="DS26"/>
  <c r="DR26"/>
  <c r="DG26"/>
  <c r="DF26"/>
  <c r="DH26" s="1"/>
  <c r="DK26" s="1"/>
  <c r="CU26"/>
  <c r="CT26"/>
  <c r="CV26" s="1"/>
  <c r="CI26"/>
  <c r="CH26"/>
  <c r="BW26"/>
  <c r="BV26"/>
  <c r="BX26" s="1"/>
  <c r="BK26"/>
  <c r="BJ26"/>
  <c r="AY26"/>
  <c r="AX26"/>
  <c r="AZ26" s="1"/>
  <c r="BC26" s="1"/>
  <c r="AM26"/>
  <c r="AL26"/>
  <c r="AA26"/>
  <c r="Z26"/>
  <c r="AB26" s="1"/>
  <c r="O26"/>
  <c r="N26"/>
  <c r="P26" s="1"/>
  <c r="S26" s="1"/>
  <c r="C26"/>
  <c r="B26"/>
  <c r="GY25"/>
  <c r="GX25"/>
  <c r="GM25"/>
  <c r="GL25"/>
  <c r="GN25" s="1"/>
  <c r="GQ25" s="1"/>
  <c r="GA25"/>
  <c r="FZ25"/>
  <c r="GB25" s="1"/>
  <c r="GE25" s="1"/>
  <c r="FO25"/>
  <c r="FN25"/>
  <c r="FP25" s="1"/>
  <c r="FS25" s="1"/>
  <c r="FC25"/>
  <c r="FB25"/>
  <c r="EQ25"/>
  <c r="EP25"/>
  <c r="ER25" s="1"/>
  <c r="EE25"/>
  <c r="ED25"/>
  <c r="EF25" s="1"/>
  <c r="DS25"/>
  <c r="DR25"/>
  <c r="DT25" s="1"/>
  <c r="DW25" s="1"/>
  <c r="DG25"/>
  <c r="DF25"/>
  <c r="CU25"/>
  <c r="CT25"/>
  <c r="CV25" s="1"/>
  <c r="CY25" s="1"/>
  <c r="CI25"/>
  <c r="CH25"/>
  <c r="BW25"/>
  <c r="BV25"/>
  <c r="BK25"/>
  <c r="BJ25"/>
  <c r="AY25"/>
  <c r="AX25"/>
  <c r="AZ25" s="1"/>
  <c r="AM25"/>
  <c r="AL25"/>
  <c r="AA25"/>
  <c r="Z25"/>
  <c r="O25"/>
  <c r="N25"/>
  <c r="C25"/>
  <c r="B25"/>
  <c r="D25" s="1"/>
  <c r="G25" s="1"/>
  <c r="GY24"/>
  <c r="GX24"/>
  <c r="GM24"/>
  <c r="GL24"/>
  <c r="GA24"/>
  <c r="FZ24"/>
  <c r="FO24"/>
  <c r="FN24"/>
  <c r="FP24" s="1"/>
  <c r="FC24"/>
  <c r="FB24"/>
  <c r="EQ24"/>
  <c r="EP24"/>
  <c r="ER24" s="1"/>
  <c r="EU24" s="1"/>
  <c r="EE24"/>
  <c r="ED24"/>
  <c r="DS24"/>
  <c r="DR24"/>
  <c r="DT24" s="1"/>
  <c r="DW24" s="1"/>
  <c r="DG24"/>
  <c r="DF24"/>
  <c r="CU24"/>
  <c r="CT24"/>
  <c r="CV24" s="1"/>
  <c r="CI24"/>
  <c r="CH24"/>
  <c r="BW24"/>
  <c r="BV24"/>
  <c r="BX24" s="1"/>
  <c r="BK24"/>
  <c r="BJ24"/>
  <c r="BL24" s="1"/>
  <c r="BO24" s="1"/>
  <c r="AY24"/>
  <c r="AX24"/>
  <c r="AZ24" s="1"/>
  <c r="AM24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FO23"/>
  <c r="FN23"/>
  <c r="FP23" s="1"/>
  <c r="FS23" s="1"/>
  <c r="FC23"/>
  <c r="FB23"/>
  <c r="EQ23"/>
  <c r="EP23"/>
  <c r="ER23" s="1"/>
  <c r="EU23" s="1"/>
  <c r="EE23"/>
  <c r="ED23"/>
  <c r="EF23" s="1"/>
  <c r="EI23" s="1"/>
  <c r="DS23"/>
  <c r="DR23"/>
  <c r="DG23"/>
  <c r="DF23"/>
  <c r="CU23"/>
  <c r="CT23"/>
  <c r="CV23" s="1"/>
  <c r="CY23" s="1"/>
  <c r="CI23"/>
  <c r="CH23"/>
  <c r="BW23"/>
  <c r="BV23"/>
  <c r="BK23"/>
  <c r="BJ23"/>
  <c r="AY23"/>
  <c r="AX23"/>
  <c r="AZ23" s="1"/>
  <c r="AM23"/>
  <c r="AL23"/>
  <c r="AA23"/>
  <c r="Z23"/>
  <c r="AB23" s="1"/>
  <c r="AE23" s="1"/>
  <c r="O23"/>
  <c r="N23"/>
  <c r="C23"/>
  <c r="B23"/>
  <c r="GY22"/>
  <c r="GX22"/>
  <c r="GM22"/>
  <c r="GL22"/>
  <c r="GN22" s="1"/>
  <c r="GA22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H22"/>
  <c r="BW22"/>
  <c r="BV22"/>
  <c r="BX22" s="1"/>
  <c r="CA22" s="1"/>
  <c r="BK22"/>
  <c r="BJ22"/>
  <c r="BL22" s="1"/>
  <c r="AY22"/>
  <c r="AX22"/>
  <c r="AM22"/>
  <c r="AL22"/>
  <c r="AA22"/>
  <c r="Z22"/>
  <c r="AB22" s="1"/>
  <c r="O22"/>
  <c r="N22"/>
  <c r="C22"/>
  <c r="B22"/>
  <c r="GY21"/>
  <c r="GX21"/>
  <c r="GM21"/>
  <c r="GL21"/>
  <c r="GN21" s="1"/>
  <c r="GQ21" s="1"/>
  <c r="GA21"/>
  <c r="FZ21"/>
  <c r="FO21"/>
  <c r="FN21"/>
  <c r="FP21" s="1"/>
  <c r="FT21" s="1"/>
  <c r="FC21"/>
  <c r="FB21"/>
  <c r="EQ21"/>
  <c r="EP21"/>
  <c r="ER21" s="1"/>
  <c r="EU21" s="1"/>
  <c r="EE21"/>
  <c r="ED21"/>
  <c r="EF21" s="1"/>
  <c r="EJ21" s="1"/>
  <c r="DS21"/>
  <c r="DR21"/>
  <c r="DT21" s="1"/>
  <c r="DW21" s="1"/>
  <c r="DG21"/>
  <c r="DF21"/>
  <c r="CU21"/>
  <c r="CT21"/>
  <c r="CV21" s="1"/>
  <c r="CY21" s="1"/>
  <c r="CI21"/>
  <c r="CH21"/>
  <c r="CJ21" s="1"/>
  <c r="CM21" s="1"/>
  <c r="BW21"/>
  <c r="BV21"/>
  <c r="BK21"/>
  <c r="BJ21"/>
  <c r="AY21"/>
  <c r="AX21"/>
  <c r="AZ21" s="1"/>
  <c r="AM21"/>
  <c r="AL21"/>
  <c r="AN21" s="1"/>
  <c r="AQ21" s="1"/>
  <c r="AA21"/>
  <c r="Z21"/>
  <c r="O21"/>
  <c r="N21"/>
  <c r="C21"/>
  <c r="B21"/>
  <c r="GY20"/>
  <c r="GX20"/>
  <c r="GM20"/>
  <c r="GL20"/>
  <c r="GN20" s="1"/>
  <c r="GQ20" s="1"/>
  <c r="GA20"/>
  <c r="FZ20"/>
  <c r="FO20"/>
  <c r="FN20"/>
  <c r="FP20" s="1"/>
  <c r="FS20" s="1"/>
  <c r="FC20"/>
  <c r="FB20"/>
  <c r="EQ20"/>
  <c r="EP20"/>
  <c r="ER20" s="1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AY20"/>
  <c r="AX20"/>
  <c r="AM20"/>
  <c r="AL20"/>
  <c r="AA20"/>
  <c r="Z20"/>
  <c r="AB20" s="1"/>
  <c r="AE20" s="1"/>
  <c r="O20"/>
  <c r="N20"/>
  <c r="P20" s="1"/>
  <c r="T20" s="1"/>
  <c r="C20"/>
  <c r="B20"/>
  <c r="GY19"/>
  <c r="GX19"/>
  <c r="GM19"/>
  <c r="GL19"/>
  <c r="GN19" s="1"/>
  <c r="GA19"/>
  <c r="FZ19"/>
  <c r="FO19"/>
  <c r="FN19"/>
  <c r="FC19"/>
  <c r="FB19"/>
  <c r="EQ19"/>
  <c r="EP19"/>
  <c r="ER19" s="1"/>
  <c r="EU19" s="1"/>
  <c r="EE19"/>
  <c r="ED19"/>
  <c r="DS19"/>
  <c r="DR19"/>
  <c r="DT19" s="1"/>
  <c r="DX19" s="1"/>
  <c r="DG19"/>
  <c r="DF19"/>
  <c r="CU19"/>
  <c r="CT19"/>
  <c r="CV19" s="1"/>
  <c r="CI19"/>
  <c r="CH19"/>
  <c r="CJ19" s="1"/>
  <c r="CN19" s="1"/>
  <c r="BW19"/>
  <c r="BV19"/>
  <c r="BK19"/>
  <c r="BJ19"/>
  <c r="AY19"/>
  <c r="AX19"/>
  <c r="AM19"/>
  <c r="AL19"/>
  <c r="AA19"/>
  <c r="Z19"/>
  <c r="O19"/>
  <c r="N19"/>
  <c r="C19"/>
  <c r="B19"/>
  <c r="D19" s="1"/>
  <c r="GY18"/>
  <c r="GX18"/>
  <c r="GM18"/>
  <c r="GL18"/>
  <c r="GN18" s="1"/>
  <c r="GQ18" s="1"/>
  <c r="GA18"/>
  <c r="FZ18"/>
  <c r="FO18"/>
  <c r="FN18"/>
  <c r="FP18" s="1"/>
  <c r="FS18" s="1"/>
  <c r="FC18"/>
  <c r="FB18"/>
  <c r="EQ18"/>
  <c r="EP18"/>
  <c r="EE18"/>
  <c r="ED18"/>
  <c r="DS18"/>
  <c r="DR18"/>
  <c r="DT18" s="1"/>
  <c r="DG18"/>
  <c r="DF18"/>
  <c r="DH18" s="1"/>
  <c r="DK18" s="1"/>
  <c r="CU18"/>
  <c r="CT18"/>
  <c r="CI18"/>
  <c r="CH18"/>
  <c r="BW18"/>
  <c r="BV18"/>
  <c r="BX18" s="1"/>
  <c r="BK18"/>
  <c r="BJ18"/>
  <c r="AY18"/>
  <c r="AX18"/>
  <c r="AM18"/>
  <c r="AL18"/>
  <c r="AA18"/>
  <c r="Z18"/>
  <c r="O18"/>
  <c r="N18"/>
  <c r="C18"/>
  <c r="B18"/>
  <c r="GY17"/>
  <c r="GX17"/>
  <c r="GM17"/>
  <c r="GL17"/>
  <c r="GN17" s="1"/>
  <c r="GR17" s="1"/>
  <c r="GA17"/>
  <c r="FZ17"/>
  <c r="FO17"/>
  <c r="FN17"/>
  <c r="FP17" s="1"/>
  <c r="FC17"/>
  <c r="FB17"/>
  <c r="EQ17"/>
  <c r="EP17"/>
  <c r="ER17" s="1"/>
  <c r="EU17" s="1"/>
  <c r="EE17"/>
  <c r="ED17"/>
  <c r="DS17"/>
  <c r="DR17"/>
  <c r="DT17" s="1"/>
  <c r="DW17" s="1"/>
  <c r="DG17"/>
  <c r="DF17"/>
  <c r="CU17"/>
  <c r="CT17"/>
  <c r="CV17" s="1"/>
  <c r="CZ17" s="1"/>
  <c r="CI17"/>
  <c r="CH17"/>
  <c r="BW17"/>
  <c r="BV17"/>
  <c r="BK17"/>
  <c r="BJ17"/>
  <c r="AY17"/>
  <c r="AX17"/>
  <c r="AM17"/>
  <c r="AL17"/>
  <c r="AA17"/>
  <c r="Z17"/>
  <c r="O17"/>
  <c r="N17"/>
  <c r="C17"/>
  <c r="B17"/>
  <c r="D17" s="1"/>
  <c r="GY16"/>
  <c r="GX16"/>
  <c r="GM16"/>
  <c r="GL16"/>
  <c r="GA16"/>
  <c r="FZ16"/>
  <c r="FO16"/>
  <c r="FN16"/>
  <c r="FP16" s="1"/>
  <c r="FC16"/>
  <c r="FB16"/>
  <c r="EQ16"/>
  <c r="EP16"/>
  <c r="ER16" s="1"/>
  <c r="EE16"/>
  <c r="ED16"/>
  <c r="DS16"/>
  <c r="DR16"/>
  <c r="DT16" s="1"/>
  <c r="DG16"/>
  <c r="DF16"/>
  <c r="DH16" s="1"/>
  <c r="CU16"/>
  <c r="CT16"/>
  <c r="CI16"/>
  <c r="CH16"/>
  <c r="BW16"/>
  <c r="BV16"/>
  <c r="BX16" s="1"/>
  <c r="BK16"/>
  <c r="BJ16"/>
  <c r="AY16"/>
  <c r="AX16"/>
  <c r="AM16"/>
  <c r="AL16"/>
  <c r="AA16"/>
  <c r="Z16"/>
  <c r="AB16" s="1"/>
  <c r="O16"/>
  <c r="N16"/>
  <c r="P16" s="1"/>
  <c r="C16"/>
  <c r="B16"/>
  <c r="D16" s="1"/>
  <c r="GY15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V15" s="1"/>
  <c r="CI15"/>
  <c r="CH15"/>
  <c r="BW15"/>
  <c r="BV15"/>
  <c r="BK15"/>
  <c r="BJ15"/>
  <c r="AY15"/>
  <c r="AX15"/>
  <c r="AZ15" s="1"/>
  <c r="AM15"/>
  <c r="AL15"/>
  <c r="AA15"/>
  <c r="Z15"/>
  <c r="O15"/>
  <c r="N15"/>
  <c r="C15"/>
  <c r="B15"/>
  <c r="D15" s="1"/>
  <c r="GY14"/>
  <c r="GX14"/>
  <c r="GM14"/>
  <c r="GL14"/>
  <c r="GN14" s="1"/>
  <c r="GR14" s="1"/>
  <c r="GA14"/>
  <c r="FZ14"/>
  <c r="FO14"/>
  <c r="FN14"/>
  <c r="FP14" s="1"/>
  <c r="FC14"/>
  <c r="FB14"/>
  <c r="EQ14"/>
  <c r="EP14"/>
  <c r="EE14"/>
  <c r="ED14"/>
  <c r="DS14"/>
  <c r="DR14"/>
  <c r="DT14" s="1"/>
  <c r="DG14"/>
  <c r="DF14"/>
  <c r="DH14" s="1"/>
  <c r="DL14" s="1"/>
  <c r="CU14"/>
  <c r="CT14"/>
  <c r="CI14"/>
  <c r="CH14"/>
  <c r="BW14"/>
  <c r="BV14"/>
  <c r="BX14" s="1"/>
  <c r="CB14" s="1"/>
  <c r="BK14"/>
  <c r="BJ14"/>
  <c r="BL14" s="1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FZ13"/>
  <c r="FO13"/>
  <c r="FN13"/>
  <c r="FC13"/>
  <c r="FB13"/>
  <c r="EQ13"/>
  <c r="EP13"/>
  <c r="ER13" s="1"/>
  <c r="EE13"/>
  <c r="ED13"/>
  <c r="EF13" s="1"/>
  <c r="EJ13" s="1"/>
  <c r="DS13"/>
  <c r="DR13"/>
  <c r="DG13"/>
  <c r="DF13"/>
  <c r="CU13"/>
  <c r="CT13"/>
  <c r="CI13"/>
  <c r="CH13"/>
  <c r="BW13"/>
  <c r="BV13"/>
  <c r="BK13"/>
  <c r="BJ13"/>
  <c r="AY13"/>
  <c r="AX13"/>
  <c r="AZ13" s="1"/>
  <c r="AM13"/>
  <c r="AL13"/>
  <c r="AA13"/>
  <c r="Z13"/>
  <c r="O13"/>
  <c r="N13"/>
  <c r="C13"/>
  <c r="B13"/>
  <c r="D13" s="1"/>
  <c r="GY12"/>
  <c r="GX12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F12"/>
  <c r="CU12"/>
  <c r="CT12"/>
  <c r="CI12"/>
  <c r="CH12"/>
  <c r="BW12"/>
  <c r="BV12"/>
  <c r="BX12" s="1"/>
  <c r="BK12"/>
  <c r="BJ12"/>
  <c r="BL12" s="1"/>
  <c r="BO12" s="1"/>
  <c r="AY12"/>
  <c r="AX12"/>
  <c r="AM12"/>
  <c r="AL12"/>
  <c r="AA12"/>
  <c r="Z12"/>
  <c r="AB12" s="1"/>
  <c r="AF12" s="1"/>
  <c r="O12"/>
  <c r="N12"/>
  <c r="C12"/>
  <c r="B12"/>
  <c r="D12" s="1"/>
  <c r="H12" s="1"/>
  <c r="GY11"/>
  <c r="GX11"/>
  <c r="GM11"/>
  <c r="GL11"/>
  <c r="GN11" s="1"/>
  <c r="GA11"/>
  <c r="FZ11"/>
  <c r="GB11" s="1"/>
  <c r="FO11"/>
  <c r="FN11"/>
  <c r="FP11" s="1"/>
  <c r="FT11" s="1"/>
  <c r="FC11"/>
  <c r="FB11"/>
  <c r="EQ11"/>
  <c r="EP11"/>
  <c r="ER11" s="1"/>
  <c r="EU11" s="1"/>
  <c r="EE11"/>
  <c r="ED11"/>
  <c r="EF11" s="1"/>
  <c r="EJ11" s="1"/>
  <c r="DS11"/>
  <c r="DR11"/>
  <c r="DT11" s="1"/>
  <c r="DW11" s="1"/>
  <c r="DG11"/>
  <c r="DF11"/>
  <c r="CU11"/>
  <c r="CT11"/>
  <c r="CV11" s="1"/>
  <c r="CI11"/>
  <c r="CH11"/>
  <c r="BW11"/>
  <c r="BV11"/>
  <c r="BK11"/>
  <c r="BJ11"/>
  <c r="AY11"/>
  <c r="AX11"/>
  <c r="AZ11" s="1"/>
  <c r="AM11"/>
  <c r="AL11"/>
  <c r="AN11" s="1"/>
  <c r="AR11" s="1"/>
  <c r="AA11"/>
  <c r="Z11"/>
  <c r="O11"/>
  <c r="N11"/>
  <c r="C11"/>
  <c r="B11"/>
  <c r="D11" s="1"/>
  <c r="GY10"/>
  <c r="GX10"/>
  <c r="GZ10" s="1"/>
  <c r="HD10" s="1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CU10"/>
  <c r="CT10"/>
  <c r="CI10"/>
  <c r="CH10"/>
  <c r="BW10"/>
  <c r="BV10"/>
  <c r="BX10" s="1"/>
  <c r="BK10"/>
  <c r="BJ10"/>
  <c r="AY10"/>
  <c r="AX10"/>
  <c r="AM10"/>
  <c r="AL10"/>
  <c r="AA10"/>
  <c r="Z10"/>
  <c r="AB10" s="1"/>
  <c r="O10"/>
  <c r="N10"/>
  <c r="P10" s="1"/>
  <c r="C10"/>
  <c r="B10"/>
  <c r="D10" s="1"/>
  <c r="GY9"/>
  <c r="GX9"/>
  <c r="GM9"/>
  <c r="GL9"/>
  <c r="GN9" s="1"/>
  <c r="GQ9" s="1"/>
  <c r="GA9"/>
  <c r="FZ9"/>
  <c r="FO9"/>
  <c r="FN9"/>
  <c r="FP9" s="1"/>
  <c r="FC9"/>
  <c r="FB9"/>
  <c r="EQ9"/>
  <c r="EP9"/>
  <c r="ER9" s="1"/>
  <c r="EE9"/>
  <c r="ED9"/>
  <c r="DS9"/>
  <c r="DR9"/>
  <c r="DG9"/>
  <c r="DF9"/>
  <c r="CU9"/>
  <c r="CT9"/>
  <c r="CV9" s="1"/>
  <c r="CI9"/>
  <c r="CH9"/>
  <c r="BW9"/>
  <c r="BV9"/>
  <c r="BK9"/>
  <c r="BJ9"/>
  <c r="AY9"/>
  <c r="AX9"/>
  <c r="AZ9" s="1"/>
  <c r="AM9"/>
  <c r="AL9"/>
  <c r="AN9" s="1"/>
  <c r="AA9"/>
  <c r="Z9"/>
  <c r="O9"/>
  <c r="N9"/>
  <c r="C9"/>
  <c r="B9"/>
  <c r="D9" s="1"/>
  <c r="GY8"/>
  <c r="GX8"/>
  <c r="GM8"/>
  <c r="GL8"/>
  <c r="GA8"/>
  <c r="FZ8"/>
  <c r="FO8"/>
  <c r="FN8"/>
  <c r="FP8" s="1"/>
  <c r="FC8"/>
  <c r="FB8"/>
  <c r="FD8" s="1"/>
  <c r="EQ8"/>
  <c r="EP8"/>
  <c r="EE8"/>
  <c r="ED8"/>
  <c r="DS8"/>
  <c r="DR8"/>
  <c r="DT8" s="1"/>
  <c r="DG8"/>
  <c r="DF8"/>
  <c r="DH8" s="1"/>
  <c r="CU8"/>
  <c r="CT8"/>
  <c r="CI8"/>
  <c r="CH8"/>
  <c r="BW8"/>
  <c r="BV8"/>
  <c r="BX8" s="1"/>
  <c r="BK8"/>
  <c r="BJ8"/>
  <c r="AY8"/>
  <c r="AX8"/>
  <c r="AZ8" s="1"/>
  <c r="BD8" s="1"/>
  <c r="AM8"/>
  <c r="AL8"/>
  <c r="AA8"/>
  <c r="Z8"/>
  <c r="AB8" s="1"/>
  <c r="AF8" s="1"/>
  <c r="O8"/>
  <c r="N8"/>
  <c r="C8"/>
  <c r="B8"/>
  <c r="D8" s="1"/>
  <c r="GY7"/>
  <c r="GX7"/>
  <c r="GM7"/>
  <c r="GL7"/>
  <c r="GN7" s="1"/>
  <c r="GR7" s="1"/>
  <c r="GA7"/>
  <c r="FZ7"/>
  <c r="GB7" s="1"/>
  <c r="FO7"/>
  <c r="FN7"/>
  <c r="FP7" s="1"/>
  <c r="FC7"/>
  <c r="FB7"/>
  <c r="EQ7"/>
  <c r="EP7"/>
  <c r="ER7" s="1"/>
  <c r="EE7"/>
  <c r="ED7"/>
  <c r="DS7"/>
  <c r="DR7"/>
  <c r="DG7"/>
  <c r="DF7"/>
  <c r="CU7"/>
  <c r="CT7"/>
  <c r="CV7" s="1"/>
  <c r="CI7"/>
  <c r="CH7"/>
  <c r="BW7"/>
  <c r="BV7"/>
  <c r="BK7"/>
  <c r="BJ7"/>
  <c r="AY7"/>
  <c r="AX7"/>
  <c r="AZ7" s="1"/>
  <c r="AM7"/>
  <c r="AL7"/>
  <c r="AA7"/>
  <c r="Z7"/>
  <c r="O7"/>
  <c r="N7"/>
  <c r="C7"/>
  <c r="B7"/>
  <c r="D7" s="1"/>
  <c r="GY6"/>
  <c r="GX6"/>
  <c r="GM6"/>
  <c r="GL6"/>
  <c r="GN6" s="1"/>
  <c r="GA6"/>
  <c r="FZ6"/>
  <c r="FO6"/>
  <c r="FN6"/>
  <c r="FP6" s="1"/>
  <c r="FC6"/>
  <c r="FB6"/>
  <c r="EQ6"/>
  <c r="EP6"/>
  <c r="EE6"/>
  <c r="ED6"/>
  <c r="DS6"/>
  <c r="DR6"/>
  <c r="DT6" s="1"/>
  <c r="DW6" s="1"/>
  <c r="DG6"/>
  <c r="DF6"/>
  <c r="DH6" s="1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S5" s="1"/>
  <c r="FC5"/>
  <c r="FE5" s="1"/>
  <c r="FB5"/>
  <c r="EQ5"/>
  <c r="EP5"/>
  <c r="ER5" s="1"/>
  <c r="EE5"/>
  <c r="EG5" s="1"/>
  <c r="EL5" s="1"/>
  <c r="ED5"/>
  <c r="DS5"/>
  <c r="DR5"/>
  <c r="DG5"/>
  <c r="DF5"/>
  <c r="CU5"/>
  <c r="CT5"/>
  <c r="CV5" s="1"/>
  <c r="CI5"/>
  <c r="CH5"/>
  <c r="BW5"/>
  <c r="BV5"/>
  <c r="BK5"/>
  <c r="BJ5"/>
  <c r="AY5"/>
  <c r="AX5"/>
  <c r="AZ5" s="1"/>
  <c r="BD5" s="1"/>
  <c r="AM5"/>
  <c r="AL5"/>
  <c r="AA5"/>
  <c r="Z5"/>
  <c r="O5"/>
  <c r="N5"/>
  <c r="C5"/>
  <c r="B5"/>
  <c r="BM86"/>
  <c r="BQ86" s="1"/>
  <c r="HB83"/>
  <c r="BL83"/>
  <c r="DH81"/>
  <c r="DH80"/>
  <c r="DK80" s="1"/>
  <c r="BL80"/>
  <c r="BO80" s="1"/>
  <c r="GB79"/>
  <c r="GE79" s="1"/>
  <c r="ER79"/>
  <c r="EV79" s="1"/>
  <c r="DH76"/>
  <c r="AN71"/>
  <c r="AQ71" s="1"/>
  <c r="CJ69"/>
  <c r="CM69" s="1"/>
  <c r="EF67"/>
  <c r="EI67" s="1"/>
  <c r="AN60"/>
  <c r="DH59"/>
  <c r="DK59" s="1"/>
  <c r="GB58"/>
  <c r="EF58"/>
  <c r="EJ58" s="1"/>
  <c r="DH57"/>
  <c r="DL57" s="1"/>
  <c r="BL57"/>
  <c r="GB56"/>
  <c r="HD55"/>
  <c r="FD55"/>
  <c r="FH55" s="1"/>
  <c r="EF54"/>
  <c r="DH53"/>
  <c r="BL53"/>
  <c r="BP53" s="1"/>
  <c r="GB52"/>
  <c r="FD50"/>
  <c r="FG50" s="1"/>
  <c r="GB46"/>
  <c r="GZ45"/>
  <c r="HC45" s="1"/>
  <c r="P45"/>
  <c r="S45" s="1"/>
  <c r="AN44"/>
  <c r="AQ44" s="1"/>
  <c r="DH43"/>
  <c r="DK43" s="1"/>
  <c r="CJ42"/>
  <c r="CM42" s="1"/>
  <c r="DH41"/>
  <c r="EF40"/>
  <c r="GZ37"/>
  <c r="DH37"/>
  <c r="BL37"/>
  <c r="BO37" s="1"/>
  <c r="CJ36"/>
  <c r="AN36"/>
  <c r="AQ36" s="1"/>
  <c r="FE35"/>
  <c r="BL35"/>
  <c r="P35"/>
  <c r="S35" s="1"/>
  <c r="GB34"/>
  <c r="GE34" s="1"/>
  <c r="CJ34"/>
  <c r="CM34" s="1"/>
  <c r="AN34"/>
  <c r="GZ33"/>
  <c r="DH33"/>
  <c r="DL33" s="1"/>
  <c r="BL33"/>
  <c r="P33"/>
  <c r="S33" s="1"/>
  <c r="CJ32"/>
  <c r="FD31"/>
  <c r="DH31"/>
  <c r="EF29"/>
  <c r="EI29" s="1"/>
  <c r="CJ29"/>
  <c r="EF27"/>
  <c r="AN25"/>
  <c r="DH24"/>
  <c r="DK24" s="1"/>
  <c r="GZ22"/>
  <c r="HC22" s="1"/>
  <c r="DH20"/>
  <c r="BL20"/>
  <c r="BO20" s="1"/>
  <c r="P18"/>
  <c r="S18" s="1"/>
  <c r="AN15"/>
  <c r="CL14"/>
  <c r="P14"/>
  <c r="T14" s="1"/>
  <c r="CJ13"/>
  <c r="CN13" s="1"/>
  <c r="AN13"/>
  <c r="FD12"/>
  <c r="EG11"/>
  <c r="FD10"/>
  <c r="FG10" s="1"/>
  <c r="GB9"/>
  <c r="GF9" s="1"/>
  <c r="P8"/>
  <c r="GB5"/>
  <c r="AN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BX29"/>
  <c r="DT29"/>
  <c r="B31"/>
  <c r="B169" s="1"/>
  <c r="AX31"/>
  <c r="CT31"/>
  <c r="CT169" s="1"/>
  <c r="B33"/>
  <c r="AF33"/>
  <c r="AI33"/>
  <c r="BY117" s="1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X36"/>
  <c r="CB36"/>
  <c r="BV225" s="1"/>
  <c r="BW240" s="1"/>
  <c r="CE36"/>
  <c r="CL36"/>
  <c r="CT36"/>
  <c r="DX36"/>
  <c r="DT173" s="1"/>
  <c r="EA36"/>
  <c r="EH36"/>
  <c r="EB187" s="1"/>
  <c r="AA38"/>
  <c r="BW38"/>
  <c r="BK144" s="1"/>
  <c r="DS38"/>
  <c r="CX134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 s="1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K4" i="16"/>
  <c r="B9"/>
  <c r="B12"/>
  <c r="K15"/>
  <c r="W1" i="2"/>
  <c r="P10"/>
  <c r="B12"/>
  <c r="B4" i="21"/>
  <c r="N20" i="2"/>
  <c r="AC20"/>
  <c r="AD20"/>
  <c r="D38" i="13"/>
  <c r="C5" i="21"/>
  <c r="AD21" i="2"/>
  <c r="D69" i="13"/>
  <c r="AD22" i="2"/>
  <c r="D100" i="13"/>
  <c r="C7" i="21"/>
  <c r="AD23" i="2"/>
  <c r="B8" i="21"/>
  <c r="D132" i="13"/>
  <c r="AD24" i="2"/>
  <c r="D164" i="13"/>
  <c r="D166"/>
  <c r="AD25" i="2"/>
  <c r="D197" i="13"/>
  <c r="AD26" i="2"/>
  <c r="D230" i="13"/>
  <c r="D232"/>
  <c r="AD27" i="2"/>
  <c r="D262" i="13"/>
  <c r="D264"/>
  <c r="AD28" i="2"/>
  <c r="B13" i="21"/>
  <c r="AD29" i="2"/>
  <c r="D326" i="13"/>
  <c r="D328"/>
  <c r="AD30" i="2"/>
  <c r="D358" i="13"/>
  <c r="D360"/>
  <c r="AD31" i="2"/>
  <c r="AD32"/>
  <c r="AD33"/>
  <c r="D454" i="13"/>
  <c r="C18" i="21"/>
  <c r="AD34" i="2"/>
  <c r="D486" i="13"/>
  <c r="C19" i="21"/>
  <c r="AD35" i="2"/>
  <c r="D518" i="13"/>
  <c r="D520"/>
  <c r="AD36" i="2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J30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I38" i="11" s="1"/>
  <c r="C34" i="6"/>
  <c r="D34"/>
  <c r="E34"/>
  <c r="B35"/>
  <c r="I39" i="11" s="1"/>
  <c r="C35" i="6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F150" i="19"/>
  <c r="CF151" i="18"/>
  <c r="BX210" i="17"/>
  <c r="CY75" i="22"/>
  <c r="S55"/>
  <c r="BD53"/>
  <c r="BO53"/>
  <c r="HC55"/>
  <c r="CN54"/>
  <c r="AR38"/>
  <c r="FS38"/>
  <c r="S57"/>
  <c r="HC57"/>
  <c r="S59"/>
  <c r="HD35"/>
  <c r="GF65"/>
  <c r="AQ11"/>
  <c r="EI61"/>
  <c r="CY85"/>
  <c r="BP37"/>
  <c r="FH62"/>
  <c r="H63"/>
  <c r="AN10"/>
  <c r="EN10"/>
  <c r="EF10"/>
  <c r="EI10" s="1"/>
  <c r="P11"/>
  <c r="DH11"/>
  <c r="HH11"/>
  <c r="GZ11"/>
  <c r="CJ12"/>
  <c r="CQ12"/>
  <c r="GB12"/>
  <c r="GE12" s="1"/>
  <c r="BL13"/>
  <c r="BO13" s="1"/>
  <c r="FD13"/>
  <c r="FG13" s="1"/>
  <c r="FK13"/>
  <c r="AN14"/>
  <c r="EF14"/>
  <c r="P15"/>
  <c r="DH15"/>
  <c r="GZ15"/>
  <c r="CJ16"/>
  <c r="CM16" s="1"/>
  <c r="CQ16"/>
  <c r="GB16"/>
  <c r="GE16" s="1"/>
  <c r="BL17"/>
  <c r="BP17" s="1"/>
  <c r="FD17"/>
  <c r="CR18"/>
  <c r="CJ18"/>
  <c r="CK18"/>
  <c r="GB18"/>
  <c r="FD19"/>
  <c r="DH21"/>
  <c r="W5"/>
  <c r="Z29" i="1" s="1"/>
  <c r="HG5" i="22"/>
  <c r="HJ29" i="1" s="1"/>
  <c r="DJ16" i="22"/>
  <c r="X19"/>
  <c r="P19"/>
  <c r="S19" s="1"/>
  <c r="GZ19"/>
  <c r="CR20"/>
  <c r="CJ20"/>
  <c r="CK20"/>
  <c r="CP20" s="1"/>
  <c r="GB20"/>
  <c r="FD21"/>
  <c r="FH21" s="1"/>
  <c r="FE21"/>
  <c r="EH6"/>
  <c r="DJ9"/>
  <c r="GZ9"/>
  <c r="CJ10"/>
  <c r="GB10"/>
  <c r="BL11"/>
  <c r="FD11"/>
  <c r="AN12"/>
  <c r="AR12" s="1"/>
  <c r="EF12"/>
  <c r="EJ12" s="1"/>
  <c r="P13"/>
  <c r="DH13"/>
  <c r="GZ13"/>
  <c r="CJ14"/>
  <c r="CM14" s="1"/>
  <c r="GB14"/>
  <c r="GF14" s="1"/>
  <c r="BT15"/>
  <c r="BL15"/>
  <c r="BP15" s="1"/>
  <c r="FD15"/>
  <c r="FG15" s="1"/>
  <c r="AN16"/>
  <c r="EF16"/>
  <c r="P17"/>
  <c r="T17" s="1"/>
  <c r="W17"/>
  <c r="DH17"/>
  <c r="DO17"/>
  <c r="GZ17"/>
  <c r="AN18"/>
  <c r="EF18"/>
  <c r="EG18"/>
  <c r="BL19"/>
  <c r="X21"/>
  <c r="P21"/>
  <c r="W8"/>
  <c r="DH19"/>
  <c r="DK19" s="1"/>
  <c r="AN20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BP7" s="1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P32"/>
  <c r="S32" s="1"/>
  <c r="GZ32"/>
  <c r="HD32" s="1"/>
  <c r="GB33"/>
  <c r="AN35"/>
  <c r="AQ35" s="1"/>
  <c r="EF35"/>
  <c r="EF37"/>
  <c r="EJ37" s="1"/>
  <c r="AB19"/>
  <c r="AE19" s="1"/>
  <c r="HA20"/>
  <c r="CQ22"/>
  <c r="DO23"/>
  <c r="FK23"/>
  <c r="GI24"/>
  <c r="FK25"/>
  <c r="BS27"/>
  <c r="DO27"/>
  <c r="FK27"/>
  <c r="CQ28"/>
  <c r="EM28"/>
  <c r="GI28"/>
  <c r="BS29"/>
  <c r="FK29"/>
  <c r="CQ30"/>
  <c r="GI30"/>
  <c r="BS31"/>
  <c r="AO32"/>
  <c r="AU32"/>
  <c r="T37"/>
  <c r="BT37"/>
  <c r="EN46"/>
  <c r="AV86"/>
  <c r="AV82"/>
  <c r="AV44"/>
  <c r="AV42"/>
  <c r="AV40"/>
  <c r="CR86"/>
  <c r="CR82"/>
  <c r="CR46"/>
  <c r="CR40"/>
  <c r="CR38"/>
  <c r="EN84"/>
  <c r="EN82"/>
  <c r="EN54"/>
  <c r="EN44"/>
  <c r="EN40"/>
  <c r="EN38"/>
  <c r="GJ86"/>
  <c r="GJ84"/>
  <c r="GJ82"/>
  <c r="GJ52"/>
  <c r="GJ38"/>
  <c r="CJ31"/>
  <c r="BL32"/>
  <c r="BO32" s="1"/>
  <c r="AN33"/>
  <c r="AQ33" s="1"/>
  <c r="HA36"/>
  <c r="HE36" s="1"/>
  <c r="GZ36"/>
  <c r="HD36" s="1"/>
  <c r="GB37"/>
  <c r="HB21"/>
  <c r="AP22"/>
  <c r="CL22"/>
  <c r="GD22"/>
  <c r="HD22"/>
  <c r="R23"/>
  <c r="DJ23"/>
  <c r="EJ23"/>
  <c r="FF23"/>
  <c r="HB23"/>
  <c r="AP24"/>
  <c r="CL24"/>
  <c r="DL24"/>
  <c r="GD24"/>
  <c r="BN25"/>
  <c r="DJ25"/>
  <c r="FF25"/>
  <c r="GF25"/>
  <c r="T26"/>
  <c r="CL26"/>
  <c r="EH26"/>
  <c r="GD26"/>
  <c r="BN27"/>
  <c r="FF27"/>
  <c r="HB27"/>
  <c r="AP28"/>
  <c r="CL28"/>
  <c r="EH28"/>
  <c r="GD28"/>
  <c r="BN29"/>
  <c r="DJ29"/>
  <c r="FF29"/>
  <c r="HB29"/>
  <c r="CL30"/>
  <c r="DL30"/>
  <c r="EH30"/>
  <c r="GD30"/>
  <c r="CR34"/>
  <c r="GJ34"/>
  <c r="FL35"/>
  <c r="AV36"/>
  <c r="EN36"/>
  <c r="BT45"/>
  <c r="DH32"/>
  <c r="DK32" s="1"/>
  <c r="CJ33"/>
  <c r="CM33" s="1"/>
  <c r="P34"/>
  <c r="S34" s="1"/>
  <c r="GZ34"/>
  <c r="CJ35"/>
  <c r="CM35" s="1"/>
  <c r="GB35"/>
  <c r="BL36"/>
  <c r="FD36"/>
  <c r="AN37"/>
  <c r="AQ37" s="1"/>
  <c r="HA21"/>
  <c r="HE21" s="1"/>
  <c r="AO22"/>
  <c r="AT22" s="1"/>
  <c r="GC22"/>
  <c r="Q23"/>
  <c r="V23" s="1"/>
  <c r="BM23"/>
  <c r="CZ23"/>
  <c r="DI23"/>
  <c r="FE23"/>
  <c r="HA23"/>
  <c r="EG24"/>
  <c r="EL24" s="1"/>
  <c r="GC24"/>
  <c r="Q25"/>
  <c r="V25" s="1"/>
  <c r="BM25"/>
  <c r="DI25"/>
  <c r="FE25"/>
  <c r="AO26"/>
  <c r="AS26" s="1"/>
  <c r="EG26"/>
  <c r="GC26"/>
  <c r="GH26" s="1"/>
  <c r="Q27"/>
  <c r="U27" s="1"/>
  <c r="BM27"/>
  <c r="BR27" s="1"/>
  <c r="DI27"/>
  <c r="HA27"/>
  <c r="AO28"/>
  <c r="AT28" s="1"/>
  <c r="EG28"/>
  <c r="GC28"/>
  <c r="GH28" s="1"/>
  <c r="Q29"/>
  <c r="V29" s="1"/>
  <c r="BM29"/>
  <c r="BR29" s="1"/>
  <c r="FE29"/>
  <c r="HA29"/>
  <c r="HF29" s="1"/>
  <c r="AO30"/>
  <c r="EG30"/>
  <c r="GC30"/>
  <c r="H31"/>
  <c r="HB31"/>
  <c r="GJ32"/>
  <c r="FF33"/>
  <c r="GJ36"/>
  <c r="FL45"/>
  <c r="X85"/>
  <c r="X75"/>
  <c r="X73"/>
  <c r="X55"/>
  <c r="X43"/>
  <c r="BT85"/>
  <c r="BT83"/>
  <c r="BT81"/>
  <c r="BT73"/>
  <c r="BT53"/>
  <c r="BT43"/>
  <c r="BT41"/>
  <c r="BT39"/>
  <c r="BT48"/>
  <c r="DP85"/>
  <c r="DP83"/>
  <c r="DP81"/>
  <c r="DP71"/>
  <c r="DP73"/>
  <c r="DP55"/>
  <c r="DP45"/>
  <c r="DP43"/>
  <c r="DP41"/>
  <c r="DP39"/>
  <c r="FL85"/>
  <c r="FL83"/>
  <c r="FL81"/>
  <c r="FL41"/>
  <c r="HH85"/>
  <c r="HH83"/>
  <c r="HH81"/>
  <c r="HH71"/>
  <c r="HH45"/>
  <c r="GB31"/>
  <c r="FD32"/>
  <c r="EF33"/>
  <c r="CJ37"/>
  <c r="CN37" s="1"/>
  <c r="BL38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CJ26"/>
  <c r="CM26" s="1"/>
  <c r="CR26"/>
  <c r="EF26"/>
  <c r="EN26"/>
  <c r="GB26"/>
  <c r="GJ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BN31"/>
  <c r="CV31"/>
  <c r="CZ31" s="1"/>
  <c r="HA31"/>
  <c r="AP32"/>
  <c r="GC32"/>
  <c r="FE33"/>
  <c r="FI33" s="1"/>
  <c r="FL33"/>
  <c r="AV34"/>
  <c r="CN34"/>
  <c r="EN34"/>
  <c r="X35"/>
  <c r="DP35"/>
  <c r="HH35"/>
  <c r="CR36"/>
  <c r="CR44"/>
  <c r="AV46"/>
  <c r="AO44"/>
  <c r="AU44"/>
  <c r="EG44"/>
  <c r="EK44" s="1"/>
  <c r="EM44"/>
  <c r="DI45"/>
  <c r="DO45"/>
  <c r="HG45"/>
  <c r="CK46"/>
  <c r="CQ46"/>
  <c r="GI46"/>
  <c r="DP47"/>
  <c r="DH47"/>
  <c r="DI47"/>
  <c r="DN47" s="1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DH38"/>
  <c r="FD38"/>
  <c r="GZ38"/>
  <c r="HC38" s="1"/>
  <c r="AN39"/>
  <c r="CJ39"/>
  <c r="EF39"/>
  <c r="GB39"/>
  <c r="BL40"/>
  <c r="BP40" s="1"/>
  <c r="DH40"/>
  <c r="DL40" s="1"/>
  <c r="FD40"/>
  <c r="GZ40"/>
  <c r="AN41"/>
  <c r="AQ41" s="1"/>
  <c r="CJ41"/>
  <c r="EF41"/>
  <c r="GB41"/>
  <c r="GF41" s="1"/>
  <c r="BL42"/>
  <c r="DH42"/>
  <c r="FD42"/>
  <c r="GZ42"/>
  <c r="HC42" s="1"/>
  <c r="AN43"/>
  <c r="AR43" s="1"/>
  <c r="CJ43"/>
  <c r="EF43"/>
  <c r="EI43" s="1"/>
  <c r="GZ43"/>
  <c r="CJ44"/>
  <c r="EJ44"/>
  <c r="GB44"/>
  <c r="T45"/>
  <c r="BL45"/>
  <c r="DL45"/>
  <c r="FD45"/>
  <c r="HD45"/>
  <c r="AN46"/>
  <c r="CN46"/>
  <c r="EF46"/>
  <c r="EI46" s="1"/>
  <c r="P47"/>
  <c r="T47" s="1"/>
  <c r="EJ47"/>
  <c r="BP50"/>
  <c r="FH50"/>
  <c r="BT51"/>
  <c r="DP51"/>
  <c r="AV52"/>
  <c r="BT47"/>
  <c r="BL47"/>
  <c r="BM47"/>
  <c r="BQ47" s="1"/>
  <c r="BS47"/>
  <c r="GZ47"/>
  <c r="HA47"/>
  <c r="HF47" s="1"/>
  <c r="BT49"/>
  <c r="BL49"/>
  <c r="BP49" s="1"/>
  <c r="BM49"/>
  <c r="BR49" s="1"/>
  <c r="BS49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EJ38"/>
  <c r="BP39"/>
  <c r="DL39"/>
  <c r="FH39"/>
  <c r="HD39"/>
  <c r="AR40"/>
  <c r="AR42"/>
  <c r="GF42"/>
  <c r="BP43"/>
  <c r="DL43"/>
  <c r="FH43"/>
  <c r="EN56"/>
  <c r="CR48"/>
  <c r="CJ48"/>
  <c r="CK48"/>
  <c r="CP48" s="1"/>
  <c r="CQ48"/>
  <c r="FD49"/>
  <c r="FG49" s="1"/>
  <c r="FE49"/>
  <c r="AB37"/>
  <c r="GF43"/>
  <c r="HB43"/>
  <c r="P44"/>
  <c r="CL44"/>
  <c r="DH44"/>
  <c r="FH44"/>
  <c r="GZ44"/>
  <c r="HC44" s="1"/>
  <c r="BN45"/>
  <c r="CJ45"/>
  <c r="CN45" s="1"/>
  <c r="GB45"/>
  <c r="GF45" s="1"/>
  <c r="AP46"/>
  <c r="BL46"/>
  <c r="BP46" s="1"/>
  <c r="EH46"/>
  <c r="FD46"/>
  <c r="HD46"/>
  <c r="AN47"/>
  <c r="BN47"/>
  <c r="BN49"/>
  <c r="FD52"/>
  <c r="FG52" s="1"/>
  <c r="EF53"/>
  <c r="DH54"/>
  <c r="DK54" s="1"/>
  <c r="CJ55"/>
  <c r="CM55" s="1"/>
  <c r="BL56"/>
  <c r="BO56" s="1"/>
  <c r="BT57"/>
  <c r="BM57"/>
  <c r="BQ57" s="1"/>
  <c r="FL57"/>
  <c r="AV58"/>
  <c r="AO58"/>
  <c r="AT58" s="1"/>
  <c r="EN58"/>
  <c r="EG58"/>
  <c r="X59"/>
  <c r="Q59"/>
  <c r="DP59"/>
  <c r="DI59"/>
  <c r="BX45"/>
  <c r="CA45" s="1"/>
  <c r="BS51"/>
  <c r="CK51"/>
  <c r="CP51" s="1"/>
  <c r="DO51"/>
  <c r="AU52"/>
  <c r="EH56"/>
  <c r="R57"/>
  <c r="GZ52"/>
  <c r="HC52" s="1"/>
  <c r="GB53"/>
  <c r="FD54"/>
  <c r="FH54" s="1"/>
  <c r="EF55"/>
  <c r="EJ55" s="1"/>
  <c r="DH56"/>
  <c r="DK56" s="1"/>
  <c r="AZ57"/>
  <c r="BC57" s="1"/>
  <c r="ER57"/>
  <c r="AB58"/>
  <c r="DT58"/>
  <c r="DW58" s="1"/>
  <c r="D59"/>
  <c r="CV59"/>
  <c r="CZ59" s="1"/>
  <c r="EV64"/>
  <c r="BN51"/>
  <c r="CN51"/>
  <c r="DJ51"/>
  <c r="EJ51"/>
  <c r="FF51"/>
  <c r="AP52"/>
  <c r="BP52"/>
  <c r="CR52"/>
  <c r="AN53"/>
  <c r="AQ53" s="1"/>
  <c r="GZ54"/>
  <c r="GB55"/>
  <c r="GF55" s="1"/>
  <c r="FD56"/>
  <c r="FG56" s="1"/>
  <c r="DP57"/>
  <c r="DI57"/>
  <c r="DM57" s="1"/>
  <c r="HA57"/>
  <c r="CR58"/>
  <c r="CK58"/>
  <c r="BT59"/>
  <c r="BM59"/>
  <c r="BR59" s="1"/>
  <c r="BD65"/>
  <c r="BC65"/>
  <c r="GN43"/>
  <c r="AB44"/>
  <c r="AF44" s="1"/>
  <c r="BX44"/>
  <c r="CA44" s="1"/>
  <c r="DT44"/>
  <c r="DX44" s="1"/>
  <c r="FP44"/>
  <c r="D45"/>
  <c r="G45" s="1"/>
  <c r="AZ45"/>
  <c r="CV45"/>
  <c r="ER45"/>
  <c r="EV45" s="1"/>
  <c r="GN45"/>
  <c r="GR45" s="1"/>
  <c r="AB46"/>
  <c r="BX46"/>
  <c r="CB46" s="1"/>
  <c r="DT46"/>
  <c r="DX46" s="1"/>
  <c r="FP46"/>
  <c r="FS46" s="1"/>
  <c r="D47"/>
  <c r="AZ47"/>
  <c r="CV47"/>
  <c r="CY47" s="1"/>
  <c r="ER47"/>
  <c r="EV47" s="1"/>
  <c r="GN47"/>
  <c r="GR47" s="1"/>
  <c r="AB48"/>
  <c r="BX48"/>
  <c r="DT48"/>
  <c r="DX48" s="1"/>
  <c r="FP48"/>
  <c r="D49"/>
  <c r="AZ49"/>
  <c r="BC49" s="1"/>
  <c r="GN49"/>
  <c r="GR49" s="1"/>
  <c r="AB50"/>
  <c r="AE50" s="1"/>
  <c r="BX50"/>
  <c r="DT50"/>
  <c r="DW50" s="1"/>
  <c r="FP50"/>
  <c r="D51"/>
  <c r="G51" s="1"/>
  <c r="AZ51"/>
  <c r="BM51"/>
  <c r="CV51"/>
  <c r="CY51" s="1"/>
  <c r="DI51"/>
  <c r="ER51"/>
  <c r="EU51" s="1"/>
  <c r="FE51"/>
  <c r="FJ51" s="1"/>
  <c r="GN51"/>
  <c r="AB52"/>
  <c r="AF52" s="1"/>
  <c r="AO52"/>
  <c r="AT52" s="1"/>
  <c r="BX52"/>
  <c r="CK52"/>
  <c r="CQ52"/>
  <c r="DX52"/>
  <c r="EH52"/>
  <c r="EN52"/>
  <c r="FP52"/>
  <c r="BM53"/>
  <c r="BQ53" s="1"/>
  <c r="BX53"/>
  <c r="CZ53"/>
  <c r="DJ53"/>
  <c r="DP53"/>
  <c r="ER53"/>
  <c r="FH53"/>
  <c r="AO54"/>
  <c r="CB54"/>
  <c r="CL54"/>
  <c r="CR54"/>
  <c r="DT54"/>
  <c r="Q55"/>
  <c r="BN55"/>
  <c r="BT55"/>
  <c r="CV55"/>
  <c r="AF56"/>
  <c r="AP56"/>
  <c r="AV56"/>
  <c r="BX56"/>
  <c r="DH52"/>
  <c r="CJ53"/>
  <c r="BL54"/>
  <c r="BO54" s="1"/>
  <c r="AN55"/>
  <c r="AQ55" s="1"/>
  <c r="P56"/>
  <c r="S56" s="1"/>
  <c r="GZ56"/>
  <c r="CV57"/>
  <c r="GN57"/>
  <c r="BX58"/>
  <c r="FP58"/>
  <c r="AZ59"/>
  <c r="BD59" s="1"/>
  <c r="ER59"/>
  <c r="BL51"/>
  <c r="BO51" s="1"/>
  <c r="DH51"/>
  <c r="FD51"/>
  <c r="FH51" s="1"/>
  <c r="GZ51"/>
  <c r="AN52"/>
  <c r="CJ52"/>
  <c r="EG52"/>
  <c r="EK52" s="1"/>
  <c r="D53"/>
  <c r="G53" s="1"/>
  <c r="DI53"/>
  <c r="GN53"/>
  <c r="GR53" s="1"/>
  <c r="CK54"/>
  <c r="FP54"/>
  <c r="FS54" s="1"/>
  <c r="BM55"/>
  <c r="BQ55" s="1"/>
  <c r="BX55"/>
  <c r="CA55" s="1"/>
  <c r="ER55"/>
  <c r="AO56"/>
  <c r="AT56" s="1"/>
  <c r="X57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CJ57"/>
  <c r="CM57" s="1"/>
  <c r="EF57"/>
  <c r="EI57" s="1"/>
  <c r="GB57"/>
  <c r="GE57" s="1"/>
  <c r="P58"/>
  <c r="T58" s="1"/>
  <c r="BL58"/>
  <c r="DH58"/>
  <c r="FD58"/>
  <c r="GZ58"/>
  <c r="HC58" s="1"/>
  <c r="AN59"/>
  <c r="AR59" s="1"/>
  <c r="CJ59"/>
  <c r="EF59"/>
  <c r="GB59"/>
  <c r="P60"/>
  <c r="BL60"/>
  <c r="BP60" s="1"/>
  <c r="DH60"/>
  <c r="FD60"/>
  <c r="GQ60"/>
  <c r="GZ60"/>
  <c r="HD60" s="1"/>
  <c r="X61"/>
  <c r="R61"/>
  <c r="BN61"/>
  <c r="BS61"/>
  <c r="CZ61"/>
  <c r="ER61"/>
  <c r="AP62"/>
  <c r="AU62"/>
  <c r="CB62"/>
  <c r="DT62"/>
  <c r="R63"/>
  <c r="W63"/>
  <c r="CV63"/>
  <c r="CZ63" s="1"/>
  <c r="HG63"/>
  <c r="AF64"/>
  <c r="BX64"/>
  <c r="FH64"/>
  <c r="GI64"/>
  <c r="BH67"/>
  <c r="CR70"/>
  <c r="FD61"/>
  <c r="FH61" s="1"/>
  <c r="EN62"/>
  <c r="EF62"/>
  <c r="EJ62" s="1"/>
  <c r="DP63"/>
  <c r="DH63"/>
  <c r="DL63" s="1"/>
  <c r="CR64"/>
  <c r="CJ64"/>
  <c r="DI65"/>
  <c r="DP65"/>
  <c r="DH65"/>
  <c r="DK65" s="1"/>
  <c r="ER65"/>
  <c r="HA65"/>
  <c r="GZ65"/>
  <c r="HD65" s="1"/>
  <c r="AB66"/>
  <c r="AE66" s="1"/>
  <c r="EG66"/>
  <c r="EM66"/>
  <c r="EN66"/>
  <c r="EF66"/>
  <c r="EJ66" s="1"/>
  <c r="GN59"/>
  <c r="AB60"/>
  <c r="AF60" s="1"/>
  <c r="AO60"/>
  <c r="AS60" s="1"/>
  <c r="BX60"/>
  <c r="CK60"/>
  <c r="CP60" s="1"/>
  <c r="DT60"/>
  <c r="EG60"/>
  <c r="EK60" s="1"/>
  <c r="FP60"/>
  <c r="D61"/>
  <c r="Q61"/>
  <c r="V61" s="1"/>
  <c r="DJ61"/>
  <c r="DO61"/>
  <c r="GN61"/>
  <c r="GR61" s="1"/>
  <c r="CL62"/>
  <c r="CQ62"/>
  <c r="FP62"/>
  <c r="BN63"/>
  <c r="BS63"/>
  <c r="ER63"/>
  <c r="AP64"/>
  <c r="AU64"/>
  <c r="DT64"/>
  <c r="DW64" s="1"/>
  <c r="L65"/>
  <c r="R65"/>
  <c r="W65"/>
  <c r="BN65"/>
  <c r="GZ61"/>
  <c r="HD61" s="1"/>
  <c r="GJ62"/>
  <c r="GB62"/>
  <c r="GF62" s="1"/>
  <c r="FD63"/>
  <c r="FH63" s="1"/>
  <c r="EN64"/>
  <c r="EF64"/>
  <c r="EI64" s="1"/>
  <c r="AV60"/>
  <c r="CR60"/>
  <c r="EN60"/>
  <c r="EH62"/>
  <c r="EM62"/>
  <c r="DJ63"/>
  <c r="DO63"/>
  <c r="CL64"/>
  <c r="CQ64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U66"/>
  <c r="AV66"/>
  <c r="AN66"/>
  <c r="AR66" s="1"/>
  <c r="FR62"/>
  <c r="FL71"/>
  <c r="EM70"/>
  <c r="EG70"/>
  <c r="EL70" s="1"/>
  <c r="W71"/>
  <c r="Q71"/>
  <c r="DO71"/>
  <c r="DI71"/>
  <c r="DM71" s="1"/>
  <c r="DH72"/>
  <c r="CJ73"/>
  <c r="CN73" s="1"/>
  <c r="CQ73"/>
  <c r="GB66"/>
  <c r="GJ66"/>
  <c r="P67"/>
  <c r="T67" s="1"/>
  <c r="X67"/>
  <c r="BL67"/>
  <c r="BO67" s="1"/>
  <c r="BT67"/>
  <c r="DC67"/>
  <c r="DH67"/>
  <c r="DL67" s="1"/>
  <c r="DP67"/>
  <c r="FD67"/>
  <c r="FG67" s="1"/>
  <c r="GZ67"/>
  <c r="HC67" s="1"/>
  <c r="AN68"/>
  <c r="AR68" s="1"/>
  <c r="CJ68"/>
  <c r="CM68" s="1"/>
  <c r="EF68"/>
  <c r="P69"/>
  <c r="S69" s="1"/>
  <c r="X69"/>
  <c r="BL69"/>
  <c r="BO69" s="1"/>
  <c r="BT69"/>
  <c r="DH69"/>
  <c r="DP69"/>
  <c r="GU69"/>
  <c r="AN70"/>
  <c r="CJ70"/>
  <c r="CN70" s="1"/>
  <c r="BL71"/>
  <c r="BL72"/>
  <c r="BO72" s="1"/>
  <c r="AN73"/>
  <c r="W67"/>
  <c r="BS67"/>
  <c r="DO67"/>
  <c r="AU68"/>
  <c r="CQ68"/>
  <c r="EM68"/>
  <c r="W69"/>
  <c r="BS69"/>
  <c r="DO69"/>
  <c r="CQ70"/>
  <c r="CK70"/>
  <c r="CO70" s="1"/>
  <c r="GC70"/>
  <c r="BS71"/>
  <c r="BM71"/>
  <c r="FE71"/>
  <c r="P72"/>
  <c r="S72" s="1"/>
  <c r="GZ72"/>
  <c r="HC72" s="1"/>
  <c r="R67"/>
  <c r="BN67"/>
  <c r="DJ67"/>
  <c r="EJ67"/>
  <c r="HB67"/>
  <c r="AP68"/>
  <c r="CL68"/>
  <c r="EH68"/>
  <c r="FH68"/>
  <c r="R69"/>
  <c r="BN69"/>
  <c r="DJ69"/>
  <c r="HB69"/>
  <c r="AP70"/>
  <c r="AV70"/>
  <c r="EF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ER69"/>
  <c r="GN69"/>
  <c r="GR69" s="1"/>
  <c r="AB70"/>
  <c r="AO70"/>
  <c r="AS70" s="1"/>
  <c r="BP70"/>
  <c r="CL70"/>
  <c r="DH70"/>
  <c r="DK70" s="1"/>
  <c r="DP70"/>
  <c r="GZ70"/>
  <c r="HD70" s="1"/>
  <c r="AR71"/>
  <c r="BN71"/>
  <c r="CJ71"/>
  <c r="CN71" s="1"/>
  <c r="FL77"/>
  <c r="AO78"/>
  <c r="AS78" s="1"/>
  <c r="AP78"/>
  <c r="AU78"/>
  <c r="AV78"/>
  <c r="AN78"/>
  <c r="BX70"/>
  <c r="DT70"/>
  <c r="DX70" s="1"/>
  <c r="FP70"/>
  <c r="D71"/>
  <c r="AZ71"/>
  <c r="BD71" s="1"/>
  <c r="CV71"/>
  <c r="CY71" s="1"/>
  <c r="ER71"/>
  <c r="EV71" s="1"/>
  <c r="EZ71"/>
  <c r="GN71"/>
  <c r="HA71"/>
  <c r="HF71" s="1"/>
  <c r="AB72"/>
  <c r="AO72"/>
  <c r="BX72"/>
  <c r="CK72"/>
  <c r="DT72"/>
  <c r="EG72"/>
  <c r="EL72" s="1"/>
  <c r="FP72"/>
  <c r="FS72" s="1"/>
  <c r="GC72"/>
  <c r="GH72" s="1"/>
  <c r="D73"/>
  <c r="G73" s="1"/>
  <c r="Q73"/>
  <c r="V73" s="1"/>
  <c r="AZ73"/>
  <c r="BM73"/>
  <c r="CV73"/>
  <c r="CY73" s="1"/>
  <c r="DI73"/>
  <c r="DN73" s="1"/>
  <c r="ER73"/>
  <c r="EV73" s="1"/>
  <c r="FE73"/>
  <c r="GN73"/>
  <c r="GR73" s="1"/>
  <c r="HA73"/>
  <c r="HE73" s="1"/>
  <c r="W74"/>
  <c r="AB74"/>
  <c r="AO74"/>
  <c r="AT74" s="1"/>
  <c r="BX74"/>
  <c r="CK74"/>
  <c r="CO74" s="1"/>
  <c r="DT74"/>
  <c r="DX74" s="1"/>
  <c r="EG74"/>
  <c r="FP74"/>
  <c r="FT74" s="1"/>
  <c r="D75"/>
  <c r="G75" s="1"/>
  <c r="Q75"/>
  <c r="V75" s="1"/>
  <c r="BM75"/>
  <c r="BR75" s="1"/>
  <c r="DI75"/>
  <c r="DN75" s="1"/>
  <c r="BO76"/>
  <c r="AQ77"/>
  <c r="BD77"/>
  <c r="HG75"/>
  <c r="CQ76"/>
  <c r="CR76"/>
  <c r="CJ76"/>
  <c r="GJ76"/>
  <c r="GB76"/>
  <c r="GF76" s="1"/>
  <c r="BS77"/>
  <c r="BT77"/>
  <c r="BL77"/>
  <c r="BP77" s="1"/>
  <c r="EU80"/>
  <c r="CN74"/>
  <c r="EJ74"/>
  <c r="DI77"/>
  <c r="DN77" s="1"/>
  <c r="DO77"/>
  <c r="DP77"/>
  <c r="DH77"/>
  <c r="DK77" s="1"/>
  <c r="HA77"/>
  <c r="HE77" s="1"/>
  <c r="HG77"/>
  <c r="HH77"/>
  <c r="GZ77"/>
  <c r="BC81"/>
  <c r="BD81"/>
  <c r="ER70"/>
  <c r="EV70" s="1"/>
  <c r="HG71"/>
  <c r="AU72"/>
  <c r="CQ72"/>
  <c r="EM72"/>
  <c r="GI72"/>
  <c r="W73"/>
  <c r="BS73"/>
  <c r="DO73"/>
  <c r="FK73"/>
  <c r="HG73"/>
  <c r="AU74"/>
  <c r="CQ74"/>
  <c r="EM74"/>
  <c r="GI74"/>
  <c r="W75"/>
  <c r="BS75"/>
  <c r="BX75"/>
  <c r="DO75"/>
  <c r="HB75"/>
  <c r="AF76"/>
  <c r="CL76"/>
  <c r="GD76"/>
  <c r="BN77"/>
  <c r="FF77"/>
  <c r="FK75"/>
  <c r="FL75"/>
  <c r="FD75"/>
  <c r="AU76"/>
  <c r="AV76"/>
  <c r="AN76"/>
  <c r="AQ76" s="1"/>
  <c r="EM76"/>
  <c r="EN76"/>
  <c r="EF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HA75"/>
  <c r="CK76"/>
  <c r="CP76" s="1"/>
  <c r="GC76"/>
  <c r="BM77"/>
  <c r="BR77" s="1"/>
  <c r="X81"/>
  <c r="CJ81"/>
  <c r="DH82"/>
  <c r="DK82" s="1"/>
  <c r="EY75"/>
  <c r="GQ77"/>
  <c r="CJ78"/>
  <c r="CN78" s="1"/>
  <c r="CR78"/>
  <c r="EF78"/>
  <c r="EJ78" s="1"/>
  <c r="EN78"/>
  <c r="GB78"/>
  <c r="GF78" s="1"/>
  <c r="GJ78"/>
  <c r="G79"/>
  <c r="K79"/>
  <c r="P79"/>
  <c r="S79" s="1"/>
  <c r="X79"/>
  <c r="BC79"/>
  <c r="BL79"/>
  <c r="BT79"/>
  <c r="DH79"/>
  <c r="DP79"/>
  <c r="EY79"/>
  <c r="FD79"/>
  <c r="FG79" s="1"/>
  <c r="FL79"/>
  <c r="GZ79"/>
  <c r="HD79" s="1"/>
  <c r="HH79"/>
  <c r="AN80"/>
  <c r="AV80"/>
  <c r="BN80"/>
  <c r="CJ80"/>
  <c r="CN80" s="1"/>
  <c r="CR80"/>
  <c r="EF80"/>
  <c r="EN80"/>
  <c r="GD80"/>
  <c r="GE80"/>
  <c r="GJ80"/>
  <c r="D81"/>
  <c r="FD80"/>
  <c r="FG80" s="1"/>
  <c r="EF81"/>
  <c r="EJ81" s="1"/>
  <c r="FD82"/>
  <c r="FH82" s="1"/>
  <c r="BX77"/>
  <c r="CA77" s="1"/>
  <c r="AZ78"/>
  <c r="CQ78"/>
  <c r="EM78"/>
  <c r="ER78"/>
  <c r="EU78" s="1"/>
  <c r="GI78"/>
  <c r="BS79"/>
  <c r="DO79"/>
  <c r="FK79"/>
  <c r="FP79"/>
  <c r="HG79"/>
  <c r="AU80"/>
  <c r="CQ80"/>
  <c r="CV80"/>
  <c r="EM80"/>
  <c r="GC80"/>
  <c r="GG80" s="1"/>
  <c r="R81"/>
  <c r="GZ80"/>
  <c r="GZ82"/>
  <c r="HD82" s="1"/>
  <c r="CL78"/>
  <c r="EH78"/>
  <c r="GD78"/>
  <c r="BN79"/>
  <c r="DJ79"/>
  <c r="FF79"/>
  <c r="GF79"/>
  <c r="HB79"/>
  <c r="AP80"/>
  <c r="BP80"/>
  <c r="CL80"/>
  <c r="DL80"/>
  <c r="EH80"/>
  <c r="AN81"/>
  <c r="AR81" s="1"/>
  <c r="GB81"/>
  <c r="GF81" s="1"/>
  <c r="BL82"/>
  <c r="BO82" s="1"/>
  <c r="FQ82"/>
  <c r="FU82" s="1"/>
  <c r="AN83"/>
  <c r="AQ83" s="1"/>
  <c r="CJ83"/>
  <c r="EF83"/>
  <c r="GB83"/>
  <c r="GE83" s="1"/>
  <c r="GJ83"/>
  <c r="P84"/>
  <c r="BL84"/>
  <c r="BO84" s="1"/>
  <c r="DH84"/>
  <c r="DL84" s="1"/>
  <c r="FD84"/>
  <c r="FG84" s="1"/>
  <c r="GZ84"/>
  <c r="HC84" s="1"/>
  <c r="AN85"/>
  <c r="CJ85"/>
  <c r="CM85" s="1"/>
  <c r="EF85"/>
  <c r="EI85" s="1"/>
  <c r="GB85"/>
  <c r="GF85" s="1"/>
  <c r="P86"/>
  <c r="S86" s="1"/>
  <c r="BL86"/>
  <c r="BP86" s="1"/>
  <c r="DH86"/>
  <c r="DL86" s="1"/>
  <c r="FD86"/>
  <c r="FG86" s="1"/>
  <c r="GZ86"/>
  <c r="HH86"/>
  <c r="EZ83"/>
  <c r="DO86"/>
  <c r="HD83"/>
  <c r="GF84"/>
  <c r="HB84"/>
  <c r="DL85"/>
  <c r="GF86"/>
  <c r="ER82"/>
  <c r="BX83"/>
  <c r="CB83" s="1"/>
  <c r="FP83"/>
  <c r="FS83" s="1"/>
  <c r="ER84"/>
  <c r="EV84" s="1"/>
  <c r="BX85"/>
  <c r="CA85" s="1"/>
  <c r="DT85"/>
  <c r="CV86"/>
  <c r="CY86" s="1"/>
  <c r="DW70"/>
  <c r="GE66"/>
  <c r="GF66"/>
  <c r="DL72"/>
  <c r="DK72"/>
  <c r="HC61"/>
  <c r="U61"/>
  <c r="CO60"/>
  <c r="HD58"/>
  <c r="H73"/>
  <c r="DX66"/>
  <c r="EU63"/>
  <c r="EV63"/>
  <c r="GF57"/>
  <c r="CP54"/>
  <c r="CO54"/>
  <c r="BQ75"/>
  <c r="DL70"/>
  <c r="CN68"/>
  <c r="AE60"/>
  <c r="DK58"/>
  <c r="DL58"/>
  <c r="EJ57"/>
  <c r="CM52"/>
  <c r="CN52"/>
  <c r="T56"/>
  <c r="DL52"/>
  <c r="DK52"/>
  <c r="AE55"/>
  <c r="EV53"/>
  <c r="EU53"/>
  <c r="DW46"/>
  <c r="DM49"/>
  <c r="GE44"/>
  <c r="GF44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AS22"/>
  <c r="GF8"/>
  <c r="GE8"/>
  <c r="T7"/>
  <c r="S7"/>
  <c r="BP5"/>
  <c r="BO5"/>
  <c r="BP21"/>
  <c r="BO21"/>
  <c r="AR16"/>
  <c r="AQ16"/>
  <c r="BO15"/>
  <c r="EI12"/>
  <c r="HD9"/>
  <c r="HC9"/>
  <c r="BO17"/>
  <c r="EJ14"/>
  <c r="EI14"/>
  <c r="T11"/>
  <c r="S11"/>
  <c r="CB56"/>
  <c r="CA56"/>
  <c r="FT52"/>
  <c r="FS52"/>
  <c r="DM51"/>
  <c r="DN51"/>
  <c r="GQ49"/>
  <c r="FH56"/>
  <c r="EV46"/>
  <c r="FT45"/>
  <c r="AS58"/>
  <c r="BR57"/>
  <c r="CN55"/>
  <c r="EJ53"/>
  <c r="EI53"/>
  <c r="BO46"/>
  <c r="DK44"/>
  <c r="DL44"/>
  <c r="GF50"/>
  <c r="CM50"/>
  <c r="FH47"/>
  <c r="FG47"/>
  <c r="HD42"/>
  <c r="AR41"/>
  <c r="BO40"/>
  <c r="DL47"/>
  <c r="DK47"/>
  <c r="AR30"/>
  <c r="DL25"/>
  <c r="DK25"/>
  <c r="FH23"/>
  <c r="FG23"/>
  <c r="GE22"/>
  <c r="FH36"/>
  <c r="FG36"/>
  <c r="GR20"/>
  <c r="DW19"/>
  <c r="AF19"/>
  <c r="EI37"/>
  <c r="AR8"/>
  <c r="AQ8"/>
  <c r="CN6"/>
  <c r="CM6"/>
  <c r="FG21"/>
  <c r="CN20"/>
  <c r="CM20"/>
  <c r="FH19"/>
  <c r="FG19"/>
  <c r="H47"/>
  <c r="G47"/>
  <c r="CB44"/>
  <c r="DX45"/>
  <c r="FG46"/>
  <c r="FH46"/>
  <c r="AQ43"/>
  <c r="DK40"/>
  <c r="EI39"/>
  <c r="EJ39"/>
  <c r="EK50"/>
  <c r="EL50"/>
  <c r="DM47"/>
  <c r="CO46"/>
  <c r="CP46"/>
  <c r="DM45"/>
  <c r="DN45"/>
  <c r="EL44"/>
  <c r="HF31"/>
  <c r="HE31"/>
  <c r="CY31"/>
  <c r="DL29"/>
  <c r="DK29"/>
  <c r="EJ28"/>
  <c r="EI28"/>
  <c r="HD23"/>
  <c r="HC23"/>
  <c r="FH32"/>
  <c r="FG32"/>
  <c r="EK30"/>
  <c r="EL30"/>
  <c r="HE29"/>
  <c r="BQ29"/>
  <c r="U29"/>
  <c r="EK28"/>
  <c r="EL28"/>
  <c r="AS28"/>
  <c r="DM27"/>
  <c r="DN27"/>
  <c r="AT26"/>
  <c r="U25"/>
  <c r="BP9"/>
  <c r="DL7"/>
  <c r="FH5"/>
  <c r="EJ20"/>
  <c r="EI20"/>
  <c r="DL19"/>
  <c r="DL17"/>
  <c r="DK17"/>
  <c r="FH15"/>
  <c r="GE14"/>
  <c r="T13"/>
  <c r="S13"/>
  <c r="AQ12"/>
  <c r="CN10"/>
  <c r="CM10"/>
  <c r="CO20"/>
  <c r="BC8"/>
  <c r="T15"/>
  <c r="S15"/>
  <c r="BP13"/>
  <c r="CN12"/>
  <c r="CM12"/>
  <c r="DL11"/>
  <c r="DK11"/>
  <c r="EJ10"/>
  <c r="FS58"/>
  <c r="FT58"/>
  <c r="AF50"/>
  <c r="DW44"/>
  <c r="DN57"/>
  <c r="BD57"/>
  <c r="BD46"/>
  <c r="BP56"/>
  <c r="FH52"/>
  <c r="CM45"/>
  <c r="DK49"/>
  <c r="HE47"/>
  <c r="AQ46"/>
  <c r="AR46"/>
  <c r="EI41"/>
  <c r="EJ41"/>
  <c r="GF48"/>
  <c r="GE48"/>
  <c r="AR48"/>
  <c r="HD27"/>
  <c r="CN26"/>
  <c r="FI25"/>
  <c r="FJ25"/>
  <c r="GG24"/>
  <c r="GH24"/>
  <c r="CN35"/>
  <c r="DK34"/>
  <c r="CN33"/>
  <c r="EJ31"/>
  <c r="EI31"/>
  <c r="CN31"/>
  <c r="CM31"/>
  <c r="AT32"/>
  <c r="AS32"/>
  <c r="G30"/>
  <c r="CY26"/>
  <c r="CZ26"/>
  <c r="EV24"/>
  <c r="DL9"/>
  <c r="EI8"/>
  <c r="FG7"/>
  <c r="GF6"/>
  <c r="GE6"/>
  <c r="HC5"/>
  <c r="EL20"/>
  <c r="T21"/>
  <c r="S21"/>
  <c r="EJ18"/>
  <c r="EI18"/>
  <c r="AR18"/>
  <c r="AQ18"/>
  <c r="U75"/>
  <c r="D4" i="15"/>
  <c r="CN225" i="17"/>
  <c r="CO240" s="1"/>
  <c r="CF152"/>
  <c r="DR117" i="18"/>
  <c r="AR150" i="19"/>
  <c r="AC99" i="18"/>
  <c r="EU73" i="22"/>
  <c r="AX202" i="17"/>
  <c r="Z151" i="18"/>
  <c r="G3" i="1"/>
  <c r="U4" i="14"/>
  <c r="W3" i="2"/>
  <c r="BC5" i="22"/>
  <c r="AE12"/>
  <c r="CM19"/>
  <c r="FG31"/>
  <c r="FH31"/>
  <c r="HD31"/>
  <c r="BC35"/>
  <c r="EU43"/>
  <c r="GR55"/>
  <c r="EI58"/>
  <c r="DL59"/>
  <c r="EI75"/>
  <c r="AF38"/>
  <c r="AF51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CA34"/>
  <c r="EU15"/>
  <c r="FT86"/>
  <c r="HG66"/>
  <c r="S14"/>
  <c r="DK14"/>
  <c r="G66"/>
  <c r="DO65"/>
  <c r="BM67"/>
  <c r="BR67" s="1"/>
  <c r="AO68"/>
  <c r="AT68" s="1"/>
  <c r="Q69"/>
  <c r="HA69"/>
  <c r="HE69" s="1"/>
  <c r="DJ70"/>
  <c r="HB71"/>
  <c r="BN73"/>
  <c r="EF79"/>
  <c r="EI79" s="1"/>
  <c r="GQ17"/>
  <c r="BS83"/>
  <c r="DO83"/>
  <c r="DI83"/>
  <c r="DN83" s="1"/>
  <c r="BL85"/>
  <c r="BO85" s="1"/>
  <c r="DO85"/>
  <c r="Z1" i="1"/>
  <c r="CB85" i="22"/>
  <c r="BX29" i="1"/>
  <c r="D29"/>
  <c r="CY230" i="17"/>
  <c r="EH210"/>
  <c r="DS196"/>
  <c r="ED217" s="1"/>
  <c r="DR187"/>
  <c r="CF117" i="18"/>
  <c r="AC151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CB55" i="22"/>
  <c r="GR57"/>
  <c r="GQ57"/>
  <c r="GQ45"/>
  <c r="HC54"/>
  <c r="HD54"/>
  <c r="AF45"/>
  <c r="EU84"/>
  <c r="DL74"/>
  <c r="DK74"/>
  <c r="FH38"/>
  <c r="FG38"/>
  <c r="AR53"/>
  <c r="GQ47"/>
  <c r="FT54"/>
  <c r="CO76"/>
  <c r="HC74"/>
  <c r="GQ76"/>
  <c r="GR76"/>
  <c r="FS77"/>
  <c r="FT77"/>
  <c r="BQ73"/>
  <c r="BR73"/>
  <c r="BC38"/>
  <c r="EJ30"/>
  <c r="GF28"/>
  <c r="FT46"/>
  <c r="H53"/>
  <c r="CP66"/>
  <c r="CO66"/>
  <c r="FT83"/>
  <c r="CA72"/>
  <c r="CB72"/>
  <c r="AE72"/>
  <c r="AF72"/>
  <c r="FJ71"/>
  <c r="FI71"/>
  <c r="DW48"/>
  <c r="CZ5"/>
  <c r="CY5"/>
  <c r="AF6"/>
  <c r="CB6"/>
  <c r="CA6"/>
  <c r="EU9"/>
  <c r="EV9"/>
  <c r="GQ11"/>
  <c r="GR11"/>
  <c r="CA26"/>
  <c r="CB26"/>
  <c r="S66"/>
  <c r="T66"/>
  <c r="BD68"/>
  <c r="BC68"/>
  <c r="EV5"/>
  <c r="EU5"/>
  <c r="DX6"/>
  <c r="T18"/>
  <c r="CA18"/>
  <c r="CB18"/>
  <c r="DL28"/>
  <c r="DK28"/>
  <c r="BD29"/>
  <c r="BC29"/>
  <c r="CA83"/>
  <c r="FT22"/>
  <c r="CB22"/>
  <c r="B169" i="19"/>
  <c r="FH10" i="22"/>
  <c r="BN166" i="19"/>
  <c r="CO35"/>
  <c r="G7" i="22"/>
  <c r="H7"/>
  <c r="H9"/>
  <c r="G9"/>
  <c r="FS10"/>
  <c r="FT10"/>
  <c r="CN27"/>
  <c r="CM27"/>
  <c r="EJ6"/>
  <c r="CN8"/>
  <c r="GG26"/>
  <c r="BP32"/>
  <c r="FH13"/>
  <c r="CN14"/>
  <c r="AR35"/>
  <c r="CY79"/>
  <c r="EI11"/>
  <c r="EV7"/>
  <c r="EU7"/>
  <c r="BD9"/>
  <c r="BC9"/>
  <c r="H11"/>
  <c r="G11"/>
  <c r="BO22"/>
  <c r="BP22"/>
  <c r="AE26"/>
  <c r="AF26"/>
  <c r="DL26"/>
  <c r="BP24"/>
  <c r="GR15"/>
  <c r="AE8"/>
  <c r="GQ7"/>
  <c r="CZ25"/>
  <c r="EV23"/>
  <c r="GR21"/>
  <c r="CZ21"/>
  <c r="AF20"/>
  <c r="S20"/>
  <c r="CB28"/>
  <c r="CZ27"/>
  <c r="BD27"/>
  <c r="EJ29"/>
  <c r="Q67"/>
  <c r="V67" s="1"/>
  <c r="GC68"/>
  <c r="GG68" s="1"/>
  <c r="F73"/>
  <c r="HB77"/>
  <c r="GC78"/>
  <c r="GG78" s="1"/>
  <c r="DI79"/>
  <c r="DM79" s="1"/>
  <c r="AO80"/>
  <c r="AT80" s="1"/>
  <c r="CK80"/>
  <c r="CP80" s="1"/>
  <c r="AN82"/>
  <c r="AQ82" s="1"/>
  <c r="F85"/>
  <c r="GP73"/>
  <c r="BN75"/>
  <c r="CW82"/>
  <c r="BG83"/>
  <c r="CL84"/>
  <c r="DI84"/>
  <c r="DN84" s="1"/>
  <c r="DI85"/>
  <c r="DM85" s="1"/>
  <c r="C15" i="21"/>
  <c r="B5"/>
  <c r="DG99" i="19"/>
  <c r="CJ60" i="22"/>
  <c r="CN60" s="1"/>
  <c r="CL60"/>
  <c r="EM60"/>
  <c r="EF60"/>
  <c r="EI60" s="1"/>
  <c r="EH60"/>
  <c r="GB60"/>
  <c r="GF60" s="1"/>
  <c r="GD60"/>
  <c r="GI60"/>
  <c r="HA60"/>
  <c r="HF60" s="1"/>
  <c r="AN61"/>
  <c r="P62"/>
  <c r="T62" s="1"/>
  <c r="GZ62"/>
  <c r="HD62" s="1"/>
  <c r="EF63"/>
  <c r="EI63" s="1"/>
  <c r="FK63"/>
  <c r="FF63"/>
  <c r="P64"/>
  <c r="S64" s="1"/>
  <c r="BL64"/>
  <c r="BS64"/>
  <c r="DH64"/>
  <c r="EM64"/>
  <c r="EH64"/>
  <c r="GZ64"/>
  <c r="HD64" s="1"/>
  <c r="AN65"/>
  <c r="AR65" s="1"/>
  <c r="FW65"/>
  <c r="AN67"/>
  <c r="AQ67" s="1"/>
  <c r="GI69"/>
  <c r="GB69"/>
  <c r="CJ72"/>
  <c r="CL72"/>
  <c r="GB75"/>
  <c r="GF75" s="1"/>
  <c r="Q76"/>
  <c r="P76"/>
  <c r="T76" s="1"/>
  <c r="EH76"/>
  <c r="EG76"/>
  <c r="FD78"/>
  <c r="FH78" s="1"/>
  <c r="FE78"/>
  <c r="FP80"/>
  <c r="FT80" s="1"/>
  <c r="EF71"/>
  <c r="EI71" s="1"/>
  <c r="FD76"/>
  <c r="FG76" s="1"/>
  <c r="FK76"/>
  <c r="GZ76"/>
  <c r="HC76" s="1"/>
  <c r="CV77"/>
  <c r="CZ77" s="1"/>
  <c r="P78"/>
  <c r="S78" s="1"/>
  <c r="BX78"/>
  <c r="CB78" s="1"/>
  <c r="FD81"/>
  <c r="FH81" s="1"/>
  <c r="FF81"/>
  <c r="FE81"/>
  <c r="FJ81" s="1"/>
  <c r="FE85"/>
  <c r="FI85" s="1"/>
  <c r="FD85"/>
  <c r="FG85" s="1"/>
  <c r="BX65"/>
  <c r="CB65" s="1"/>
  <c r="CQ67"/>
  <c r="P68"/>
  <c r="T68" s="1"/>
  <c r="AN74"/>
  <c r="AR74" s="1"/>
  <c r="AP74"/>
  <c r="ER75"/>
  <c r="GN75"/>
  <c r="K80"/>
  <c r="GZ68"/>
  <c r="HD68" s="1"/>
  <c r="D72"/>
  <c r="EF72"/>
  <c r="EI72" s="1"/>
  <c r="EH72"/>
  <c r="FF75"/>
  <c r="FE75"/>
  <c r="DT76"/>
  <c r="DW76" s="1"/>
  <c r="FP76"/>
  <c r="FS76" s="1"/>
  <c r="CJ77"/>
  <c r="CM77" s="1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U67" i="22"/>
  <c r="B12" i="21"/>
  <c r="D294" i="13"/>
  <c r="B20" i="21"/>
  <c r="C11"/>
  <c r="D488" i="13"/>
  <c r="D102"/>
  <c r="B15" i="21"/>
  <c r="BB68" i="22"/>
  <c r="EA68"/>
  <c r="FE68"/>
  <c r="FI68" s="1"/>
  <c r="BR71"/>
  <c r="BQ71"/>
  <c r="AQ70"/>
  <c r="AR70"/>
  <c r="HC79"/>
  <c r="CA47"/>
  <c r="CB47"/>
  <c r="BC33"/>
  <c r="BD33"/>
  <c r="HC15"/>
  <c r="HD15"/>
  <c r="GQ14"/>
  <c r="CY74"/>
  <c r="CZ74"/>
  <c r="AF74"/>
  <c r="AE74"/>
  <c r="BD45"/>
  <c r="BC45"/>
  <c r="HD44"/>
  <c r="GH32"/>
  <c r="GG32"/>
  <c r="AR37"/>
  <c r="BP36"/>
  <c r="BO36"/>
  <c r="EJ35"/>
  <c r="EI35"/>
  <c r="CM18"/>
  <c r="CN18"/>
  <c r="AF70"/>
  <c r="AE70"/>
  <c r="BP71"/>
  <c r="BO71"/>
  <c r="FT49"/>
  <c r="FS49"/>
  <c r="AF49"/>
  <c r="AE49"/>
  <c r="G48"/>
  <c r="H48"/>
  <c r="BD26"/>
  <c r="FT25"/>
  <c r="DW16"/>
  <c r="DX16"/>
  <c r="EI40"/>
  <c r="EJ40"/>
  <c r="AE63"/>
  <c r="G80"/>
  <c r="H80"/>
  <c r="FH74"/>
  <c r="HE65"/>
  <c r="HF65"/>
  <c r="EI62"/>
  <c r="BQ45"/>
  <c r="BR45"/>
  <c r="CM39"/>
  <c r="CN39"/>
  <c r="HD38"/>
  <c r="FG25"/>
  <c r="AR22"/>
  <c r="AQ22"/>
  <c r="GG22"/>
  <c r="GH22"/>
  <c r="AR10"/>
  <c r="AQ10"/>
  <c r="CB71"/>
  <c r="CA71"/>
  <c r="BD73"/>
  <c r="BC73"/>
  <c r="CP72"/>
  <c r="CO72"/>
  <c r="CZ71"/>
  <c r="GQ64"/>
  <c r="GR64"/>
  <c r="H64"/>
  <c r="CB61"/>
  <c r="DW60"/>
  <c r="DX60"/>
  <c r="GQ59"/>
  <c r="GR59"/>
  <c r="GQ53"/>
  <c r="HC51"/>
  <c r="HD51"/>
  <c r="EL48"/>
  <c r="CN44"/>
  <c r="CM44"/>
  <c r="BP29"/>
  <c r="HD34"/>
  <c r="HC34"/>
  <c r="BB134" i="17"/>
  <c r="BC230"/>
  <c r="BW196"/>
  <c r="CH217" s="1"/>
  <c r="BW161"/>
  <c r="BJ180" s="1"/>
  <c r="GQ65" i="22"/>
  <c r="CM71"/>
  <c r="S5"/>
  <c r="T5"/>
  <c r="BO19"/>
  <c r="BP19"/>
  <c r="FH11"/>
  <c r="FG11"/>
  <c r="GF12"/>
  <c r="Z152" i="17"/>
  <c r="Z225"/>
  <c r="AA240" s="1"/>
  <c r="EF77" i="22"/>
  <c r="EI77" s="1"/>
  <c r="BM78"/>
  <c r="BQ78" s="1"/>
  <c r="BL78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HG57"/>
  <c r="EM58"/>
  <c r="P71"/>
  <c r="T71" s="1"/>
  <c r="R71"/>
  <c r="GB72"/>
  <c r="GE72" s="1"/>
  <c r="GD72"/>
  <c r="GN79"/>
  <c r="GQ79" s="1"/>
  <c r="AB86"/>
  <c r="AE86" s="1"/>
  <c r="EM42"/>
  <c r="EH48"/>
  <c r="FQ48"/>
  <c r="FV48" s="1"/>
  <c r="BS58"/>
  <c r="HA61"/>
  <c r="HF61" s="1"/>
  <c r="GB67"/>
  <c r="GE67" s="1"/>
  <c r="EF84"/>
  <c r="EI84" s="1"/>
  <c r="EH84"/>
  <c r="Q85"/>
  <c r="U85" s="1"/>
  <c r="P85"/>
  <c r="S85" s="1"/>
  <c r="W85"/>
  <c r="R85"/>
  <c r="CV62"/>
  <c r="CZ62" s="1"/>
  <c r="CF29" i="1"/>
  <c r="AB65" i="22"/>
  <c r="AF65" s="1"/>
  <c r="FD70"/>
  <c r="FG70" s="1"/>
  <c r="FP73"/>
  <c r="FT73" s="1"/>
  <c r="CJ63"/>
  <c r="CN63" s="1"/>
  <c r="BX81"/>
  <c r="CA81" s="1"/>
  <c r="FD83"/>
  <c r="FG83" s="1"/>
  <c r="FF83"/>
  <c r="AO84"/>
  <c r="AS84" s="1"/>
  <c r="AP84"/>
  <c r="AN84"/>
  <c r="BX86"/>
  <c r="CA86" s="1"/>
  <c r="L29" i="1"/>
  <c r="Q77" i="22"/>
  <c r="U77" s="1"/>
  <c r="R77"/>
  <c r="AI82"/>
  <c r="AB82"/>
  <c r="AE82" s="1"/>
  <c r="BM83"/>
  <c r="GB82"/>
  <c r="GE82" s="1"/>
  <c r="GC82"/>
  <c r="GG82" s="1"/>
  <c r="BM85"/>
  <c r="BQ85" s="1"/>
  <c r="GZ85"/>
  <c r="HC85" s="1"/>
  <c r="HB85"/>
  <c r="FQ78"/>
  <c r="GC62"/>
  <c r="GH62" s="1"/>
  <c r="P70"/>
  <c r="S70" s="1"/>
  <c r="HA81"/>
  <c r="HE81" s="1"/>
  <c r="BN85"/>
  <c r="GU85"/>
  <c r="AP86"/>
  <c r="AU86"/>
  <c r="GZ81"/>
  <c r="HC81" s="1"/>
  <c r="BS80"/>
  <c r="EM82"/>
  <c r="ET85"/>
  <c r="D40" i="13"/>
  <c r="K206"/>
  <c r="C14" i="21"/>
  <c r="K335" i="13"/>
  <c r="C21" i="21"/>
  <c r="D456" i="13"/>
  <c r="C9" i="21"/>
  <c r="K463" i="13"/>
  <c r="K399"/>
  <c r="K559"/>
  <c r="D296"/>
  <c r="C13" i="21"/>
  <c r="K78" i="13"/>
  <c r="K47"/>
  <c r="D552"/>
  <c r="K431"/>
  <c r="P124" i="20"/>
  <c r="Q110"/>
  <c r="D111"/>
  <c r="T110" s="1"/>
  <c r="F110" s="1"/>
  <c r="D113"/>
  <c r="T112" s="1"/>
  <c r="F112" s="1"/>
  <c r="D114"/>
  <c r="T113" s="1"/>
  <c r="F113" s="1"/>
  <c r="D117"/>
  <c r="T116" s="1"/>
  <c r="D118"/>
  <c r="T117" s="1"/>
  <c r="F117" s="1"/>
  <c r="D119"/>
  <c r="T118" s="1"/>
  <c r="F118" s="1"/>
  <c r="D121"/>
  <c r="T120" s="1"/>
  <c r="F120" s="1"/>
  <c r="D122"/>
  <c r="T121" s="1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FG41" i="22"/>
  <c r="FH41"/>
  <c r="DK63"/>
  <c r="AR52"/>
  <c r="AQ52"/>
  <c r="V55"/>
  <c r="U55"/>
  <c r="CA52"/>
  <c r="CB52"/>
  <c r="AE52"/>
  <c r="EV51"/>
  <c r="CY46"/>
  <c r="BR47"/>
  <c r="T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FJ73"/>
  <c r="FI73"/>
  <c r="FS70"/>
  <c r="FT70"/>
  <c r="AQ78"/>
  <c r="AR78"/>
  <c r="EJ73"/>
  <c r="EI73"/>
  <c r="AR76"/>
  <c r="FH27"/>
  <c r="FG27"/>
  <c r="DL23"/>
  <c r="DK23"/>
  <c r="EI22"/>
  <c r="EJ22"/>
  <c r="HD21"/>
  <c r="HC21"/>
  <c r="BQ23"/>
  <c r="BR23"/>
  <c r="HF21"/>
  <c r="H82"/>
  <c r="G82"/>
  <c r="FH80"/>
  <c r="DW71"/>
  <c r="DX71"/>
  <c r="H71"/>
  <c r="G71"/>
  <c r="CP70"/>
  <c r="DK69"/>
  <c r="DL69"/>
  <c r="AQ68"/>
  <c r="AT60"/>
  <c r="DX53"/>
  <c r="DW53"/>
  <c r="FT44"/>
  <c r="FS44"/>
  <c r="S47"/>
  <c r="BO45"/>
  <c r="BP45"/>
  <c r="HD29"/>
  <c r="HC29"/>
  <c r="AC116" i="19"/>
  <c r="AC150"/>
  <c r="DU116"/>
  <c r="BY116"/>
  <c r="BY150"/>
  <c r="DU150"/>
  <c r="FG8" i="22"/>
  <c r="FH8"/>
  <c r="CA36"/>
  <c r="CB36"/>
  <c r="EJ72"/>
  <c r="AR67"/>
  <c r="BO79"/>
  <c r="BP79"/>
  <c r="GG76"/>
  <c r="GH76"/>
  <c r="FS75"/>
  <c r="FT72"/>
  <c r="FS62"/>
  <c r="FT62"/>
  <c r="CA46"/>
  <c r="BC44"/>
  <c r="BD44"/>
  <c r="G40"/>
  <c r="H40"/>
  <c r="EK46"/>
  <c r="EL46"/>
  <c r="EI33"/>
  <c r="EJ33"/>
  <c r="GF31"/>
  <c r="GE31"/>
  <c r="DU187" i="17"/>
  <c r="DW210"/>
  <c r="DU225"/>
  <c r="DV240" s="1"/>
  <c r="DW173"/>
  <c r="EJ187"/>
  <c r="CW211"/>
  <c r="CV174"/>
  <c r="EJ225"/>
  <c r="EK240" s="1"/>
  <c r="FS56" i="22"/>
  <c r="FT56"/>
  <c r="D68"/>
  <c r="H68" s="1"/>
  <c r="AV68"/>
  <c r="CR68"/>
  <c r="EN68"/>
  <c r="X68"/>
  <c r="AB69"/>
  <c r="AE69" s="1"/>
  <c r="GE85"/>
  <c r="BD78"/>
  <c r="BC78"/>
  <c r="FH79"/>
  <c r="DX68"/>
  <c r="DW68"/>
  <c r="GR67"/>
  <c r="GQ67"/>
  <c r="CM73"/>
  <c r="FH65"/>
  <c r="FG65"/>
  <c r="CN62"/>
  <c r="CM62"/>
  <c r="EU55"/>
  <c r="EV55"/>
  <c r="EU47"/>
  <c r="H59"/>
  <c r="G59"/>
  <c r="FT43"/>
  <c r="FS43"/>
  <c r="DK38"/>
  <c r="DL38"/>
  <c r="GE26"/>
  <c r="GF26"/>
  <c r="HE27"/>
  <c r="HF27"/>
  <c r="BO34"/>
  <c r="BP34"/>
  <c r="S17"/>
  <c r="BP11"/>
  <c r="BO11"/>
  <c r="AQ25"/>
  <c r="AR25"/>
  <c r="CY11"/>
  <c r="CZ11"/>
  <c r="EV11"/>
  <c r="GR48"/>
  <c r="GQ48"/>
  <c r="BP57"/>
  <c r="BO57"/>
  <c r="FP42"/>
  <c r="FT42" s="1"/>
  <c r="DH50"/>
  <c r="DK50" s="1"/>
  <c r="EM54"/>
  <c r="EH54"/>
  <c r="EG54"/>
  <c r="EL54" s="1"/>
  <c r="BX57"/>
  <c r="CA57" s="1"/>
  <c r="CJ61"/>
  <c r="CN61" s="1"/>
  <c r="BX84"/>
  <c r="CA84" s="1"/>
  <c r="FP84"/>
  <c r="FS84" s="1"/>
  <c r="AZ85"/>
  <c r="BC85" s="1"/>
  <c r="DT115" i="10"/>
  <c r="BR85" i="22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BC15"/>
  <c r="BD15"/>
  <c r="AF34"/>
  <c r="AE34"/>
  <c r="FS64"/>
  <c r="FT64"/>
  <c r="GZ78"/>
  <c r="HD78" s="1"/>
  <c r="GB61"/>
  <c r="GF61" s="1"/>
  <c r="AB67"/>
  <c r="AF67" s="1"/>
  <c r="DH68"/>
  <c r="DK68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CJ65"/>
  <c r="CN65" s="1"/>
  <c r="EF65"/>
  <c r="EJ65" s="1"/>
  <c r="EH65"/>
  <c r="HB65"/>
  <c r="HG65"/>
  <c r="DT86"/>
  <c r="DX86" s="1"/>
  <c r="AJ187" i="17"/>
  <c r="Q41" i="22"/>
  <c r="V41" s="1"/>
  <c r="GI54"/>
  <c r="EM57"/>
  <c r="AU58"/>
  <c r="AN58"/>
  <c r="AR58" s="1"/>
  <c r="FK59"/>
  <c r="FF59"/>
  <c r="GZ59"/>
  <c r="HC59" s="1"/>
  <c r="HB59"/>
  <c r="D62"/>
  <c r="H62" s="1"/>
  <c r="GI62"/>
  <c r="GD62"/>
  <c r="CV68"/>
  <c r="CZ68" s="1"/>
  <c r="AZ83"/>
  <c r="BC83" s="1"/>
  <c r="GI81"/>
  <c r="DP29"/>
  <c r="AV30"/>
  <c r="AU40"/>
  <c r="BN41"/>
  <c r="FK41"/>
  <c r="GZ53"/>
  <c r="HC53" s="1"/>
  <c r="GB54"/>
  <c r="GF54" s="1"/>
  <c r="BS57"/>
  <c r="R59"/>
  <c r="DJ59"/>
  <c r="GI80"/>
  <c r="BL81"/>
  <c r="BP81" s="1"/>
  <c r="GN81"/>
  <c r="GQ81" s="1"/>
  <c r="EG56"/>
  <c r="EK56" s="1"/>
  <c r="AU70"/>
  <c r="BS76"/>
  <c r="DI81"/>
  <c r="DN81" s="1"/>
  <c r="DJ81"/>
  <c r="GU83"/>
  <c r="HA83"/>
  <c r="CK62"/>
  <c r="CP62" s="1"/>
  <c r="HA63"/>
  <c r="HF63" s="1"/>
  <c r="DI69"/>
  <c r="D70"/>
  <c r="G70" s="1"/>
  <c r="FF73"/>
  <c r="FD73"/>
  <c r="FG73" s="1"/>
  <c r="EG86"/>
  <c r="EL86" s="1"/>
  <c r="S120" i="20"/>
  <c r="S114"/>
  <c r="S126"/>
  <c r="S125"/>
  <c r="G68" i="22"/>
  <c r="K303" i="13"/>
  <c r="AQ58" i="22"/>
  <c r="AL53" i="10"/>
  <c r="BY152" i="17"/>
  <c r="AM28" i="15"/>
  <c r="BY38" i="1"/>
  <c r="AS29" i="15"/>
  <c r="CI19"/>
  <c r="AC35" i="1"/>
  <c r="P18" i="9"/>
  <c r="BE29" i="15"/>
  <c r="P22" i="9"/>
  <c r="C33" i="2"/>
  <c r="FE32" i="1"/>
  <c r="CO29" i="15"/>
  <c r="CC29"/>
  <c r="E38" i="1"/>
  <c r="BE28" i="15"/>
  <c r="AG30"/>
  <c r="BQ19"/>
  <c r="AM19"/>
  <c r="EG33" i="1"/>
  <c r="CC28" i="15"/>
  <c r="AG29"/>
  <c r="BW28"/>
  <c r="DG28"/>
  <c r="HA35" i="1"/>
  <c r="FQ38"/>
  <c r="J19" i="7"/>
  <c r="CU19" i="15"/>
  <c r="P19" i="9"/>
  <c r="AA19" i="15"/>
  <c r="HA37" i="1"/>
  <c r="Q32"/>
  <c r="BY33"/>
  <c r="BW30" i="15"/>
  <c r="BK28"/>
  <c r="GO37" i="1"/>
  <c r="AC31"/>
  <c r="BA32"/>
  <c r="BK29" i="15"/>
  <c r="E37" i="1"/>
  <c r="CU29" i="15"/>
  <c r="BY32" i="1"/>
  <c r="U19" i="15"/>
  <c r="AC38" i="1"/>
  <c r="AS28" i="15"/>
  <c r="GC38" i="1"/>
  <c r="BA35"/>
  <c r="BY35"/>
  <c r="FQ35"/>
  <c r="AO33"/>
  <c r="HA32"/>
  <c r="HA36"/>
  <c r="AY19" i="15"/>
  <c r="C30"/>
  <c r="DI37" i="1"/>
  <c r="GC33"/>
  <c r="GO31"/>
  <c r="BQ30" i="15"/>
  <c r="FQ33" i="1"/>
  <c r="AC33"/>
  <c r="U29" i="15"/>
  <c r="FQ37" i="1"/>
  <c r="BQ28" i="15"/>
  <c r="Q36" i="1"/>
  <c r="EG31"/>
  <c r="DA19" i="15"/>
  <c r="CO19"/>
  <c r="P26" i="9"/>
  <c r="I19" i="15"/>
  <c r="P25" i="9"/>
  <c r="CO30" i="15"/>
  <c r="P23" i="9"/>
  <c r="FQ32" i="1"/>
  <c r="FE20"/>
  <c r="DA30" i="15"/>
  <c r="Q31" i="1"/>
  <c r="FQ31"/>
  <c r="B32" i="2"/>
  <c r="BM33" i="1"/>
  <c r="DU37"/>
  <c r="ES25"/>
  <c r="GO38"/>
  <c r="CC16" i="15"/>
  <c r="ES20" i="1"/>
  <c r="CW37"/>
  <c r="E25"/>
  <c r="AS30" i="15"/>
  <c r="DI30"/>
  <c r="AO31" i="1"/>
  <c r="EG35"/>
  <c r="GC31"/>
  <c r="BA37"/>
  <c r="ES38"/>
  <c r="BQ29" i="15"/>
  <c r="HA38" i="1"/>
  <c r="BY31"/>
  <c r="BW19" i="15"/>
  <c r="AA29"/>
  <c r="BW16"/>
  <c r="Q35" i="1"/>
  <c r="GO33"/>
  <c r="P32" i="9"/>
  <c r="P20"/>
  <c r="BK30" i="15"/>
  <c r="ES33" i="1"/>
  <c r="AA28" i="15"/>
  <c r="C32" i="2"/>
  <c r="BY37" i="1"/>
  <c r="Q37"/>
  <c r="A130" i="20"/>
  <c r="C19" i="15"/>
  <c r="AS19"/>
  <c r="GC32" i="1"/>
  <c r="P28" i="9"/>
  <c r="CC30" i="15"/>
  <c r="AY28"/>
  <c r="CU28"/>
  <c r="DI31" i="1"/>
  <c r="CW31"/>
  <c r="I29" i="15"/>
  <c r="E33" i="1"/>
  <c r="FE35"/>
  <c r="CO28" i="15"/>
  <c r="ES31" i="1"/>
  <c r="CK38"/>
  <c r="P29" i="9"/>
  <c r="CW33" i="1"/>
  <c r="P31" i="9"/>
  <c r="AO38" i="1"/>
  <c r="DG30" i="15"/>
  <c r="ES32" i="1"/>
  <c r="BA33"/>
  <c r="HA34"/>
  <c r="DA29" i="15"/>
  <c r="I30"/>
  <c r="GO35" i="1"/>
  <c r="P30" i="9"/>
  <c r="CW35" i="1"/>
  <c r="AC32"/>
  <c r="P27" i="9"/>
  <c r="CI30" i="15"/>
  <c r="FE31" i="1"/>
  <c r="DA28" i="15"/>
  <c r="P14" i="9"/>
  <c r="DU32" i="1"/>
  <c r="AY30" i="15"/>
  <c r="DU31" i="1"/>
  <c r="CU30" i="15"/>
  <c r="CK33" i="1"/>
  <c r="BE30" i="15"/>
  <c r="C28"/>
  <c r="Q34" i="1"/>
  <c r="C130" i="20"/>
  <c r="BM31" i="1"/>
  <c r="CK31"/>
  <c r="FE25"/>
  <c r="O28" i="15"/>
  <c r="CI28"/>
  <c r="CW38" i="1"/>
  <c r="E32"/>
  <c r="U30" i="15"/>
  <c r="P26" i="2"/>
  <c r="AM29" i="15"/>
  <c r="AM30"/>
  <c r="GC35" i="1"/>
  <c r="AY29" i="15"/>
  <c r="AG28"/>
  <c r="GC37" i="1"/>
  <c r="O37" i="2"/>
  <c r="B33"/>
  <c r="DI29" i="15"/>
  <c r="FE38" i="1"/>
  <c r="DI28" i="15"/>
  <c r="P21" i="9"/>
  <c r="C20" i="2"/>
  <c r="I28" i="15"/>
  <c r="CI29"/>
  <c r="AA30"/>
  <c r="DI33" i="1"/>
  <c r="O29" i="15"/>
  <c r="BW29"/>
  <c r="FE37" i="1"/>
  <c r="C29" i="15"/>
  <c r="ES37" i="1"/>
  <c r="DU35"/>
  <c r="CC19" i="15"/>
  <c r="DI32" i="1"/>
  <c r="DG29" i="15"/>
  <c r="O30"/>
  <c r="AC37" i="1"/>
  <c r="E35"/>
  <c r="BM38"/>
  <c r="BM35"/>
  <c r="CK35"/>
  <c r="BE19" i="15"/>
  <c r="P17" i="9"/>
  <c r="P15"/>
  <c r="O19" i="15"/>
  <c r="P16" i="9"/>
  <c r="P33"/>
  <c r="AG19" i="15"/>
  <c r="BA38" i="1"/>
  <c r="GO32"/>
  <c r="G31" i="2"/>
  <c r="DI35" i="1"/>
  <c r="U28" i="15"/>
  <c r="Q33" i="1"/>
  <c r="P21" i="2" s="1"/>
  <c r="HA33" i="1"/>
  <c r="DU38"/>
  <c r="P24" i="9"/>
  <c r="BK19" i="15"/>
  <c r="S16" i="22" l="1"/>
  <c r="T16"/>
  <c r="AR27"/>
  <c r="AQ27"/>
  <c r="GF32"/>
  <c r="GE32"/>
  <c r="EI34"/>
  <c r="EJ34"/>
  <c r="DK35"/>
  <c r="DL35"/>
  <c r="GE38"/>
  <c r="GF38"/>
  <c r="CM56"/>
  <c r="CN56"/>
  <c r="FH57"/>
  <c r="FG57"/>
  <c r="FH59"/>
  <c r="FG59"/>
  <c r="E98" i="20"/>
  <c r="H98" s="1"/>
  <c r="E102"/>
  <c r="F102" s="1"/>
  <c r="GE75" i="22"/>
  <c r="EI66"/>
  <c r="AJ225" i="17"/>
  <c r="AK240" s="1"/>
  <c r="E97" i="20"/>
  <c r="F97" s="1"/>
  <c r="E96"/>
  <c r="F96" s="1"/>
  <c r="E100"/>
  <c r="H100" s="1"/>
  <c r="HC82" i="22"/>
  <c r="DM77"/>
  <c r="AS52"/>
  <c r="AS56"/>
  <c r="S58"/>
  <c r="DL65"/>
  <c r="DJ6"/>
  <c r="EG6"/>
  <c r="FL6"/>
  <c r="GI6"/>
  <c r="R8"/>
  <c r="AO8"/>
  <c r="FF8"/>
  <c r="GD8"/>
  <c r="Q9"/>
  <c r="BM9"/>
  <c r="CR9"/>
  <c r="EG9"/>
  <c r="EL9" s="1"/>
  <c r="HG9"/>
  <c r="W10"/>
  <c r="AV10"/>
  <c r="BN10"/>
  <c r="R11"/>
  <c r="DI11"/>
  <c r="HG11"/>
  <c r="R12"/>
  <c r="DI12"/>
  <c r="DN12" s="1"/>
  <c r="HA12"/>
  <c r="HE12" s="1"/>
  <c r="AP13"/>
  <c r="CQ13"/>
  <c r="DP13"/>
  <c r="FE13"/>
  <c r="GD13"/>
  <c r="EN14"/>
  <c r="FF14"/>
  <c r="GJ14"/>
  <c r="W15"/>
  <c r="BS15"/>
  <c r="CQ15"/>
  <c r="EG15"/>
  <c r="EK15" s="1"/>
  <c r="HH15"/>
  <c r="Q16"/>
  <c r="CL16"/>
  <c r="FL16"/>
  <c r="GC16"/>
  <c r="HG16"/>
  <c r="X17"/>
  <c r="GJ17"/>
  <c r="AO18"/>
  <c r="EN18"/>
  <c r="HG18"/>
  <c r="Q19"/>
  <c r="AV19"/>
  <c r="BN19"/>
  <c r="CQ19"/>
  <c r="DI19"/>
  <c r="EG19"/>
  <c r="EK19" s="1"/>
  <c r="FL19"/>
  <c r="HH19"/>
  <c r="FE20"/>
  <c r="FJ20" s="1"/>
  <c r="GJ20"/>
  <c r="HH20"/>
  <c r="Q21"/>
  <c r="U21" s="1"/>
  <c r="CL21"/>
  <c r="DI21"/>
  <c r="FL21"/>
  <c r="HG21"/>
  <c r="Q22"/>
  <c r="U22" s="1"/>
  <c r="CK22"/>
  <c r="GI22"/>
  <c r="W23"/>
  <c r="AU23"/>
  <c r="BT23"/>
  <c r="CK23"/>
  <c r="CO23" s="1"/>
  <c r="EG23"/>
  <c r="EL23" s="1"/>
  <c r="AO24"/>
  <c r="CK24"/>
  <c r="DJ24"/>
  <c r="EH24"/>
  <c r="GJ24"/>
  <c r="HA24"/>
  <c r="HE24" s="1"/>
  <c r="R25"/>
  <c r="BS25"/>
  <c r="HB25"/>
  <c r="AP26"/>
  <c r="BN26"/>
  <c r="CK26"/>
  <c r="CO26" s="1"/>
  <c r="FF26"/>
  <c r="AV27"/>
  <c r="DJ27"/>
  <c r="EG27"/>
  <c r="FE27"/>
  <c r="GI27"/>
  <c r="HG27"/>
  <c r="AU28"/>
  <c r="CK28"/>
  <c r="CO28" s="1"/>
  <c r="FE28"/>
  <c r="HG28"/>
  <c r="AV29"/>
  <c r="CR29"/>
  <c r="GC29"/>
  <c r="GH29" s="1"/>
  <c r="HG29"/>
  <c r="AU30"/>
  <c r="CK30"/>
  <c r="DI30"/>
  <c r="EM30"/>
  <c r="X31"/>
  <c r="BM31"/>
  <c r="DJ31"/>
  <c r="HH31"/>
  <c r="CL32"/>
  <c r="EN32"/>
  <c r="GD32"/>
  <c r="HH32"/>
  <c r="BN33"/>
  <c r="EM34"/>
  <c r="FL34"/>
  <c r="AV35"/>
  <c r="GC35"/>
  <c r="GH35" s="1"/>
  <c r="W38"/>
  <c r="FL38"/>
  <c r="HG38"/>
  <c r="X40"/>
  <c r="FL40"/>
  <c r="HG40"/>
  <c r="GD41"/>
  <c r="X42"/>
  <c r="CR42"/>
  <c r="EN42"/>
  <c r="FK42"/>
  <c r="GI43"/>
  <c r="W44"/>
  <c r="FK44"/>
  <c r="HH44"/>
  <c r="GJ47"/>
  <c r="BS48"/>
  <c r="HB48"/>
  <c r="FK50"/>
  <c r="FL52"/>
  <c r="HB52"/>
  <c r="GJ53"/>
  <c r="X54"/>
  <c r="AV54"/>
  <c r="BT54"/>
  <c r="HB54"/>
  <c r="GC55"/>
  <c r="GG55" s="1"/>
  <c r="CR56"/>
  <c r="CR57"/>
  <c r="EN57"/>
  <c r="Q58"/>
  <c r="U58" s="1"/>
  <c r="BT58"/>
  <c r="DO58"/>
  <c r="FE58"/>
  <c r="HH58"/>
  <c r="AV59"/>
  <c r="CR59"/>
  <c r="EG59"/>
  <c r="EK59" s="1"/>
  <c r="GJ59"/>
  <c r="X60"/>
  <c r="BT60"/>
  <c r="DP60"/>
  <c r="FK60"/>
  <c r="HB60"/>
  <c r="AV61"/>
  <c r="EN61"/>
  <c r="GD61"/>
  <c r="X62"/>
  <c r="BT62"/>
  <c r="DI62"/>
  <c r="DN62" s="1"/>
  <c r="HG62"/>
  <c r="EN63"/>
  <c r="BT64"/>
  <c r="FL64"/>
  <c r="HA64"/>
  <c r="HE64" s="1"/>
  <c r="CR65"/>
  <c r="EN65"/>
  <c r="GC65"/>
  <c r="GG65" s="1"/>
  <c r="X66"/>
  <c r="BT66"/>
  <c r="DP66"/>
  <c r="FE66"/>
  <c r="FI66" s="1"/>
  <c r="HA66"/>
  <c r="HF66" s="1"/>
  <c r="AP67"/>
  <c r="CR67"/>
  <c r="GC67"/>
  <c r="GG67" s="1"/>
  <c r="R68"/>
  <c r="BS68"/>
  <c r="DP68"/>
  <c r="FL68"/>
  <c r="HA68"/>
  <c r="AV69"/>
  <c r="CR69"/>
  <c r="EN69"/>
  <c r="GJ69"/>
  <c r="FF70"/>
  <c r="HA70"/>
  <c r="HF70" s="1"/>
  <c r="GC71"/>
  <c r="EN72"/>
  <c r="FE72"/>
  <c r="HB72"/>
  <c r="GI73"/>
  <c r="R74"/>
  <c r="GD75"/>
  <c r="BT76"/>
  <c r="HB76"/>
  <c r="AV77"/>
  <c r="GD77"/>
  <c r="X78"/>
  <c r="FF78"/>
  <c r="HB78"/>
  <c r="AV79"/>
  <c r="CR79"/>
  <c r="BT80"/>
  <c r="DP80"/>
  <c r="FL80"/>
  <c r="HB80"/>
  <c r="AP81"/>
  <c r="CR81"/>
  <c r="GJ81"/>
  <c r="X82"/>
  <c r="CR83"/>
  <c r="GD83"/>
  <c r="AV84"/>
  <c r="BS84"/>
  <c r="CR84"/>
  <c r="FE84"/>
  <c r="FJ84" s="1"/>
  <c r="AP85"/>
  <c r="EH85"/>
  <c r="W86"/>
  <c r="DP86"/>
  <c r="EN86"/>
  <c r="HB86"/>
  <c r="BP84"/>
  <c r="EK72"/>
  <c r="HD52"/>
  <c r="FS74"/>
  <c r="BO61"/>
  <c r="DK33"/>
  <c r="DU117" i="18"/>
  <c r="GG35" i="22"/>
  <c r="FI58"/>
  <c r="FJ58"/>
  <c r="HE70"/>
  <c r="DL51"/>
  <c r="DK51"/>
  <c r="HF20"/>
  <c r="HE20"/>
  <c r="AP5"/>
  <c r="AO5"/>
  <c r="GC5"/>
  <c r="GI5"/>
  <c r="GL29" i="1" s="1"/>
  <c r="W6" i="22"/>
  <c r="Q6"/>
  <c r="BS6"/>
  <c r="BN6"/>
  <c r="HA6"/>
  <c r="HG6"/>
  <c r="HH6"/>
  <c r="AO7"/>
  <c r="AU7"/>
  <c r="CK7"/>
  <c r="CL7"/>
  <c r="EG7"/>
  <c r="EN7"/>
  <c r="GJ7"/>
  <c r="GC7"/>
  <c r="GI7"/>
  <c r="DO8"/>
  <c r="DP8"/>
  <c r="HH8"/>
  <c r="HA8"/>
  <c r="AO9"/>
  <c r="AU9"/>
  <c r="DP10"/>
  <c r="DJ10"/>
  <c r="DI10"/>
  <c r="FK10"/>
  <c r="FL10"/>
  <c r="HB10"/>
  <c r="HG10"/>
  <c r="AP11"/>
  <c r="AV11"/>
  <c r="AU11"/>
  <c r="AO11"/>
  <c r="CK11"/>
  <c r="CR11"/>
  <c r="CL11"/>
  <c r="EM11"/>
  <c r="EN11"/>
  <c r="GI11"/>
  <c r="GC11"/>
  <c r="BT12"/>
  <c r="BS12"/>
  <c r="FF12"/>
  <c r="FL12"/>
  <c r="FE12"/>
  <c r="X14"/>
  <c r="R14"/>
  <c r="BN14"/>
  <c r="BT14"/>
  <c r="DI14"/>
  <c r="DP14"/>
  <c r="DO14"/>
  <c r="HH14"/>
  <c r="HB14"/>
  <c r="AU15"/>
  <c r="AV15"/>
  <c r="AO15"/>
  <c r="GC15"/>
  <c r="GD15"/>
  <c r="BN16"/>
  <c r="BT16"/>
  <c r="DO16"/>
  <c r="DP16"/>
  <c r="AU17"/>
  <c r="AO17"/>
  <c r="CL17"/>
  <c r="CK17"/>
  <c r="CO17" s="1"/>
  <c r="EH17"/>
  <c r="EN17"/>
  <c r="Q18"/>
  <c r="X18"/>
  <c r="BT18"/>
  <c r="BM18"/>
  <c r="DI18"/>
  <c r="DJ18"/>
  <c r="GI19"/>
  <c r="GC19"/>
  <c r="GG19" s="1"/>
  <c r="R20"/>
  <c r="Q20"/>
  <c r="EG21"/>
  <c r="EH21"/>
  <c r="BM22"/>
  <c r="BT22"/>
  <c r="DO22"/>
  <c r="DI22"/>
  <c r="FK22"/>
  <c r="FE22"/>
  <c r="BM24"/>
  <c r="BT24"/>
  <c r="AP25"/>
  <c r="AO25"/>
  <c r="EH25"/>
  <c r="EG25"/>
  <c r="GJ25"/>
  <c r="GC25"/>
  <c r="DI26"/>
  <c r="DN26" s="1"/>
  <c r="DJ26"/>
  <c r="HH26"/>
  <c r="HB26"/>
  <c r="CR27"/>
  <c r="CK27"/>
  <c r="DI28"/>
  <c r="DP28"/>
  <c r="EN29"/>
  <c r="EG29"/>
  <c r="BS30"/>
  <c r="BM30"/>
  <c r="HG30"/>
  <c r="HB30"/>
  <c r="CL31"/>
  <c r="CQ31"/>
  <c r="CR31"/>
  <c r="CK31"/>
  <c r="EN31"/>
  <c r="EH31"/>
  <c r="GJ31"/>
  <c r="GD31"/>
  <c r="BM32"/>
  <c r="BN32"/>
  <c r="BS32"/>
  <c r="DJ32"/>
  <c r="DO32"/>
  <c r="DP32"/>
  <c r="FF32"/>
  <c r="FL32"/>
  <c r="AP33"/>
  <c r="AV33"/>
  <c r="AO33"/>
  <c r="CR33"/>
  <c r="CL33"/>
  <c r="EM33"/>
  <c r="EH33"/>
  <c r="EN33"/>
  <c r="BM34"/>
  <c r="BT34"/>
  <c r="DI34"/>
  <c r="DO34"/>
  <c r="DP34"/>
  <c r="HA34"/>
  <c r="HH34"/>
  <c r="CK35"/>
  <c r="CR35"/>
  <c r="EG35"/>
  <c r="EM35"/>
  <c r="EN35"/>
  <c r="BM36"/>
  <c r="BT36"/>
  <c r="BN36"/>
  <c r="FF36"/>
  <c r="FE36"/>
  <c r="FL36"/>
  <c r="HH36"/>
  <c r="HG36"/>
  <c r="HB36"/>
  <c r="AU37"/>
  <c r="AV37"/>
  <c r="CQ37"/>
  <c r="CR37"/>
  <c r="EG37"/>
  <c r="EN37"/>
  <c r="GJ37"/>
  <c r="GI37"/>
  <c r="GD37"/>
  <c r="BM38"/>
  <c r="BS38"/>
  <c r="BT38"/>
  <c r="DP38"/>
  <c r="DJ38"/>
  <c r="DO38"/>
  <c r="AU39"/>
  <c r="AP39"/>
  <c r="CL39"/>
  <c r="CR39"/>
  <c r="CQ39"/>
  <c r="EM39"/>
  <c r="EH39"/>
  <c r="EN39"/>
  <c r="EG39"/>
  <c r="GD39"/>
  <c r="GJ39"/>
  <c r="BN40"/>
  <c r="BT40"/>
  <c r="BS40"/>
  <c r="DP40"/>
  <c r="DO40"/>
  <c r="AP41"/>
  <c r="AV41"/>
  <c r="AU41"/>
  <c r="CR41"/>
  <c r="CL41"/>
  <c r="EM41"/>
  <c r="EN41"/>
  <c r="EH41"/>
  <c r="BS42"/>
  <c r="BN42"/>
  <c r="BT42"/>
  <c r="DJ42"/>
  <c r="DP42"/>
  <c r="DO42"/>
  <c r="HH42"/>
  <c r="HG42"/>
  <c r="AP43"/>
  <c r="AV43"/>
  <c r="AU43"/>
  <c r="CL43"/>
  <c r="CQ43"/>
  <c r="CR43"/>
  <c r="EN43"/>
  <c r="EH43"/>
  <c r="EM43"/>
  <c r="BT44"/>
  <c r="BS44"/>
  <c r="BM44"/>
  <c r="DO44"/>
  <c r="DP44"/>
  <c r="DI44"/>
  <c r="AV45"/>
  <c r="AU45"/>
  <c r="AO45"/>
  <c r="AT45" s="1"/>
  <c r="CK45"/>
  <c r="CR45"/>
  <c r="EN45"/>
  <c r="EM45"/>
  <c r="EG45"/>
  <c r="BN46"/>
  <c r="BM46"/>
  <c r="BS46"/>
  <c r="DP46"/>
  <c r="DO46"/>
  <c r="HH46"/>
  <c r="HG46"/>
  <c r="AV47"/>
  <c r="AU47"/>
  <c r="AO47"/>
  <c r="CR47"/>
  <c r="CK47"/>
  <c r="CO47" s="1"/>
  <c r="CQ47"/>
  <c r="EN47"/>
  <c r="EG47"/>
  <c r="X48"/>
  <c r="Q48"/>
  <c r="DI48"/>
  <c r="DP48"/>
  <c r="DO48"/>
  <c r="AU49"/>
  <c r="AO49"/>
  <c r="AV49"/>
  <c r="CR49"/>
  <c r="CK49"/>
  <c r="CQ49"/>
  <c r="EN49"/>
  <c r="EG49"/>
  <c r="BT50"/>
  <c r="BM50"/>
  <c r="BS50"/>
  <c r="DO50"/>
  <c r="DI50"/>
  <c r="DP50"/>
  <c r="AV51"/>
  <c r="AU51"/>
  <c r="AO51"/>
  <c r="CR51"/>
  <c r="CQ51"/>
  <c r="EN51"/>
  <c r="EG51"/>
  <c r="EM51"/>
  <c r="BT52"/>
  <c r="BM52"/>
  <c r="BQ52" s="1"/>
  <c r="DO52"/>
  <c r="DJ52"/>
  <c r="DP52"/>
  <c r="AO53"/>
  <c r="AV53"/>
  <c r="AP53"/>
  <c r="CR53"/>
  <c r="CL53"/>
  <c r="EN53"/>
  <c r="EG53"/>
  <c r="DP54"/>
  <c r="DI54"/>
  <c r="AV55"/>
  <c r="AP55"/>
  <c r="CK55"/>
  <c r="CR55"/>
  <c r="EN55"/>
  <c r="EM55"/>
  <c r="EG55"/>
  <c r="R56"/>
  <c r="X56"/>
  <c r="BS56"/>
  <c r="BM56"/>
  <c r="BT56"/>
  <c r="DI56"/>
  <c r="DM56" s="1"/>
  <c r="DP56"/>
  <c r="DO56"/>
  <c r="AP57"/>
  <c r="AV57"/>
  <c r="AO57"/>
  <c r="CL61"/>
  <c r="CR61"/>
  <c r="AV63"/>
  <c r="AP63"/>
  <c r="CR63"/>
  <c r="CK63"/>
  <c r="R64"/>
  <c r="X64"/>
  <c r="DP64"/>
  <c r="DJ64"/>
  <c r="AO65"/>
  <c r="AV65"/>
  <c r="EM67"/>
  <c r="EH67"/>
  <c r="EN67"/>
  <c r="W70"/>
  <c r="X70"/>
  <c r="BT70"/>
  <c r="BM70"/>
  <c r="BS70"/>
  <c r="DI70"/>
  <c r="DN70" s="1"/>
  <c r="DO70"/>
  <c r="AV71"/>
  <c r="AO71"/>
  <c r="AU71"/>
  <c r="CQ71"/>
  <c r="CK71"/>
  <c r="CR71"/>
  <c r="EG71"/>
  <c r="EN71"/>
  <c r="X72"/>
  <c r="Q72"/>
  <c r="U72" s="1"/>
  <c r="BM72"/>
  <c r="BS72"/>
  <c r="BN72"/>
  <c r="BT72"/>
  <c r="DP72"/>
  <c r="DI72"/>
  <c r="DN72" s="1"/>
  <c r="AV73"/>
  <c r="AO73"/>
  <c r="AT73" s="1"/>
  <c r="AU73"/>
  <c r="AP73"/>
  <c r="CR73"/>
  <c r="CK73"/>
  <c r="CP73" s="1"/>
  <c r="EM73"/>
  <c r="EN73"/>
  <c r="BM74"/>
  <c r="BN74"/>
  <c r="DP74"/>
  <c r="DJ74"/>
  <c r="DO74"/>
  <c r="FE74"/>
  <c r="FF74"/>
  <c r="HH74"/>
  <c r="HG74"/>
  <c r="AV75"/>
  <c r="AU75"/>
  <c r="AO75"/>
  <c r="CK75"/>
  <c r="CO75" s="1"/>
  <c r="CR75"/>
  <c r="CL75"/>
  <c r="EH75"/>
  <c r="EN75"/>
  <c r="EM75"/>
  <c r="R76"/>
  <c r="X76"/>
  <c r="DI76"/>
  <c r="DP76"/>
  <c r="FL76"/>
  <c r="FF76"/>
  <c r="CL77"/>
  <c r="CR77"/>
  <c r="EN77"/>
  <c r="EH77"/>
  <c r="BT78"/>
  <c r="BN78"/>
  <c r="DJ78"/>
  <c r="DP78"/>
  <c r="EN79"/>
  <c r="EH79"/>
  <c r="GJ79"/>
  <c r="GD79"/>
  <c r="X80"/>
  <c r="R80"/>
  <c r="EM81"/>
  <c r="EG81"/>
  <c r="EL81" s="1"/>
  <c r="BS82"/>
  <c r="BT82"/>
  <c r="DO82"/>
  <c r="DP82"/>
  <c r="FL82"/>
  <c r="FE82"/>
  <c r="FJ82" s="1"/>
  <c r="HH82"/>
  <c r="HA82"/>
  <c r="HE82" s="1"/>
  <c r="AU83"/>
  <c r="AP83"/>
  <c r="AV83"/>
  <c r="EG83"/>
  <c r="EN83"/>
  <c r="EM83"/>
  <c r="DJ84"/>
  <c r="DO84"/>
  <c r="HG84"/>
  <c r="HH84"/>
  <c r="CQ85"/>
  <c r="CL85"/>
  <c r="GD85"/>
  <c r="GJ85"/>
  <c r="BN86"/>
  <c r="BS86"/>
  <c r="FK86"/>
  <c r="FL86"/>
  <c r="EH53"/>
  <c r="EH59"/>
  <c r="DL82"/>
  <c r="BT68"/>
  <c r="Q70"/>
  <c r="U70" s="1"/>
  <c r="BN66"/>
  <c r="FK68"/>
  <c r="AO79"/>
  <c r="AS79" s="1"/>
  <c r="CL67"/>
  <c r="W78"/>
  <c r="FK78"/>
  <c r="W76"/>
  <c r="GC69"/>
  <c r="GH69" s="1"/>
  <c r="BN64"/>
  <c r="EM63"/>
  <c r="W62"/>
  <c r="CL73"/>
  <c r="GI85"/>
  <c r="FL84"/>
  <c r="BM82"/>
  <c r="DI82"/>
  <c r="DI74"/>
  <c r="DN74" s="1"/>
  <c r="EM71"/>
  <c r="EG63"/>
  <c r="FF58"/>
  <c r="CL65"/>
  <c r="GI61"/>
  <c r="FE86"/>
  <c r="FI86" s="1"/>
  <c r="CQ79"/>
  <c r="DO66"/>
  <c r="BM66"/>
  <c r="BQ66" s="1"/>
  <c r="EM77"/>
  <c r="FF68"/>
  <c r="CK77"/>
  <c r="AU79"/>
  <c r="Q78"/>
  <c r="U78" s="1"/>
  <c r="FE76"/>
  <c r="FI76" s="1"/>
  <c r="AU67"/>
  <c r="HG64"/>
  <c r="HB62"/>
  <c r="AP61"/>
  <c r="DO60"/>
  <c r="DI86"/>
  <c r="DM86" s="1"/>
  <c r="DO80"/>
  <c r="FF72"/>
  <c r="GD69"/>
  <c r="FK66"/>
  <c r="EK9"/>
  <c r="HF12"/>
  <c r="FF86"/>
  <c r="FF84"/>
  <c r="EM85"/>
  <c r="EN85"/>
  <c r="FK82"/>
  <c r="CL79"/>
  <c r="R78"/>
  <c r="AP75"/>
  <c r="FE70"/>
  <c r="DO72"/>
  <c r="DP58"/>
  <c r="BM48"/>
  <c r="BQ48" s="1"/>
  <c r="BT46"/>
  <c r="CQ33"/>
  <c r="DP62"/>
  <c r="AU33"/>
  <c r="CK15"/>
  <c r="AU69"/>
  <c r="DJ66"/>
  <c r="CK65"/>
  <c r="CP65" s="1"/>
  <c r="HA78"/>
  <c r="HF78" s="1"/>
  <c r="CQ81"/>
  <c r="GD67"/>
  <c r="EG77"/>
  <c r="GC77"/>
  <c r="GH77" s="1"/>
  <c r="GI75"/>
  <c r="AO67"/>
  <c r="AS67" s="1"/>
  <c r="HA62"/>
  <c r="AO61"/>
  <c r="AS61" s="1"/>
  <c r="DJ60"/>
  <c r="FF82"/>
  <c r="BM76"/>
  <c r="BR76" s="1"/>
  <c r="R72"/>
  <c r="HF24"/>
  <c r="EK5"/>
  <c r="DJ86"/>
  <c r="BN84"/>
  <c r="AU85"/>
  <c r="DP84"/>
  <c r="GC81"/>
  <c r="HB74"/>
  <c r="BT74"/>
  <c r="W72"/>
  <c r="X74"/>
  <c r="BM64"/>
  <c r="BQ64" s="1"/>
  <c r="CQ41"/>
  <c r="AR60"/>
  <c r="AQ60"/>
  <c r="GD65"/>
  <c r="EH47"/>
  <c r="BN60"/>
  <c r="CQ77"/>
  <c r="HG68"/>
  <c r="EH71"/>
  <c r="GI77"/>
  <c r="GC75"/>
  <c r="GG75" s="1"/>
  <c r="W64"/>
  <c r="FF60"/>
  <c r="DI60"/>
  <c r="EG85"/>
  <c r="HB68"/>
  <c r="EM69"/>
  <c r="GI65"/>
  <c r="HC32"/>
  <c r="FI20"/>
  <c r="CO51"/>
  <c r="R86"/>
  <c r="FK84"/>
  <c r="CR85"/>
  <c r="HG82"/>
  <c r="EN81"/>
  <c r="AP77"/>
  <c r="Q74"/>
  <c r="CQ75"/>
  <c r="BP65"/>
  <c r="BO65"/>
  <c r="EN59"/>
  <c r="EH55"/>
  <c r="HB42"/>
  <c r="FK38"/>
  <c r="EM37"/>
  <c r="BN82"/>
  <c r="BN70"/>
  <c r="AP69"/>
  <c r="GD81"/>
  <c r="GD59"/>
  <c r="R58"/>
  <c r="BS54"/>
  <c r="DJ68"/>
  <c r="CL69"/>
  <c r="CQ61"/>
  <c r="DJ50"/>
  <c r="GC83"/>
  <c r="GH83" s="1"/>
  <c r="DJ82"/>
  <c r="EK23"/>
  <c r="Q68"/>
  <c r="U68" s="1"/>
  <c r="HA76"/>
  <c r="HE76" s="1"/>
  <c r="R66"/>
  <c r="Q64"/>
  <c r="U64" s="1"/>
  <c r="AU61"/>
  <c r="FE60"/>
  <c r="FJ60" s="1"/>
  <c r="HG78"/>
  <c r="AP71"/>
  <c r="EM79"/>
  <c r="GD71"/>
  <c r="EG69"/>
  <c r="EL69" s="1"/>
  <c r="EL15"/>
  <c r="CP23"/>
  <c r="DL32"/>
  <c r="HF36"/>
  <c r="EH83"/>
  <c r="GI83"/>
  <c r="BT86"/>
  <c r="BT84"/>
  <c r="AV81"/>
  <c r="DJ80"/>
  <c r="DJ76"/>
  <c r="BS74"/>
  <c r="DI64"/>
  <c r="X58"/>
  <c r="BS52"/>
  <c r="EM49"/>
  <c r="BN54"/>
  <c r="AV39"/>
  <c r="HH76"/>
  <c r="GJ27"/>
  <c r="DI80"/>
  <c r="DN80" s="1"/>
  <c r="BS62"/>
  <c r="BM68"/>
  <c r="BR68" s="1"/>
  <c r="GC59"/>
  <c r="GG59" s="1"/>
  <c r="BM54"/>
  <c r="BR54" s="1"/>
  <c r="DO68"/>
  <c r="CQ69"/>
  <c r="CK81"/>
  <c r="EH61"/>
  <c r="BS78"/>
  <c r="W68"/>
  <c r="W66"/>
  <c r="AU65"/>
  <c r="R62"/>
  <c r="HG60"/>
  <c r="HA84"/>
  <c r="HE84" s="1"/>
  <c r="AO77"/>
  <c r="AT77" s="1"/>
  <c r="FK80"/>
  <c r="CL71"/>
  <c r="GI67"/>
  <c r="CL83"/>
  <c r="AV85"/>
  <c r="HG80"/>
  <c r="HH80"/>
  <c r="AU81"/>
  <c r="AP79"/>
  <c r="BN76"/>
  <c r="HA74"/>
  <c r="BN62"/>
  <c r="EH63"/>
  <c r="DJ56"/>
  <c r="DI46"/>
  <c r="DM46" s="1"/>
  <c r="EM31"/>
  <c r="BM60"/>
  <c r="BR60" s="1"/>
  <c r="R60"/>
  <c r="EG57"/>
  <c r="EL57" s="1"/>
  <c r="DI68"/>
  <c r="CK69"/>
  <c r="CP69" s="1"/>
  <c r="CK61"/>
  <c r="BM80"/>
  <c r="BQ80" s="1"/>
  <c r="EM61"/>
  <c r="Q66"/>
  <c r="U66" s="1"/>
  <c r="HG76"/>
  <c r="AP65"/>
  <c r="DO64"/>
  <c r="Q62"/>
  <c r="U62" s="1"/>
  <c r="GI79"/>
  <c r="FF80"/>
  <c r="HB70"/>
  <c r="EL19"/>
  <c r="HG86"/>
  <c r="CQ83"/>
  <c r="X86"/>
  <c r="BR86"/>
  <c r="CL81"/>
  <c r="EG73"/>
  <c r="EG61"/>
  <c r="EM47"/>
  <c r="DJ40"/>
  <c r="CQ45"/>
  <c r="CK37"/>
  <c r="CR13"/>
  <c r="EH23"/>
  <c r="EI78"/>
  <c r="GJ6"/>
  <c r="AV5"/>
  <c r="AR117" i="18"/>
  <c r="CN151"/>
  <c r="EJ151"/>
  <c r="EJ117"/>
  <c r="CN117"/>
  <c r="AR151"/>
  <c r="EI54" i="22"/>
  <c r="EJ54"/>
  <c r="DO5"/>
  <c r="DR29" i="1" s="1"/>
  <c r="DI5" i="22"/>
  <c r="CK6"/>
  <c r="CQ6"/>
  <c r="BN7"/>
  <c r="BM7"/>
  <c r="DI7"/>
  <c r="DJ7"/>
  <c r="CR8"/>
  <c r="CK8"/>
  <c r="FL9"/>
  <c r="FF9"/>
  <c r="EG10"/>
  <c r="EM10"/>
  <c r="CL6"/>
  <c r="AJ116" i="19"/>
  <c r="EB150"/>
  <c r="GE5" i="22"/>
  <c r="GF5"/>
  <c r="BO31"/>
  <c r="BP31"/>
  <c r="EM5"/>
  <c r="EP29" i="1" s="1"/>
  <c r="AV7" i="22"/>
  <c r="CQ7"/>
  <c r="BN8"/>
  <c r="DK8"/>
  <c r="DL8"/>
  <c r="CK9"/>
  <c r="EH9"/>
  <c r="GC9"/>
  <c r="DJ12"/>
  <c r="FK12"/>
  <c r="HH12"/>
  <c r="CK13"/>
  <c r="EM15"/>
  <c r="W16"/>
  <c r="CQ17"/>
  <c r="EM17"/>
  <c r="W18"/>
  <c r="BS18"/>
  <c r="HH18"/>
  <c r="BT20"/>
  <c r="DJ20"/>
  <c r="X24"/>
  <c r="FT40"/>
  <c r="FS40"/>
  <c r="DX42"/>
  <c r="DW42"/>
  <c r="AV26"/>
  <c r="AP30"/>
  <c r="BN23"/>
  <c r="BS23"/>
  <c r="X16"/>
  <c r="CQ9"/>
  <c r="R16"/>
  <c r="FE19"/>
  <c r="FI19" s="1"/>
  <c r="R6"/>
  <c r="AN7"/>
  <c r="BS14"/>
  <c r="GZ18"/>
  <c r="EM23"/>
  <c r="HB19"/>
  <c r="GJ16"/>
  <c r="X6"/>
  <c r="GD25"/>
  <c r="BT17"/>
  <c r="BS17"/>
  <c r="AV20"/>
  <c r="AO20"/>
  <c r="AS20" s="1"/>
  <c r="EH22"/>
  <c r="EG22"/>
  <c r="HG25"/>
  <c r="HA25"/>
  <c r="DI29"/>
  <c r="DO29"/>
  <c r="BM19"/>
  <c r="HG15"/>
  <c r="CM36"/>
  <c r="CN36"/>
  <c r="AU5"/>
  <c r="AX29" i="1" s="1"/>
  <c r="CL5" i="22"/>
  <c r="CK5"/>
  <c r="CJ5"/>
  <c r="CM5" s="1"/>
  <c r="CQ5"/>
  <c r="CT29" i="1" s="1"/>
  <c r="EH5" i="22"/>
  <c r="EF5"/>
  <c r="GD5"/>
  <c r="BT6"/>
  <c r="BL6"/>
  <c r="BM6"/>
  <c r="DI6"/>
  <c r="DO6"/>
  <c r="DP6"/>
  <c r="FD6"/>
  <c r="FE6"/>
  <c r="FF6"/>
  <c r="FK6"/>
  <c r="GZ6"/>
  <c r="HC6" s="1"/>
  <c r="HB6"/>
  <c r="AP7"/>
  <c r="CR7"/>
  <c r="CJ7"/>
  <c r="EF7"/>
  <c r="EH7"/>
  <c r="EM7"/>
  <c r="GD7"/>
  <c r="X8"/>
  <c r="Q8"/>
  <c r="BT8"/>
  <c r="BL8"/>
  <c r="BM8"/>
  <c r="BS8"/>
  <c r="DJ8"/>
  <c r="DI8"/>
  <c r="FL8"/>
  <c r="FK8"/>
  <c r="FE8"/>
  <c r="GZ8"/>
  <c r="HC8" s="1"/>
  <c r="HB8"/>
  <c r="HG8"/>
  <c r="AP9"/>
  <c r="CJ9"/>
  <c r="CL9"/>
  <c r="EN9"/>
  <c r="EF9"/>
  <c r="EM9"/>
  <c r="GI9"/>
  <c r="GD9"/>
  <c r="GJ9"/>
  <c r="R10"/>
  <c r="Q10"/>
  <c r="U10" s="1"/>
  <c r="X10"/>
  <c r="BT10"/>
  <c r="BM10"/>
  <c r="BL10"/>
  <c r="BS10"/>
  <c r="DH10"/>
  <c r="DO10"/>
  <c r="FF10"/>
  <c r="FE10"/>
  <c r="HH10"/>
  <c r="HA10"/>
  <c r="HF10" s="1"/>
  <c r="CQ11"/>
  <c r="CJ11"/>
  <c r="EH11"/>
  <c r="GD11"/>
  <c r="GJ11"/>
  <c r="P12"/>
  <c r="T12" s="1"/>
  <c r="Q12"/>
  <c r="U12" s="1"/>
  <c r="W12"/>
  <c r="X12"/>
  <c r="BM12"/>
  <c r="BN12"/>
  <c r="DH12"/>
  <c r="DL12" s="1"/>
  <c r="DO12"/>
  <c r="DP12"/>
  <c r="HG12"/>
  <c r="GZ12"/>
  <c r="HD12" s="1"/>
  <c r="HB12"/>
  <c r="AU13"/>
  <c r="AO13"/>
  <c r="AV13"/>
  <c r="CL13"/>
  <c r="EG13"/>
  <c r="EM13"/>
  <c r="EH13"/>
  <c r="EN13"/>
  <c r="GI13"/>
  <c r="GB13"/>
  <c r="GJ13"/>
  <c r="GC13"/>
  <c r="Q14"/>
  <c r="V14" s="1"/>
  <c r="W14"/>
  <c r="BM14"/>
  <c r="DJ14"/>
  <c r="FD14"/>
  <c r="FE14"/>
  <c r="FK14"/>
  <c r="FL14"/>
  <c r="HA14"/>
  <c r="GZ14"/>
  <c r="HG14"/>
  <c r="AP15"/>
  <c r="CJ15"/>
  <c r="CL15"/>
  <c r="CR15"/>
  <c r="EF15"/>
  <c r="EN15"/>
  <c r="EH15"/>
  <c r="GI15"/>
  <c r="GB15"/>
  <c r="GJ15"/>
  <c r="BS16"/>
  <c r="BM16"/>
  <c r="BL16"/>
  <c r="BP16" s="1"/>
  <c r="DI16"/>
  <c r="FD16"/>
  <c r="FG16" s="1"/>
  <c r="FK16"/>
  <c r="FE16"/>
  <c r="FF16"/>
  <c r="GZ16"/>
  <c r="HB16"/>
  <c r="HH16"/>
  <c r="HA16"/>
  <c r="HE16" s="1"/>
  <c r="AN17"/>
  <c r="AP17"/>
  <c r="AV17"/>
  <c r="CJ17"/>
  <c r="CR17"/>
  <c r="EG17"/>
  <c r="EF17"/>
  <c r="GB17"/>
  <c r="GI17"/>
  <c r="GC17"/>
  <c r="GD17"/>
  <c r="R18"/>
  <c r="FD18"/>
  <c r="FF18"/>
  <c r="FE18"/>
  <c r="FL18"/>
  <c r="FK18"/>
  <c r="HA18"/>
  <c r="AO19"/>
  <c r="AS19" s="1"/>
  <c r="CL19"/>
  <c r="CK19"/>
  <c r="EN19"/>
  <c r="EM19"/>
  <c r="BS20"/>
  <c r="BM20"/>
  <c r="DI20"/>
  <c r="FD20"/>
  <c r="FF20"/>
  <c r="GZ20"/>
  <c r="HG20"/>
  <c r="AO21"/>
  <c r="CK21"/>
  <c r="GB21"/>
  <c r="GF21" s="1"/>
  <c r="GC21"/>
  <c r="GD21"/>
  <c r="P22"/>
  <c r="R22"/>
  <c r="X22"/>
  <c r="W22"/>
  <c r="BS22"/>
  <c r="DP22"/>
  <c r="FL22"/>
  <c r="HG22"/>
  <c r="HB22"/>
  <c r="HA22"/>
  <c r="AO23"/>
  <c r="CQ23"/>
  <c r="CR23"/>
  <c r="GD23"/>
  <c r="GC23"/>
  <c r="GB23"/>
  <c r="W24"/>
  <c r="Q24"/>
  <c r="DP24"/>
  <c r="DI24"/>
  <c r="FF24"/>
  <c r="FE24"/>
  <c r="GZ24"/>
  <c r="HH24"/>
  <c r="HB24"/>
  <c r="CJ25"/>
  <c r="CK25"/>
  <c r="BL26"/>
  <c r="BM26"/>
  <c r="FD26"/>
  <c r="FE26"/>
  <c r="FK26"/>
  <c r="HG26"/>
  <c r="AO27"/>
  <c r="EN27"/>
  <c r="GB27"/>
  <c r="GC27"/>
  <c r="GH27" s="1"/>
  <c r="P28"/>
  <c r="X28"/>
  <c r="BL28"/>
  <c r="BO28" s="1"/>
  <c r="BM28"/>
  <c r="HA28"/>
  <c r="HH28"/>
  <c r="GZ28"/>
  <c r="AN29"/>
  <c r="AO29"/>
  <c r="CK29"/>
  <c r="GB29"/>
  <c r="GD29"/>
  <c r="GJ29"/>
  <c r="FD30"/>
  <c r="FE30"/>
  <c r="GZ30"/>
  <c r="HA30"/>
  <c r="AV31"/>
  <c r="AN31"/>
  <c r="BT32"/>
  <c r="FE32"/>
  <c r="GC33"/>
  <c r="GJ33"/>
  <c r="FD34"/>
  <c r="FE34"/>
  <c r="AO35"/>
  <c r="GJ35"/>
  <c r="DI36"/>
  <c r="DP36"/>
  <c r="DH36"/>
  <c r="AO37"/>
  <c r="AT37" s="1"/>
  <c r="GC37"/>
  <c r="DO54"/>
  <c r="CN49"/>
  <c r="CL49"/>
  <c r="EH49"/>
  <c r="R44"/>
  <c r="AP47"/>
  <c r="FG48"/>
  <c r="FH48"/>
  <c r="EI49"/>
  <c r="EJ49"/>
  <c r="W60"/>
  <c r="EG67"/>
  <c r="BL68"/>
  <c r="BN68"/>
  <c r="DJ72"/>
  <c r="GJ75"/>
  <c r="AO81"/>
  <c r="AT81" s="1"/>
  <c r="GE21"/>
  <c r="CO125" i="19"/>
  <c r="EB152" i="17"/>
  <c r="BS24" i="22"/>
  <c r="HG24"/>
  <c r="CL25"/>
  <c r="GI25"/>
  <c r="AT70"/>
  <c r="BP20"/>
  <c r="BK99" i="19"/>
  <c r="BN163"/>
  <c r="FT66" i="22"/>
  <c r="T35"/>
  <c r="AJ152" i="17"/>
  <c r="FX79" i="22"/>
  <c r="GQ46"/>
  <c r="GR46"/>
  <c r="AE47"/>
  <c r="AF47"/>
  <c r="BD48"/>
  <c r="BC48"/>
  <c r="DX49"/>
  <c r="DW49"/>
  <c r="FS55"/>
  <c r="FT55"/>
  <c r="BC62"/>
  <c r="BD62"/>
  <c r="GR70"/>
  <c r="GQ70"/>
  <c r="BD72"/>
  <c r="BC72"/>
  <c r="AE73"/>
  <c r="AF73"/>
  <c r="EV74"/>
  <c r="EU74"/>
  <c r="V71"/>
  <c r="U71"/>
  <c r="GQ43"/>
  <c r="GR43"/>
  <c r="U9"/>
  <c r="V9"/>
  <c r="AT66"/>
  <c r="AS66"/>
  <c r="BP58"/>
  <c r="BO58"/>
  <c r="AT54"/>
  <c r="AS54"/>
  <c r="DM59"/>
  <c r="DN59"/>
  <c r="DK76"/>
  <c r="DL76"/>
  <c r="BO83"/>
  <c r="BP83"/>
  <c r="FS7"/>
  <c r="FT7"/>
  <c r="H8"/>
  <c r="G8"/>
  <c r="EV16"/>
  <c r="EU16"/>
  <c r="FS17"/>
  <c r="FT17"/>
  <c r="BC28"/>
  <c r="BD28"/>
  <c r="BC40"/>
  <c r="BD40"/>
  <c r="FT47"/>
  <c r="FS47"/>
  <c r="CZ48"/>
  <c r="CY48"/>
  <c r="DX51"/>
  <c r="DW51"/>
  <c r="H52"/>
  <c r="G52"/>
  <c r="EV60"/>
  <c r="EU60"/>
  <c r="AE61"/>
  <c r="AF61"/>
  <c r="DW63"/>
  <c r="DX63"/>
  <c r="FT63"/>
  <c r="FS63"/>
  <c r="FS65"/>
  <c r="FT65"/>
  <c r="GR68"/>
  <c r="GQ68"/>
  <c r="FS71"/>
  <c r="FT71"/>
  <c r="DW75"/>
  <c r="DX75"/>
  <c r="AE81"/>
  <c r="AF81"/>
  <c r="EU54"/>
  <c r="EU70"/>
  <c r="GG27"/>
  <c r="HC36"/>
  <c r="EV44"/>
  <c r="AF23"/>
  <c r="DM26"/>
  <c r="BC56"/>
  <c r="H54"/>
  <c r="CB74"/>
  <c r="CA74"/>
  <c r="EV69"/>
  <c r="EU69"/>
  <c r="EV61"/>
  <c r="EU61"/>
  <c r="GE36"/>
  <c r="GF36"/>
  <c r="GH86"/>
  <c r="GR79"/>
  <c r="FT41"/>
  <c r="FS11"/>
  <c r="DX21"/>
  <c r="G12"/>
  <c r="CM81"/>
  <c r="CN81"/>
  <c r="CY69"/>
  <c r="CZ69"/>
  <c r="CN69"/>
  <c r="DM65"/>
  <c r="DN65"/>
  <c r="CB45"/>
  <c r="CN77"/>
  <c r="T77"/>
  <c r="EL60"/>
  <c r="V85"/>
  <c r="EJ84"/>
  <c r="FG63"/>
  <c r="AS73"/>
  <c r="GE78"/>
  <c r="FT23"/>
  <c r="DX25"/>
  <c r="H51"/>
  <c r="GQ38"/>
  <c r="DM12"/>
  <c r="FS21"/>
  <c r="GG29"/>
  <c r="BO7"/>
  <c r="T78"/>
  <c r="DX43"/>
  <c r="FT5"/>
  <c r="GR40"/>
  <c r="G56"/>
  <c r="EV40"/>
  <c r="GR18"/>
  <c r="CZ40"/>
  <c r="EU45"/>
  <c r="HD56"/>
  <c r="HC56"/>
  <c r="EU57"/>
  <c r="EV57"/>
  <c r="DW29"/>
  <c r="EI81"/>
  <c r="GH78"/>
  <c r="CZ42"/>
  <c r="AT20"/>
  <c r="EV34"/>
  <c r="BC42"/>
  <c r="HD84"/>
  <c r="CZ70"/>
  <c r="BO47"/>
  <c r="BP47"/>
  <c r="DL42"/>
  <c r="DK42"/>
  <c r="AI7"/>
  <c r="GU8"/>
  <c r="AJ9"/>
  <c r="CX10"/>
  <c r="AC11"/>
  <c r="BY11"/>
  <c r="CD11" s="1"/>
  <c r="BB16"/>
  <c r="CF17"/>
  <c r="L20"/>
  <c r="BB20"/>
  <c r="CF21"/>
  <c r="AJ23"/>
  <c r="CF23"/>
  <c r="BZ25"/>
  <c r="BA26"/>
  <c r="CW26"/>
  <c r="DB26" s="1"/>
  <c r="GO26"/>
  <c r="GS26" s="1"/>
  <c r="AJ27"/>
  <c r="K28"/>
  <c r="DV29"/>
  <c r="L30"/>
  <c r="AD31"/>
  <c r="FW31"/>
  <c r="BB32"/>
  <c r="AD33"/>
  <c r="F36"/>
  <c r="BB38"/>
  <c r="CX38"/>
  <c r="ET38"/>
  <c r="AD39"/>
  <c r="BZ39"/>
  <c r="FR39"/>
  <c r="ET40"/>
  <c r="GP40"/>
  <c r="AD41"/>
  <c r="BZ41"/>
  <c r="DV41"/>
  <c r="L42"/>
  <c r="BB42"/>
  <c r="DC42"/>
  <c r="GP42"/>
  <c r="BZ43"/>
  <c r="BH44"/>
  <c r="AC45"/>
  <c r="AG45" s="1"/>
  <c r="L46"/>
  <c r="CF47"/>
  <c r="DV47"/>
  <c r="FW47"/>
  <c r="GU48"/>
  <c r="CF49"/>
  <c r="L50"/>
  <c r="GO50"/>
  <c r="EA51"/>
  <c r="FW51"/>
  <c r="GP52"/>
  <c r="EB55"/>
  <c r="FR55"/>
  <c r="L58"/>
  <c r="BB58"/>
  <c r="GU60"/>
  <c r="AI65"/>
  <c r="DU65"/>
  <c r="DY65" s="1"/>
  <c r="ET66"/>
  <c r="DU67"/>
  <c r="DZ67" s="1"/>
  <c r="F68"/>
  <c r="AC69"/>
  <c r="AH69" s="1"/>
  <c r="E70"/>
  <c r="I70" s="1"/>
  <c r="AC71"/>
  <c r="AH71" s="1"/>
  <c r="DV71"/>
  <c r="ET72"/>
  <c r="GP72"/>
  <c r="GP74"/>
  <c r="DU79"/>
  <c r="DZ79" s="1"/>
  <c r="GP80"/>
  <c r="CF81"/>
  <c r="EA81"/>
  <c r="FF24" i="10"/>
  <c r="FF25" s="1"/>
  <c r="CY159" i="18"/>
  <c r="BP69" i="22"/>
  <c r="DM70"/>
  <c r="Q112" i="20"/>
  <c r="CN187" i="17"/>
  <c r="ED110" i="18"/>
  <c r="FJ21" i="22"/>
  <c r="FI21"/>
  <c r="BB48"/>
  <c r="BH48"/>
  <c r="EA49"/>
  <c r="EB49"/>
  <c r="CF51"/>
  <c r="CE51"/>
  <c r="BZ57"/>
  <c r="CE57"/>
  <c r="BY57"/>
  <c r="CC57" s="1"/>
  <c r="EY58"/>
  <c r="ET58"/>
  <c r="DC60"/>
  <c r="CX60"/>
  <c r="F64"/>
  <c r="L64"/>
  <c r="K64"/>
  <c r="F72"/>
  <c r="L72"/>
  <c r="E72"/>
  <c r="FQ51"/>
  <c r="FU51" s="1"/>
  <c r="K72"/>
  <c r="EV52"/>
  <c r="EU52"/>
  <c r="EV59"/>
  <c r="EU59"/>
  <c r="AJ45"/>
  <c r="GU38"/>
  <c r="GP38"/>
  <c r="BB40"/>
  <c r="BG40"/>
  <c r="ES46"/>
  <c r="EW46" s="1"/>
  <c r="ET46"/>
  <c r="ET48"/>
  <c r="EY48"/>
  <c r="GS50"/>
  <c r="GT50"/>
  <c r="L52"/>
  <c r="K52"/>
  <c r="BZ53"/>
  <c r="CF53"/>
  <c r="GO54"/>
  <c r="GP54"/>
  <c r="DD56"/>
  <c r="CX56"/>
  <c r="CW56"/>
  <c r="DA56" s="1"/>
  <c r="FR57"/>
  <c r="FW57"/>
  <c r="DV59"/>
  <c r="EA59"/>
  <c r="AC61"/>
  <c r="AJ61"/>
  <c r="AJ67"/>
  <c r="AC67"/>
  <c r="J70"/>
  <c r="CF71"/>
  <c r="BZ71"/>
  <c r="BY71"/>
  <c r="E76"/>
  <c r="I76" s="1"/>
  <c r="L76"/>
  <c r="K76"/>
  <c r="BZ77"/>
  <c r="BY77"/>
  <c r="CF77"/>
  <c r="BY79"/>
  <c r="CC79" s="1"/>
  <c r="CF79"/>
  <c r="FX83"/>
  <c r="FR83"/>
  <c r="FW83"/>
  <c r="E123" i="20"/>
  <c r="D123"/>
  <c r="V64" i="22"/>
  <c r="CY80"/>
  <c r="CZ80"/>
  <c r="GP60"/>
  <c r="GE46"/>
  <c r="GF46"/>
  <c r="DA26"/>
  <c r="EY42"/>
  <c r="ET42"/>
  <c r="FR43"/>
  <c r="FQ43"/>
  <c r="BZ45"/>
  <c r="CF45"/>
  <c r="BY45"/>
  <c r="CD45" s="1"/>
  <c r="AC47"/>
  <c r="AD47"/>
  <c r="AJ47"/>
  <c r="AI47"/>
  <c r="FW49"/>
  <c r="FR49"/>
  <c r="FX49"/>
  <c r="ET52"/>
  <c r="ES52"/>
  <c r="EW52" s="1"/>
  <c r="L56"/>
  <c r="F56"/>
  <c r="GP58"/>
  <c r="GU58"/>
  <c r="CF61"/>
  <c r="BZ61"/>
  <c r="CE61"/>
  <c r="FQ63"/>
  <c r="FR63"/>
  <c r="DD66"/>
  <c r="CX66"/>
  <c r="CW66"/>
  <c r="CW68"/>
  <c r="DB68" s="1"/>
  <c r="DD68"/>
  <c r="DC68"/>
  <c r="BH70"/>
  <c r="BB70"/>
  <c r="BA70"/>
  <c r="BG70"/>
  <c r="FX71"/>
  <c r="FR71"/>
  <c r="FQ71"/>
  <c r="FW71"/>
  <c r="BH74"/>
  <c r="BB74"/>
  <c r="ES76"/>
  <c r="EX76" s="1"/>
  <c r="ET76"/>
  <c r="GO78"/>
  <c r="GS78" s="1"/>
  <c r="GU78"/>
  <c r="GP78"/>
  <c r="GV78"/>
  <c r="EZ80"/>
  <c r="ES80"/>
  <c r="EW80" s="1"/>
  <c r="EY80"/>
  <c r="ET80"/>
  <c r="L82"/>
  <c r="K82"/>
  <c r="F82"/>
  <c r="CE83"/>
  <c r="CF83"/>
  <c r="BZ83"/>
  <c r="EY84"/>
  <c r="ES84"/>
  <c r="EW84" s="1"/>
  <c r="ET84"/>
  <c r="EZ84"/>
  <c r="BB86"/>
  <c r="BH86"/>
  <c r="BG86"/>
  <c r="HD86"/>
  <c r="HC86"/>
  <c r="FI74"/>
  <c r="FJ74"/>
  <c r="FH9"/>
  <c r="FG9"/>
  <c r="HD7"/>
  <c r="HC7"/>
  <c r="AR6"/>
  <c r="AQ6"/>
  <c r="EI42"/>
  <c r="EJ42"/>
  <c r="EI69"/>
  <c r="EJ69"/>
  <c r="AI37"/>
  <c r="AD37"/>
  <c r="F44"/>
  <c r="L44"/>
  <c r="GV44"/>
  <c r="GO44"/>
  <c r="GP44"/>
  <c r="AC51"/>
  <c r="AD51"/>
  <c r="AJ51"/>
  <c r="BH52"/>
  <c r="BG52"/>
  <c r="DU53"/>
  <c r="DV53"/>
  <c r="AD55"/>
  <c r="AJ55"/>
  <c r="GV56"/>
  <c r="GP56"/>
  <c r="DD58"/>
  <c r="DC58"/>
  <c r="CX58"/>
  <c r="BG60"/>
  <c r="BB60"/>
  <c r="FR61"/>
  <c r="FW61"/>
  <c r="AD63"/>
  <c r="AI63"/>
  <c r="AJ63"/>
  <c r="ES64"/>
  <c r="EW64" s="1"/>
  <c r="EZ64"/>
  <c r="ET68"/>
  <c r="ES68"/>
  <c r="EZ68"/>
  <c r="EY68"/>
  <c r="FQ69"/>
  <c r="FV69" s="1"/>
  <c r="FX69"/>
  <c r="FR69"/>
  <c r="DV73"/>
  <c r="DU73"/>
  <c r="DZ73" s="1"/>
  <c r="ET74"/>
  <c r="ES74"/>
  <c r="EX74" s="1"/>
  <c r="FR75"/>
  <c r="FQ75"/>
  <c r="FV75" s="1"/>
  <c r="AJ77"/>
  <c r="AC77"/>
  <c r="AD77"/>
  <c r="BA78"/>
  <c r="BE78" s="1"/>
  <c r="BH78"/>
  <c r="FR79"/>
  <c r="FW79"/>
  <c r="FQ79"/>
  <c r="FU79" s="1"/>
  <c r="GO80"/>
  <c r="GV80"/>
  <c r="GV82"/>
  <c r="GP82"/>
  <c r="GU82"/>
  <c r="BG84"/>
  <c r="BH84"/>
  <c r="BB84"/>
  <c r="DV85"/>
  <c r="EA85"/>
  <c r="EA71"/>
  <c r="BQ76"/>
  <c r="EA73"/>
  <c r="AR85"/>
  <c r="AQ85"/>
  <c r="CN41"/>
  <c r="CM41"/>
  <c r="ES26"/>
  <c r="EX26" s="1"/>
  <c r="ET26"/>
  <c r="BH28"/>
  <c r="BB28"/>
  <c r="K38"/>
  <c r="F38"/>
  <c r="DD40"/>
  <c r="CW40"/>
  <c r="DB40" s="1"/>
  <c r="DV43"/>
  <c r="EA43"/>
  <c r="BA46"/>
  <c r="BE46" s="1"/>
  <c r="BB46"/>
  <c r="BH46"/>
  <c r="L48"/>
  <c r="F48"/>
  <c r="CX48"/>
  <c r="DD48"/>
  <c r="DC48"/>
  <c r="AI49"/>
  <c r="AJ49"/>
  <c r="CW50"/>
  <c r="DD50"/>
  <c r="CX52"/>
  <c r="DD52"/>
  <c r="AC53"/>
  <c r="AD53"/>
  <c r="AJ53"/>
  <c r="BB54"/>
  <c r="BH54"/>
  <c r="EZ54"/>
  <c r="ET54"/>
  <c r="EY54"/>
  <c r="FX55"/>
  <c r="FQ55"/>
  <c r="ES56"/>
  <c r="EZ56"/>
  <c r="ET56"/>
  <c r="AI59"/>
  <c r="AD59"/>
  <c r="FW59"/>
  <c r="FR59"/>
  <c r="FQ59"/>
  <c r="FV59" s="1"/>
  <c r="EY60"/>
  <c r="ET60"/>
  <c r="BB62"/>
  <c r="BG62"/>
  <c r="BH62"/>
  <c r="EY62"/>
  <c r="ET62"/>
  <c r="DV63"/>
  <c r="EA63"/>
  <c r="CX64"/>
  <c r="DC64"/>
  <c r="DD64"/>
  <c r="BY65"/>
  <c r="CF65"/>
  <c r="BZ65"/>
  <c r="CE65"/>
  <c r="L66"/>
  <c r="K66"/>
  <c r="E66"/>
  <c r="GO66"/>
  <c r="GP66"/>
  <c r="L68"/>
  <c r="K68"/>
  <c r="E68"/>
  <c r="BY69"/>
  <c r="CD69" s="1"/>
  <c r="CF69"/>
  <c r="DD72"/>
  <c r="CX72"/>
  <c r="DC72"/>
  <c r="CW72"/>
  <c r="DA72" s="1"/>
  <c r="AD73"/>
  <c r="AJ73"/>
  <c r="AC73"/>
  <c r="AH73" s="1"/>
  <c r="F74"/>
  <c r="K74"/>
  <c r="E74"/>
  <c r="I74" s="1"/>
  <c r="L74"/>
  <c r="BZ75"/>
  <c r="CF75"/>
  <c r="CW76"/>
  <c r="DD76"/>
  <c r="F78"/>
  <c r="E78"/>
  <c r="I78" s="1"/>
  <c r="L78"/>
  <c r="AJ79"/>
  <c r="AI79"/>
  <c r="AC79"/>
  <c r="AD79"/>
  <c r="CW80"/>
  <c r="DB80" s="1"/>
  <c r="DD80"/>
  <c r="DC80"/>
  <c r="EZ82"/>
  <c r="EY82"/>
  <c r="ET82"/>
  <c r="ES48"/>
  <c r="EW48" s="1"/>
  <c r="E48"/>
  <c r="J48" s="1"/>
  <c r="D115" i="20"/>
  <c r="GU74" i="22"/>
  <c r="FW63"/>
  <c r="DC52"/>
  <c r="FQ83"/>
  <c r="FU83" s="1"/>
  <c r="DU71"/>
  <c r="DZ71" s="1"/>
  <c r="BG58"/>
  <c r="GV48"/>
  <c r="CX42"/>
  <c r="CE43"/>
  <c r="BQ25"/>
  <c r="BR25"/>
  <c r="DN23"/>
  <c r="DM23"/>
  <c r="FJ26"/>
  <c r="FI26"/>
  <c r="BD24"/>
  <c r="BC24"/>
  <c r="FJ8"/>
  <c r="FI8"/>
  <c r="FH17"/>
  <c r="FG17"/>
  <c r="GF58"/>
  <c r="GE58"/>
  <c r="AH11"/>
  <c r="AG11"/>
  <c r="AD19"/>
  <c r="AI19"/>
  <c r="DV39"/>
  <c r="EA39"/>
  <c r="AD43"/>
  <c r="AC43"/>
  <c r="AG43" s="1"/>
  <c r="AI43"/>
  <c r="CX44"/>
  <c r="DD44"/>
  <c r="CW44"/>
  <c r="FQ45"/>
  <c r="FR45"/>
  <c r="DD46"/>
  <c r="CW46"/>
  <c r="DB46" s="1"/>
  <c r="BA50"/>
  <c r="BH50"/>
  <c r="BB50"/>
  <c r="E54"/>
  <c r="L54"/>
  <c r="F54"/>
  <c r="K60"/>
  <c r="F60"/>
  <c r="DU61"/>
  <c r="DZ61" s="1"/>
  <c r="EB61"/>
  <c r="DV61"/>
  <c r="GO62"/>
  <c r="GS62" s="1"/>
  <c r="GV62"/>
  <c r="GP64"/>
  <c r="GV64"/>
  <c r="GO64"/>
  <c r="GS64" s="1"/>
  <c r="GU64"/>
  <c r="BH66"/>
  <c r="BA66"/>
  <c r="BY67"/>
  <c r="CD67" s="1"/>
  <c r="CF67"/>
  <c r="CE67"/>
  <c r="BZ67"/>
  <c r="BG68"/>
  <c r="BA68"/>
  <c r="BH68"/>
  <c r="GO68"/>
  <c r="GU68"/>
  <c r="GV68"/>
  <c r="DU69"/>
  <c r="DY69" s="1"/>
  <c r="EB69"/>
  <c r="EA69"/>
  <c r="ET70"/>
  <c r="ES70"/>
  <c r="EW70" s="1"/>
  <c r="EY70"/>
  <c r="GO70"/>
  <c r="GS70" s="1"/>
  <c r="GP70"/>
  <c r="AJ71"/>
  <c r="AD71"/>
  <c r="BB72"/>
  <c r="BH72"/>
  <c r="BG72"/>
  <c r="BZ73"/>
  <c r="CF73"/>
  <c r="DD74"/>
  <c r="CX74"/>
  <c r="DC74"/>
  <c r="CW74"/>
  <c r="DA74" s="1"/>
  <c r="DV75"/>
  <c r="EA75"/>
  <c r="DU75"/>
  <c r="GV76"/>
  <c r="GO76"/>
  <c r="FR77"/>
  <c r="FQ77"/>
  <c r="FX77"/>
  <c r="CW78"/>
  <c r="DB78" s="1"/>
  <c r="DD78"/>
  <c r="DC78"/>
  <c r="BA80"/>
  <c r="BH80"/>
  <c r="BG80"/>
  <c r="AD81"/>
  <c r="AJ81"/>
  <c r="AC81"/>
  <c r="BY81"/>
  <c r="CD81" s="1"/>
  <c r="CE81"/>
  <c r="BZ81"/>
  <c r="BG82"/>
  <c r="BH82"/>
  <c r="DC82"/>
  <c r="CX82"/>
  <c r="AJ83"/>
  <c r="AD83"/>
  <c r="AI83"/>
  <c r="DV83"/>
  <c r="EB83"/>
  <c r="K84"/>
  <c r="L84"/>
  <c r="F84"/>
  <c r="CX84"/>
  <c r="CW84"/>
  <c r="DB84" s="1"/>
  <c r="DD84"/>
  <c r="DC84"/>
  <c r="GV84"/>
  <c r="GU84"/>
  <c r="GP84"/>
  <c r="AJ85"/>
  <c r="AI85"/>
  <c r="AD85"/>
  <c r="FX85"/>
  <c r="FR85"/>
  <c r="K86"/>
  <c r="F86"/>
  <c r="DC86"/>
  <c r="CX86"/>
  <c r="DD86"/>
  <c r="EY86"/>
  <c r="EZ86"/>
  <c r="ET86"/>
  <c r="GV86"/>
  <c r="GO86"/>
  <c r="GT86" s="1"/>
  <c r="GU86"/>
  <c r="GP86"/>
  <c r="AD67"/>
  <c r="GP68"/>
  <c r="F66"/>
  <c r="GT26"/>
  <c r="FW85"/>
  <c r="BD82"/>
  <c r="BC82"/>
  <c r="DD82"/>
  <c r="EK66"/>
  <c r="EL66"/>
  <c r="CN64"/>
  <c r="CM64"/>
  <c r="E44"/>
  <c r="HD47"/>
  <c r="HC47"/>
  <c r="AS7"/>
  <c r="AT7"/>
  <c r="EK83"/>
  <c r="EL83"/>
  <c r="FW41"/>
  <c r="FR41"/>
  <c r="ES50"/>
  <c r="ET50"/>
  <c r="FW53"/>
  <c r="FR53"/>
  <c r="FQ53"/>
  <c r="FV53" s="1"/>
  <c r="CW54"/>
  <c r="DD54"/>
  <c r="CX54"/>
  <c r="BY55"/>
  <c r="CC55" s="1"/>
  <c r="BZ55"/>
  <c r="CF55"/>
  <c r="BB56"/>
  <c r="BA56"/>
  <c r="BH56"/>
  <c r="AJ57"/>
  <c r="AC57"/>
  <c r="AD57"/>
  <c r="AI57"/>
  <c r="K58"/>
  <c r="F58"/>
  <c r="BZ59"/>
  <c r="CE59"/>
  <c r="L62"/>
  <c r="F62"/>
  <c r="E62"/>
  <c r="I62" s="1"/>
  <c r="CX62"/>
  <c r="CW62"/>
  <c r="DD62"/>
  <c r="DC62"/>
  <c r="BY63"/>
  <c r="CF63"/>
  <c r="BZ63"/>
  <c r="BB64"/>
  <c r="BA64"/>
  <c r="BH64"/>
  <c r="AC65"/>
  <c r="AJ65"/>
  <c r="AD65"/>
  <c r="FQ65"/>
  <c r="FU65" s="1"/>
  <c r="FR65"/>
  <c r="ES66"/>
  <c r="EX66" s="1"/>
  <c r="EY66"/>
  <c r="FQ67"/>
  <c r="FX67"/>
  <c r="FW67"/>
  <c r="AJ69"/>
  <c r="AI69"/>
  <c r="AD69"/>
  <c r="CW70"/>
  <c r="CX70"/>
  <c r="DD70"/>
  <c r="FX73"/>
  <c r="FR73"/>
  <c r="FW73"/>
  <c r="FQ73"/>
  <c r="FU73" s="1"/>
  <c r="AJ75"/>
  <c r="AD75"/>
  <c r="AI75"/>
  <c r="BB76"/>
  <c r="BH76"/>
  <c r="BA76"/>
  <c r="DV77"/>
  <c r="DU77"/>
  <c r="DZ77" s="1"/>
  <c r="EA77"/>
  <c r="EZ78"/>
  <c r="ES78"/>
  <c r="ET78"/>
  <c r="E80"/>
  <c r="I80" s="1"/>
  <c r="L80"/>
  <c r="F80"/>
  <c r="FQ81"/>
  <c r="FU81" s="1"/>
  <c r="FX81"/>
  <c r="FW81"/>
  <c r="BZ85"/>
  <c r="CE85"/>
  <c r="BY85"/>
  <c r="CD85" s="1"/>
  <c r="CF85"/>
  <c r="K70"/>
  <c r="EY78"/>
  <c r="DC56"/>
  <c r="CF57"/>
  <c r="BB80"/>
  <c r="AC75"/>
  <c r="AH75" s="1"/>
  <c r="CN16"/>
  <c r="L86"/>
  <c r="CN32"/>
  <c r="CM32"/>
  <c r="FS42"/>
  <c r="BD83"/>
  <c r="AS77"/>
  <c r="S30"/>
  <c r="T30"/>
  <c r="FI13"/>
  <c r="FJ13"/>
  <c r="EI17"/>
  <c r="EJ17"/>
  <c r="EI65"/>
  <c r="HF69"/>
  <c r="DR225" i="17"/>
  <c r="DS240" s="1"/>
  <c r="DT210"/>
  <c r="EI7" i="22"/>
  <c r="EJ7"/>
  <c r="AR44"/>
  <c r="BN18"/>
  <c r="HB18"/>
  <c r="EH19"/>
  <c r="X20"/>
  <c r="BN20"/>
  <c r="HB20"/>
  <c r="AU21"/>
  <c r="EN21"/>
  <c r="GI21"/>
  <c r="BN22"/>
  <c r="HH22"/>
  <c r="GI23"/>
  <c r="DO24"/>
  <c r="AU25"/>
  <c r="DP26"/>
  <c r="EM29"/>
  <c r="HD8"/>
  <c r="DS161" i="17"/>
  <c r="DF180" s="1"/>
  <c r="U14" i="22"/>
  <c r="FH16"/>
  <c r="T33"/>
  <c r="GR9"/>
  <c r="EZ6"/>
  <c r="DU7"/>
  <c r="DZ7" s="1"/>
  <c r="GV8"/>
  <c r="K12"/>
  <c r="DU15"/>
  <c r="DZ15" s="1"/>
  <c r="EB17"/>
  <c r="ET18"/>
  <c r="AJ19"/>
  <c r="CF25"/>
  <c r="CX26"/>
  <c r="FX27"/>
  <c r="FR29"/>
  <c r="EB33"/>
  <c r="EB35"/>
  <c r="AJ37"/>
  <c r="L38"/>
  <c r="DC38"/>
  <c r="EY38"/>
  <c r="BH40"/>
  <c r="DC40"/>
  <c r="EY40"/>
  <c r="K42"/>
  <c r="BH42"/>
  <c r="DD42"/>
  <c r="GU42"/>
  <c r="AJ43"/>
  <c r="CF43"/>
  <c r="DU45"/>
  <c r="DZ45" s="1"/>
  <c r="AD49"/>
  <c r="AJ59"/>
  <c r="CF59"/>
  <c r="BH60"/>
  <c r="DD60"/>
  <c r="CX76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I14" s="1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T57" s="1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CB59" s="1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G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GQ8" s="1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FJ9" s="1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CC53" s="1"/>
  <c r="K54"/>
  <c r="AC55"/>
  <c r="AH55" s="1"/>
  <c r="ES58"/>
  <c r="E60"/>
  <c r="ES60"/>
  <c r="EX60" s="1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CM61"/>
  <c r="EJ63"/>
  <c r="EJ79"/>
  <c r="AQ64"/>
  <c r="FH75"/>
  <c r="FG75"/>
  <c r="G74"/>
  <c r="H74"/>
  <c r="DX72"/>
  <c r="DW72"/>
  <c r="CA70"/>
  <c r="CB70"/>
  <c r="CM28"/>
  <c r="CN28"/>
  <c r="HC25"/>
  <c r="HD25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CM65"/>
  <c r="D110" i="20"/>
  <c r="T109" s="1"/>
  <c r="F109" s="1"/>
  <c r="G109" s="1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M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CO41" s="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A59"/>
  <c r="G65"/>
  <c r="H65"/>
  <c r="EK67"/>
  <c r="EL67"/>
  <c r="EV77"/>
  <c r="EU77"/>
  <c r="AE78"/>
  <c r="EV6"/>
  <c r="T25"/>
  <c r="AR33"/>
  <c r="J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BV187" i="17"/>
  <c r="GE60" i="22"/>
  <c r="GQ82"/>
  <c r="CM66"/>
  <c r="BP82"/>
  <c r="AF57"/>
  <c r="CM70"/>
  <c r="EB116" i="19"/>
  <c r="BY151" i="18"/>
  <c r="DU151"/>
  <c r="CY38" i="22"/>
  <c r="GE81"/>
  <c r="GR56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V33" s="1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GT9" s="1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W53" s="1"/>
  <c r="EY53"/>
  <c r="K55"/>
  <c r="E55"/>
  <c r="I55" s="1"/>
  <c r="F55"/>
  <c r="L55"/>
  <c r="FR56"/>
  <c r="FQ56"/>
  <c r="FW58"/>
  <c r="FQ58"/>
  <c r="FR58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F13"/>
  <c r="L13"/>
  <c r="E13"/>
  <c r="BB15"/>
  <c r="BA15"/>
  <c r="BG15"/>
  <c r="GP17"/>
  <c r="GO17"/>
  <c r="E19"/>
  <c r="F19"/>
  <c r="K19"/>
  <c r="BZ20"/>
  <c r="CF20"/>
  <c r="CE20"/>
  <c r="CX21"/>
  <c r="CW21"/>
  <c r="CF28"/>
  <c r="CE28"/>
  <c r="BZ28"/>
  <c r="BH29"/>
  <c r="BA29"/>
  <c r="BG29"/>
  <c r="BB29"/>
  <c r="EA30"/>
  <c r="EB30"/>
  <c r="BB31"/>
  <c r="BA31"/>
  <c r="BF31" s="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D18" s="1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AR82"/>
  <c r="O22" i="14"/>
  <c r="AT79" i="22"/>
  <c r="I8" i="20"/>
  <c r="M124"/>
  <c r="K124"/>
  <c r="FT84" i="22"/>
  <c r="DB74"/>
  <c r="G62"/>
  <c r="DA46"/>
  <c r="HF64"/>
  <c r="P22" i="14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DY23" s="1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BJ41" i="17"/>
  <c r="BJ164" s="1"/>
  <c r="CH180" s="1"/>
  <c r="AS44" i="1"/>
  <c r="L36" i="14"/>
  <c r="L33"/>
  <c r="A1" i="13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AT78"/>
  <c r="G77"/>
  <c r="EK57"/>
  <c r="EL42"/>
  <c r="DN79"/>
  <c r="V77"/>
  <c r="HD76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EX46"/>
  <c r="EL77"/>
  <c r="EK77"/>
  <c r="CB48"/>
  <c r="CA48"/>
  <c r="HF57"/>
  <c r="HE57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EL59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FJ76" i="22"/>
  <c r="V62"/>
  <c r="CD79"/>
  <c r="FH29"/>
  <c r="DN46"/>
  <c r="EJ46"/>
  <c r="AQ66"/>
  <c r="EV65"/>
  <c r="EU65"/>
  <c r="AQ39"/>
  <c r="AR39"/>
  <c r="AQ20"/>
  <c r="AR20"/>
  <c r="HD11"/>
  <c r="HC11"/>
  <c r="H10"/>
  <c r="G10"/>
  <c r="AS47"/>
  <c r="AT47"/>
  <c r="AQ24"/>
  <c r="AR24"/>
  <c r="CM22"/>
  <c r="CN22"/>
  <c r="CP25"/>
  <c r="CO25"/>
  <c r="FJ68"/>
  <c r="FU48"/>
  <c r="DX85"/>
  <c r="DW85"/>
  <c r="GQ71"/>
  <c r="GR71"/>
  <c r="CY67"/>
  <c r="CZ67"/>
  <c r="T63"/>
  <c r="S63"/>
  <c r="FU63"/>
  <c r="FV6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F82"/>
  <c r="FU59"/>
  <c r="AQ65"/>
  <c r="FH85"/>
  <c r="FV83"/>
  <c r="DW74"/>
  <c r="EJ80"/>
  <c r="EI80"/>
  <c r="AR80"/>
  <c r="AQ80"/>
  <c r="DK79"/>
  <c r="DL79"/>
  <c r="HE75"/>
  <c r="HF75"/>
  <c r="BP74"/>
  <c r="BO74"/>
  <c r="EI76"/>
  <c r="EJ76"/>
  <c r="CB58"/>
  <c r="CA58"/>
  <c r="CY55"/>
  <c r="CZ55"/>
  <c r="J55"/>
  <c r="T9"/>
  <c r="S9"/>
  <c r="DL21"/>
  <c r="DK21"/>
  <c r="AG17"/>
  <c r="AH17"/>
  <c r="CN84"/>
  <c r="T85"/>
  <c r="FI81"/>
  <c r="BR81"/>
  <c r="GH68"/>
  <c r="DN71"/>
  <c r="AT72"/>
  <c r="AS72"/>
  <c r="DZ64"/>
  <c r="BE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V50" s="1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V45" s="1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Q35" s="1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D61" s="1"/>
  <c r="CW63"/>
  <c r="EG78"/>
  <c r="EB25"/>
  <c r="CR30"/>
  <c r="CL58"/>
  <c r="CQ59"/>
  <c r="CQ65"/>
  <c r="BG78"/>
  <c r="AD78"/>
  <c r="V36"/>
  <c r="U36"/>
  <c r="U42"/>
  <c r="V42"/>
  <c r="V44"/>
  <c r="U44"/>
  <c r="U45"/>
  <c r="S46"/>
  <c r="T46"/>
  <c r="S48"/>
  <c r="T48"/>
  <c r="V49"/>
  <c r="U49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C47" s="1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E41"/>
  <c r="FK65"/>
  <c r="ES73"/>
  <c r="ES62"/>
  <c r="EY64"/>
  <c r="EH73"/>
  <c r="EM59"/>
  <c r="DY6"/>
  <c r="DZ6"/>
  <c r="DY17"/>
  <c r="DZ17"/>
  <c r="DZ23"/>
  <c r="DY24"/>
  <c r="DZ24"/>
  <c r="DZ27"/>
  <c r="DY27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Z20"/>
  <c r="DZ65"/>
  <c r="DU80"/>
  <c r="DY73"/>
  <c r="DY71"/>
  <c r="DY38"/>
  <c r="EB29" i="1"/>
  <c r="DX11" i="22"/>
  <c r="DY15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GH65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BF75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S61" i="22"/>
  <c r="T61"/>
  <c r="S80"/>
  <c r="T80"/>
  <c r="CM82"/>
  <c r="CN82"/>
  <c r="Y135" i="17"/>
  <c r="B163"/>
  <c r="B198"/>
  <c r="U40" i="22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EW54"/>
  <c r="CC61"/>
  <c r="FS82"/>
  <c r="FT82"/>
  <c r="H83"/>
  <c r="G83"/>
  <c r="GU24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AF110" i="5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H97" i="20"/>
  <c r="FG97" i="24"/>
  <c r="K122" i="20"/>
  <c r="G120"/>
  <c r="M120"/>
  <c r="K111"/>
  <c r="M118"/>
  <c r="O118" s="1"/>
  <c r="M23" i="9" s="1"/>
  <c r="K110" i="20"/>
  <c r="O110" s="1"/>
  <c r="M15" i="9" s="1"/>
  <c r="U124" i="20"/>
  <c r="S115"/>
  <c r="U114" s="1"/>
  <c r="H125"/>
  <c r="F121"/>
  <c r="G31"/>
  <c r="H31" s="1"/>
  <c r="W5" s="1"/>
  <c r="X5" s="1"/>
  <c r="Y5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F100" i="20"/>
  <c r="ET52" i="10"/>
  <c r="AL52" s="1"/>
  <c r="F104" i="20"/>
  <c r="H102"/>
  <c r="G435" i="13"/>
  <c r="G467"/>
  <c r="G371"/>
  <c r="D87" i="20"/>
  <c r="G87" s="1"/>
  <c r="E87"/>
  <c r="H87"/>
  <c r="G275" i="13"/>
  <c r="E89" i="20"/>
  <c r="H89"/>
  <c r="D89"/>
  <c r="G89" s="1"/>
  <c r="G531" i="13"/>
  <c r="G339"/>
  <c r="G82"/>
  <c r="G499"/>
  <c r="D84" i="20"/>
  <c r="G84" s="1"/>
  <c r="E84"/>
  <c r="H84"/>
  <c r="E92"/>
  <c r="H92"/>
  <c r="D92"/>
  <c r="G92" s="1"/>
  <c r="E91"/>
  <c r="H91"/>
  <c r="D91"/>
  <c r="G91" s="1"/>
  <c r="G51" i="13"/>
  <c r="H90" i="20"/>
  <c r="D90"/>
  <c r="G90" s="1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G83" s="1"/>
  <c r="E83"/>
  <c r="G403" i="13"/>
  <c r="G177"/>
  <c r="E82" i="20"/>
  <c r="H82"/>
  <c r="D82"/>
  <c r="G82" s="1"/>
  <c r="H93"/>
  <c r="D93"/>
  <c r="G93" s="1"/>
  <c r="E93"/>
  <c r="H85"/>
  <c r="D85"/>
  <c r="G85" s="1"/>
  <c r="E85"/>
  <c r="G210" i="13"/>
  <c r="D86" i="20"/>
  <c r="G86" s="1"/>
  <c r="E86"/>
  <c r="H86"/>
  <c r="H88"/>
  <c r="D88"/>
  <c r="G88" s="1"/>
  <c r="E88"/>
  <c r="D81"/>
  <c r="G81" s="1"/>
  <c r="E81"/>
  <c r="H81"/>
  <c r="D72"/>
  <c r="B72" s="1"/>
  <c r="O33" i="9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G102" i="20"/>
  <c r="P32" i="2"/>
  <c r="DU34" i="1"/>
  <c r="Q38"/>
  <c r="J14" i="9"/>
  <c r="H25" i="14"/>
  <c r="G99" i="20"/>
  <c r="P26" i="14"/>
  <c r="H28"/>
  <c r="I27"/>
  <c r="T27"/>
  <c r="N23" i="9"/>
  <c r="EG32" i="1"/>
  <c r="T25" i="14"/>
  <c r="K30"/>
  <c r="J28"/>
  <c r="G28"/>
  <c r="I21" i="2"/>
  <c r="I35"/>
  <c r="M25" i="14"/>
  <c r="F90" i="20"/>
  <c r="FQ34" i="1"/>
  <c r="DU36"/>
  <c r="S27" i="14"/>
  <c r="CK32" i="1"/>
  <c r="M30" i="14"/>
  <c r="R26"/>
  <c r="J26"/>
  <c r="K25"/>
  <c r="N16" i="9"/>
  <c r="H31" i="2"/>
  <c r="O34"/>
  <c r="N15" i="9"/>
  <c r="BM34" i="1"/>
  <c r="I32" i="2"/>
  <c r="BA36" i="1"/>
  <c r="F93" i="20"/>
  <c r="N20" i="9"/>
  <c r="M20" i="2"/>
  <c r="P34"/>
  <c r="AO37" i="1"/>
  <c r="H32" i="2"/>
  <c r="I25" i="14"/>
  <c r="GC36" i="1"/>
  <c r="N31" i="9"/>
  <c r="N26"/>
  <c r="FE33" i="1"/>
  <c r="EG38"/>
  <c r="F80" i="20"/>
  <c r="BM36" i="1"/>
  <c r="H37" i="2"/>
  <c r="J30" i="14"/>
  <c r="O25" i="2"/>
  <c r="P35"/>
  <c r="I30" i="14"/>
  <c r="FE34" i="1"/>
  <c r="G442" i="13" s="1"/>
  <c r="N25" i="9"/>
  <c r="BY36" i="1"/>
  <c r="G103" i="20"/>
  <c r="H27" i="2"/>
  <c r="I26" i="14"/>
  <c r="I33" i="2"/>
  <c r="BA31" i="1"/>
  <c r="Q27" i="14"/>
  <c r="E30"/>
  <c r="N24" i="9"/>
  <c r="DI36" i="1"/>
  <c r="N28" i="9"/>
  <c r="ES35" i="1"/>
  <c r="T30" i="14"/>
  <c r="J13" i="9"/>
  <c r="C25" i="14"/>
  <c r="EG34" i="1"/>
  <c r="P25" i="14"/>
  <c r="D30"/>
  <c r="BM37" i="1"/>
  <c r="E26" i="14"/>
  <c r="N22" i="9"/>
  <c r="H33" i="2"/>
  <c r="N33" i="9"/>
  <c r="BY34" i="1"/>
  <c r="F87" i="20"/>
  <c r="L30" i="14"/>
  <c r="C28"/>
  <c r="AO36" i="1"/>
  <c r="H25" i="2"/>
  <c r="DI38" i="1"/>
  <c r="Q25" i="14"/>
  <c r="G101" i="20"/>
  <c r="AO35" i="1"/>
  <c r="BM32"/>
  <c r="O30" i="2"/>
  <c r="H20"/>
  <c r="F82" i="20"/>
  <c r="G27" i="14"/>
  <c r="P37" i="2"/>
  <c r="CW36" i="1"/>
  <c r="H22" i="2"/>
  <c r="EG36" i="1"/>
  <c r="G25" i="14"/>
  <c r="H28" i="2"/>
  <c r="H21"/>
  <c r="N30" i="9"/>
  <c r="F85" i="20"/>
  <c r="F26" i="14"/>
  <c r="L26"/>
  <c r="H26" i="2"/>
  <c r="I23"/>
  <c r="R28" i="14"/>
  <c r="E28"/>
  <c r="E31" i="1"/>
  <c r="P25" i="2"/>
  <c r="I20"/>
  <c r="R30" i="14"/>
  <c r="N30"/>
  <c r="G184" i="13"/>
  <c r="O26" i="14"/>
  <c r="BA34" i="1"/>
  <c r="J25" i="14"/>
  <c r="E34" i="1"/>
  <c r="H24" i="2"/>
  <c r="I36"/>
  <c r="F81" i="20"/>
  <c r="P22" i="2"/>
  <c r="S26" i="14"/>
  <c r="F83" i="20"/>
  <c r="I30" i="2"/>
  <c r="P27" i="14"/>
  <c r="D25"/>
  <c r="G104" i="20"/>
  <c r="F25" i="14"/>
  <c r="CW32" i="1"/>
  <c r="P28" i="2" s="1"/>
  <c r="I29"/>
  <c r="L28" i="14"/>
  <c r="E25"/>
  <c r="I26" i="2"/>
  <c r="F91" i="20"/>
  <c r="H34" i="2"/>
  <c r="N14" i="9"/>
  <c r="D29" i="14"/>
  <c r="N27" i="9"/>
  <c r="I25" i="2"/>
  <c r="I31"/>
  <c r="D27" i="14"/>
  <c r="H26"/>
  <c r="O21" i="2"/>
  <c r="H23"/>
  <c r="N25" i="14"/>
  <c r="N21" i="9"/>
  <c r="I24" i="2"/>
  <c r="S30" i="14"/>
  <c r="HA31" i="1"/>
  <c r="O27" i="14"/>
  <c r="G100" i="20"/>
  <c r="H36" i="2"/>
  <c r="N28" i="14"/>
  <c r="AO34" i="1"/>
  <c r="I28" i="2"/>
  <c r="I27"/>
  <c r="I28" i="14"/>
  <c r="H30"/>
  <c r="O25"/>
  <c r="P27" i="2"/>
  <c r="E27" i="14"/>
  <c r="N19" i="9"/>
  <c r="G30" i="14"/>
  <c r="N26"/>
  <c r="CW34" i="1"/>
  <c r="CK34"/>
  <c r="I22" i="2"/>
  <c r="GC34" i="1"/>
  <c r="H35" i="2"/>
  <c r="Q28" i="14"/>
  <c r="C30"/>
  <c r="K13" i="9"/>
  <c r="P20" i="2"/>
  <c r="P24"/>
  <c r="F28" i="14"/>
  <c r="T28"/>
  <c r="DU33" i="1"/>
  <c r="P30" i="2"/>
  <c r="P29"/>
  <c r="G20"/>
  <c r="G96" i="20"/>
  <c r="DI34" i="1"/>
  <c r="E36"/>
  <c r="H30" i="2"/>
  <c r="G345" i="13"/>
  <c r="L25" i="14"/>
  <c r="ES34" i="1"/>
  <c r="R25" i="14"/>
  <c r="F89" i="20"/>
  <c r="N17" i="9"/>
  <c r="I37" i="2"/>
  <c r="K28" i="14"/>
  <c r="CK37" i="1"/>
  <c r="FE36"/>
  <c r="P36" i="2"/>
  <c r="F88" i="20"/>
  <c r="CK36" i="1"/>
  <c r="S28" i="14"/>
  <c r="I34" i="2"/>
  <c r="N18" i="9"/>
  <c r="F86" i="20"/>
  <c r="H29" i="2"/>
  <c r="FQ36" i="1"/>
  <c r="D26" i="14"/>
  <c r="O28"/>
  <c r="AO32" i="1"/>
  <c r="GO36"/>
  <c r="S25" i="14"/>
  <c r="EG37" i="1"/>
  <c r="Q26" i="14"/>
  <c r="K26"/>
  <c r="M27"/>
  <c r="P30"/>
  <c r="F20" i="2"/>
  <c r="N29" i="9"/>
  <c r="AC36" i="1"/>
  <c r="L27" i="14"/>
  <c r="M26"/>
  <c r="R27"/>
  <c r="O33" i="2"/>
  <c r="D28" i="14"/>
  <c r="F84" i="20"/>
  <c r="T29" i="14"/>
  <c r="G217" i="13"/>
  <c r="C27" i="14"/>
  <c r="AC34" i="1"/>
  <c r="G346" i="13"/>
  <c r="ES36" i="1"/>
  <c r="O20" i="2"/>
  <c r="GO34" i="1"/>
  <c r="Q30" i="14"/>
  <c r="N32" i="9"/>
  <c r="F92" i="20"/>
  <c r="G282" i="13"/>
  <c r="G89"/>
  <c r="O22" i="2"/>
  <c r="G97" i="20"/>
  <c r="O24" i="2"/>
  <c r="G151" i="13"/>
  <c r="O32" i="2"/>
  <c r="G410" i="13"/>
  <c r="G538"/>
  <c r="O36" i="2"/>
  <c r="H96" i="20" l="1"/>
  <c r="F98"/>
  <c r="DD18" i="15"/>
  <c r="DF18" s="1"/>
  <c r="CX18"/>
  <c r="CZ18" s="1"/>
  <c r="CR18"/>
  <c r="CT18" s="1"/>
  <c r="CL18"/>
  <c r="CN18" s="1"/>
  <c r="CF18"/>
  <c r="CH18" s="1"/>
  <c r="BZ18"/>
  <c r="CB18" s="1"/>
  <c r="BT18"/>
  <c r="BV18" s="1"/>
  <c r="BN18"/>
  <c r="BP18" s="1"/>
  <c r="BH18"/>
  <c r="BJ18" s="1"/>
  <c r="BB18"/>
  <c r="BD18" s="1"/>
  <c r="AV18"/>
  <c r="AX18" s="1"/>
  <c r="AP18"/>
  <c r="AR18" s="1"/>
  <c r="AJ18"/>
  <c r="AL18" s="1"/>
  <c r="AD18"/>
  <c r="AF18" s="1"/>
  <c r="X18"/>
  <c r="Z18" s="1"/>
  <c r="R18"/>
  <c r="T18" s="1"/>
  <c r="L18"/>
  <c r="N18" s="1"/>
  <c r="F18"/>
  <c r="A12" i="20"/>
  <c r="HF16" i="22"/>
  <c r="BQ31"/>
  <c r="BR31"/>
  <c r="CP30"/>
  <c r="CO30"/>
  <c r="FJ27"/>
  <c r="FI27"/>
  <c r="AT24"/>
  <c r="AS24"/>
  <c r="DN19"/>
  <c r="DM19"/>
  <c r="V19"/>
  <c r="U19"/>
  <c r="DM30"/>
  <c r="DN30"/>
  <c r="CP24"/>
  <c r="CO24"/>
  <c r="CP22"/>
  <c r="CO22"/>
  <c r="DN21"/>
  <c r="DM21"/>
  <c r="AT18"/>
  <c r="AS18"/>
  <c r="G80" i="20"/>
  <c r="G113" i="13"/>
  <c r="G144"/>
  <c r="G563"/>
  <c r="DN36" i="22"/>
  <c r="DM36"/>
  <c r="BQ28"/>
  <c r="BR28"/>
  <c r="S22"/>
  <c r="T22"/>
  <c r="CN17"/>
  <c r="CM17"/>
  <c r="CM15"/>
  <c r="CN15"/>
  <c r="CM11"/>
  <c r="CN11"/>
  <c r="HE74"/>
  <c r="HF74"/>
  <c r="AS75"/>
  <c r="AT75"/>
  <c r="BR38"/>
  <c r="BQ38"/>
  <c r="HF8"/>
  <c r="HE8"/>
  <c r="EX31"/>
  <c r="AR31"/>
  <c r="AQ31"/>
  <c r="GE29"/>
  <c r="GF29"/>
  <c r="GE23"/>
  <c r="GF23"/>
  <c r="FG20"/>
  <c r="FH20"/>
  <c r="FJ16"/>
  <c r="FI16"/>
  <c r="GE15"/>
  <c r="GF15"/>
  <c r="BP10"/>
  <c r="BO10"/>
  <c r="BR8"/>
  <c r="BQ8"/>
  <c r="EK22"/>
  <c r="EL22"/>
  <c r="EK61"/>
  <c r="EL61"/>
  <c r="U74"/>
  <c r="V74"/>
  <c r="BQ72"/>
  <c r="BR72"/>
  <c r="BQ56"/>
  <c r="BR56"/>
  <c r="CO55"/>
  <c r="CP55"/>
  <c r="HE34"/>
  <c r="HF34"/>
  <c r="BR30"/>
  <c r="BQ30"/>
  <c r="AT25"/>
  <c r="AS25"/>
  <c r="AS35"/>
  <c r="AT35"/>
  <c r="CO29"/>
  <c r="CP29"/>
  <c r="HC24"/>
  <c r="HD24"/>
  <c r="GH23"/>
  <c r="GG23"/>
  <c r="GH21"/>
  <c r="GG21"/>
  <c r="DN20"/>
  <c r="DM20"/>
  <c r="HE18"/>
  <c r="HF18"/>
  <c r="BQ10"/>
  <c r="BR10"/>
  <c r="CM7"/>
  <c r="CN7"/>
  <c r="FG6"/>
  <c r="FH6"/>
  <c r="EI5"/>
  <c r="EJ5"/>
  <c r="GG9"/>
  <c r="GH9"/>
  <c r="BQ7"/>
  <c r="BR7"/>
  <c r="EK73"/>
  <c r="EL73"/>
  <c r="HF62"/>
  <c r="HE62"/>
  <c r="DM82"/>
  <c r="DN82"/>
  <c r="AS71"/>
  <c r="AT71"/>
  <c r="BQ46"/>
  <c r="BR46"/>
  <c r="EL39"/>
  <c r="EK39"/>
  <c r="BR36"/>
  <c r="BQ36"/>
  <c r="BR22"/>
  <c r="BQ22"/>
  <c r="DN18"/>
  <c r="DM18"/>
  <c r="GG15"/>
  <c r="GH15"/>
  <c r="DN14"/>
  <c r="DM14"/>
  <c r="CP7"/>
  <c r="CO7"/>
  <c r="V6"/>
  <c r="U6"/>
  <c r="FI34"/>
  <c r="FJ34"/>
  <c r="HE30"/>
  <c r="HF30"/>
  <c r="AT29"/>
  <c r="AS29"/>
  <c r="T28"/>
  <c r="S28"/>
  <c r="FH26"/>
  <c r="FG26"/>
  <c r="FJ24"/>
  <c r="FI24"/>
  <c r="AR17"/>
  <c r="AQ17"/>
  <c r="EL10"/>
  <c r="EK10"/>
  <c r="BQ74"/>
  <c r="BR74"/>
  <c r="EL51"/>
  <c r="EK51"/>
  <c r="DM50"/>
  <c r="DN50"/>
  <c r="CP49"/>
  <c r="CO49"/>
  <c r="CP31"/>
  <c r="CO31"/>
  <c r="EL29"/>
  <c r="EK29"/>
  <c r="BR18"/>
  <c r="BQ18"/>
  <c r="AT17"/>
  <c r="AS17"/>
  <c r="AT15"/>
  <c r="AS15"/>
  <c r="AS11"/>
  <c r="AT11"/>
  <c r="DN10"/>
  <c r="DM10"/>
  <c r="GH37"/>
  <c r="GG37"/>
  <c r="FH34"/>
  <c r="FG34"/>
  <c r="HC30"/>
  <c r="HD30"/>
  <c r="AQ29"/>
  <c r="AR29"/>
  <c r="BR26"/>
  <c r="BQ26"/>
  <c r="CO21"/>
  <c r="CP21"/>
  <c r="DM16"/>
  <c r="DN16"/>
  <c r="HF14"/>
  <c r="HE14"/>
  <c r="EK13"/>
  <c r="EL13"/>
  <c r="FJ10"/>
  <c r="FI10"/>
  <c r="V8"/>
  <c r="U8"/>
  <c r="BQ19"/>
  <c r="BR19"/>
  <c r="CO9"/>
  <c r="CP9"/>
  <c r="DM54"/>
  <c r="DN54"/>
  <c r="AS53"/>
  <c r="AT53"/>
  <c r="EK45"/>
  <c r="EL45"/>
  <c r="DN44"/>
  <c r="DM44"/>
  <c r="AS33"/>
  <c r="AT33"/>
  <c r="EK21"/>
  <c r="EL21"/>
  <c r="GH11"/>
  <c r="GG11"/>
  <c r="HD73"/>
  <c r="FI9"/>
  <c r="FJ30"/>
  <c r="FI30"/>
  <c r="HD28"/>
  <c r="HC28"/>
  <c r="GE27"/>
  <c r="GF27"/>
  <c r="DN24"/>
  <c r="DM24"/>
  <c r="AS21"/>
  <c r="AT21"/>
  <c r="FJ18"/>
  <c r="FI18"/>
  <c r="GG13"/>
  <c r="GH13"/>
  <c r="DN6"/>
  <c r="DM6"/>
  <c r="CO6"/>
  <c r="CP6"/>
  <c r="CO37"/>
  <c r="CP37"/>
  <c r="CP61"/>
  <c r="CO61"/>
  <c r="CO15"/>
  <c r="CP15"/>
  <c r="FI70"/>
  <c r="FJ70"/>
  <c r="EL71"/>
  <c r="EK71"/>
  <c r="EL55"/>
  <c r="EK55"/>
  <c r="EK47"/>
  <c r="EL47"/>
  <c r="EK35"/>
  <c r="EL35"/>
  <c r="GH25"/>
  <c r="GG25"/>
  <c r="FJ22"/>
  <c r="FI22"/>
  <c r="V20"/>
  <c r="U20"/>
  <c r="GG7"/>
  <c r="GH7"/>
  <c r="GG5"/>
  <c r="GH5"/>
  <c r="DL36"/>
  <c r="DK36"/>
  <c r="GH33"/>
  <c r="GG33"/>
  <c r="FG30"/>
  <c r="FH30"/>
  <c r="AT23"/>
  <c r="AS23"/>
  <c r="EK17"/>
  <c r="EL17"/>
  <c r="BR16"/>
  <c r="BQ16"/>
  <c r="CM9"/>
  <c r="CN9"/>
  <c r="DM8"/>
  <c r="DN8"/>
  <c r="BR6"/>
  <c r="BQ6"/>
  <c r="CP5"/>
  <c r="CO5"/>
  <c r="DN29"/>
  <c r="DM29"/>
  <c r="AQ7"/>
  <c r="AR7"/>
  <c r="CP13"/>
  <c r="CO13"/>
  <c r="CO8"/>
  <c r="CP8"/>
  <c r="GH81"/>
  <c r="GG81"/>
  <c r="EK53"/>
  <c r="EL53"/>
  <c r="BR50"/>
  <c r="BQ50"/>
  <c r="AT49"/>
  <c r="AS49"/>
  <c r="FI36"/>
  <c r="FJ36"/>
  <c r="BQ34"/>
  <c r="BR34"/>
  <c r="BR32"/>
  <c r="BQ32"/>
  <c r="DN28"/>
  <c r="DM28"/>
  <c r="U18"/>
  <c r="V18"/>
  <c r="FI32"/>
  <c r="FJ32"/>
  <c r="HE28"/>
  <c r="HF28"/>
  <c r="AS27"/>
  <c r="AT27"/>
  <c r="CM25"/>
  <c r="CN25"/>
  <c r="U24"/>
  <c r="V24"/>
  <c r="HF22"/>
  <c r="HE22"/>
  <c r="HC20"/>
  <c r="HD20"/>
  <c r="FJ14"/>
  <c r="FI14"/>
  <c r="AS13"/>
  <c r="AT13"/>
  <c r="BO6"/>
  <c r="BP6"/>
  <c r="DM60"/>
  <c r="DN60"/>
  <c r="DM76"/>
  <c r="DN76"/>
  <c r="AS65"/>
  <c r="AT65"/>
  <c r="AS51"/>
  <c r="AT51"/>
  <c r="CP35"/>
  <c r="CO35"/>
  <c r="CP27"/>
  <c r="CO27"/>
  <c r="DN22"/>
  <c r="DM22"/>
  <c r="FJ12"/>
  <c r="FI12"/>
  <c r="AS9"/>
  <c r="AT9"/>
  <c r="DB69"/>
  <c r="EW66"/>
  <c r="DY28"/>
  <c r="CC18"/>
  <c r="CD47"/>
  <c r="AG76"/>
  <c r="DZ13"/>
  <c r="DA40"/>
  <c r="CD53"/>
  <c r="O126" i="20"/>
  <c r="M31" i="9" s="1"/>
  <c r="CD55" i="22"/>
  <c r="DY45"/>
  <c r="DZ76"/>
  <c r="FS57"/>
  <c r="EW77"/>
  <c r="AG69"/>
  <c r="DA85"/>
  <c r="J76"/>
  <c r="DY67"/>
  <c r="EW69"/>
  <c r="GS77"/>
  <c r="A7" i="20"/>
  <c r="BE80" i="22"/>
  <c r="BF80"/>
  <c r="I54"/>
  <c r="J54"/>
  <c r="GT66"/>
  <c r="GS66"/>
  <c r="DY53"/>
  <c r="DZ53"/>
  <c r="CC71"/>
  <c r="CD71"/>
  <c r="F127" i="20"/>
  <c r="G127" s="1"/>
  <c r="M111"/>
  <c r="O111" s="1"/>
  <c r="M16" i="9" s="1"/>
  <c r="FG93" i="24"/>
  <c r="DY7" i="22"/>
  <c r="CC63"/>
  <c r="CD63"/>
  <c r="DB54"/>
  <c r="DA54"/>
  <c r="GS68"/>
  <c r="GT68"/>
  <c r="BF66"/>
  <c r="BE66"/>
  <c r="I66"/>
  <c r="J66"/>
  <c r="DA50"/>
  <c r="DB50"/>
  <c r="BF70"/>
  <c r="BE70"/>
  <c r="GS54"/>
  <c r="GT54"/>
  <c r="DB44"/>
  <c r="DA44"/>
  <c r="AG61"/>
  <c r="AH61"/>
  <c r="DY66"/>
  <c r="GR35"/>
  <c r="DY32"/>
  <c r="GT70"/>
  <c r="J74"/>
  <c r="O124" i="20"/>
  <c r="M29" i="9" s="1"/>
  <c r="AG55" i="22"/>
  <c r="BF76"/>
  <c r="BE76"/>
  <c r="BE56"/>
  <c r="BF56"/>
  <c r="U33"/>
  <c r="J14"/>
  <c r="CC67"/>
  <c r="FV81"/>
  <c r="GS67"/>
  <c r="EX84"/>
  <c r="I16"/>
  <c r="AG81"/>
  <c r="AH81"/>
  <c r="BE50"/>
  <c r="BF50"/>
  <c r="EW56"/>
  <c r="EX56"/>
  <c r="EW68"/>
  <c r="EX68"/>
  <c r="AH47"/>
  <c r="AG47"/>
  <c r="CP41"/>
  <c r="EX53"/>
  <c r="EX25"/>
  <c r="GR8"/>
  <c r="GT62"/>
  <c r="DB62"/>
  <c r="DA62"/>
  <c r="I68"/>
  <c r="J68"/>
  <c r="FU55"/>
  <c r="FV55"/>
  <c r="G122" i="20"/>
  <c r="J73" i="22"/>
  <c r="DY77"/>
  <c r="EW83"/>
  <c r="FV73"/>
  <c r="FU80"/>
  <c r="GS9"/>
  <c r="AG79"/>
  <c r="AH79"/>
  <c r="AG53"/>
  <c r="AH53"/>
  <c r="AH51"/>
  <c r="AG51"/>
  <c r="AG67"/>
  <c r="AH67"/>
  <c r="U122" i="20"/>
  <c r="EW60" i="22"/>
  <c r="FV79"/>
  <c r="CD40"/>
  <c r="FV65"/>
  <c r="DB70"/>
  <c r="DA70"/>
  <c r="EW50"/>
  <c r="EX50"/>
  <c r="AG77"/>
  <c r="AH77"/>
  <c r="FU75"/>
  <c r="EX64"/>
  <c r="AG57"/>
  <c r="AH57"/>
  <c r="J44"/>
  <c r="I44"/>
  <c r="FU45"/>
  <c r="FV45"/>
  <c r="CD65"/>
  <c r="CC65"/>
  <c r="GS80"/>
  <c r="GT80"/>
  <c r="GS44"/>
  <c r="GT44"/>
  <c r="DA66"/>
  <c r="DB66"/>
  <c r="FU43"/>
  <c r="FV43"/>
  <c r="I72"/>
  <c r="J72"/>
  <c r="U115" i="20"/>
  <c r="F123"/>
  <c r="M123" s="1"/>
  <c r="U123"/>
  <c r="F119"/>
  <c r="G119" s="1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DA47"/>
  <c r="V15"/>
  <c r="U15"/>
  <c r="AT41"/>
  <c r="AS41"/>
  <c r="BE48"/>
  <c r="BF48"/>
  <c r="FU41"/>
  <c r="FV41"/>
  <c r="EL8"/>
  <c r="EK8"/>
  <c r="GG18"/>
  <c r="GH18"/>
  <c r="V7"/>
  <c r="U7"/>
  <c r="V17"/>
  <c r="U17"/>
  <c r="BE33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J28"/>
  <c r="J34"/>
  <c r="J32"/>
  <c r="J23"/>
  <c r="K35"/>
  <c r="K37"/>
  <c r="J21"/>
  <c r="K27"/>
  <c r="J33"/>
  <c r="J25"/>
  <c r="J35"/>
  <c r="J22"/>
  <c r="J26"/>
  <c r="K23"/>
  <c r="K21"/>
  <c r="J37"/>
  <c r="J31"/>
  <c r="J29"/>
  <c r="J30"/>
  <c r="K31"/>
  <c r="J27"/>
  <c r="J36"/>
  <c r="K29"/>
  <c r="J20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25" i="2"/>
  <c r="S25" s="1"/>
  <c r="T25" s="1"/>
  <c r="Q37"/>
  <c r="S37" s="1"/>
  <c r="T37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O116" s="1"/>
  <c r="M21" i="9" s="1"/>
  <c r="M119" i="20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Y8" i="20"/>
  <c r="Y9" s="1"/>
  <c r="U109"/>
  <c r="O114"/>
  <c r="M19" i="9" s="1"/>
  <c r="M121" i="20"/>
  <c r="G121"/>
  <c r="K121"/>
  <c r="H118"/>
  <c r="K127"/>
  <c r="M127"/>
  <c r="O125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10"/>
  <c r="ET108" i="10"/>
  <c r="AL108" s="1"/>
  <c r="A14" i="20"/>
  <c r="D11" i="23"/>
  <c r="D7" s="1"/>
  <c r="I84" i="20"/>
  <c r="I90"/>
  <c r="I81"/>
  <c r="I88"/>
  <c r="I93"/>
  <c r="I82"/>
  <c r="I80"/>
  <c r="I91"/>
  <c r="I89"/>
  <c r="I86"/>
  <c r="I85"/>
  <c r="I83"/>
  <c r="I92"/>
  <c r="I87"/>
  <c r="G98"/>
  <c r="G120" i="13"/>
  <c r="G22"/>
  <c r="N29" i="14"/>
  <c r="G406" i="13"/>
  <c r="G280"/>
  <c r="G87"/>
  <c r="N27" i="14"/>
  <c r="G566" i="13"/>
  <c r="G569"/>
  <c r="M28" i="14"/>
  <c r="O29" i="2"/>
  <c r="G377" i="13"/>
  <c r="G26" i="14"/>
  <c r="G23" i="13"/>
  <c r="G248"/>
  <c r="G179"/>
  <c r="O26" i="2"/>
  <c r="G570" i="13"/>
  <c r="G314"/>
  <c r="G281"/>
  <c r="G568"/>
  <c r="G150"/>
  <c r="G310"/>
  <c r="P29" i="14"/>
  <c r="G342" i="13"/>
  <c r="O28" i="2"/>
  <c r="G116" i="13"/>
  <c r="G409"/>
  <c r="Q29" i="14"/>
  <c r="G501" i="13"/>
  <c r="G502"/>
  <c r="G474"/>
  <c r="G344"/>
  <c r="G374"/>
  <c r="G213"/>
  <c r="G441"/>
  <c r="O23" i="2"/>
  <c r="G54" i="13"/>
  <c r="G27"/>
  <c r="P31" i="2"/>
  <c r="G53" i="13"/>
  <c r="K27" i="14"/>
  <c r="G183" i="13"/>
  <c r="G313"/>
  <c r="G536"/>
  <c r="G373"/>
  <c r="G25"/>
  <c r="O29" i="14"/>
  <c r="G149" i="13"/>
  <c r="G245"/>
  <c r="G438"/>
  <c r="G180"/>
  <c r="F27" i="14"/>
  <c r="O27" i="2"/>
  <c r="G469" i="13"/>
  <c r="P28" i="14"/>
  <c r="G470" i="13"/>
  <c r="G537"/>
  <c r="G408"/>
  <c r="P33" i="2"/>
  <c r="R29" i="14"/>
  <c r="G57" i="13"/>
  <c r="C26" i="14"/>
  <c r="G565" i="13"/>
  <c r="K29" i="14"/>
  <c r="O30"/>
  <c r="G405" i="13"/>
  <c r="G376"/>
  <c r="G212"/>
  <c r="G533"/>
  <c r="O35" i="2"/>
  <c r="P23"/>
  <c r="T26" i="14"/>
  <c r="G147" i="13"/>
  <c r="E29" i="14"/>
  <c r="G341" i="13"/>
  <c r="J29" i="14"/>
  <c r="G119" i="13"/>
  <c r="G473"/>
  <c r="G312"/>
  <c r="F30" i="14"/>
  <c r="J27"/>
  <c r="G277" i="13"/>
  <c r="G246"/>
  <c r="G118"/>
  <c r="G309"/>
  <c r="G115"/>
  <c r="I29" i="14"/>
  <c r="H27"/>
  <c r="G378" i="13"/>
  <c r="G84"/>
  <c r="G250"/>
  <c r="F29" i="14"/>
  <c r="G56" i="13"/>
  <c r="G440"/>
  <c r="C29" i="14"/>
  <c r="H29"/>
  <c r="M29"/>
  <c r="G504" i="13"/>
  <c r="G58"/>
  <c r="G215"/>
  <c r="G278"/>
  <c r="G534"/>
  <c r="O31" i="2"/>
  <c r="G505" i="13"/>
  <c r="G26"/>
  <c r="G85"/>
  <c r="G88"/>
  <c r="S29" i="14"/>
  <c r="G437" i="13"/>
  <c r="G506"/>
  <c r="G472"/>
  <c r="G216"/>
  <c r="G182"/>
  <c r="L29" i="14"/>
  <c r="G29"/>
  <c r="G249" i="13"/>
  <c r="G146"/>
  <c r="A8" i="20" l="1"/>
  <c r="G123"/>
  <c r="Q35" i="2"/>
  <c r="S35" s="1"/>
  <c r="T35" s="1"/>
  <c r="Q26"/>
  <c r="S26" s="1"/>
  <c r="T26" s="1"/>
  <c r="Q29"/>
  <c r="S29" s="1"/>
  <c r="T29" s="1"/>
  <c r="Q23"/>
  <c r="S23" s="1"/>
  <c r="T23" s="1"/>
  <c r="Q33"/>
  <c r="S33" s="1"/>
  <c r="T33" s="1"/>
  <c r="Q27"/>
  <c r="S27" s="1"/>
  <c r="T27" s="1"/>
  <c r="Q31"/>
  <c r="S31" s="1"/>
  <c r="T31" s="1"/>
  <c r="K123" i="20"/>
  <c r="O123" s="1"/>
  <c r="M28" i="9" s="1"/>
  <c r="Q36" i="2"/>
  <c r="S36" s="1"/>
  <c r="T36" s="1"/>
  <c r="Q22"/>
  <c r="S22" s="1"/>
  <c r="T22" s="1"/>
  <c r="Q28"/>
  <c r="S28" s="1"/>
  <c r="T28" s="1"/>
  <c r="K26"/>
  <c r="L26" s="1"/>
  <c r="K22"/>
  <c r="L22" s="1"/>
  <c r="K33"/>
  <c r="L33" s="1"/>
  <c r="Q30"/>
  <c r="S30" s="1"/>
  <c r="T30" s="1"/>
  <c r="P38"/>
  <c r="O119" i="20"/>
  <c r="M24" i="9" s="1"/>
  <c r="Q24" i="2"/>
  <c r="S24" s="1"/>
  <c r="T24" s="1"/>
  <c r="A5" i="21"/>
  <c r="E5" s="1"/>
  <c r="K25" i="2"/>
  <c r="L25" s="1"/>
  <c r="U25" s="1"/>
  <c r="Z25" s="1"/>
  <c r="K24"/>
  <c r="L24" s="1"/>
  <c r="K30"/>
  <c r="L30" s="1"/>
  <c r="K32"/>
  <c r="L32" s="1"/>
  <c r="K28"/>
  <c r="L28" s="1"/>
  <c r="K34"/>
  <c r="L34" s="1"/>
  <c r="K36"/>
  <c r="L36" s="1"/>
  <c r="K20"/>
  <c r="L20" s="1"/>
  <c r="Y26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Q20"/>
  <c r="A4" i="21" s="1"/>
  <c r="E4" s="1"/>
  <c r="L21" i="2"/>
  <c r="U21" s="1"/>
  <c r="G20" i="13"/>
  <c r="A9" i="21"/>
  <c r="E9" s="1"/>
  <c r="L37" i="2"/>
  <c r="U37" s="1"/>
  <c r="K563" i="13" s="1"/>
  <c r="L27" i="2"/>
  <c r="L31"/>
  <c r="L35"/>
  <c r="L29"/>
  <c r="A21" i="21"/>
  <c r="E21" s="1"/>
  <c r="Q32" i="2"/>
  <c r="O38"/>
  <c r="Q34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U23" i="2" l="1"/>
  <c r="Z23" s="1"/>
  <c r="AA23" s="1"/>
  <c r="W23" s="1"/>
  <c r="A17" i="21"/>
  <c r="E17" s="1"/>
  <c r="U35" i="2"/>
  <c r="K499" i="13" s="1"/>
  <c r="A19" i="21"/>
  <c r="E19" s="1"/>
  <c r="U27" i="2"/>
  <c r="Z27" s="1"/>
  <c r="AA27" s="1"/>
  <c r="W27" s="1"/>
  <c r="U26"/>
  <c r="Z26" s="1"/>
  <c r="AA26" s="1"/>
  <c r="W26" s="1"/>
  <c r="U31"/>
  <c r="Z31" s="1"/>
  <c r="AA31" s="1"/>
  <c r="W31" s="1"/>
  <c r="A10" i="21"/>
  <c r="E10" s="1"/>
  <c r="A11"/>
  <c r="E11" s="1"/>
  <c r="A15"/>
  <c r="E15" s="1"/>
  <c r="U29" i="2"/>
  <c r="K307" i="13" s="1"/>
  <c r="A13" i="21"/>
  <c r="E13" s="1"/>
  <c r="A7"/>
  <c r="E7" s="1"/>
  <c r="F6" s="1"/>
  <c r="U33" i="2"/>
  <c r="DF39" i="11" s="1"/>
  <c r="A20" i="21"/>
  <c r="E20" s="1"/>
  <c r="A6"/>
  <c r="E6" s="1"/>
  <c r="U22" i="2"/>
  <c r="Z22" s="1"/>
  <c r="AA22" s="1"/>
  <c r="W22" s="1"/>
  <c r="U36"/>
  <c r="K531" i="13" s="1"/>
  <c r="U28" i="2"/>
  <c r="DF34" i="11" s="1"/>
  <c r="A12" i="21"/>
  <c r="E12" s="1"/>
  <c r="U30" i="2"/>
  <c r="DF36" i="11" s="1"/>
  <c r="A14" i="21"/>
  <c r="E14" s="1"/>
  <c r="A8"/>
  <c r="E8" s="1"/>
  <c r="U24" i="2"/>
  <c r="Z24" s="1"/>
  <c r="AA24" s="1"/>
  <c r="W24" s="1"/>
  <c r="L38"/>
  <c r="Y50" s="1"/>
  <c r="F53" s="1"/>
  <c r="S20"/>
  <c r="T20" s="1"/>
  <c r="S34"/>
  <c r="T34" s="1"/>
  <c r="A18" i="21"/>
  <c r="E18" s="1"/>
  <c r="S32" i="2"/>
  <c r="U32" s="1"/>
  <c r="A16" i="21"/>
  <c r="E16" s="1"/>
  <c r="Q38" i="2"/>
  <c r="AA25"/>
  <c r="W25" s="1"/>
  <c r="Y13" i="20"/>
  <c r="BT43" i="11"/>
  <c r="K371" i="13"/>
  <c r="DF43" i="11"/>
  <c r="K177" i="13"/>
  <c r="BT31" i="11"/>
  <c r="DF31"/>
  <c r="BT27"/>
  <c r="DF27"/>
  <c r="K51" i="13"/>
  <c r="BT29" i="11" l="1"/>
  <c r="DF29"/>
  <c r="K113" i="13"/>
  <c r="BT35" i="11"/>
  <c r="BT37"/>
  <c r="DF33"/>
  <c r="K243" i="13"/>
  <c r="DF37" i="11"/>
  <c r="BT32"/>
  <c r="K210" i="13"/>
  <c r="BT33" i="11"/>
  <c r="DF41"/>
  <c r="BT41"/>
  <c r="DF32"/>
  <c r="K435" i="13"/>
  <c r="DF35" i="11"/>
  <c r="BT39"/>
  <c r="Z33" i="2"/>
  <c r="AA33" s="1"/>
  <c r="W33" s="1"/>
  <c r="BT28" i="11"/>
  <c r="DF28"/>
  <c r="BT42"/>
  <c r="BT34"/>
  <c r="DF42"/>
  <c r="K82" i="13"/>
  <c r="K275"/>
  <c r="F11" i="21"/>
  <c r="F16"/>
  <c r="F10"/>
  <c r="F20"/>
  <c r="F14"/>
  <c r="F12"/>
  <c r="F9"/>
  <c r="F5"/>
  <c r="F18"/>
  <c r="F15"/>
  <c r="F13"/>
  <c r="F17"/>
  <c r="F8"/>
  <c r="F19"/>
  <c r="F4"/>
  <c r="G5" s="1"/>
  <c r="F7"/>
  <c r="F21"/>
  <c r="BT36" i="11"/>
  <c r="K339" i="13"/>
  <c r="DF30" i="11"/>
  <c r="BT30"/>
  <c r="X50" i="2"/>
  <c r="U20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G4" i="21" l="1"/>
  <c r="G17" s="1"/>
  <c r="H16" s="1"/>
  <c r="DF26" i="1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U38"/>
  <c r="K20" i="13"/>
  <c r="BT26" i="11"/>
  <c r="T38" i="2"/>
  <c r="K467" i="13"/>
  <c r="BT40" i="11"/>
  <c r="DF40"/>
  <c r="O53" i="2"/>
  <c r="X48"/>
  <c r="Y27" i="20"/>
  <c r="I31" s="1"/>
  <c r="Z6"/>
  <c r="G10" i="21" l="1"/>
  <c r="H9" s="1"/>
  <c r="G13"/>
  <c r="H12" s="1"/>
  <c r="G20"/>
  <c r="H19" s="1"/>
  <c r="G7"/>
  <c r="H6" s="1"/>
  <c r="G9"/>
  <c r="H8" s="1"/>
  <c r="G8"/>
  <c r="H7" s="1"/>
  <c r="G6"/>
  <c r="H5" s="1"/>
  <c r="G16"/>
  <c r="H15" s="1"/>
  <c r="G21"/>
  <c r="H20" s="1"/>
  <c r="H4"/>
  <c r="I21" s="1"/>
  <c r="G18"/>
  <c r="H17" s="1"/>
  <c r="G15"/>
  <c r="H14" s="1"/>
  <c r="G11"/>
  <c r="H10" s="1"/>
  <c r="G19"/>
  <c r="H18" s="1"/>
  <c r="G12"/>
  <c r="H11" s="1"/>
  <c r="G14"/>
  <c r="H13" s="1"/>
  <c r="H21"/>
  <c r="BT44" i="11"/>
  <c r="C5" i="20" s="1"/>
  <c r="J5" s="1"/>
  <c r="K7" s="1"/>
  <c r="AA38" i="2"/>
  <c r="EP35" i="10" s="1"/>
  <c r="BZ35" s="1"/>
  <c r="AA39" i="2"/>
  <c r="EP38" i="10" s="1"/>
  <c r="BZ38" s="1"/>
  <c r="Z7" i="20"/>
  <c r="Z8" s="1"/>
  <c r="I17" i="21" l="1"/>
  <c r="I15"/>
  <c r="I5"/>
  <c r="I11"/>
  <c r="I8"/>
  <c r="I16"/>
  <c r="I7"/>
  <c r="I19"/>
  <c r="I20"/>
  <c r="I4"/>
  <c r="I6"/>
  <c r="I10"/>
  <c r="I9"/>
  <c r="I14"/>
  <c r="I18"/>
  <c r="I12"/>
  <c r="I13"/>
  <c r="K10" i="20"/>
  <c r="K13"/>
  <c r="K8"/>
  <c r="K14"/>
  <c r="K9"/>
  <c r="K12"/>
  <c r="K11"/>
  <c r="K6"/>
  <c r="K5"/>
  <c r="EP35" i="24"/>
  <c r="BZ35" s="1"/>
  <c r="EP39" i="10"/>
  <c r="BZ39" s="1"/>
  <c r="EP38" i="24"/>
  <c r="BZ38" s="1"/>
  <c r="Z9" i="20"/>
  <c r="Z10" s="1"/>
  <c r="J15" i="21" l="1"/>
  <c r="J6"/>
  <c r="J8"/>
  <c r="J14"/>
  <c r="J16"/>
  <c r="J19"/>
  <c r="J4"/>
  <c r="J11"/>
  <c r="J9"/>
  <c r="J18"/>
  <c r="J20"/>
  <c r="J17"/>
  <c r="J7"/>
  <c r="J12"/>
  <c r="J5"/>
  <c r="J13"/>
  <c r="J10"/>
  <c r="J21"/>
  <c r="L7" i="20"/>
  <c r="L5"/>
  <c r="L11"/>
  <c r="L12"/>
  <c r="L6"/>
  <c r="L10"/>
  <c r="L8"/>
  <c r="L14"/>
  <c r="L13"/>
  <c r="L9"/>
  <c r="EP39" i="24"/>
  <c r="BZ39" s="1"/>
  <c r="Z11" i="20"/>
  <c r="Z12" s="1"/>
  <c r="K12" i="21" l="1"/>
  <c r="K17"/>
  <c r="K18"/>
  <c r="K5"/>
  <c r="K9"/>
  <c r="K16"/>
  <c r="K10"/>
  <c r="K11"/>
  <c r="K6"/>
  <c r="K8"/>
  <c r="K15"/>
  <c r="K4"/>
  <c r="L21" s="1"/>
  <c r="K21"/>
  <c r="K20"/>
  <c r="K14"/>
  <c r="K7"/>
  <c r="K13"/>
  <c r="K19"/>
  <c r="M5" i="20"/>
  <c r="N14" s="1"/>
  <c r="M14"/>
  <c r="M12"/>
  <c r="M6"/>
  <c r="M13"/>
  <c r="M8"/>
  <c r="M9"/>
  <c r="M7"/>
  <c r="M10"/>
  <c r="M11"/>
  <c r="Z13"/>
  <c r="Z14" s="1"/>
  <c r="L6" i="21" l="1"/>
  <c r="L8"/>
  <c r="L18"/>
  <c r="L19"/>
  <c r="L15"/>
  <c r="L11"/>
  <c r="L20"/>
  <c r="L5"/>
  <c r="L7"/>
  <c r="L9"/>
  <c r="L4"/>
  <c r="M20" s="1"/>
  <c r="L14"/>
  <c r="L13"/>
  <c r="L10"/>
  <c r="L16"/>
  <c r="L17"/>
  <c r="L12"/>
  <c r="N9" i="20"/>
  <c r="N12"/>
  <c r="N7"/>
  <c r="N13"/>
  <c r="N8"/>
  <c r="N11"/>
  <c r="N10"/>
  <c r="N6"/>
  <c r="N5"/>
  <c r="O13" s="1"/>
  <c r="Z15"/>
  <c r="Z16" s="1"/>
  <c r="Z17" s="1"/>
  <c r="Z18" s="1"/>
  <c r="M17" i="21" l="1"/>
  <c r="M12"/>
  <c r="M9"/>
  <c r="M16"/>
  <c r="M5"/>
  <c r="M15"/>
  <c r="M13"/>
  <c r="M18"/>
  <c r="M21"/>
  <c r="M19"/>
  <c r="M4"/>
  <c r="M6"/>
  <c r="M8"/>
  <c r="M11"/>
  <c r="M7"/>
  <c r="M10"/>
  <c r="M14"/>
  <c r="N15" i="20"/>
  <c r="O14" s="1"/>
  <c r="O5"/>
  <c r="O11"/>
  <c r="O6"/>
  <c r="O12"/>
  <c r="O8"/>
  <c r="O10"/>
  <c r="O9"/>
  <c r="O7"/>
  <c r="Z19"/>
  <c r="Z20" s="1"/>
  <c r="Z21" s="1"/>
  <c r="Z22" s="1"/>
  <c r="Z23" s="1"/>
  <c r="Z25" s="1"/>
  <c r="N20" i="21" l="1"/>
  <c r="N18"/>
  <c r="N14"/>
  <c r="N9"/>
  <c r="N4"/>
  <c r="O21" s="1"/>
  <c r="N13"/>
  <c r="N6"/>
  <c r="N15"/>
  <c r="N16"/>
  <c r="N8"/>
  <c r="N10"/>
  <c r="N7"/>
  <c r="N5"/>
  <c r="N11"/>
  <c r="N17"/>
  <c r="N12"/>
  <c r="N19"/>
  <c r="N21"/>
  <c r="P7" i="20"/>
  <c r="P6"/>
  <c r="P13"/>
  <c r="P11"/>
  <c r="P14"/>
  <c r="P12"/>
  <c r="P9"/>
  <c r="P10"/>
  <c r="P8"/>
  <c r="P5"/>
  <c r="Q14" s="1"/>
  <c r="Z27"/>
  <c r="I32" s="1"/>
  <c r="AA6"/>
  <c r="O15" i="21" l="1"/>
  <c r="O16"/>
  <c r="O8"/>
  <c r="O7"/>
  <c r="O12"/>
  <c r="O17"/>
  <c r="O19"/>
  <c r="O18"/>
  <c r="O4"/>
  <c r="P21" s="1"/>
  <c r="O9"/>
  <c r="O5"/>
  <c r="O13"/>
  <c r="O20"/>
  <c r="O10"/>
  <c r="O14"/>
  <c r="O11"/>
  <c r="O6"/>
  <c r="Q10" i="20"/>
  <c r="Q13"/>
  <c r="Q8"/>
  <c r="Q12"/>
  <c r="Q7"/>
  <c r="Q6"/>
  <c r="Q9"/>
  <c r="Q5"/>
  <c r="R13" s="1"/>
  <c r="Q11"/>
  <c r="AA7"/>
  <c r="P8" i="21" l="1"/>
  <c r="P6"/>
  <c r="P16"/>
  <c r="P12"/>
  <c r="P20"/>
  <c r="P9"/>
  <c r="P11"/>
  <c r="P5"/>
  <c r="P19"/>
  <c r="P4"/>
  <c r="Q21" s="1"/>
  <c r="P18"/>
  <c r="P17"/>
  <c r="P7"/>
  <c r="P13"/>
  <c r="P10"/>
  <c r="P15"/>
  <c r="P14"/>
  <c r="R11" i="20"/>
  <c r="R6"/>
  <c r="R14"/>
  <c r="R5"/>
  <c r="S14" s="1"/>
  <c r="R10"/>
  <c r="R8"/>
  <c r="R9"/>
  <c r="R12"/>
  <c r="R7"/>
  <c r="AA8"/>
  <c r="AA9" s="1"/>
  <c r="Q20" i="21" l="1"/>
  <c r="Q7"/>
  <c r="Q18"/>
  <c r="Q14"/>
  <c r="Q4"/>
  <c r="R21" s="1"/>
  <c r="Q11"/>
  <c r="Q8"/>
  <c r="Q13"/>
  <c r="Q6"/>
  <c r="Q19"/>
  <c r="Q9"/>
  <c r="Q17"/>
  <c r="Q10"/>
  <c r="Q12"/>
  <c r="Q5"/>
  <c r="Q16"/>
  <c r="Q15"/>
  <c r="S11" i="20"/>
  <c r="S7"/>
  <c r="S10"/>
  <c r="S5"/>
  <c r="T13" s="1"/>
  <c r="J27" s="1"/>
  <c r="S13"/>
  <c r="S9"/>
  <c r="S12"/>
  <c r="S8"/>
  <c r="S6"/>
  <c r="AA10"/>
  <c r="R9" i="21" l="1"/>
  <c r="R14"/>
  <c r="R5"/>
  <c r="R16"/>
  <c r="R7"/>
  <c r="R18"/>
  <c r="R10"/>
  <c r="R13"/>
  <c r="R19"/>
  <c r="R11"/>
  <c r="R20"/>
  <c r="R4"/>
  <c r="R17"/>
  <c r="R15"/>
  <c r="R8"/>
  <c r="R12"/>
  <c r="R6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S12" i="21" l="1"/>
  <c r="S11"/>
  <c r="S17"/>
  <c r="S6"/>
  <c r="S9"/>
  <c r="S16"/>
  <c r="S5"/>
  <c r="S13"/>
  <c r="S10"/>
  <c r="S15"/>
  <c r="S8"/>
  <c r="S18"/>
  <c r="S20"/>
  <c r="S14"/>
  <c r="S21"/>
  <c r="S4"/>
  <c r="T21" s="1"/>
  <c r="S7"/>
  <c r="S19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T19" i="21" l="1"/>
  <c r="T13"/>
  <c r="T9"/>
  <c r="T12"/>
  <c r="T5"/>
  <c r="T20"/>
  <c r="T17"/>
  <c r="T11"/>
  <c r="T16"/>
  <c r="T15"/>
  <c r="T18"/>
  <c r="T6"/>
  <c r="T14"/>
  <c r="T10"/>
  <c r="T8"/>
  <c r="T7"/>
  <c r="T4"/>
  <c r="U20" s="1"/>
  <c r="L20" i="20"/>
  <c r="M28" s="1"/>
  <c r="L22"/>
  <c r="L27"/>
  <c r="L24"/>
  <c r="L21"/>
  <c r="L26"/>
  <c r="L25"/>
  <c r="L23"/>
  <c r="BM76" i="5"/>
  <c r="AA16" i="20"/>
  <c r="AA17" s="1"/>
  <c r="U10" i="21" l="1"/>
  <c r="U12"/>
  <c r="U19"/>
  <c r="U21"/>
  <c r="U13"/>
  <c r="U4"/>
  <c r="V21" s="1"/>
  <c r="E43" s="1"/>
  <c r="U8"/>
  <c r="U17"/>
  <c r="U15"/>
  <c r="U18"/>
  <c r="U11"/>
  <c r="U16"/>
  <c r="U9"/>
  <c r="U14"/>
  <c r="U5"/>
  <c r="U6"/>
  <c r="U7"/>
  <c r="M20" i="20"/>
  <c r="N28" s="1"/>
  <c r="M25"/>
  <c r="M21"/>
  <c r="M27"/>
  <c r="M24"/>
  <c r="M22"/>
  <c r="M23"/>
  <c r="M26"/>
  <c r="AA18"/>
  <c r="AA19" s="1"/>
  <c r="AA20" s="1"/>
  <c r="AA21" s="1"/>
  <c r="AA22" s="1"/>
  <c r="AA23" s="1"/>
  <c r="AA25" s="1"/>
  <c r="AB6" s="1"/>
  <c r="V13" i="21" l="1"/>
  <c r="E35" s="1"/>
  <c r="V17"/>
  <c r="E39" s="1"/>
  <c r="V14"/>
  <c r="E36" s="1"/>
  <c r="V15"/>
  <c r="E37" s="1"/>
  <c r="V20"/>
  <c r="E42" s="1"/>
  <c r="V12"/>
  <c r="E34" s="1"/>
  <c r="V6"/>
  <c r="E28" s="1"/>
  <c r="V11"/>
  <c r="E33" s="1"/>
  <c r="V5"/>
  <c r="E27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B26" s="1"/>
  <c r="B19" i="16" s="1"/>
  <c r="V10" i="21"/>
  <c r="E32" s="1"/>
  <c r="V8"/>
  <c r="E30" s="1"/>
  <c r="V19"/>
  <c r="E41" s="1"/>
  <c r="V9"/>
  <c r="E31" s="1"/>
  <c r="V18"/>
  <c r="E40" s="1"/>
  <c r="V7"/>
  <c r="E29" s="1"/>
  <c r="V16"/>
  <c r="E38" s="1"/>
  <c r="N21" i="20"/>
  <c r="N24"/>
  <c r="N22"/>
  <c r="N20"/>
  <c r="O27" s="1"/>
  <c r="N26"/>
  <c r="N25"/>
  <c r="N27"/>
  <c r="N23"/>
  <c r="AA27"/>
  <c r="I33" s="1"/>
  <c r="AB7"/>
  <c r="AB8" s="1"/>
  <c r="F38" i="21" l="1"/>
  <c r="F28"/>
  <c r="F29"/>
  <c r="F43"/>
  <c r="F34"/>
  <c r="F27"/>
  <c r="F36"/>
  <c r="F39"/>
  <c r="F41"/>
  <c r="F35"/>
  <c r="F33"/>
  <c r="F40"/>
  <c r="F42"/>
  <c r="F31"/>
  <c r="F37"/>
  <c r="F30"/>
  <c r="F32"/>
  <c r="C26"/>
  <c r="F19" i="16" s="1"/>
  <c r="D26" i="21"/>
  <c r="J19" i="16" s="1"/>
  <c r="O26" i="20"/>
  <c r="O24"/>
  <c r="O23"/>
  <c r="O20"/>
  <c r="P28" s="1"/>
  <c r="O21"/>
  <c r="O28"/>
  <c r="O22"/>
  <c r="O25"/>
  <c r="AB9"/>
  <c r="G35" i="21" l="1"/>
  <c r="G30"/>
  <c r="G34"/>
  <c r="G28"/>
  <c r="G347"/>
  <c r="G42"/>
  <c r="G36"/>
  <c r="G27"/>
  <c r="H43" s="1"/>
  <c r="G43"/>
  <c r="G29"/>
  <c r="G39"/>
  <c r="G38"/>
  <c r="G33"/>
  <c r="G37"/>
  <c r="G31"/>
  <c r="G41"/>
  <c r="G40"/>
  <c r="G32"/>
  <c r="P26" i="20"/>
  <c r="P20"/>
  <c r="Q28" s="1"/>
  <c r="P22"/>
  <c r="P27"/>
  <c r="P25"/>
  <c r="P21"/>
  <c r="P23"/>
  <c r="P24"/>
  <c r="AB10"/>
  <c r="AB11" s="1"/>
  <c r="H36" i="21" l="1"/>
  <c r="H37"/>
  <c r="H42"/>
  <c r="H32"/>
  <c r="H29"/>
  <c r="H27"/>
  <c r="H39"/>
  <c r="H38"/>
  <c r="H41"/>
  <c r="H40"/>
  <c r="H35"/>
  <c r="H31"/>
  <c r="H34"/>
  <c r="H347"/>
  <c r="H33"/>
  <c r="H28"/>
  <c r="H30"/>
  <c r="Q20" i="20"/>
  <c r="R28" s="1"/>
  <c r="Q22"/>
  <c r="Q25"/>
  <c r="Q23"/>
  <c r="Q24"/>
  <c r="Q27"/>
  <c r="Q21"/>
  <c r="Q26"/>
  <c r="AB12"/>
  <c r="I32" i="21" l="1"/>
  <c r="I31"/>
  <c r="I28"/>
  <c r="I43"/>
  <c r="I38"/>
  <c r="I36"/>
  <c r="I41"/>
  <c r="I39"/>
  <c r="I34"/>
  <c r="I37"/>
  <c r="I42"/>
  <c r="I35"/>
  <c r="I27"/>
  <c r="I30"/>
  <c r="I40"/>
  <c r="I347"/>
  <c r="I29"/>
  <c r="I33"/>
  <c r="R20" i="20"/>
  <c r="S28" s="1"/>
  <c r="R24"/>
  <c r="R21"/>
  <c r="R22"/>
  <c r="R23"/>
  <c r="R27"/>
  <c r="R25"/>
  <c r="R26"/>
  <c r="AB13"/>
  <c r="AB14" s="1"/>
  <c r="AB15" s="1"/>
  <c r="AB16" s="1"/>
  <c r="AB17" s="1"/>
  <c r="AB18" s="1"/>
  <c r="AB19" s="1"/>
  <c r="AB20" s="1"/>
  <c r="AB21" s="1"/>
  <c r="AB22" s="1"/>
  <c r="AB23" s="1"/>
  <c r="AB25" s="1"/>
  <c r="J29" i="21" l="1"/>
  <c r="J35"/>
  <c r="J36"/>
  <c r="J40"/>
  <c r="J39"/>
  <c r="J27"/>
  <c r="J42"/>
  <c r="J38"/>
  <c r="J32"/>
  <c r="J347"/>
  <c r="J31"/>
  <c r="J33"/>
  <c r="J30"/>
  <c r="J28"/>
  <c r="J41"/>
  <c r="J34"/>
  <c r="J43"/>
  <c r="J37"/>
  <c r="S23" i="20"/>
  <c r="S22"/>
  <c r="S26"/>
  <c r="S27"/>
  <c r="S20"/>
  <c r="T28" s="1"/>
  <c r="J39" s="1"/>
  <c r="S24"/>
  <c r="S25"/>
  <c r="S21"/>
  <c r="AB27"/>
  <c r="I34" s="1"/>
  <c r="AC6"/>
  <c r="K27" i="21" l="1"/>
  <c r="L43" s="1"/>
  <c r="K39"/>
  <c r="K32"/>
  <c r="K28"/>
  <c r="K41"/>
  <c r="K38"/>
  <c r="K35"/>
  <c r="K34"/>
  <c r="K347"/>
  <c r="K33"/>
  <c r="K43"/>
  <c r="K42"/>
  <c r="K29"/>
  <c r="K31"/>
  <c r="K30"/>
  <c r="K36"/>
  <c r="K37"/>
  <c r="L36" s="1"/>
  <c r="K40"/>
  <c r="T27" i="20"/>
  <c r="J38" s="1"/>
  <c r="T26"/>
  <c r="J37" s="1"/>
  <c r="T24"/>
  <c r="J35" s="1"/>
  <c r="T25"/>
  <c r="J36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3" i="20"/>
  <c r="J34" s="1"/>
  <c r="T21"/>
  <c r="J32" s="1"/>
  <c r="K39" s="1"/>
  <c r="T22"/>
  <c r="J33" s="1"/>
  <c r="AC7"/>
  <c r="AC8" s="1"/>
  <c r="AC9" s="1"/>
  <c r="L28" i="21" l="1"/>
  <c r="L31"/>
  <c r="L40"/>
  <c r="L39"/>
  <c r="L30"/>
  <c r="L347"/>
  <c r="L29"/>
  <c r="L42"/>
  <c r="L34"/>
  <c r="L38"/>
  <c r="L35"/>
  <c r="L41"/>
  <c r="L33"/>
  <c r="L27"/>
  <c r="M35" s="1"/>
  <c r="L32"/>
  <c r="L37"/>
  <c r="K33" i="20"/>
  <c r="K35"/>
  <c r="K32"/>
  <c r="L39" s="1"/>
  <c r="K37"/>
  <c r="G20"/>
  <c r="DJ77" i="5" s="1"/>
  <c r="E20" i="20"/>
  <c r="M77" i="5" s="1"/>
  <c r="V20" i="20"/>
  <c r="DE77" i="5" s="1"/>
  <c r="K38" i="20"/>
  <c r="C20"/>
  <c r="BM77" i="5" s="1"/>
  <c r="F20" i="20"/>
  <c r="DI77" i="5" s="1"/>
  <c r="H20" i="20"/>
  <c r="DK77" i="5" s="1"/>
  <c r="D20" i="20"/>
  <c r="F77" i="5" s="1"/>
  <c r="K36" i="20"/>
  <c r="I20"/>
  <c r="U77" i="5" s="1"/>
  <c r="K34" i="20"/>
  <c r="AC10"/>
  <c r="M347" i="21" l="1"/>
  <c r="M42"/>
  <c r="M27"/>
  <c r="M41"/>
  <c r="M38"/>
  <c r="M30"/>
  <c r="M40"/>
  <c r="M33"/>
  <c r="M32"/>
  <c r="M37"/>
  <c r="M43"/>
  <c r="M28"/>
  <c r="M39"/>
  <c r="M34"/>
  <c r="M31"/>
  <c r="M36"/>
  <c r="M29"/>
  <c r="L38" i="20"/>
  <c r="AS77" i="5"/>
  <c r="A77" s="1"/>
  <c r="L34" i="20"/>
  <c r="L32"/>
  <c r="L35"/>
  <c r="L36"/>
  <c r="L33"/>
  <c r="L37"/>
  <c r="AC11"/>
  <c r="N30" i="21" l="1"/>
  <c r="N42"/>
  <c r="N32"/>
  <c r="N28"/>
  <c r="N29"/>
  <c r="N31"/>
  <c r="N38"/>
  <c r="N40"/>
  <c r="N27"/>
  <c r="O43" s="1"/>
  <c r="N41"/>
  <c r="N43"/>
  <c r="N39"/>
  <c r="N34"/>
  <c r="N37"/>
  <c r="N347"/>
  <c r="N36"/>
  <c r="N35"/>
  <c r="N33"/>
  <c r="M36" i="20"/>
  <c r="M34"/>
  <c r="M37"/>
  <c r="M39"/>
  <c r="M38"/>
  <c r="M35"/>
  <c r="M33"/>
  <c r="M32"/>
  <c r="AC12"/>
  <c r="AC13" s="1"/>
  <c r="O347" i="21" l="1"/>
  <c r="O41"/>
  <c r="O36"/>
  <c r="O39"/>
  <c r="O29"/>
  <c r="O40"/>
  <c r="O34"/>
  <c r="O42"/>
  <c r="O33"/>
  <c r="O31"/>
  <c r="O27"/>
  <c r="O28"/>
  <c r="O35"/>
  <c r="O37"/>
  <c r="O30"/>
  <c r="O32"/>
  <c r="O38"/>
  <c r="N35" i="20"/>
  <c r="N38"/>
  <c r="N36"/>
  <c r="N33"/>
  <c r="N32"/>
  <c r="O39" s="1"/>
  <c r="N37"/>
  <c r="N34"/>
  <c r="N39"/>
  <c r="AC14"/>
  <c r="AC15" s="1"/>
  <c r="P35" i="21" l="1"/>
  <c r="P39"/>
  <c r="P31"/>
  <c r="P27"/>
  <c r="P38"/>
  <c r="P34"/>
  <c r="P36"/>
  <c r="P347"/>
  <c r="P29"/>
  <c r="P28"/>
  <c r="P33"/>
  <c r="P43"/>
  <c r="P32"/>
  <c r="P41"/>
  <c r="P42"/>
  <c r="P30"/>
  <c r="P40"/>
  <c r="P37"/>
  <c r="O36" i="20"/>
  <c r="O34"/>
  <c r="O38"/>
  <c r="O37"/>
  <c r="O32"/>
  <c r="P39" s="1"/>
  <c r="O33"/>
  <c r="O35"/>
  <c r="AC16"/>
  <c r="AC17" s="1"/>
  <c r="AC18" s="1"/>
  <c r="AC19" s="1"/>
  <c r="AC20" s="1"/>
  <c r="AC21" s="1"/>
  <c r="AC22" s="1"/>
  <c r="AC23" s="1"/>
  <c r="Q29" i="21" l="1"/>
  <c r="Q42"/>
  <c r="Q28"/>
  <c r="Q36"/>
  <c r="Q43"/>
  <c r="Q33"/>
  <c r="Q31"/>
  <c r="Q37"/>
  <c r="Q40"/>
  <c r="Q27"/>
  <c r="Q39"/>
  <c r="Q347"/>
  <c r="Q38"/>
  <c r="Q30"/>
  <c r="Q34"/>
  <c r="Q41"/>
  <c r="Q32"/>
  <c r="Q35"/>
  <c r="P35" i="20"/>
  <c r="P33"/>
  <c r="P37"/>
  <c r="P38"/>
  <c r="P32"/>
  <c r="Q39" s="1"/>
  <c r="P36"/>
  <c r="P34"/>
  <c r="AC25"/>
  <c r="AD6" s="1"/>
  <c r="R32" i="21" l="1"/>
  <c r="R28"/>
  <c r="R27"/>
  <c r="S347" s="1"/>
  <c r="R37"/>
  <c r="R43"/>
  <c r="R42"/>
  <c r="R38"/>
  <c r="R35"/>
  <c r="R29"/>
  <c r="R40"/>
  <c r="R36"/>
  <c r="R39"/>
  <c r="R347"/>
  <c r="R34"/>
  <c r="R31"/>
  <c r="R41"/>
  <c r="R33"/>
  <c r="R30"/>
  <c r="Q34" i="20"/>
  <c r="Q35"/>
  <c r="Q38"/>
  <c r="Q32"/>
  <c r="R39" s="1"/>
  <c r="Q37"/>
  <c r="Q36"/>
  <c r="Q33"/>
  <c r="AC27"/>
  <c r="I35" s="1"/>
  <c r="AD7"/>
  <c r="AD8" s="1"/>
  <c r="S31" i="21" l="1"/>
  <c r="S35"/>
  <c r="S41"/>
  <c r="S43"/>
  <c r="S40"/>
  <c r="S27"/>
  <c r="T347" s="1"/>
  <c r="S38"/>
  <c r="S34"/>
  <c r="S36"/>
  <c r="S32"/>
  <c r="S37"/>
  <c r="S28"/>
  <c r="S30"/>
  <c r="S42"/>
  <c r="S29"/>
  <c r="S33"/>
  <c r="S39"/>
  <c r="R37" i="20"/>
  <c r="R36"/>
  <c r="R33"/>
  <c r="R35"/>
  <c r="R34"/>
  <c r="R38"/>
  <c r="R32"/>
  <c r="S38" s="1"/>
  <c r="AD9"/>
  <c r="AD10" s="1"/>
  <c r="T41" i="21" l="1"/>
  <c r="T28"/>
  <c r="T35"/>
  <c r="T42"/>
  <c r="T36"/>
  <c r="T37"/>
  <c r="T31"/>
  <c r="T34"/>
  <c r="T30"/>
  <c r="T43"/>
  <c r="T32"/>
  <c r="T27"/>
  <c r="T33"/>
  <c r="T39"/>
  <c r="T40"/>
  <c r="T38"/>
  <c r="T29"/>
  <c r="S39" i="20"/>
  <c r="S34"/>
  <c r="S36"/>
  <c r="S33"/>
  <c r="S35"/>
  <c r="S32"/>
  <c r="S37"/>
  <c r="AD11"/>
  <c r="AD12" s="1"/>
  <c r="AD13" s="1"/>
  <c r="AD14" s="1"/>
  <c r="U39" i="21" l="1"/>
  <c r="U37"/>
  <c r="U41"/>
  <c r="U28"/>
  <c r="U40"/>
  <c r="U34"/>
  <c r="U32"/>
  <c r="U38"/>
  <c r="U347"/>
  <c r="U31"/>
  <c r="U27"/>
  <c r="V347" s="1"/>
  <c r="W43" s="1"/>
  <c r="B43" s="1"/>
  <c r="U33"/>
  <c r="U43"/>
  <c r="U30"/>
  <c r="U35"/>
  <c r="U29"/>
  <c r="U42"/>
  <c r="U36"/>
  <c r="T38" i="20"/>
  <c r="J49" s="1"/>
  <c r="T37"/>
  <c r="J48" s="1"/>
  <c r="T34"/>
  <c r="J45" s="1"/>
  <c r="T33"/>
  <c r="J44" s="1"/>
  <c r="K50" s="1"/>
  <c r="T36"/>
  <c r="J47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9" i="20"/>
  <c r="J50" s="1"/>
  <c r="AD15"/>
  <c r="AD16" s="1"/>
  <c r="AD17" s="1"/>
  <c r="AD18" s="1"/>
  <c r="AD19" s="1"/>
  <c r="AD20" s="1"/>
  <c r="AD21" s="1"/>
  <c r="AD22" s="1"/>
  <c r="AD23" s="1"/>
  <c r="AD25" s="1"/>
  <c r="V38" i="21" l="1"/>
  <c r="E57" s="1"/>
  <c r="C43"/>
  <c r="D43"/>
  <c r="V32"/>
  <c r="E51" s="1"/>
  <c r="V33"/>
  <c r="E52" s="1"/>
  <c r="V36"/>
  <c r="E55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D27" s="1"/>
  <c r="J20" i="16" s="1"/>
  <c r="V40" i="21"/>
  <c r="E59" s="1"/>
  <c r="V35"/>
  <c r="E54" s="1"/>
  <c r="V29"/>
  <c r="E48" s="1"/>
  <c r="V28"/>
  <c r="E47" s="1"/>
  <c r="F62" s="1"/>
  <c r="V30"/>
  <c r="E49" s="1"/>
  <c r="V39"/>
  <c r="E58" s="1"/>
  <c r="V41"/>
  <c r="E60" s="1"/>
  <c r="V37"/>
  <c r="E56" s="1"/>
  <c r="V43"/>
  <c r="E62" s="1"/>
  <c r="V42"/>
  <c r="E61" s="1"/>
  <c r="V31"/>
  <c r="E50" s="1"/>
  <c r="V34"/>
  <c r="E53" s="1"/>
  <c r="K44" i="20"/>
  <c r="L50" s="1"/>
  <c r="K48"/>
  <c r="K49"/>
  <c r="K46"/>
  <c r="K47"/>
  <c r="K45"/>
  <c r="C21"/>
  <c r="AS78" i="5" s="1"/>
  <c r="A78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s="1"/>
  <c r="AE6"/>
  <c r="F61" i="21" l="1"/>
  <c r="F59"/>
  <c r="F58"/>
  <c r="F52"/>
  <c r="F56"/>
  <c r="F54"/>
  <c r="F51"/>
  <c r="B27"/>
  <c r="B20" i="16" s="1"/>
  <c r="C27" i="21"/>
  <c r="F20" i="16" s="1"/>
  <c r="F60" i="21"/>
  <c r="F55"/>
  <c r="F47"/>
  <c r="F347"/>
  <c r="F49"/>
  <c r="F48"/>
  <c r="F50"/>
  <c r="F57"/>
  <c r="F53"/>
  <c r="L46" i="20"/>
  <c r="L49"/>
  <c r="L47"/>
  <c r="L44"/>
  <c r="L48"/>
  <c r="L45"/>
  <c r="BM78" i="5"/>
  <c r="AE7" i="20"/>
  <c r="G48" i="21" l="1"/>
  <c r="G52"/>
  <c r="G47"/>
  <c r="G54"/>
  <c r="G57"/>
  <c r="G49"/>
  <c r="G53"/>
  <c r="G56"/>
  <c r="G62"/>
  <c r="G55"/>
  <c r="G50"/>
  <c r="G58"/>
  <c r="G61"/>
  <c r="G51"/>
  <c r="G60"/>
  <c r="G59"/>
  <c r="M48" i="20"/>
  <c r="M50"/>
  <c r="M49"/>
  <c r="M45"/>
  <c r="M47"/>
  <c r="M46"/>
  <c r="M44"/>
  <c r="N50" s="1"/>
  <c r="AE8"/>
  <c r="H51" i="21" l="1"/>
  <c r="H50"/>
  <c r="H56"/>
  <c r="H59"/>
  <c r="H53"/>
  <c r="H61"/>
  <c r="H62"/>
  <c r="H54"/>
  <c r="H49"/>
  <c r="H58"/>
  <c r="H60"/>
  <c r="H48"/>
  <c r="H55"/>
  <c r="H52"/>
  <c r="H47"/>
  <c r="H57"/>
  <c r="N49" i="20"/>
  <c r="N44"/>
  <c r="O50" s="1"/>
  <c r="N46"/>
  <c r="N45"/>
  <c r="N47"/>
  <c r="N48"/>
  <c r="AE9"/>
  <c r="AE10" s="1"/>
  <c r="AE11" s="1"/>
  <c r="I59" i="21" l="1"/>
  <c r="I53"/>
  <c r="I47"/>
  <c r="I48"/>
  <c r="I61"/>
  <c r="I62"/>
  <c r="I55"/>
  <c r="I50"/>
  <c r="I51"/>
  <c r="I58"/>
  <c r="I56"/>
  <c r="I57"/>
  <c r="I60"/>
  <c r="I49"/>
  <c r="I52"/>
  <c r="I54"/>
  <c r="O47" i="20"/>
  <c r="O49"/>
  <c r="O48"/>
  <c r="O45"/>
  <c r="O46"/>
  <c r="O44"/>
  <c r="P50" s="1"/>
  <c r="AE12"/>
  <c r="J56" i="21" l="1"/>
  <c r="J53"/>
  <c r="J52"/>
  <c r="J59"/>
  <c r="J58"/>
  <c r="J51"/>
  <c r="J47"/>
  <c r="J50"/>
  <c r="J54"/>
  <c r="J49"/>
  <c r="J61"/>
  <c r="J62"/>
  <c r="J60"/>
  <c r="J48"/>
  <c r="J57"/>
  <c r="J55"/>
  <c r="P48" i="20"/>
  <c r="P49"/>
  <c r="P47"/>
  <c r="P46"/>
  <c r="P45"/>
  <c r="P44"/>
  <c r="Q50" s="1"/>
  <c r="AE13"/>
  <c r="AE14" s="1"/>
  <c r="AE15" s="1"/>
  <c r="AE16" s="1"/>
  <c r="AE17" s="1"/>
  <c r="AE18" s="1"/>
  <c r="AE19" s="1"/>
  <c r="AE20" s="1"/>
  <c r="AE21" s="1"/>
  <c r="AE22" s="1"/>
  <c r="AE23" s="1"/>
  <c r="AE25" s="1"/>
  <c r="K61" i="21" l="1"/>
  <c r="K55"/>
  <c r="K59"/>
  <c r="K56"/>
  <c r="K51"/>
  <c r="K54"/>
  <c r="K47"/>
  <c r="K62"/>
  <c r="K49"/>
  <c r="K57"/>
  <c r="K52"/>
  <c r="K53"/>
  <c r="K48"/>
  <c r="K50"/>
  <c r="K60"/>
  <c r="K58"/>
  <c r="Q45" i="20"/>
  <c r="Q47"/>
  <c r="Q48"/>
  <c r="Q44"/>
  <c r="R50" s="1"/>
  <c r="Q49"/>
  <c r="Q46"/>
  <c r="AE27"/>
  <c r="I37" s="1"/>
  <c r="AF6"/>
  <c r="L60" i="21" l="1"/>
  <c r="L54"/>
  <c r="L50"/>
  <c r="L59"/>
  <c r="L56"/>
  <c r="L61"/>
  <c r="L57"/>
  <c r="L47"/>
  <c r="L51"/>
  <c r="L55"/>
  <c r="L49"/>
  <c r="L58"/>
  <c r="L53"/>
  <c r="L48"/>
  <c r="L52"/>
  <c r="L62"/>
  <c r="R48" i="20"/>
  <c r="R49"/>
  <c r="R45"/>
  <c r="R46"/>
  <c r="R47"/>
  <c r="R44"/>
  <c r="S50" s="1"/>
  <c r="AF7"/>
  <c r="M51" i="21" l="1"/>
  <c r="M58"/>
  <c r="M48"/>
  <c r="M62"/>
  <c r="M52"/>
  <c r="M60"/>
  <c r="M49"/>
  <c r="M54"/>
  <c r="M57"/>
  <c r="M56"/>
  <c r="M59"/>
  <c r="M47"/>
  <c r="M50"/>
  <c r="M61"/>
  <c r="M53"/>
  <c r="M55"/>
  <c r="S46" i="20"/>
  <c r="S49"/>
  <c r="S48"/>
  <c r="S47"/>
  <c r="S44"/>
  <c r="T50" s="1"/>
  <c r="J61" s="1"/>
  <c r="S45"/>
  <c r="AF8"/>
  <c r="N54" i="21" l="1"/>
  <c r="N47"/>
  <c r="N55"/>
  <c r="N62"/>
  <c r="N58"/>
  <c r="N49"/>
  <c r="N52"/>
  <c r="N61"/>
  <c r="N51"/>
  <c r="N57"/>
  <c r="N53"/>
  <c r="N56"/>
  <c r="N48"/>
  <c r="N50"/>
  <c r="N59"/>
  <c r="N60"/>
  <c r="T47" i="20"/>
  <c r="J58" s="1"/>
  <c r="T48"/>
  <c r="J59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9" i="20"/>
  <c r="J60" s="1"/>
  <c r="T46"/>
  <c r="J57" s="1"/>
  <c r="T45"/>
  <c r="J56" s="1"/>
  <c r="K61" s="1"/>
  <c r="AF9"/>
  <c r="AF10" s="1"/>
  <c r="O53" i="21" l="1"/>
  <c r="O48"/>
  <c r="O58"/>
  <c r="O55"/>
  <c r="O59"/>
  <c r="O52"/>
  <c r="O51"/>
  <c r="O50"/>
  <c r="O61"/>
  <c r="O49"/>
  <c r="O54"/>
  <c r="O60"/>
  <c r="O47"/>
  <c r="O56"/>
  <c r="O57"/>
  <c r="O62"/>
  <c r="K57" i="20"/>
  <c r="K56"/>
  <c r="L60" s="1"/>
  <c r="K59"/>
  <c r="K58"/>
  <c r="H22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AF11"/>
  <c r="AF12" s="1"/>
  <c r="P57" i="21" l="1"/>
  <c r="P62"/>
  <c r="P54"/>
  <c r="P55"/>
  <c r="P56"/>
  <c r="P49"/>
  <c r="P60"/>
  <c r="P58"/>
  <c r="P59"/>
  <c r="P52"/>
  <c r="P48"/>
  <c r="P61"/>
  <c r="P47"/>
  <c r="P51"/>
  <c r="P50"/>
  <c r="P53"/>
  <c r="L57" i="20"/>
  <c r="L58"/>
  <c r="L61"/>
  <c r="L56"/>
  <c r="M61" s="1"/>
  <c r="L59"/>
  <c r="AS79" i="5"/>
  <c r="A79" s="1"/>
  <c r="AF13" i="20"/>
  <c r="AF14" s="1"/>
  <c r="AF15" s="1"/>
  <c r="AF16" s="1"/>
  <c r="AF17" s="1"/>
  <c r="AF18" s="1"/>
  <c r="AF19" s="1"/>
  <c r="AF20" s="1"/>
  <c r="AF21" s="1"/>
  <c r="AF22" s="1"/>
  <c r="AF23" s="1"/>
  <c r="AF25" s="1"/>
  <c r="Q56" i="21" l="1"/>
  <c r="Q49"/>
  <c r="Q60"/>
  <c r="Q51"/>
  <c r="Q53"/>
  <c r="Q54"/>
  <c r="Q48"/>
  <c r="Q47"/>
  <c r="Q59"/>
  <c r="Q62"/>
  <c r="Q61"/>
  <c r="Q57"/>
  <c r="Q55"/>
  <c r="Q52"/>
  <c r="Q58"/>
  <c r="Q50"/>
  <c r="M56" i="20"/>
  <c r="N60" s="1"/>
  <c r="M59"/>
  <c r="M58"/>
  <c r="M57"/>
  <c r="M60"/>
  <c r="AF27"/>
  <c r="I38" s="1"/>
  <c r="AG6"/>
  <c r="R55" i="21" l="1"/>
  <c r="R52"/>
  <c r="R60"/>
  <c r="R49"/>
  <c r="R47"/>
  <c r="R53"/>
  <c r="R59"/>
  <c r="R50"/>
  <c r="R54"/>
  <c r="R51"/>
  <c r="R48"/>
  <c r="R61"/>
  <c r="R58"/>
  <c r="R62"/>
  <c r="R56"/>
  <c r="R57"/>
  <c r="N57" i="20"/>
  <c r="N61"/>
  <c r="N56"/>
  <c r="O61" s="1"/>
  <c r="N58"/>
  <c r="N59"/>
  <c r="AG7"/>
  <c r="O59" l="1"/>
  <c r="S56" i="21"/>
  <c r="S50"/>
  <c r="S55"/>
  <c r="S61"/>
  <c r="S51"/>
  <c r="S54"/>
  <c r="S59"/>
  <c r="S53"/>
  <c r="S48"/>
  <c r="S60"/>
  <c r="S47"/>
  <c r="S52"/>
  <c r="S49"/>
  <c r="S58"/>
  <c r="S57"/>
  <c r="S62"/>
  <c r="O56" i="20"/>
  <c r="P61" s="1"/>
  <c r="O57"/>
  <c r="O60"/>
  <c r="O58"/>
  <c r="AG8"/>
  <c r="AG9" s="1"/>
  <c r="T47" i="21" l="1"/>
  <c r="T55"/>
  <c r="T56"/>
  <c r="T51"/>
  <c r="T62"/>
  <c r="T58"/>
  <c r="T48"/>
  <c r="T52"/>
  <c r="T49"/>
  <c r="T59"/>
  <c r="T53"/>
  <c r="T61"/>
  <c r="T54"/>
  <c r="T57"/>
  <c r="T60"/>
  <c r="T50"/>
  <c r="P59" i="20"/>
  <c r="P60"/>
  <c r="P56"/>
  <c r="Q60" s="1"/>
  <c r="P58"/>
  <c r="P57"/>
  <c r="AG10"/>
  <c r="U51" i="21" l="1"/>
  <c r="U54"/>
  <c r="U49"/>
  <c r="U61"/>
  <c r="U47"/>
  <c r="U58"/>
  <c r="U59"/>
  <c r="U55"/>
  <c r="U62"/>
  <c r="U60"/>
  <c r="U48"/>
  <c r="U56"/>
  <c r="U52"/>
  <c r="U57"/>
  <c r="U53"/>
  <c r="U50"/>
  <c r="Q56" i="20"/>
  <c r="R61" s="1"/>
  <c r="Q58"/>
  <c r="Q59"/>
  <c r="Q57"/>
  <c r="Q61"/>
  <c r="AG11"/>
  <c r="V48" i="21" l="1"/>
  <c r="E67" s="1"/>
  <c r="V57"/>
  <c r="E76" s="1"/>
  <c r="V56"/>
  <c r="E75" s="1"/>
  <c r="V49"/>
  <c r="E68" s="1"/>
  <c r="V52"/>
  <c r="E71" s="1"/>
  <c r="V59"/>
  <c r="E78" s="1"/>
  <c r="V53"/>
  <c r="E72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61"/>
  <c r="E80" s="1"/>
  <c r="V62"/>
  <c r="E81" s="1"/>
  <c r="V50"/>
  <c r="E69" s="1"/>
  <c r="V55"/>
  <c r="E74" s="1"/>
  <c r="V58"/>
  <c r="E77" s="1"/>
  <c r="V60"/>
  <c r="E79" s="1"/>
  <c r="V51"/>
  <c r="E70" s="1"/>
  <c r="V54"/>
  <c r="E73" s="1"/>
  <c r="R57" i="20"/>
  <c r="R59"/>
  <c r="R58"/>
  <c r="R60"/>
  <c r="R56"/>
  <c r="S60" s="1"/>
  <c r="AG12"/>
  <c r="F78" i="21" l="1"/>
  <c r="F67"/>
  <c r="F73"/>
  <c r="F72"/>
  <c r="F74"/>
  <c r="F77"/>
  <c r="F81"/>
  <c r="F70"/>
  <c r="F71"/>
  <c r="F76"/>
  <c r="F80"/>
  <c r="F68"/>
  <c r="F69"/>
  <c r="F79"/>
  <c r="F75"/>
  <c r="C28"/>
  <c r="F21" i="16" s="1"/>
  <c r="D28" i="21"/>
  <c r="J21" i="16" s="1"/>
  <c r="B28" i="21"/>
  <c r="B21" i="16" s="1"/>
  <c r="S61" i="20"/>
  <c r="S58"/>
  <c r="S59"/>
  <c r="S57"/>
  <c r="S56"/>
  <c r="T61" s="1"/>
  <c r="J72" s="1"/>
  <c r="AG13"/>
  <c r="AG14" s="1"/>
  <c r="AG15" s="1"/>
  <c r="AG16" s="1"/>
  <c r="AG17" s="1"/>
  <c r="AG18" s="1"/>
  <c r="AG19" s="1"/>
  <c r="AG20" s="1"/>
  <c r="AG21" s="1"/>
  <c r="AG22" s="1"/>
  <c r="AG23" s="1"/>
  <c r="G67" i="21" l="1"/>
  <c r="G70"/>
  <c r="G72"/>
  <c r="G77"/>
  <c r="G79"/>
  <c r="G75"/>
  <c r="G68"/>
  <c r="G74"/>
  <c r="G80"/>
  <c r="G73"/>
  <c r="G69"/>
  <c r="G76"/>
  <c r="G71"/>
  <c r="G81"/>
  <c r="G78"/>
  <c r="T58" i="20"/>
  <c r="J69" s="1"/>
  <c r="T57"/>
  <c r="J68" s="1"/>
  <c r="K72" s="1"/>
  <c r="T59"/>
  <c r="J70" s="1"/>
  <c r="T60"/>
  <c r="J71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AG25" i="20"/>
  <c r="H75" i="21" l="1"/>
  <c r="H80"/>
  <c r="H77"/>
  <c r="H67"/>
  <c r="H68"/>
  <c r="H81"/>
  <c r="H72"/>
  <c r="H69"/>
  <c r="H71"/>
  <c r="H76"/>
  <c r="H73"/>
  <c r="H79"/>
  <c r="H74"/>
  <c r="H78"/>
  <c r="H70"/>
  <c r="K71" i="20"/>
  <c r="K68"/>
  <c r="L71" s="1"/>
  <c r="K69"/>
  <c r="K70"/>
  <c r="H23"/>
  <c r="DK80" i="5" s="1"/>
  <c r="E23" i="20"/>
  <c r="M80" i="5" s="1"/>
  <c r="C23" i="20"/>
  <c r="BM80" i="5" s="1"/>
  <c r="F23" i="20"/>
  <c r="DI80" i="5" s="1"/>
  <c r="D23" i="20"/>
  <c r="F80" i="5" s="1"/>
  <c r="B23" i="20"/>
  <c r="DH80" i="5" s="1"/>
  <c r="G23" i="20"/>
  <c r="DJ80" i="5" s="1"/>
  <c r="I23" i="20"/>
  <c r="U80" i="5" s="1"/>
  <c r="AG27" i="20"/>
  <c r="I39" s="1"/>
  <c r="AH6"/>
  <c r="L69" l="1"/>
  <c r="L72"/>
  <c r="I67" i="21"/>
  <c r="I74"/>
  <c r="I69"/>
  <c r="I75"/>
  <c r="I80"/>
  <c r="I73"/>
  <c r="I70"/>
  <c r="I71"/>
  <c r="I81"/>
  <c r="I76"/>
  <c r="I78"/>
  <c r="I68"/>
  <c r="I79"/>
  <c r="I77"/>
  <c r="I72"/>
  <c r="L70" i="20"/>
  <c r="AS80" i="5"/>
  <c r="A80" s="1"/>
  <c r="L68" i="20"/>
  <c r="M70" s="1"/>
  <c r="AH7"/>
  <c r="AH8" s="1"/>
  <c r="J70" i="21" l="1"/>
  <c r="J76"/>
  <c r="J75"/>
  <c r="J78"/>
  <c r="J69"/>
  <c r="J80"/>
  <c r="J79"/>
  <c r="J77"/>
  <c r="J74"/>
  <c r="J71"/>
  <c r="J73"/>
  <c r="J67"/>
  <c r="J68"/>
  <c r="J72"/>
  <c r="J81"/>
  <c r="M71" i="20"/>
  <c r="M69"/>
  <c r="M68"/>
  <c r="M72"/>
  <c r="AH9"/>
  <c r="K78" i="21" l="1"/>
  <c r="K75"/>
  <c r="K74"/>
  <c r="K79"/>
  <c r="K73"/>
  <c r="K72"/>
  <c r="K76"/>
  <c r="K68"/>
  <c r="K67"/>
  <c r="K70"/>
  <c r="K80"/>
  <c r="K81"/>
  <c r="K69"/>
  <c r="K77"/>
  <c r="K71"/>
  <c r="N70" i="20"/>
  <c r="N68"/>
  <c r="O72" s="1"/>
  <c r="N71"/>
  <c r="N72"/>
  <c r="N69"/>
  <c r="AH10"/>
  <c r="AH11" s="1"/>
  <c r="L76" i="21" l="1"/>
  <c r="L72"/>
  <c r="L81"/>
  <c r="L74"/>
  <c r="L80"/>
  <c r="L68"/>
  <c r="L75"/>
  <c r="L79"/>
  <c r="L71"/>
  <c r="L73"/>
  <c r="L69"/>
  <c r="L70"/>
  <c r="L67"/>
  <c r="L77"/>
  <c r="L78"/>
  <c r="O70" i="20"/>
  <c r="O69"/>
  <c r="O71"/>
  <c r="O68"/>
  <c r="P72" s="1"/>
  <c r="AH12"/>
  <c r="AH13" s="1"/>
  <c r="AH14" s="1"/>
  <c r="AH15" s="1"/>
  <c r="AH16" s="1"/>
  <c r="AH17" s="1"/>
  <c r="AH18" s="1"/>
  <c r="AH19" s="1"/>
  <c r="AH20" s="1"/>
  <c r="AH21" s="1"/>
  <c r="AH22" s="1"/>
  <c r="AH23" s="1"/>
  <c r="P71" l="1"/>
  <c r="M74" i="21"/>
  <c r="M68"/>
  <c r="M77"/>
  <c r="M71"/>
  <c r="M75"/>
  <c r="M76"/>
  <c r="M81"/>
  <c r="M79"/>
  <c r="M69"/>
  <c r="M73"/>
  <c r="M70"/>
  <c r="M72"/>
  <c r="M78"/>
  <c r="M80"/>
  <c r="M67"/>
  <c r="P68" i="20"/>
  <c r="Q72" s="1"/>
  <c r="P70"/>
  <c r="P69"/>
  <c r="AH25"/>
  <c r="Q71" l="1"/>
  <c r="Q69"/>
  <c r="Q68"/>
  <c r="R71" s="1"/>
  <c r="Q70"/>
  <c r="N67" i="21"/>
  <c r="N72"/>
  <c r="N68"/>
  <c r="N77"/>
  <c r="N73"/>
  <c r="N70"/>
  <c r="N75"/>
  <c r="N76"/>
  <c r="N69"/>
  <c r="N74"/>
  <c r="N81"/>
  <c r="N80"/>
  <c r="N78"/>
  <c r="N79"/>
  <c r="N71"/>
  <c r="AH27" i="20"/>
  <c r="I40" s="1"/>
  <c r="AI6"/>
  <c r="R68" l="1"/>
  <c r="S70" s="1"/>
  <c r="R72"/>
  <c r="R69"/>
  <c r="R70"/>
  <c r="O79" i="21"/>
  <c r="O75"/>
  <c r="O71"/>
  <c r="O80"/>
  <c r="O68"/>
  <c r="O74"/>
  <c r="O69"/>
  <c r="O70"/>
  <c r="O77"/>
  <c r="O73"/>
  <c r="O67"/>
  <c r="O81"/>
  <c r="O76"/>
  <c r="O72"/>
  <c r="O78"/>
  <c r="AI7" i="20"/>
  <c r="S71" l="1"/>
  <c r="S68"/>
  <c r="T69" s="1"/>
  <c r="J80" s="1"/>
  <c r="K83" s="1"/>
  <c r="S72"/>
  <c r="S69"/>
  <c r="P67" i="21"/>
  <c r="P70"/>
  <c r="P74"/>
  <c r="P75"/>
  <c r="P77"/>
  <c r="P81"/>
  <c r="P72"/>
  <c r="P80"/>
  <c r="P68"/>
  <c r="P69"/>
  <c r="P78"/>
  <c r="P71"/>
  <c r="P79"/>
  <c r="P76"/>
  <c r="P73"/>
  <c r="AI8" i="20"/>
  <c r="T72" l="1"/>
  <c r="J83" s="1"/>
  <c r="K82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T71" i="20"/>
  <c r="J82" s="1"/>
  <c r="K81" s="1"/>
  <c r="T70"/>
  <c r="J81" s="1"/>
  <c r="K80" s="1"/>
  <c r="L82" s="1"/>
  <c r="Q72" i="21"/>
  <c r="Q73"/>
  <c r="Q77"/>
  <c r="Q69"/>
  <c r="Q76"/>
  <c r="Q74"/>
  <c r="Q81"/>
  <c r="Q79"/>
  <c r="Q70"/>
  <c r="Q75"/>
  <c r="Q71"/>
  <c r="Q78"/>
  <c r="Q67"/>
  <c r="Q80"/>
  <c r="Q68"/>
  <c r="AI9" i="20"/>
  <c r="L83" l="1"/>
  <c r="L81"/>
  <c r="L80"/>
  <c r="M83" s="1"/>
  <c r="F24"/>
  <c r="DI81" i="5" s="1"/>
  <c r="D24" i="20"/>
  <c r="F81" i="5" s="1"/>
  <c r="E24" i="20"/>
  <c r="M81" i="5" s="1"/>
  <c r="B24" i="20"/>
  <c r="DH81" i="5" s="1"/>
  <c r="G24" i="20"/>
  <c r="DJ81" i="5" s="1"/>
  <c r="C24" i="20"/>
  <c r="BM81" i="5" s="1"/>
  <c r="I24" i="20"/>
  <c r="U81" i="5" s="1"/>
  <c r="V24" i="20"/>
  <c r="DE81" i="5" s="1"/>
  <c r="R76" i="21"/>
  <c r="R68"/>
  <c r="R73"/>
  <c r="R74"/>
  <c r="R69"/>
  <c r="R79"/>
  <c r="R71"/>
  <c r="R72"/>
  <c r="R70"/>
  <c r="R81"/>
  <c r="R75"/>
  <c r="R78"/>
  <c r="R77"/>
  <c r="R67"/>
  <c r="R80"/>
  <c r="M81" i="20"/>
  <c r="AI10"/>
  <c r="M82" l="1"/>
  <c r="M80"/>
  <c r="N83" s="1"/>
  <c r="AS81" i="5"/>
  <c r="A81" s="1"/>
  <c r="S72" i="21"/>
  <c r="S75"/>
  <c r="S71"/>
  <c r="S81"/>
  <c r="S76"/>
  <c r="S78"/>
  <c r="S77"/>
  <c r="S67"/>
  <c r="S69"/>
  <c r="S68"/>
  <c r="S80"/>
  <c r="S70"/>
  <c r="S79"/>
  <c r="S74"/>
  <c r="S73"/>
  <c r="AI11" i="20"/>
  <c r="N80" l="1"/>
  <c r="O83" s="1"/>
  <c r="N82"/>
  <c r="N81"/>
  <c r="T71" i="21"/>
  <c r="T80"/>
  <c r="T68"/>
  <c r="T70"/>
  <c r="T77"/>
  <c r="T67"/>
  <c r="T76"/>
  <c r="T73"/>
  <c r="T81"/>
  <c r="T74"/>
  <c r="T75"/>
  <c r="T72"/>
  <c r="T69"/>
  <c r="T79"/>
  <c r="T78"/>
  <c r="AI12" i="20"/>
  <c r="O81" l="1"/>
  <c r="O80"/>
  <c r="P82" s="1"/>
  <c r="O82"/>
  <c r="U79" i="21"/>
  <c r="U80"/>
  <c r="U69"/>
  <c r="U73"/>
  <c r="U67"/>
  <c r="U76"/>
  <c r="U81"/>
  <c r="U72"/>
  <c r="U75"/>
  <c r="U68"/>
  <c r="U71"/>
  <c r="U77"/>
  <c r="U78"/>
  <c r="U74"/>
  <c r="U70"/>
  <c r="AI13" i="20"/>
  <c r="AI14" s="1"/>
  <c r="AI15" s="1"/>
  <c r="AI16" s="1"/>
  <c r="AI17" s="1"/>
  <c r="AI18" s="1"/>
  <c r="AI19" s="1"/>
  <c r="AI20" s="1"/>
  <c r="AI21" s="1"/>
  <c r="AI22" s="1"/>
  <c r="AI23" s="1"/>
  <c r="AI25" s="1"/>
  <c r="P81" l="1"/>
  <c r="P80"/>
  <c r="P83"/>
  <c r="V70" i="21"/>
  <c r="E89" s="1"/>
  <c r="V77"/>
  <c r="E96" s="1"/>
  <c r="V74"/>
  <c r="E93" s="1"/>
  <c r="V73"/>
  <c r="E92" s="1"/>
  <c r="V80"/>
  <c r="E99" s="1"/>
  <c r="V72"/>
  <c r="E91" s="1"/>
  <c r="V69"/>
  <c r="E88" s="1"/>
  <c r="V81"/>
  <c r="E100" s="1"/>
  <c r="V71"/>
  <c r="E90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75"/>
  <c r="E94" s="1"/>
  <c r="V76"/>
  <c r="E95" s="1"/>
  <c r="V78"/>
  <c r="E97" s="1"/>
  <c r="V79"/>
  <c r="E98" s="1"/>
  <c r="V68"/>
  <c r="E87" s="1"/>
  <c r="AI27" i="20"/>
  <c r="I41" s="1"/>
  <c r="AJ6"/>
  <c r="Q80" l="1"/>
  <c r="R83" s="1"/>
  <c r="Q83"/>
  <c r="Q81"/>
  <c r="Q82"/>
  <c r="B29" i="21"/>
  <c r="B22" i="16" s="1"/>
  <c r="C29" i="21"/>
  <c r="F22" i="16" s="1"/>
  <c r="D29" i="21"/>
  <c r="J22" i="16" s="1"/>
  <c r="F92" i="21"/>
  <c r="F94"/>
  <c r="F98"/>
  <c r="F97"/>
  <c r="F93"/>
  <c r="F99"/>
  <c r="F95"/>
  <c r="F91"/>
  <c r="F100"/>
  <c r="F87"/>
  <c r="F90"/>
  <c r="F96"/>
  <c r="F88"/>
  <c r="F89"/>
  <c r="AJ7" i="20"/>
  <c r="AJ8" s="1"/>
  <c r="R81" l="1"/>
  <c r="R82"/>
  <c r="R80"/>
  <c r="S83" s="1"/>
  <c r="G99" i="21"/>
  <c r="G91"/>
  <c r="G95"/>
  <c r="G100"/>
  <c r="G88"/>
  <c r="G94"/>
  <c r="G89"/>
  <c r="G87"/>
  <c r="G97"/>
  <c r="G96"/>
  <c r="G98"/>
  <c r="G90"/>
  <c r="G92"/>
  <c r="G93"/>
  <c r="AJ9" i="20"/>
  <c r="S81" l="1"/>
  <c r="S80"/>
  <c r="S82"/>
  <c r="H97" i="21"/>
  <c r="H88"/>
  <c r="H96"/>
  <c r="H99"/>
  <c r="H92"/>
  <c r="H98"/>
  <c r="H100"/>
  <c r="H89"/>
  <c r="H93"/>
  <c r="H87"/>
  <c r="H95"/>
  <c r="H90"/>
  <c r="H91"/>
  <c r="H94"/>
  <c r="AJ10" i="20"/>
  <c r="AJ11" s="1"/>
  <c r="T82" l="1"/>
  <c r="J93" s="1"/>
  <c r="T81"/>
  <c r="J92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F25" s="1"/>
  <c r="DI82" i="5" s="1"/>
  <c r="T83" i="20"/>
  <c r="J94" s="1"/>
  <c r="I88" i="21"/>
  <c r="I92"/>
  <c r="I90"/>
  <c r="I99"/>
  <c r="I95"/>
  <c r="I91"/>
  <c r="I87"/>
  <c r="I97"/>
  <c r="I89"/>
  <c r="I96"/>
  <c r="I93"/>
  <c r="I100"/>
  <c r="I98"/>
  <c r="I94"/>
  <c r="AJ12" i="20"/>
  <c r="E25" l="1"/>
  <c r="M82" i="5" s="1"/>
  <c r="B25" i="20"/>
  <c r="DH82" i="5" s="1"/>
  <c r="K93" i="20"/>
  <c r="K92"/>
  <c r="K94"/>
  <c r="D25"/>
  <c r="F82" i="5" s="1"/>
  <c r="V25" i="20"/>
  <c r="DE82" i="5" s="1"/>
  <c r="I25" i="20"/>
  <c r="U82" i="5" s="1"/>
  <c r="C25" i="20"/>
  <c r="G25"/>
  <c r="DJ82" i="5" s="1"/>
  <c r="H25" i="20"/>
  <c r="DK82" i="5" s="1"/>
  <c r="J96" i="21"/>
  <c r="J88"/>
  <c r="J91"/>
  <c r="J92"/>
  <c r="J97"/>
  <c r="J94"/>
  <c r="J95"/>
  <c r="J89"/>
  <c r="J87"/>
  <c r="J90"/>
  <c r="J100"/>
  <c r="J93"/>
  <c r="J98"/>
  <c r="J99"/>
  <c r="AJ13" i="20"/>
  <c r="AJ14" s="1"/>
  <c r="AJ15" s="1"/>
  <c r="AJ16" s="1"/>
  <c r="L93" l="1"/>
  <c r="L94"/>
  <c r="L92"/>
  <c r="AS82" i="5"/>
  <c r="A82" s="1"/>
  <c r="BM82"/>
  <c r="K93" i="21"/>
  <c r="K99"/>
  <c r="K91"/>
  <c r="K100"/>
  <c r="K94"/>
  <c r="K95"/>
  <c r="K87"/>
  <c r="K96"/>
  <c r="K92"/>
  <c r="K89"/>
  <c r="K88"/>
  <c r="K97"/>
  <c r="K90"/>
  <c r="K98"/>
  <c r="AJ17" i="20"/>
  <c r="AJ18" s="1"/>
  <c r="AJ19" s="1"/>
  <c r="AJ20" s="1"/>
  <c r="AJ21" s="1"/>
  <c r="AJ22" s="1"/>
  <c r="AJ23" s="1"/>
  <c r="AJ25" s="1"/>
  <c r="M93" l="1"/>
  <c r="M94"/>
  <c r="M92"/>
  <c r="L90" i="21"/>
  <c r="L100"/>
  <c r="L97"/>
  <c r="L87"/>
  <c r="L88"/>
  <c r="L89"/>
  <c r="L98"/>
  <c r="L94"/>
  <c r="L96"/>
  <c r="L99"/>
  <c r="L93"/>
  <c r="L91"/>
  <c r="L95"/>
  <c r="L92"/>
  <c r="AJ27" i="20"/>
  <c r="I42" s="1"/>
  <c r="AK6"/>
  <c r="N94" l="1"/>
  <c r="N93"/>
  <c r="N92"/>
  <c r="M96" i="21"/>
  <c r="M94"/>
  <c r="M92"/>
  <c r="M97"/>
  <c r="M88"/>
  <c r="M98"/>
  <c r="M99"/>
  <c r="M100"/>
  <c r="M90"/>
  <c r="M89"/>
  <c r="M91"/>
  <c r="M93"/>
  <c r="M87"/>
  <c r="M95"/>
  <c r="AK7" i="20"/>
  <c r="O94" l="1"/>
  <c r="O92"/>
  <c r="O93"/>
  <c r="N94" i="21"/>
  <c r="N87"/>
  <c r="N97"/>
  <c r="N92"/>
  <c r="N89"/>
  <c r="N90"/>
  <c r="N96"/>
  <c r="N100"/>
  <c r="N98"/>
  <c r="N99"/>
  <c r="N93"/>
  <c r="N88"/>
  <c r="N95"/>
  <c r="N91"/>
  <c r="AK8" i="20"/>
  <c r="P94" l="1"/>
  <c r="P93"/>
  <c r="P92"/>
  <c r="O95" i="21"/>
  <c r="O94"/>
  <c r="O99"/>
  <c r="O89"/>
  <c r="O90"/>
  <c r="O88"/>
  <c r="O96"/>
  <c r="O98"/>
  <c r="O93"/>
  <c r="O100"/>
  <c r="O92"/>
  <c r="O97"/>
  <c r="O87"/>
  <c r="O91"/>
  <c r="AK9" i="20"/>
  <c r="AK10" s="1"/>
  <c r="Q92" l="1"/>
  <c r="Q93"/>
  <c r="Q94"/>
  <c r="P91" i="21"/>
  <c r="P94"/>
  <c r="P97"/>
  <c r="P92"/>
  <c r="P96"/>
  <c r="P88"/>
  <c r="P87"/>
  <c r="P98"/>
  <c r="P99"/>
  <c r="P95"/>
  <c r="P93"/>
  <c r="P89"/>
  <c r="P100"/>
  <c r="P90"/>
  <c r="AK11" i="20"/>
  <c r="AK12" s="1"/>
  <c r="AK13" s="1"/>
  <c r="R94" l="1"/>
  <c r="R92"/>
  <c r="R93"/>
  <c r="Q100" i="21"/>
  <c r="Q91"/>
  <c r="Q96"/>
  <c r="Q99"/>
  <c r="Q98"/>
  <c r="Q94"/>
  <c r="Q93"/>
  <c r="Q90"/>
  <c r="Q87"/>
  <c r="Q95"/>
  <c r="Q92"/>
  <c r="Q88"/>
  <c r="Q89"/>
  <c r="Q97"/>
  <c r="AK14" i="20"/>
  <c r="AK15" s="1"/>
  <c r="AK16" s="1"/>
  <c r="AK17" s="1"/>
  <c r="AK18" s="1"/>
  <c r="AK19" s="1"/>
  <c r="AK20" s="1"/>
  <c r="AK21" s="1"/>
  <c r="AK22" s="1"/>
  <c r="AK23" s="1"/>
  <c r="AK25" s="1"/>
  <c r="S93" l="1"/>
  <c r="S94"/>
  <c r="S92"/>
  <c r="R97" i="21"/>
  <c r="R87"/>
  <c r="R88"/>
  <c r="R93"/>
  <c r="R95"/>
  <c r="R100"/>
  <c r="R92"/>
  <c r="R99"/>
  <c r="R96"/>
  <c r="R90"/>
  <c r="R98"/>
  <c r="R89"/>
  <c r="R91"/>
  <c r="R94"/>
  <c r="AK27" i="20"/>
  <c r="I43" s="1"/>
  <c r="AL6"/>
  <c r="T93" l="1"/>
  <c r="J104" s="1"/>
  <c r="T94"/>
  <c r="J105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S97" i="21"/>
  <c r="S88"/>
  <c r="S91"/>
  <c r="S93"/>
  <c r="S89"/>
  <c r="S92"/>
  <c r="S99"/>
  <c r="S95"/>
  <c r="S90"/>
  <c r="S87"/>
  <c r="S98"/>
  <c r="S96"/>
  <c r="S94"/>
  <c r="S100"/>
  <c r="AL7" i="20"/>
  <c r="K105" l="1"/>
  <c r="K104"/>
  <c r="V26"/>
  <c r="DE83" i="5" s="1"/>
  <c r="C26" i="20"/>
  <c r="H26"/>
  <c r="DK83" i="5" s="1"/>
  <c r="E26" i="20"/>
  <c r="M83" i="5" s="1"/>
  <c r="G26" i="20"/>
  <c r="DJ83" i="5" s="1"/>
  <c r="D26" i="20"/>
  <c r="F83" i="5" s="1"/>
  <c r="B26" i="20"/>
  <c r="I26"/>
  <c r="U83" i="5" s="1"/>
  <c r="F26" i="20"/>
  <c r="DI83" i="5" s="1"/>
  <c r="T95" i="21"/>
  <c r="T92"/>
  <c r="T87"/>
  <c r="T99"/>
  <c r="T90"/>
  <c r="T98"/>
  <c r="T88"/>
  <c r="T94"/>
  <c r="T96"/>
  <c r="T89"/>
  <c r="T93"/>
  <c r="T91"/>
  <c r="T97"/>
  <c r="T100"/>
  <c r="AL8" i="20"/>
  <c r="AL9" s="1"/>
  <c r="AG26"/>
  <c r="AI26"/>
  <c r="AF26"/>
  <c r="AC26"/>
  <c r="Z26"/>
  <c r="AA26"/>
  <c r="AD26"/>
  <c r="AE26"/>
  <c r="AH26"/>
  <c r="Y26"/>
  <c r="AJ26"/>
  <c r="AB26"/>
  <c r="AK26"/>
  <c r="DH83" i="5" l="1"/>
  <c r="L104" i="20"/>
  <c r="L105"/>
  <c r="BM83" i="5"/>
  <c r="AS83"/>
  <c r="A83" s="1"/>
  <c r="U89" i="21"/>
  <c r="U100"/>
  <c r="U96"/>
  <c r="U95"/>
  <c r="U94"/>
  <c r="U91"/>
  <c r="U97"/>
  <c r="U87"/>
  <c r="U92"/>
  <c r="U90"/>
  <c r="U93"/>
  <c r="U99"/>
  <c r="U98"/>
  <c r="U88"/>
  <c r="AL10" i="20"/>
  <c r="M105" l="1"/>
  <c r="M104"/>
  <c r="V92" i="21"/>
  <c r="E111" s="1"/>
  <c r="V94"/>
  <c r="E113" s="1"/>
  <c r="V91"/>
  <c r="E110" s="1"/>
  <c r="V99"/>
  <c r="E118" s="1"/>
  <c r="V89"/>
  <c r="E108" s="1"/>
  <c r="V98"/>
  <c r="E117" s="1"/>
  <c r="V88"/>
  <c r="E107" s="1"/>
  <c r="V95"/>
  <c r="E114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0"/>
  <c r="E109" s="1"/>
  <c r="V100"/>
  <c r="E119" s="1"/>
  <c r="V93"/>
  <c r="E112" s="1"/>
  <c r="V97"/>
  <c r="E116" s="1"/>
  <c r="V96"/>
  <c r="E115" s="1"/>
  <c r="AL11" i="20"/>
  <c r="AL12" s="1"/>
  <c r="N105" l="1"/>
  <c r="N104"/>
  <c r="B30" i="21"/>
  <c r="B23" i="16" s="1"/>
  <c r="D30" i="21"/>
  <c r="J23" i="16" s="1"/>
  <c r="C30" i="21"/>
  <c r="F23" i="16" s="1"/>
  <c r="F114" i="21"/>
  <c r="F117"/>
  <c r="F113"/>
  <c r="F110"/>
  <c r="F115"/>
  <c r="F119"/>
  <c r="F118"/>
  <c r="F116"/>
  <c r="F112"/>
  <c r="F107"/>
  <c r="F111"/>
  <c r="F109"/>
  <c r="F108"/>
  <c r="AL13" i="20"/>
  <c r="O104" l="1"/>
  <c r="O105"/>
  <c r="G109" i="21"/>
  <c r="G110"/>
  <c r="G117"/>
  <c r="G115"/>
  <c r="G113"/>
  <c r="G114"/>
  <c r="G108"/>
  <c r="G111"/>
  <c r="G118"/>
  <c r="G107"/>
  <c r="G119"/>
  <c r="G112"/>
  <c r="G116"/>
  <c r="AL14" i="20"/>
  <c r="AL15" s="1"/>
  <c r="P104" l="1"/>
  <c r="P105"/>
  <c r="H111" i="21"/>
  <c r="H110"/>
  <c r="H107"/>
  <c r="H108"/>
  <c r="H116"/>
  <c r="H114"/>
  <c r="H113"/>
  <c r="H112"/>
  <c r="H117"/>
  <c r="H109"/>
  <c r="H118"/>
  <c r="H119"/>
  <c r="H115"/>
  <c r="AL16" i="20"/>
  <c r="AL17" s="1"/>
  <c r="AL18" s="1"/>
  <c r="AL19" s="1"/>
  <c r="AL20" s="1"/>
  <c r="AL21" s="1"/>
  <c r="AL22" s="1"/>
  <c r="AL23" s="1"/>
  <c r="AL25" s="1"/>
  <c r="AL26"/>
  <c r="Q104" l="1"/>
  <c r="Q105"/>
  <c r="I111" i="21"/>
  <c r="I116"/>
  <c r="I112"/>
  <c r="I115"/>
  <c r="I108"/>
  <c r="I113"/>
  <c r="I117"/>
  <c r="I107"/>
  <c r="I119"/>
  <c r="I109"/>
  <c r="I118"/>
  <c r="I114"/>
  <c r="I110"/>
  <c r="AM6" i="20"/>
  <c r="AL27"/>
  <c r="I44" s="1"/>
  <c r="R105" l="1"/>
  <c r="R104"/>
  <c r="J118" i="21"/>
  <c r="J117"/>
  <c r="J111"/>
  <c r="J110"/>
  <c r="J107"/>
  <c r="J108"/>
  <c r="J109"/>
  <c r="J113"/>
  <c r="J116"/>
  <c r="J114"/>
  <c r="J112"/>
  <c r="J119"/>
  <c r="J115"/>
  <c r="AM7" i="20"/>
  <c r="S105" l="1"/>
  <c r="S104"/>
  <c r="K108" i="21"/>
  <c r="K112"/>
  <c r="K116"/>
  <c r="K119"/>
  <c r="K117"/>
  <c r="K107"/>
  <c r="K113"/>
  <c r="K114"/>
  <c r="K115"/>
  <c r="K110"/>
  <c r="K109"/>
  <c r="K118"/>
  <c r="K111"/>
  <c r="AM8" i="20"/>
  <c r="T104" l="1"/>
  <c r="U27" s="1"/>
  <c r="T105"/>
  <c r="U28" s="1"/>
  <c r="L110" i="21"/>
  <c r="L108"/>
  <c r="L114"/>
  <c r="L112"/>
  <c r="L113"/>
  <c r="L118"/>
  <c r="L115"/>
  <c r="L107"/>
  <c r="L109"/>
  <c r="L111"/>
  <c r="L116"/>
  <c r="L119"/>
  <c r="L117"/>
  <c r="AM9" i="20"/>
  <c r="V27" l="1"/>
  <c r="DE84" i="5" s="1"/>
  <c r="E27" i="20"/>
  <c r="M84" i="5" s="1"/>
  <c r="I27" i="20"/>
  <c r="U84" i="5" s="1"/>
  <c r="H27" i="20"/>
  <c r="DK84" i="5" s="1"/>
  <c r="G27" i="20"/>
  <c r="DJ84" i="5" s="1"/>
  <c r="B27" i="20"/>
  <c r="DH84" i="5" s="1"/>
  <c r="F27" i="20"/>
  <c r="DI84" i="5" s="1"/>
  <c r="C27" i="20"/>
  <c r="D27"/>
  <c r="F84" i="5" s="1"/>
  <c r="H28" i="20"/>
  <c r="DK85" i="5" s="1"/>
  <c r="D28" i="20"/>
  <c r="F85" i="5" s="1"/>
  <c r="G28" i="20"/>
  <c r="DJ85" i="5" s="1"/>
  <c r="V28" i="20"/>
  <c r="DE85" i="5" s="1"/>
  <c r="C28" i="20"/>
  <c r="I28"/>
  <c r="U85" i="5" s="1"/>
  <c r="B28" i="20"/>
  <c r="DH85" i="5" s="1"/>
  <c r="F28" i="20"/>
  <c r="DI85" i="5" s="1"/>
  <c r="E28" i="20"/>
  <c r="M85" i="5" s="1"/>
  <c r="M117" i="21"/>
  <c r="M118"/>
  <c r="M110"/>
  <c r="M109"/>
  <c r="M107"/>
  <c r="M113"/>
  <c r="M119"/>
  <c r="M116"/>
  <c r="M114"/>
  <c r="M108"/>
  <c r="M115"/>
  <c r="M112"/>
  <c r="M111"/>
  <c r="AM10" i="20"/>
  <c r="AM11" s="1"/>
  <c r="C48" l="1"/>
  <c r="C41"/>
  <c r="I121"/>
  <c r="C31"/>
  <c r="I120"/>
  <c r="C45"/>
  <c r="C46"/>
  <c r="I125"/>
  <c r="C34"/>
  <c r="C40"/>
  <c r="I113"/>
  <c r="C32"/>
  <c r="I115"/>
  <c r="C47"/>
  <c r="I126"/>
  <c r="I116"/>
  <c r="I127"/>
  <c r="C33"/>
  <c r="I124"/>
  <c r="I118"/>
  <c r="C39"/>
  <c r="C44"/>
  <c r="C38"/>
  <c r="I112"/>
  <c r="I119"/>
  <c r="C37"/>
  <c r="C36"/>
  <c r="I123"/>
  <c r="I111"/>
  <c r="I114"/>
  <c r="I122"/>
  <c r="C43"/>
  <c r="I117"/>
  <c r="C35"/>
  <c r="C49"/>
  <c r="I109"/>
  <c r="C42"/>
  <c r="I110"/>
  <c r="BM85" i="5"/>
  <c r="AS85"/>
  <c r="A85" s="1"/>
  <c r="BM84"/>
  <c r="AS84"/>
  <c r="A84" s="1"/>
  <c r="N111" i="21"/>
  <c r="N110"/>
  <c r="N112"/>
  <c r="N114"/>
  <c r="N117"/>
  <c r="N119"/>
  <c r="N107"/>
  <c r="N115"/>
  <c r="N113"/>
  <c r="N116"/>
  <c r="N118"/>
  <c r="N108"/>
  <c r="N109"/>
  <c r="AM12" i="20"/>
  <c r="AM13" s="1"/>
  <c r="AM14" s="1"/>
  <c r="O107" i="21" l="1"/>
  <c r="O115"/>
  <c r="O113"/>
  <c r="O117"/>
  <c r="O111"/>
  <c r="O119"/>
  <c r="O112"/>
  <c r="O110"/>
  <c r="O108"/>
  <c r="O114"/>
  <c r="O118"/>
  <c r="O109"/>
  <c r="O116"/>
  <c r="AM15" i="20"/>
  <c r="AM16" s="1"/>
  <c r="AM17" s="1"/>
  <c r="AM18" s="1"/>
  <c r="AM19" s="1"/>
  <c r="AM20" s="1"/>
  <c r="AM21" s="1"/>
  <c r="AM22" s="1"/>
  <c r="AM23" s="1"/>
  <c r="AM25" s="1"/>
  <c r="AM26"/>
  <c r="P117" i="21" l="1"/>
  <c r="P119"/>
  <c r="P111"/>
  <c r="P116"/>
  <c r="P113"/>
  <c r="P115"/>
  <c r="P118"/>
  <c r="P114"/>
  <c r="P109"/>
  <c r="P107"/>
  <c r="P108"/>
  <c r="P112"/>
  <c r="P110"/>
  <c r="AN6" i="20"/>
  <c r="AN7" s="1"/>
  <c r="AM27"/>
  <c r="I45" s="1"/>
  <c r="Q117" i="21" l="1"/>
  <c r="Q107"/>
  <c r="Q115"/>
  <c r="Q110"/>
  <c r="Q111"/>
  <c r="Q113"/>
  <c r="Q119"/>
  <c r="Q108"/>
  <c r="Q116"/>
  <c r="Q109"/>
  <c r="Q118"/>
  <c r="Q114"/>
  <c r="Q112"/>
  <c r="AN8" i="20"/>
  <c r="AN9" s="1"/>
  <c r="R118" i="21" l="1"/>
  <c r="R109"/>
  <c r="R108"/>
  <c r="R107"/>
  <c r="R114"/>
  <c r="R110"/>
  <c r="R115"/>
  <c r="R112"/>
  <c r="R113"/>
  <c r="R111"/>
  <c r="R117"/>
  <c r="R116"/>
  <c r="R119"/>
  <c r="AN10" i="20"/>
  <c r="S112" i="21" l="1"/>
  <c r="S115"/>
  <c r="S107"/>
  <c r="S117"/>
  <c r="S116"/>
  <c r="S119"/>
  <c r="S110"/>
  <c r="S114"/>
  <c r="S108"/>
  <c r="S118"/>
  <c r="S113"/>
  <c r="S109"/>
  <c r="S111"/>
  <c r="AN11" i="20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AN26"/>
  <c r="T107" i="21" l="1"/>
  <c r="T117"/>
  <c r="T109"/>
  <c r="T118"/>
  <c r="T113"/>
  <c r="T108"/>
  <c r="T115"/>
  <c r="T119"/>
  <c r="T112"/>
  <c r="T111"/>
  <c r="T110"/>
  <c r="T116"/>
  <c r="T114"/>
  <c r="AN27" i="20"/>
  <c r="I46" s="1"/>
  <c r="AO6"/>
  <c r="U110" i="21" l="1"/>
  <c r="U111"/>
  <c r="U108"/>
  <c r="U109"/>
  <c r="U114"/>
  <c r="U115"/>
  <c r="U119"/>
  <c r="U117"/>
  <c r="U116"/>
  <c r="U107"/>
  <c r="U112"/>
  <c r="U118"/>
  <c r="U113"/>
  <c r="AO7" i="20"/>
  <c r="AO8" s="1"/>
  <c r="V113" i="21" l="1"/>
  <c r="E132" s="1"/>
  <c r="V115"/>
  <c r="E134" s="1"/>
  <c r="V110"/>
  <c r="E129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V108"/>
  <c r="E127" s="1"/>
  <c r="V118"/>
  <c r="E137" s="1"/>
  <c r="V117"/>
  <c r="E136" s="1"/>
  <c r="V109"/>
  <c r="E128" s="1"/>
  <c r="V112"/>
  <c r="E131" s="1"/>
  <c r="V119"/>
  <c r="E138" s="1"/>
  <c r="V114"/>
  <c r="E133" s="1"/>
  <c r="V116"/>
  <c r="E135" s="1"/>
  <c r="V111"/>
  <c r="E130" s="1"/>
  <c r="AO9" i="20"/>
  <c r="F136" i="21" l="1"/>
  <c r="F138"/>
  <c r="F130"/>
  <c r="F131"/>
  <c r="F135"/>
  <c r="F134"/>
  <c r="F129"/>
  <c r="F127"/>
  <c r="F133"/>
  <c r="F128"/>
  <c r="F132"/>
  <c r="F137"/>
  <c r="D31"/>
  <c r="J24" i="16" s="1"/>
  <c r="C31" i="21"/>
  <c r="F24" i="16" s="1"/>
  <c r="B31" i="21"/>
  <c r="B24" i="16" s="1"/>
  <c r="AO10" i="20"/>
  <c r="G138" i="21" l="1"/>
  <c r="G127"/>
  <c r="G129"/>
  <c r="G136"/>
  <c r="G131"/>
  <c r="G128"/>
  <c r="G132"/>
  <c r="G133"/>
  <c r="G137"/>
  <c r="G130"/>
  <c r="G134"/>
  <c r="G135"/>
  <c r="AO11" i="20"/>
  <c r="H130" i="21" l="1"/>
  <c r="H136"/>
  <c r="H134"/>
  <c r="H129"/>
  <c r="H138"/>
  <c r="H135"/>
  <c r="H131"/>
  <c r="H133"/>
  <c r="H127"/>
  <c r="H137"/>
  <c r="H128"/>
  <c r="H132"/>
  <c r="AO12" i="20"/>
  <c r="AO13" s="1"/>
  <c r="AO14" s="1"/>
  <c r="AO15" s="1"/>
  <c r="AO16" s="1"/>
  <c r="AO17" s="1"/>
  <c r="AO18" s="1"/>
  <c r="AO19" s="1"/>
  <c r="AO20" s="1"/>
  <c r="AO21" s="1"/>
  <c r="AO22" s="1"/>
  <c r="AO23" s="1"/>
  <c r="AO25" s="1"/>
  <c r="AO26"/>
  <c r="I133" i="21" l="1"/>
  <c r="I138"/>
  <c r="I137"/>
  <c r="I134"/>
  <c r="I128"/>
  <c r="I135"/>
  <c r="I132"/>
  <c r="I127"/>
  <c r="I131"/>
  <c r="I136"/>
  <c r="I130"/>
  <c r="I129"/>
  <c r="AO27" i="20"/>
  <c r="I47" s="1"/>
  <c r="AP6"/>
  <c r="J129" i="21" l="1"/>
  <c r="J137"/>
  <c r="J134"/>
  <c r="J127"/>
  <c r="J135"/>
  <c r="J136"/>
  <c r="J132"/>
  <c r="J128"/>
  <c r="J133"/>
  <c r="J131"/>
  <c r="J130"/>
  <c r="J138"/>
  <c r="AP7" i="20"/>
  <c r="K127" i="21" l="1"/>
  <c r="K128"/>
  <c r="K131"/>
  <c r="K137"/>
  <c r="K135"/>
  <c r="K133"/>
  <c r="K129"/>
  <c r="K130"/>
  <c r="K134"/>
  <c r="K138"/>
  <c r="K132"/>
  <c r="K136"/>
  <c r="AP8" i="20"/>
  <c r="AP9" s="1"/>
  <c r="L129" i="21" l="1"/>
  <c r="L133"/>
  <c r="L132"/>
  <c r="L134"/>
  <c r="L136"/>
  <c r="L128"/>
  <c r="L130"/>
  <c r="L135"/>
  <c r="L138"/>
  <c r="L137"/>
  <c r="L127"/>
  <c r="L131"/>
  <c r="AP10" i="20"/>
  <c r="M136" i="21" l="1"/>
  <c r="M127"/>
  <c r="M138"/>
  <c r="M129"/>
  <c r="M128"/>
  <c r="M133"/>
  <c r="M132"/>
  <c r="M130"/>
  <c r="M135"/>
  <c r="M134"/>
  <c r="M131"/>
  <c r="M137"/>
  <c r="AP11" i="20"/>
  <c r="AP12" s="1"/>
  <c r="N133" i="21" l="1"/>
  <c r="N130"/>
  <c r="N128"/>
  <c r="N138"/>
  <c r="N132"/>
  <c r="N137"/>
  <c r="N134"/>
  <c r="N131"/>
  <c r="N135"/>
  <c r="N127"/>
  <c r="N129"/>
  <c r="N136"/>
  <c r="AP13" i="20"/>
  <c r="AP14" s="1"/>
  <c r="AP15" s="1"/>
  <c r="AP16" s="1"/>
  <c r="AP17" s="1"/>
  <c r="AP18" s="1"/>
  <c r="AP19" s="1"/>
  <c r="AP20" s="1"/>
  <c r="AP21" s="1"/>
  <c r="AP22" s="1"/>
  <c r="AP23" s="1"/>
  <c r="AP25" s="1"/>
  <c r="AP26"/>
  <c r="O134" i="21" l="1"/>
  <c r="O127"/>
  <c r="O129"/>
  <c r="O135"/>
  <c r="O136"/>
  <c r="O131"/>
  <c r="O133"/>
  <c r="O128"/>
  <c r="O137"/>
  <c r="O132"/>
  <c r="O130"/>
  <c r="O138"/>
  <c r="AP27" i="20"/>
  <c r="I48" s="1"/>
  <c r="AQ6"/>
  <c r="P129" i="21" l="1"/>
  <c r="P134"/>
  <c r="P138"/>
  <c r="P130"/>
  <c r="P137"/>
  <c r="P128"/>
  <c r="P131"/>
  <c r="P135"/>
  <c r="P127"/>
  <c r="P132"/>
  <c r="P136"/>
  <c r="P133"/>
  <c r="AQ7" i="20"/>
  <c r="Q137" i="21" l="1"/>
  <c r="Q135"/>
  <c r="Q132"/>
  <c r="Q136"/>
  <c r="Q134"/>
  <c r="Q138"/>
  <c r="Q130"/>
  <c r="Q131"/>
  <c r="Q128"/>
  <c r="Q127"/>
  <c r="Q129"/>
  <c r="Q133"/>
  <c r="AQ8" i="20"/>
  <c r="R134" i="21" l="1"/>
  <c r="R132"/>
  <c r="R131"/>
  <c r="R128"/>
  <c r="R135"/>
  <c r="R137"/>
  <c r="R130"/>
  <c r="R133"/>
  <c r="R138"/>
  <c r="R129"/>
  <c r="R127"/>
  <c r="R136"/>
  <c r="AQ9" i="20"/>
  <c r="S130" i="21" l="1"/>
  <c r="S135"/>
  <c r="S133"/>
  <c r="S132"/>
  <c r="S129"/>
  <c r="S134"/>
  <c r="S131"/>
  <c r="S128"/>
  <c r="S127"/>
  <c r="S138"/>
  <c r="S136"/>
  <c r="S137"/>
  <c r="AQ10" i="20"/>
  <c r="AQ11" s="1"/>
  <c r="T130" i="21" l="1"/>
  <c r="T132"/>
  <c r="T133"/>
  <c r="T136"/>
  <c r="T128"/>
  <c r="T131"/>
  <c r="T129"/>
  <c r="T127"/>
  <c r="T134"/>
  <c r="T135"/>
  <c r="T138"/>
  <c r="T137"/>
  <c r="AQ12" i="20"/>
  <c r="AQ13" s="1"/>
  <c r="AQ14" s="1"/>
  <c r="AQ15" s="1"/>
  <c r="AQ16" s="1"/>
  <c r="AQ17" s="1"/>
  <c r="AQ18" s="1"/>
  <c r="AQ19" s="1"/>
  <c r="AQ20" s="1"/>
  <c r="AQ21" s="1"/>
  <c r="AQ22" s="1"/>
  <c r="AQ23" s="1"/>
  <c r="AQ25" s="1"/>
  <c r="AQ26"/>
  <c r="U129" i="21" l="1"/>
  <c r="U136"/>
  <c r="U132"/>
  <c r="U134"/>
  <c r="U127"/>
  <c r="U128"/>
  <c r="U133"/>
  <c r="U131"/>
  <c r="U138"/>
  <c r="U135"/>
  <c r="U130"/>
  <c r="U137"/>
  <c r="AQ27" i="20"/>
  <c r="I49" s="1"/>
  <c r="V127" i="21" l="1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5"/>
  <c r="E154" s="1"/>
  <c r="V129"/>
  <c r="E148" s="1"/>
  <c r="V128"/>
  <c r="E147" s="1"/>
  <c r="V130"/>
  <c r="E149" s="1"/>
  <c r="V137"/>
  <c r="E156" s="1"/>
  <c r="V133"/>
  <c r="E152" s="1"/>
  <c r="V131"/>
  <c r="E150" s="1"/>
  <c r="V132"/>
  <c r="E151" s="1"/>
  <c r="V134"/>
  <c r="E153" s="1"/>
  <c r="V136"/>
  <c r="E155" s="1"/>
  <c r="V138"/>
  <c r="E157" s="1"/>
  <c r="C32" l="1"/>
  <c r="F25" i="16" s="1"/>
  <c r="D32" i="21"/>
  <c r="J25" i="16" s="1"/>
  <c r="B32" i="21"/>
  <c r="B25" i="16" s="1"/>
  <c r="F152" i="21"/>
  <c r="F156"/>
  <c r="F153"/>
  <c r="F157"/>
  <c r="F147"/>
  <c r="F154"/>
  <c r="F148"/>
  <c r="F155"/>
  <c r="F150"/>
  <c r="F149"/>
  <c r="F151"/>
  <c r="G157" l="1"/>
  <c r="G149"/>
  <c r="G148"/>
  <c r="G153"/>
  <c r="G147"/>
  <c r="G151"/>
  <c r="G150"/>
  <c r="G154"/>
  <c r="G156"/>
  <c r="G155"/>
  <c r="G152"/>
  <c r="H150" l="1"/>
  <c r="H157"/>
  <c r="H152"/>
  <c r="H151"/>
  <c r="H156"/>
  <c r="H147"/>
  <c r="H153"/>
  <c r="H149"/>
  <c r="H148"/>
  <c r="H155"/>
  <c r="H154"/>
  <c r="I156" l="1"/>
  <c r="I157"/>
  <c r="I154"/>
  <c r="I149"/>
  <c r="I155"/>
  <c r="I152"/>
  <c r="I148"/>
  <c r="I150"/>
  <c r="I147"/>
  <c r="I151"/>
  <c r="I153"/>
  <c r="J155" l="1"/>
  <c r="J157"/>
  <c r="J147"/>
  <c r="J150"/>
  <c r="J154"/>
  <c r="J148"/>
  <c r="J156"/>
  <c r="J149"/>
  <c r="J153"/>
  <c r="J151"/>
  <c r="J152"/>
  <c r="K150" l="1"/>
  <c r="K149"/>
  <c r="K152"/>
  <c r="K147"/>
  <c r="K148"/>
  <c r="K156"/>
  <c r="K151"/>
  <c r="K157"/>
  <c r="K153"/>
  <c r="K155"/>
  <c r="K154"/>
  <c r="L153" l="1"/>
  <c r="L152"/>
  <c r="L155"/>
  <c r="L156"/>
  <c r="L154"/>
  <c r="L149"/>
  <c r="L157"/>
  <c r="L151"/>
  <c r="L147"/>
  <c r="L150"/>
  <c r="L148"/>
  <c r="M148" l="1"/>
  <c r="M149"/>
  <c r="M152"/>
  <c r="M156"/>
  <c r="M153"/>
  <c r="M155"/>
  <c r="M154"/>
  <c r="M151"/>
  <c r="M157"/>
  <c r="M150"/>
  <c r="M147"/>
  <c r="N157" l="1"/>
  <c r="N149"/>
  <c r="N147"/>
  <c r="N151"/>
  <c r="N154"/>
  <c r="N152"/>
  <c r="N148"/>
  <c r="N155"/>
  <c r="N150"/>
  <c r="N153"/>
  <c r="N156"/>
  <c r="O156" l="1"/>
  <c r="O154"/>
  <c r="O151"/>
  <c r="O148"/>
  <c r="O150"/>
  <c r="O155"/>
  <c r="O149"/>
  <c r="O147"/>
  <c r="O152"/>
  <c r="O157"/>
  <c r="O153"/>
  <c r="P148" l="1"/>
  <c r="P151"/>
  <c r="P154"/>
  <c r="P150"/>
  <c r="P155"/>
  <c r="P157"/>
  <c r="P153"/>
  <c r="P149"/>
  <c r="P156"/>
  <c r="P152"/>
  <c r="P147"/>
  <c r="Q154" l="1"/>
  <c r="Q149"/>
  <c r="Q150"/>
  <c r="Q148"/>
  <c r="Q152"/>
  <c r="Q157"/>
  <c r="Q147"/>
  <c r="Q156"/>
  <c r="Q153"/>
  <c r="Q155"/>
  <c r="Q151"/>
  <c r="R147" l="1"/>
  <c r="R152"/>
  <c r="R153"/>
  <c r="R149"/>
  <c r="R156"/>
  <c r="R150"/>
  <c r="R151"/>
  <c r="R155"/>
  <c r="R157"/>
  <c r="R148"/>
  <c r="R154"/>
  <c r="S147" l="1"/>
  <c r="S157"/>
  <c r="S155"/>
  <c r="S151"/>
  <c r="S148"/>
  <c r="S153"/>
  <c r="S152"/>
  <c r="S154"/>
  <c r="S156"/>
  <c r="S150"/>
  <c r="S149"/>
  <c r="T150" l="1"/>
  <c r="T148"/>
  <c r="T154"/>
  <c r="T153"/>
  <c r="T155"/>
  <c r="T157"/>
  <c r="T152"/>
  <c r="T147"/>
  <c r="T151"/>
  <c r="T149"/>
  <c r="T156"/>
  <c r="U155" l="1"/>
  <c r="U151"/>
  <c r="U147"/>
  <c r="U156"/>
  <c r="U150"/>
  <c r="U152"/>
  <c r="U153"/>
  <c r="U149"/>
  <c r="U148"/>
  <c r="U157"/>
  <c r="U154"/>
  <c r="V154" l="1"/>
  <c r="E173" s="1"/>
  <c r="V157"/>
  <c r="E176" s="1"/>
  <c r="V148"/>
  <c r="E167" s="1"/>
  <c r="V149"/>
  <c r="E168" s="1"/>
  <c r="V151"/>
  <c r="E170" s="1"/>
  <c r="V156"/>
  <c r="E175" s="1"/>
  <c r="V153"/>
  <c r="E172" s="1"/>
  <c r="V150"/>
  <c r="E169" s="1"/>
  <c r="V155"/>
  <c r="E174" s="1"/>
  <c r="V152"/>
  <c r="E171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B33" l="1"/>
  <c r="B26" i="16" s="1"/>
  <c r="D33" i="21"/>
  <c r="J26" i="16" s="1"/>
  <c r="C33" i="21"/>
  <c r="F26" i="16" s="1"/>
  <c r="F174" i="21"/>
  <c r="F167"/>
  <c r="F172"/>
  <c r="F173"/>
  <c r="F168"/>
  <c r="F171"/>
  <c r="F170"/>
  <c r="F175"/>
  <c r="F176"/>
  <c r="F169"/>
  <c r="G176" l="1"/>
  <c r="G169"/>
  <c r="G167"/>
  <c r="G173"/>
  <c r="G175"/>
  <c r="G172"/>
  <c r="G170"/>
  <c r="G174"/>
  <c r="G168"/>
  <c r="G171"/>
  <c r="H171" l="1"/>
  <c r="H170"/>
  <c r="H169"/>
  <c r="H172"/>
  <c r="H168"/>
  <c r="H176"/>
  <c r="H175"/>
  <c r="H174"/>
  <c r="H173"/>
  <c r="H167"/>
  <c r="I170" l="1"/>
  <c r="I172"/>
  <c r="I176"/>
  <c r="I167"/>
  <c r="I171"/>
  <c r="I169"/>
  <c r="I175"/>
  <c r="I174"/>
  <c r="I173"/>
  <c r="I168"/>
  <c r="J176" l="1"/>
  <c r="J174"/>
  <c r="J168"/>
  <c r="J173"/>
  <c r="J171"/>
  <c r="J172"/>
  <c r="J170"/>
  <c r="J167"/>
  <c r="J169"/>
  <c r="J175"/>
  <c r="K171" l="1"/>
  <c r="K167"/>
  <c r="K172"/>
  <c r="K175"/>
  <c r="K173"/>
  <c r="K174"/>
  <c r="K168"/>
  <c r="K170"/>
  <c r="K169"/>
  <c r="K176"/>
  <c r="L176" l="1"/>
  <c r="L169"/>
  <c r="L172"/>
  <c r="L167"/>
  <c r="L174"/>
  <c r="L171"/>
  <c r="L173"/>
  <c r="L175"/>
  <c r="L168"/>
  <c r="L170"/>
  <c r="M170" l="1"/>
  <c r="M176"/>
  <c r="M171"/>
  <c r="M167"/>
  <c r="M169"/>
  <c r="M172"/>
  <c r="M168"/>
  <c r="M175"/>
  <c r="M173"/>
  <c r="M174"/>
  <c r="N176" l="1"/>
  <c r="N168"/>
  <c r="N173"/>
  <c r="N172"/>
  <c r="N170"/>
  <c r="N171"/>
  <c r="N169"/>
  <c r="N174"/>
  <c r="N175"/>
  <c r="N167"/>
  <c r="O167" l="1"/>
  <c r="O175"/>
  <c r="O168"/>
  <c r="O173"/>
  <c r="O171"/>
  <c r="O174"/>
  <c r="O169"/>
  <c r="O172"/>
  <c r="O176"/>
  <c r="O170"/>
  <c r="P175" l="1"/>
  <c r="P176"/>
  <c r="P169"/>
  <c r="P172"/>
  <c r="P170"/>
  <c r="P173"/>
  <c r="P174"/>
  <c r="P171"/>
  <c r="P167"/>
  <c r="P168"/>
  <c r="Q170" l="1"/>
  <c r="Q171"/>
  <c r="Q176"/>
  <c r="Q167"/>
  <c r="Q172"/>
  <c r="Q173"/>
  <c r="Q175"/>
  <c r="Q174"/>
  <c r="Q168"/>
  <c r="Q169"/>
  <c r="R167" l="1"/>
  <c r="R171"/>
  <c r="R172"/>
  <c r="R173"/>
  <c r="R170"/>
  <c r="R168"/>
  <c r="R175"/>
  <c r="R174"/>
  <c r="R176"/>
  <c r="R169"/>
  <c r="S173" l="1"/>
  <c r="S170"/>
  <c r="S168"/>
  <c r="S172"/>
  <c r="S176"/>
  <c r="S167"/>
  <c r="S175"/>
  <c r="S169"/>
  <c r="S171"/>
  <c r="S174"/>
  <c r="T173" l="1"/>
  <c r="T172"/>
  <c r="T175"/>
  <c r="T168"/>
  <c r="T169"/>
  <c r="T170"/>
  <c r="T174"/>
  <c r="T176"/>
  <c r="T167"/>
  <c r="T171"/>
  <c r="U174" l="1"/>
  <c r="U171"/>
  <c r="U168"/>
  <c r="U169"/>
  <c r="U173"/>
  <c r="U175"/>
  <c r="U167"/>
  <c r="U176"/>
  <c r="U170"/>
  <c r="U172"/>
  <c r="V174" l="1"/>
  <c r="E193" s="1"/>
  <c r="V176"/>
  <c r="E195" s="1"/>
  <c r="V171"/>
  <c r="E190" s="1"/>
  <c r="V175"/>
  <c r="E194" s="1"/>
  <c r="V172"/>
  <c r="E191" s="1"/>
  <c r="V170"/>
  <c r="E189" s="1"/>
  <c r="V173"/>
  <c r="E192" s="1"/>
  <c r="V168"/>
  <c r="E187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9"/>
  <c r="E188" s="1"/>
  <c r="B34" l="1"/>
  <c r="B27" i="16" s="1"/>
  <c r="D34" i="21"/>
  <c r="J27" i="16" s="1"/>
  <c r="C34" i="21"/>
  <c r="F27" i="16" s="1"/>
  <c r="F187" i="21"/>
  <c r="F192"/>
  <c r="F189"/>
  <c r="F191"/>
  <c r="F194"/>
  <c r="F193"/>
  <c r="F188"/>
  <c r="F190"/>
  <c r="F195"/>
  <c r="G187" l="1"/>
  <c r="G190"/>
  <c r="G189"/>
  <c r="G188"/>
  <c r="G191"/>
  <c r="G193"/>
  <c r="G194"/>
  <c r="G192"/>
  <c r="G195"/>
  <c r="H195" l="1"/>
  <c r="H190"/>
  <c r="H191"/>
  <c r="H189"/>
  <c r="H187"/>
  <c r="H194"/>
  <c r="H193"/>
  <c r="H188"/>
  <c r="H192"/>
  <c r="I188" l="1"/>
  <c r="I189"/>
  <c r="I192"/>
  <c r="I187"/>
  <c r="I190"/>
  <c r="I195"/>
  <c r="I194"/>
  <c r="I193"/>
  <c r="I191"/>
  <c r="J193" l="1"/>
  <c r="J190"/>
  <c r="J191"/>
  <c r="J195"/>
  <c r="J188"/>
  <c r="J189"/>
  <c r="J187"/>
  <c r="J192"/>
  <c r="J194"/>
  <c r="K190" l="1"/>
  <c r="K188"/>
  <c r="K191"/>
  <c r="K194"/>
  <c r="K193"/>
  <c r="K187"/>
  <c r="K189"/>
  <c r="K195"/>
  <c r="K192"/>
  <c r="L189" l="1"/>
  <c r="L187"/>
  <c r="L190"/>
  <c r="L191"/>
  <c r="L194"/>
  <c r="L188"/>
  <c r="L193"/>
  <c r="L195"/>
  <c r="L192"/>
  <c r="M194" l="1"/>
  <c r="M191"/>
  <c r="M192"/>
  <c r="M187"/>
  <c r="M189"/>
  <c r="M193"/>
  <c r="M188"/>
  <c r="M195"/>
  <c r="M190"/>
  <c r="N187" l="1"/>
  <c r="N188"/>
  <c r="N189"/>
  <c r="N195"/>
  <c r="N194"/>
  <c r="N191"/>
  <c r="N193"/>
  <c r="N192"/>
  <c r="N190"/>
  <c r="O193" l="1"/>
  <c r="O195"/>
  <c r="O190"/>
  <c r="O191"/>
  <c r="O194"/>
  <c r="O188"/>
  <c r="O189"/>
  <c r="O192"/>
  <c r="O187"/>
  <c r="P188" l="1"/>
  <c r="P191"/>
  <c r="P195"/>
  <c r="P192"/>
  <c r="P187"/>
  <c r="P189"/>
  <c r="P193"/>
  <c r="P194"/>
  <c r="P190"/>
  <c r="Q188" l="1"/>
  <c r="Q192"/>
  <c r="Q194"/>
  <c r="Q190"/>
  <c r="Q189"/>
  <c r="Q187"/>
  <c r="Q195"/>
  <c r="Q193"/>
  <c r="Q191"/>
  <c r="R189" l="1"/>
  <c r="R195"/>
  <c r="R188"/>
  <c r="R187"/>
  <c r="R193"/>
  <c r="R190"/>
  <c r="R191"/>
  <c r="R194"/>
  <c r="R192"/>
  <c r="S187" l="1"/>
  <c r="S194"/>
  <c r="S195"/>
  <c r="S191"/>
  <c r="S190"/>
  <c r="S188"/>
  <c r="S192"/>
  <c r="S193"/>
  <c r="S189"/>
  <c r="T191" l="1"/>
  <c r="T193"/>
  <c r="T187"/>
  <c r="T195"/>
  <c r="T188"/>
  <c r="T189"/>
  <c r="T190"/>
  <c r="T192"/>
  <c r="T194"/>
  <c r="U193" l="1"/>
  <c r="U191"/>
  <c r="U189"/>
  <c r="U194"/>
  <c r="U188"/>
  <c r="U187"/>
  <c r="U192"/>
  <c r="U190"/>
  <c r="U195"/>
  <c r="V187" l="1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1"/>
  <c r="E210" s="1"/>
  <c r="V189"/>
  <c r="E208" s="1"/>
  <c r="V194"/>
  <c r="E213" s="1"/>
  <c r="V195"/>
  <c r="E214" s="1"/>
  <c r="V190"/>
  <c r="E209" s="1"/>
  <c r="V188"/>
  <c r="E207" s="1"/>
  <c r="V192"/>
  <c r="E211" s="1"/>
  <c r="V193"/>
  <c r="E212" s="1"/>
  <c r="B35" l="1"/>
  <c r="B28" i="16" s="1"/>
  <c r="C35" i="21"/>
  <c r="F28" i="16" s="1"/>
  <c r="D35" i="21"/>
  <c r="J28" i="16" s="1"/>
  <c r="F208" i="21"/>
  <c r="F214"/>
  <c r="F211"/>
  <c r="F212"/>
  <c r="F207"/>
  <c r="F213"/>
  <c r="F210"/>
  <c r="F209"/>
  <c r="G213" l="1"/>
  <c r="G211"/>
  <c r="G209"/>
  <c r="G210"/>
  <c r="G207"/>
  <c r="G208"/>
  <c r="G212"/>
  <c r="G214"/>
  <c r="H212" l="1"/>
  <c r="H207"/>
  <c r="H213"/>
  <c r="H214"/>
  <c r="H211"/>
  <c r="H208"/>
  <c r="H210"/>
  <c r="H209"/>
  <c r="I213" l="1"/>
  <c r="I207"/>
  <c r="I208"/>
  <c r="I210"/>
  <c r="I214"/>
  <c r="I209"/>
  <c r="I212"/>
  <c r="I211"/>
  <c r="J207" l="1"/>
  <c r="J211"/>
  <c r="J209"/>
  <c r="J213"/>
  <c r="J212"/>
  <c r="J208"/>
  <c r="J210"/>
  <c r="J214"/>
  <c r="K212" l="1"/>
  <c r="K214"/>
  <c r="K210"/>
  <c r="K213"/>
  <c r="K208"/>
  <c r="K211"/>
  <c r="K207"/>
  <c r="K209"/>
  <c r="L214" l="1"/>
  <c r="L208"/>
  <c r="L213"/>
  <c r="L212"/>
  <c r="L210"/>
  <c r="L211"/>
  <c r="L209"/>
  <c r="L207"/>
  <c r="M212" l="1"/>
  <c r="M211"/>
  <c r="M214"/>
  <c r="M208"/>
  <c r="M209"/>
  <c r="M207"/>
  <c r="M210"/>
  <c r="M213"/>
  <c r="N209" l="1"/>
  <c r="N214"/>
  <c r="N211"/>
  <c r="N212"/>
  <c r="N208"/>
  <c r="N207"/>
  <c r="N210"/>
  <c r="N213"/>
  <c r="O208" l="1"/>
  <c r="O209"/>
  <c r="O207"/>
  <c r="O211"/>
  <c r="O213"/>
  <c r="O214"/>
  <c r="O212"/>
  <c r="O210"/>
  <c r="P210" l="1"/>
  <c r="P209"/>
  <c r="P211"/>
  <c r="P213"/>
  <c r="P207"/>
  <c r="P212"/>
  <c r="P208"/>
  <c r="P214"/>
  <c r="Q210" l="1"/>
  <c r="Q214"/>
  <c r="Q213"/>
  <c r="Q207"/>
  <c r="Q209"/>
  <c r="Q212"/>
  <c r="Q208"/>
  <c r="Q211"/>
  <c r="R213" l="1"/>
  <c r="R207"/>
  <c r="R209"/>
  <c r="R212"/>
  <c r="R211"/>
  <c r="R214"/>
  <c r="R208"/>
  <c r="R210"/>
  <c r="S209" l="1"/>
  <c r="S210"/>
  <c r="S211"/>
  <c r="S214"/>
  <c r="S208"/>
  <c r="S207"/>
  <c r="S213"/>
  <c r="S212"/>
  <c r="T214" l="1"/>
  <c r="T212"/>
  <c r="T209"/>
  <c r="T210"/>
  <c r="T207"/>
  <c r="T213"/>
  <c r="T208"/>
  <c r="T211"/>
  <c r="U213" l="1"/>
  <c r="U208"/>
  <c r="U210"/>
  <c r="U207"/>
  <c r="U214"/>
  <c r="U211"/>
  <c r="U209"/>
  <c r="U212"/>
  <c r="V211" l="1"/>
  <c r="E230" s="1"/>
  <c r="V212"/>
  <c r="E231" s="1"/>
  <c r="V208"/>
  <c r="E227" s="1"/>
  <c r="V210"/>
  <c r="E229" s="1"/>
  <c r="V214"/>
  <c r="E233" s="1"/>
  <c r="V209"/>
  <c r="E228" s="1"/>
  <c r="V213"/>
  <c r="E232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F233" l="1"/>
  <c r="F229"/>
  <c r="F232"/>
  <c r="F231"/>
  <c r="F228"/>
  <c r="F230"/>
  <c r="F227"/>
  <c r="C36"/>
  <c r="F29" i="16" s="1"/>
  <c r="B36" i="21"/>
  <c r="B29" i="16" s="1"/>
  <c r="D36" i="21"/>
  <c r="J29" i="16" s="1"/>
  <c r="G233" i="21" l="1"/>
  <c r="G227"/>
  <c r="G229"/>
  <c r="G231"/>
  <c r="G230"/>
  <c r="G232"/>
  <c r="G228"/>
  <c r="H232" l="1"/>
  <c r="H228"/>
  <c r="H233"/>
  <c r="H231"/>
  <c r="H227"/>
  <c r="H230"/>
  <c r="H229"/>
  <c r="I233" l="1"/>
  <c r="I229"/>
  <c r="I228"/>
  <c r="I231"/>
  <c r="I230"/>
  <c r="I227"/>
  <c r="I232"/>
  <c r="J231" l="1"/>
  <c r="J228"/>
  <c r="J233"/>
  <c r="J232"/>
  <c r="J227"/>
  <c r="J229"/>
  <c r="J230"/>
  <c r="K229" l="1"/>
  <c r="K231"/>
  <c r="K227"/>
  <c r="K230"/>
  <c r="K228"/>
  <c r="K233"/>
  <c r="K232"/>
  <c r="L227" l="1"/>
  <c r="L232"/>
  <c r="L228"/>
  <c r="L231"/>
  <c r="L233"/>
  <c r="L230"/>
  <c r="L229"/>
  <c r="M230" l="1"/>
  <c r="M232"/>
  <c r="M229"/>
  <c r="M231"/>
  <c r="M227"/>
  <c r="M228"/>
  <c r="M233"/>
  <c r="N232" l="1"/>
  <c r="N230"/>
  <c r="N228"/>
  <c r="N233"/>
  <c r="N231"/>
  <c r="N227"/>
  <c r="N229"/>
  <c r="O233" l="1"/>
  <c r="O231"/>
  <c r="O229"/>
  <c r="O228"/>
  <c r="O232"/>
  <c r="O227"/>
  <c r="O230"/>
  <c r="P227" l="1"/>
  <c r="P230"/>
  <c r="P228"/>
  <c r="P233"/>
  <c r="P232"/>
  <c r="P229"/>
  <c r="P231"/>
  <c r="Q233" l="1"/>
  <c r="Q228"/>
  <c r="Q231"/>
  <c r="Q232"/>
  <c r="Q230"/>
  <c r="Q229"/>
  <c r="Q227"/>
  <c r="R228" l="1"/>
  <c r="R231"/>
  <c r="R232"/>
  <c r="R233"/>
  <c r="R227"/>
  <c r="R229"/>
  <c r="R230"/>
  <c r="S229" l="1"/>
  <c r="S232"/>
  <c r="S227"/>
  <c r="S231"/>
  <c r="S233"/>
  <c r="S230"/>
  <c r="S228"/>
  <c r="T233" l="1"/>
  <c r="T230"/>
  <c r="T228"/>
  <c r="T231"/>
  <c r="T227"/>
  <c r="T232"/>
  <c r="T229"/>
  <c r="U233" l="1"/>
  <c r="U232"/>
  <c r="U229"/>
  <c r="U227"/>
  <c r="U230"/>
  <c r="U228"/>
  <c r="U231"/>
  <c r="V233" l="1"/>
  <c r="E252" s="1"/>
  <c r="V231"/>
  <c r="E250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2"/>
  <c r="E251" s="1"/>
  <c r="V230"/>
  <c r="E249" s="1"/>
  <c r="V228"/>
  <c r="E247" s="1"/>
  <c r="V229"/>
  <c r="E248" s="1"/>
  <c r="B37" l="1"/>
  <c r="B30" i="16" s="1"/>
  <c r="C37" i="21"/>
  <c r="F30" i="16" s="1"/>
  <c r="D37" i="21"/>
  <c r="J30" i="16" s="1"/>
  <c r="F251" i="21"/>
  <c r="F250"/>
  <c r="F252"/>
  <c r="F248"/>
  <c r="F249"/>
  <c r="F247"/>
  <c r="G250" l="1"/>
  <c r="G248"/>
  <c r="G249"/>
  <c r="G252"/>
  <c r="G251"/>
  <c r="G247"/>
  <c r="H247" l="1"/>
  <c r="H251"/>
  <c r="H249"/>
  <c r="H248"/>
  <c r="H252"/>
  <c r="H250"/>
  <c r="I249" l="1"/>
  <c r="I252"/>
  <c r="I250"/>
  <c r="I247"/>
  <c r="I248"/>
  <c r="I251"/>
  <c r="J252" l="1"/>
  <c r="J248"/>
  <c r="J249"/>
  <c r="J247"/>
  <c r="J250"/>
  <c r="J251"/>
  <c r="K250" l="1"/>
  <c r="K249"/>
  <c r="K248"/>
  <c r="K247"/>
  <c r="K252"/>
  <c r="K251"/>
  <c r="L250" l="1"/>
  <c r="L248"/>
  <c r="L249"/>
  <c r="L251"/>
  <c r="L252"/>
  <c r="L247"/>
  <c r="M248" l="1"/>
  <c r="M251"/>
  <c r="M252"/>
  <c r="M249"/>
  <c r="M250"/>
  <c r="M247"/>
  <c r="N248" l="1"/>
  <c r="N252"/>
  <c r="N250"/>
  <c r="N247"/>
  <c r="N251"/>
  <c r="N249"/>
  <c r="O250" l="1"/>
  <c r="O248"/>
  <c r="O251"/>
  <c r="O252"/>
  <c r="O247"/>
  <c r="O249"/>
  <c r="P248" l="1"/>
  <c r="P252"/>
  <c r="P251"/>
  <c r="P247"/>
  <c r="P249"/>
  <c r="P250"/>
  <c r="Q249" l="1"/>
  <c r="Q247"/>
  <c r="Q252"/>
  <c r="Q250"/>
  <c r="Q251"/>
  <c r="Q248"/>
  <c r="R248" l="1"/>
  <c r="R250"/>
  <c r="R249"/>
  <c r="R247"/>
  <c r="R252"/>
  <c r="R251"/>
  <c r="S249" l="1"/>
  <c r="S251"/>
  <c r="S247"/>
  <c r="S252"/>
  <c r="S248"/>
  <c r="S250"/>
  <c r="T247" l="1"/>
  <c r="T248"/>
  <c r="T252"/>
  <c r="T250"/>
  <c r="T249"/>
  <c r="T251"/>
  <c r="U247" l="1"/>
  <c r="U251"/>
  <c r="U250"/>
  <c r="U248"/>
  <c r="U249"/>
  <c r="U252"/>
  <c r="V247" l="1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2"/>
  <c r="E271" s="1"/>
  <c r="V250"/>
  <c r="E269" s="1"/>
  <c r="V249"/>
  <c r="E268" s="1"/>
  <c r="V251"/>
  <c r="E270" s="1"/>
  <c r="V248"/>
  <c r="E267" s="1"/>
  <c r="C38" l="1"/>
  <c r="F31" i="16" s="1"/>
  <c r="B38" i="21"/>
  <c r="B31" i="16" s="1"/>
  <c r="D38" i="21"/>
  <c r="J31" i="16" s="1"/>
  <c r="F269" i="21"/>
  <c r="F270"/>
  <c r="F268"/>
  <c r="F267"/>
  <c r="F271"/>
  <c r="G267" l="1"/>
  <c r="G269"/>
  <c r="G268"/>
  <c r="G271"/>
  <c r="G270"/>
  <c r="H267" l="1"/>
  <c r="H271"/>
  <c r="H268"/>
  <c r="H269"/>
  <c r="H270"/>
  <c r="I267" l="1"/>
  <c r="I271"/>
  <c r="I268"/>
  <c r="I270"/>
  <c r="I269"/>
  <c r="J269" l="1"/>
  <c r="J270"/>
  <c r="J271"/>
  <c r="J268"/>
  <c r="J267"/>
  <c r="K268" l="1"/>
  <c r="K269"/>
  <c r="K267"/>
  <c r="K271"/>
  <c r="K270"/>
  <c r="L268" l="1"/>
  <c r="L271"/>
  <c r="L270"/>
  <c r="L269"/>
  <c r="L267"/>
  <c r="M269" l="1"/>
  <c r="M271"/>
  <c r="M270"/>
  <c r="M267"/>
  <c r="M268"/>
  <c r="N267" l="1"/>
  <c r="N270"/>
  <c r="N269"/>
  <c r="N271"/>
  <c r="N268"/>
  <c r="O271" l="1"/>
  <c r="O267"/>
  <c r="O270"/>
  <c r="O268"/>
  <c r="O269"/>
  <c r="P268" l="1"/>
  <c r="P270"/>
  <c r="P271"/>
  <c r="P269"/>
  <c r="P267"/>
  <c r="Q271" l="1"/>
  <c r="Q270"/>
  <c r="Q267"/>
  <c r="Q268"/>
  <c r="Q269"/>
  <c r="R267" l="1"/>
  <c r="R270"/>
  <c r="R271"/>
  <c r="R268"/>
  <c r="R269"/>
  <c r="S268" l="1"/>
  <c r="S270"/>
  <c r="S271"/>
  <c r="S267"/>
  <c r="S269"/>
  <c r="T270" l="1"/>
  <c r="T268"/>
  <c r="T269"/>
  <c r="T267"/>
  <c r="T271"/>
  <c r="U270" l="1"/>
  <c r="U268"/>
  <c r="U271"/>
  <c r="U267"/>
  <c r="U269"/>
  <c r="V270" l="1"/>
  <c r="E289" s="1"/>
  <c r="V271"/>
  <c r="E290" s="1"/>
  <c r="V268"/>
  <c r="E287" s="1"/>
  <c r="V269"/>
  <c r="E288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B39" l="1"/>
  <c r="B32" i="16" s="1"/>
  <c r="D39" i="21"/>
  <c r="J32" i="16" s="1"/>
  <c r="C39" i="21"/>
  <c r="F32" i="16" s="1"/>
  <c r="F288" i="21"/>
  <c r="F290"/>
  <c r="F289"/>
  <c r="F287"/>
  <c r="G290" l="1"/>
  <c r="G289"/>
  <c r="G287"/>
  <c r="G288"/>
  <c r="H289" l="1"/>
  <c r="H290"/>
  <c r="H287"/>
  <c r="H288"/>
  <c r="I288" l="1"/>
  <c r="I287"/>
  <c r="I290"/>
  <c r="I289"/>
  <c r="J287" l="1"/>
  <c r="J290"/>
  <c r="J288"/>
  <c r="J289"/>
  <c r="K289" l="1"/>
  <c r="K287"/>
  <c r="K290"/>
  <c r="K288"/>
  <c r="L288" l="1"/>
  <c r="L290"/>
  <c r="L287"/>
  <c r="L289"/>
  <c r="M288" l="1"/>
  <c r="M290"/>
  <c r="M287"/>
  <c r="M289"/>
  <c r="N288" l="1"/>
  <c r="N290"/>
  <c r="N289"/>
  <c r="N287"/>
  <c r="O287" l="1"/>
  <c r="O288"/>
  <c r="O289"/>
  <c r="O290"/>
  <c r="P287" l="1"/>
  <c r="P288"/>
  <c r="P289"/>
  <c r="P290"/>
  <c r="Q289" l="1"/>
  <c r="Q290"/>
  <c r="Q288"/>
  <c r="Q287"/>
  <c r="R287" l="1"/>
  <c r="R289"/>
  <c r="R290"/>
  <c r="R288"/>
  <c r="S287" l="1"/>
  <c r="S289"/>
  <c r="S290"/>
  <c r="S288"/>
  <c r="T289" l="1"/>
  <c r="T287"/>
  <c r="T290"/>
  <c r="T288"/>
  <c r="U290" l="1"/>
  <c r="U289"/>
  <c r="U288"/>
  <c r="U287"/>
  <c r="V290" l="1"/>
  <c r="E309" s="1"/>
  <c r="V289"/>
  <c r="E308" s="1"/>
  <c r="V288"/>
  <c r="E307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F307" l="1"/>
  <c r="F308"/>
  <c r="F309"/>
  <c r="C40"/>
  <c r="F33" i="16" s="1"/>
  <c r="D40" i="21"/>
  <c r="J33" i="16" s="1"/>
  <c r="B40" i="21"/>
  <c r="B33" i="16" s="1"/>
  <c r="G309" i="21" l="1"/>
  <c r="G307"/>
  <c r="G308"/>
  <c r="H308" l="1"/>
  <c r="H309"/>
  <c r="H307"/>
  <c r="I308" l="1"/>
  <c r="I307"/>
  <c r="I309"/>
  <c r="J307" l="1"/>
  <c r="J308"/>
  <c r="J309"/>
  <c r="K308" l="1"/>
  <c r="K309"/>
  <c r="K307"/>
  <c r="L308" l="1"/>
  <c r="L307"/>
  <c r="L309"/>
  <c r="M307" l="1"/>
  <c r="M309"/>
  <c r="M308"/>
  <c r="N308" l="1"/>
  <c r="N307"/>
  <c r="N309"/>
  <c r="O308" l="1"/>
  <c r="O309"/>
  <c r="O307"/>
  <c r="P309" l="1"/>
  <c r="P308"/>
  <c r="P307"/>
  <c r="Q309" l="1"/>
  <c r="Q307"/>
  <c r="Q308"/>
  <c r="R307" l="1"/>
  <c r="R308"/>
  <c r="R309"/>
  <c r="S309" l="1"/>
  <c r="S308"/>
  <c r="S307"/>
  <c r="T308" l="1"/>
  <c r="T307"/>
  <c r="T309"/>
  <c r="U309" l="1"/>
  <c r="U307"/>
  <c r="U308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9"/>
  <c r="E328" s="1"/>
  <c r="V308"/>
  <c r="E327" s="1"/>
  <c r="B41" l="1"/>
  <c r="B34" i="16" s="1"/>
  <c r="C41" i="21"/>
  <c r="F34" i="16" s="1"/>
  <c r="D41" i="21"/>
  <c r="J34" i="16" s="1"/>
  <c r="F328" i="21"/>
  <c r="F327"/>
  <c r="G328" l="1"/>
  <c r="G327"/>
  <c r="H327" l="1"/>
  <c r="H328"/>
  <c r="I327" l="1"/>
  <c r="I328"/>
  <c r="J328" l="1"/>
  <c r="J327"/>
  <c r="K328" l="1"/>
  <c r="K327"/>
  <c r="L328" l="1"/>
  <c r="L327"/>
  <c r="M328" l="1"/>
  <c r="M327"/>
  <c r="N327" l="1"/>
  <c r="N328"/>
  <c r="O327" l="1"/>
  <c r="O328"/>
  <c r="P328" l="1"/>
  <c r="P327"/>
  <c r="Q328" l="1"/>
  <c r="Q327"/>
  <c r="R328" l="1"/>
  <c r="R327"/>
  <c r="S327" l="1"/>
  <c r="S328"/>
  <c r="T327" l="1"/>
  <c r="T328"/>
  <c r="U328" l="1"/>
  <c r="U327"/>
  <c r="V328" l="1"/>
  <c r="E347" s="1"/>
  <c r="V327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D42" l="1"/>
  <c r="J35" i="16" s="1"/>
  <c r="C42" i="21"/>
  <c r="F35" i="16" s="1"/>
  <c r="B42" i="21"/>
  <c r="B35" i="16" s="1"/>
</calcChain>
</file>

<file path=xl/sharedStrings.xml><?xml version="1.0" encoding="utf-8"?>
<sst xmlns="http://schemas.openxmlformats.org/spreadsheetml/2006/main" count="4980" uniqueCount="1043">
  <si>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</si>
  <si>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</si>
  <si>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</si>
  <si>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</si>
  <si>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</si>
  <si>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</si>
  <si>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</si>
  <si>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</si>
  <si>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</si>
  <si>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</si>
  <si>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</si>
  <si>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</si>
  <si>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</si>
  <si>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</si>
  <si>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</si>
  <si>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</si>
  <si>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</si>
  <si>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</si>
  <si>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</si>
  <si>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</si>
  <si>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</si>
  <si>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</si>
  <si>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</si>
  <si>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</si>
  <si>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</si>
  <si>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</si>
  <si>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</si>
  <si>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</si>
  <si>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</si>
  <si>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</si>
  <si>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</si>
  <si>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</si>
  <si>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</si>
  <si>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</si>
  <si>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</si>
  <si>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</si>
  <si>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</si>
  <si>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</si>
  <si>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</si>
  <si>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</si>
  <si>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</si>
  <si>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</si>
  <si>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</si>
  <si>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</si>
  <si>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</si>
  <si>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</si>
  <si>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</si>
  <si>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</si>
  <si>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</si>
  <si>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</si>
  <si>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</si>
  <si>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</si>
  <si>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</si>
  <si>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</si>
  <si>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</si>
  <si>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</si>
  <si>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</si>
  <si>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</si>
  <si>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</si>
  <si>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</si>
  <si>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</si>
  <si>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</si>
  <si>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</si>
  <si>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</si>
  <si>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</si>
  <si>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</si>
  <si>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</si>
  <si>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</si>
  <si>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</si>
  <si>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</si>
  <si>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</si>
  <si>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</si>
  <si>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</si>
  <si>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</si>
  <si>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</si>
  <si>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</si>
  <si>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</si>
  <si>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</si>
  <si>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</si>
  <si>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</si>
  <si>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</si>
  <si>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</si>
  <si>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</si>
  <si>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</si>
  <si>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</si>
  <si>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</si>
  <si>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</si>
  <si>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</si>
  <si>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</si>
  <si>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</si>
  <si>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</si>
  <si>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</si>
  <si>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</si>
  <si>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</si>
  <si>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</si>
  <si>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</si>
  <si>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</si>
  <si>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</si>
  <si>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</si>
  <si>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</si>
  <si>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</si>
  <si>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</si>
  <si>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</si>
  <si>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</si>
  <si>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</si>
  <si>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</si>
  <si>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</si>
  <si>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</si>
  <si>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</si>
  <si>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</si>
  <si>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</si>
  <si>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</si>
  <si>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</si>
  <si>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</si>
  <si>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</si>
  <si>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</si>
  <si>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</si>
  <si>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</si>
  <si>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</si>
  <si>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</si>
  <si>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</si>
  <si>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</si>
  <si>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</si>
  <si>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</si>
  <si>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</si>
  <si>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</si>
  <si>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</si>
  <si>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</si>
  <si>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</si>
  <si>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</si>
  <si>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</si>
  <si>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</si>
  <si>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</si>
  <si>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</si>
  <si>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</si>
  <si>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</si>
  <si>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</si>
  <si>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</si>
  <si>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</si>
  <si>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</si>
  <si>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</si>
  <si>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</si>
  <si>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</si>
  <si>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</si>
  <si>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</si>
  <si>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</si>
  <si>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</si>
  <si>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</si>
  <si>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</si>
  <si>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</si>
  <si>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</si>
  <si>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</si>
  <si>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</si>
  <si>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</si>
  <si>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</si>
  <si>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</si>
  <si>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</si>
  <si>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</si>
  <si>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</si>
  <si>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</si>
  <si>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</si>
  <si>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</si>
  <si>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</si>
  <si>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</si>
  <si>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</si>
  <si>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</si>
  <si>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</si>
  <si>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</si>
  <si>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</si>
  <si>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</si>
  <si>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</si>
  <si>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</si>
  <si>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</si>
  <si>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</si>
  <si>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</si>
  <si>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</si>
  <si>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</si>
  <si>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</si>
  <si>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</si>
  <si>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</si>
  <si>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</si>
  <si>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</si>
  <si>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</si>
  <si>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</si>
  <si>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</si>
  <si>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</si>
  <si>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</si>
  <si>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</si>
  <si>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</si>
  <si>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</si>
  <si>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</si>
  <si>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</si>
  <si>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</si>
  <si>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</si>
  <si>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</si>
  <si>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</si>
  <si>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</si>
  <si>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</si>
  <si>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</si>
  <si>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</si>
  <si>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</si>
  <si>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</si>
  <si>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</si>
  <si>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</si>
  <si>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</si>
  <si>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</si>
  <si>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</si>
  <si>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</si>
  <si>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</si>
  <si>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</si>
  <si>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</si>
  <si>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</si>
  <si>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</si>
  <si>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</si>
  <si>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</si>
  <si>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</si>
  <si>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</si>
  <si>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</si>
  <si>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</si>
  <si>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</si>
  <si>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</si>
  <si>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</si>
  <si>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</si>
  <si>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</si>
  <si>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</si>
  <si>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</si>
  <si>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</si>
  <si>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</si>
  <si>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</si>
  <si>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</si>
  <si>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</si>
  <si>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</si>
  <si>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</si>
  <si>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</si>
  <si>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</si>
  <si>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</si>
  <si>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</si>
  <si>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</si>
  <si>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</si>
  <si>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</si>
  <si>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</si>
  <si>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</si>
  <si>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</si>
  <si>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</si>
  <si>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</si>
  <si>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</si>
  <si>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</si>
  <si>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</si>
  <si>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</si>
  <si>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</si>
  <si>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</si>
  <si>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</si>
  <si>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</si>
  <si>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</si>
  <si>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</si>
  <si>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</si>
  <si>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</si>
  <si>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</si>
  <si>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</si>
  <si>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</si>
  <si>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</si>
  <si>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</si>
  <si>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</si>
  <si>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</si>
  <si>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</si>
  <si>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</si>
  <si>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</si>
  <si>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</si>
  <si>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</si>
  <si>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</si>
  <si>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</si>
  <si>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</si>
  <si>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</si>
  <si>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</si>
  <si>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</si>
  <si>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</si>
  <si>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</si>
  <si>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</si>
  <si>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</si>
  <si>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</si>
  <si>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</si>
  <si>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</si>
  <si>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</si>
  <si>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</si>
  <si>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</si>
  <si>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</si>
  <si>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</si>
  <si>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</si>
  <si>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</si>
  <si>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</si>
  <si>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</si>
  <si>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</si>
  <si>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</si>
  <si>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</si>
  <si>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</si>
  <si>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</si>
  <si>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</si>
  <si>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</si>
  <si>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</si>
  <si>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</si>
  <si>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</si>
  <si>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</si>
  <si>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</si>
  <si>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</si>
  <si>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</si>
  <si>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</si>
  <si>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</si>
  <si>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</si>
  <si>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</si>
  <si>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</si>
  <si>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</si>
  <si>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</si>
  <si>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</si>
  <si>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</si>
  <si>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</si>
  <si>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</si>
  <si>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</si>
  <si>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</si>
  <si>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</si>
  <si>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</si>
  <si>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</si>
  <si>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</si>
  <si>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</si>
  <si>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</si>
  <si>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</si>
  <si>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</si>
  <si>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</si>
  <si>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</si>
  <si>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</si>
  <si>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</si>
  <si>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</si>
  <si>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</si>
  <si>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</si>
  <si>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</si>
  <si>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</si>
  <si>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</si>
  <si>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</si>
  <si>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</si>
  <si>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</si>
  <si>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</si>
  <si>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</si>
  <si>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</si>
  <si>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</si>
  <si>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</si>
  <si>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</si>
  <si>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</si>
  <si>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</si>
  <si>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</si>
  <si>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</si>
  <si>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</si>
  <si>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</si>
  <si>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</si>
  <si>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</si>
  <si>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</si>
  <si>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</si>
  <si>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</si>
  <si>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</si>
  <si>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</si>
  <si>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</si>
  <si>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</si>
  <si>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</si>
  <si>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</si>
  <si>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</si>
  <si>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</si>
  <si>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</si>
  <si>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</si>
  <si>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</si>
  <si>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</si>
  <si>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</si>
  <si>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</si>
  <si>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</si>
  <si>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</si>
  <si>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</si>
  <si>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</si>
  <si>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</si>
  <si>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</si>
  <si>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</si>
  <si>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</si>
  <si>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</si>
  <si>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</si>
  <si>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</si>
  <si>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</si>
  <si>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</si>
  <si>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</si>
  <si>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</si>
  <si>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</si>
  <si>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</si>
  <si>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</si>
  <si>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</si>
  <si>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</si>
  <si>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</si>
  <si>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</si>
  <si>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</si>
  <si>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</si>
  <si>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</si>
  <si>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</si>
  <si>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</si>
  <si>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</si>
  <si>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</si>
  <si>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</si>
  <si>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</si>
  <si>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</si>
  <si>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</si>
  <si>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</si>
  <si>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</si>
  <si>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</si>
  <si>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</si>
  <si>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</si>
  <si>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</si>
  <si>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</si>
  <si>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</si>
  <si>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</si>
  <si>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</si>
  <si>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</si>
  <si>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</si>
  <si>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</si>
  <si>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</si>
  <si>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</si>
  <si>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</si>
  <si>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</si>
  <si>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</si>
  <si>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</si>
  <si>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</si>
  <si>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</si>
  <si>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</si>
  <si>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</si>
  <si>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</si>
  <si>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</si>
  <si>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</si>
  <si>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</si>
  <si>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</si>
  <si>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</si>
  <si>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</si>
  <si>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</si>
  <si>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</si>
  <si>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</si>
  <si>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</si>
  <si>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</si>
  <si>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</si>
  <si>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</si>
  <si>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</si>
  <si>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</si>
  <si>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</si>
  <si>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</si>
  <si>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</si>
  <si>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</si>
  <si>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</si>
  <si>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</si>
  <si>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</si>
  <si>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</si>
  <si>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</si>
  <si>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</si>
  <si>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</si>
  <si>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</si>
  <si>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</si>
  <si>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</si>
  <si>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</si>
  <si>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</si>
  <si>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</si>
  <si>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</si>
  <si>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</si>
  <si>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</si>
  <si>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</si>
  <si>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</si>
  <si>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</si>
  <si>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</si>
  <si>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</si>
  <si>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</si>
  <si>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</si>
  <si>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</si>
  <si>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</si>
  <si>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</si>
  <si>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</si>
  <si>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</si>
  <si>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</si>
  <si>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</si>
  <si>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</si>
  <si>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</si>
  <si>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</si>
  <si>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</si>
  <si>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</si>
  <si>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</si>
  <si>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</si>
  <si>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</si>
  <si>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</si>
  <si>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</si>
  <si>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</si>
  <si>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</si>
  <si>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</si>
  <si>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</si>
  <si>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</si>
  <si>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</si>
  <si>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</si>
  <si>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</si>
  <si>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</si>
  <si>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</si>
  <si>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</si>
  <si>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</si>
  <si>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</si>
  <si>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</si>
  <si>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</si>
  <si>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</si>
  <si>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</si>
  <si>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</si>
  <si>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</si>
  <si>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</si>
  <si>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</si>
  <si>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</si>
  <si>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</si>
  <si>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</si>
  <si>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</si>
  <si>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</si>
  <si>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</si>
  <si>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</si>
  <si>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</si>
  <si>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</si>
  <si>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</si>
  <si>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</si>
  <si>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</si>
  <si>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</si>
  <si>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</si>
  <si>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</si>
  <si>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</si>
  <si>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</si>
  <si>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</si>
  <si>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</si>
  <si>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</si>
  <si>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</si>
  <si>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</si>
  <si>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</si>
  <si>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</si>
  <si>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</si>
  <si>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</si>
  <si>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</si>
  <si>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</si>
  <si>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</si>
  <si>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</si>
  <si>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</si>
  <si>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</si>
  <si>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</si>
  <si>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</si>
  <si>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</si>
  <si>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</si>
  <si>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</si>
  <si>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</si>
  <si>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</si>
  <si>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</si>
  <si>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</si>
  <si>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</si>
  <si>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</si>
  <si>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</si>
  <si>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</si>
  <si>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</si>
  <si>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</si>
  <si>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</si>
  <si>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</si>
  <si>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</si>
  <si>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</si>
  <si>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</si>
  <si>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</si>
  <si>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</si>
  <si>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</si>
  <si>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</si>
  <si>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</si>
  <si>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</si>
  <si>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</si>
  <si>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</si>
  <si>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</si>
  <si>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</si>
  <si>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</si>
  <si>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</si>
  <si>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</si>
  <si>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</si>
  <si>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</si>
  <si>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</si>
  <si>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</si>
  <si>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</si>
  <si>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</si>
  <si>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</si>
  <si>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</si>
  <si>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</si>
  <si>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</si>
  <si>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</si>
  <si>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</si>
  <si>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</si>
  <si>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</si>
  <si>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</si>
  <si>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</si>
  <si>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</si>
  <si>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</si>
  <si>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</si>
  <si>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</si>
  <si>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</si>
  <si>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</si>
  <si>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</si>
  <si>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</si>
  <si>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</si>
  <si>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</si>
  <si>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</si>
  <si>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</si>
  <si>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</si>
  <si>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</si>
  <si>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</si>
  <si>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</si>
  <si>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</si>
  <si>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</si>
  <si>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</si>
  <si>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</si>
  <si>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</si>
  <si>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</si>
  <si>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</si>
  <si>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</si>
  <si>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</si>
  <si>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</si>
  <si>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</si>
  <si>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</si>
  <si>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</si>
  <si>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</si>
  <si>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</si>
  <si>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</si>
  <si>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</si>
  <si>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</si>
  <si>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</si>
  <si>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</si>
  <si>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</si>
  <si>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</si>
  <si>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</si>
  <si>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</si>
  <si>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</si>
  <si>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</si>
  <si>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</si>
  <si>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</si>
  <si>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</si>
  <si>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</si>
  <si>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</si>
  <si>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</si>
  <si>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</si>
  <si>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</si>
  <si>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</si>
  <si>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</si>
  <si>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</si>
  <si>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</si>
  <si>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</si>
  <si>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</si>
  <si>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</si>
  <si>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</si>
  <si>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</si>
  <si>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</si>
  <si>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</si>
  <si>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</si>
  <si>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</si>
  <si>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</si>
  <si>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</si>
  <si>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</si>
  <si>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</si>
  <si>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</si>
  <si>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</si>
  <si>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</si>
  <si>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</si>
  <si>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</si>
  <si>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</si>
  <si>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</si>
  <si>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</si>
  <si>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</si>
  <si>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</si>
  <si>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</si>
  <si>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</si>
  <si>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</si>
  <si>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</si>
  <si>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</si>
  <si>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</si>
  <si>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</si>
  <si>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</si>
  <si>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</si>
  <si>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</si>
  <si>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</si>
  <si>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</si>
  <si>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</si>
  <si>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</si>
  <si>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</si>
  <si>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</si>
  <si>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</si>
  <si>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</si>
  <si>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</si>
  <si>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</si>
  <si>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</si>
  <si>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</si>
  <si>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</si>
  <si>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</si>
  <si>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</si>
  <si>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</si>
  <si>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</si>
  <si>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</si>
  <si>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</si>
  <si>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</si>
  <si>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</si>
  <si>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</si>
  <si>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</si>
  <si>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</si>
  <si>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</si>
  <si>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</si>
  <si>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</si>
  <si>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</si>
  <si>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</si>
  <si>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</si>
  <si>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</si>
  <si>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</si>
  <si>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</si>
  <si>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</si>
  <si>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</si>
  <si>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</si>
  <si>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</si>
  <si>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</si>
  <si>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</si>
  <si>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</si>
  <si>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</si>
  <si>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</si>
  <si>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</si>
  <si>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</si>
  <si>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</si>
  <si>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</si>
  <si>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</si>
  <si>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</si>
  <si>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</si>
  <si>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</si>
  <si>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</si>
  <si>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</si>
  <si>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</si>
  <si>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</si>
  <si>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</si>
  <si>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</si>
  <si>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</si>
  <si>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</si>
  <si>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</si>
  <si>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</si>
  <si>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</si>
  <si>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</si>
  <si>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</si>
  <si>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</si>
  <si>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</si>
  <si>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</si>
  <si>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</si>
  <si>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</si>
  <si>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</si>
  <si>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</si>
  <si>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</si>
  <si>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</si>
  <si>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</si>
  <si>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</si>
  <si>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</si>
  <si>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</si>
  <si>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</si>
  <si>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</si>
  <si>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</si>
  <si>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</si>
  <si>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</si>
  <si>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</si>
  <si>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</si>
  <si>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</si>
  <si>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</si>
  <si>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</si>
  <si>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</si>
  <si>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</si>
  <si>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</si>
  <si>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</si>
  <si>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</si>
  <si>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</si>
  <si>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</si>
  <si>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</si>
  <si>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</si>
  <si>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</si>
  <si>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</si>
  <si>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</si>
  <si>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</si>
  <si>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</si>
  <si>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</si>
  <si>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</si>
  <si>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</si>
  <si>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</si>
  <si>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</si>
  <si>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</si>
  <si>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</si>
  <si>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</si>
  <si>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</si>
  <si>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</si>
  <si>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</si>
  <si>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</si>
  <si>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</si>
  <si>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</si>
  <si>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</si>
  <si>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</si>
  <si>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</si>
  <si>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</si>
  <si>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</si>
  <si>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</si>
  <si>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</si>
  <si>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</si>
  <si>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</si>
  <si>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</si>
  <si>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</si>
  <si>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</si>
  <si>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</si>
  <si>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</si>
  <si>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</si>
  <si>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</si>
  <si>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</si>
  <si>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</si>
  <si>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</si>
  <si>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</si>
  <si>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</si>
  <si>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</si>
  <si>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</si>
  <si>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</si>
  <si>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</si>
  <si>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</si>
  <si>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</si>
  <si>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</si>
  <si>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</si>
  <si>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</si>
  <si>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</si>
  <si>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</si>
  <si>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</si>
  <si>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</si>
  <si>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</si>
  <si>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</si>
  <si>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</si>
  <si>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</si>
  <si>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</si>
  <si>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</si>
  <si>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</si>
  <si>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</si>
  <si>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</si>
  <si>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</si>
  <si>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</si>
  <si>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</si>
  <si>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</si>
  <si>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</si>
  <si>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</si>
  <si>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</si>
  <si>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</si>
  <si>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</si>
  <si>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</si>
  <si>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</si>
  <si>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</si>
  <si>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</si>
  <si>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</si>
  <si>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</si>
  <si>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</si>
  <si>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</si>
  <si>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</si>
  <si>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</si>
  <si>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</si>
  <si>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</si>
  <si>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</si>
  <si>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</si>
  <si>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</si>
  <si>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</si>
  <si>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</si>
  <si>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</si>
  <si>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</si>
  <si>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</si>
  <si>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</si>
  <si>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</si>
  <si>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</si>
  <si>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</si>
  <si>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</si>
  <si>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</si>
  <si>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</si>
  <si>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</si>
  <si>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</si>
  <si>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</si>
  <si>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</si>
  <si>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</si>
  <si>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</si>
  <si>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</si>
  <si>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</si>
  <si>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</si>
  <si>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</si>
  <si>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</si>
  <si>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</si>
  <si>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</si>
  <si>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</si>
  <si>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</si>
  <si>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</si>
  <si>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</si>
  <si>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</si>
  <si>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</si>
  <si>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</si>
  <si>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</si>
  <si>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</si>
  <si>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</si>
  <si>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</si>
  <si>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</si>
  <si>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</si>
  <si>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</si>
  <si>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</si>
  <si>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</si>
  <si>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</si>
  <si>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</si>
  <si>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</si>
  <si>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</si>
  <si>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</si>
  <si>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</si>
  <si>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</si>
  <si>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</si>
  <si>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</si>
  <si>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</si>
  <si>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</si>
  <si>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</si>
  <si>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</si>
  <si>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</si>
  <si>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</si>
  <si>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</si>
  <si>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</si>
  <si>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</si>
  <si>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</si>
  <si>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</si>
  <si>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</si>
  <si>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</si>
  <si>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</si>
  <si>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</si>
  <si>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</si>
  <si>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</si>
  <si>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</si>
  <si>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</si>
  <si>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</si>
  <si>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</si>
  <si>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</si>
  <si>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</si>
  <si>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</si>
  <si>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</si>
  <si>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</si>
  <si>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</si>
  <si>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</si>
  <si>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</si>
  <si>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</si>
  <si>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</si>
  <si>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</si>
  <si>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</si>
  <si>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</si>
  <si>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</si>
  <si>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</si>
  <si>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</si>
  <si>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</si>
  <si>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</si>
  <si>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</si>
  <si>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</si>
  <si>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</si>
  <si>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</si>
  <si>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</si>
  <si>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</si>
  <si>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</si>
  <si>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</si>
  <si>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</si>
  <si>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</si>
  <si>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</si>
  <si>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</si>
  <si>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</si>
  <si>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</si>
  <si>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</si>
  <si>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</si>
  <si>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</si>
  <si>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</si>
  <si>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</si>
  <si>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</si>
  <si>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</si>
  <si>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</si>
  <si>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</si>
  <si>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</si>
  <si>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</si>
  <si>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</si>
  <si>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</si>
  <si>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</si>
  <si>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</si>
  <si>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</si>
  <si>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</si>
  <si>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</si>
  <si>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</si>
  <si>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</si>
  <si>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</si>
  <si>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</si>
  <si>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</si>
  <si>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</si>
  <si>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</si>
  <si>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</si>
  <si>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</si>
  <si>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</si>
  <si>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</si>
  <si>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</si>
  <si>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</si>
  <si>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</si>
  <si>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</si>
  <si>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</si>
  <si>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</si>
  <si>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</si>
  <si>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</si>
  <si>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</si>
  <si>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</si>
  <si>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</si>
  <si>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</si>
  <si>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</si>
  <si>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</si>
  <si>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</si>
  <si>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</si>
  <si>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</si>
  <si>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</si>
  <si>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</si>
  <si>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</si>
  <si>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</si>
  <si>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</si>
  <si>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</si>
  <si>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</si>
  <si>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</si>
  <si>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</si>
  <si>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</si>
  <si>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</si>
  <si>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</si>
  <si>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</si>
  <si>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</si>
  <si>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</si>
  <si>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</si>
  <si>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</si>
  <si>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</si>
  <si>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</si>
  <si>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</si>
  <si>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</si>
  <si>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</si>
  <si>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</si>
  <si>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</si>
  <si>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</si>
  <si>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</si>
  <si>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</si>
  <si>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</si>
  <si>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</si>
  <si>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</si>
  <si>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</si>
  <si>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</si>
  <si>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</si>
  <si>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</si>
  <si>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</si>
  <si>
    <t>Статья расходов</t>
  </si>
  <si>
    <t>Сумма общего объема средств, доведенных УИК на компенсацию</t>
  </si>
  <si>
    <t>Сумма общего объема средств, доведенных УИК на дополнительную оплату труда (вознаграждение)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</si>
</sst>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5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165" fontId="72" fillId="3" borderId="2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center" vertical="center" wrapText="1"/>
    </xf>
    <xf numFmtId="0" fontId="7" fillId="0" borderId="4" xfId="0" applyFont="1" applyBorder="1" applyAlignment="1" applyProtection="1">
      <alignment horizontal="center" vertical="center" wrapText="1"/>
    </xf>
    <xf numFmtId="4" fontId="10" fillId="2" borderId="2" xfId="0" applyNumberFormat="1" applyFont="1" applyFill="1" applyBorder="1" applyAlignment="1" applyProtection="1">
      <alignment vertical="center"/>
      <protection locked="0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AQ28" sqref="AQ28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hidden="1" customWidth="1"/>
    <col min="9" max="9" width="14.140625" style="28" hidden="1" customWidth="1"/>
    <col min="10" max="10" width="14.7109375" style="28" hidden="1" customWidth="1"/>
    <col min="11" max="11" width="9.140625" style="28" hidden="1" customWidth="1"/>
    <col min="12" max="12" width="16.42578125" style="28" hidden="1" customWidth="1"/>
    <col min="13" max="13" width="18" style="28" hidden="1" customWidth="1"/>
    <col min="14" max="14" width="13.28515625" style="28" hidden="1" customWidth="1"/>
    <col min="15" max="31" width="9.140625" style="28" hidden="1" customWidth="1"/>
    <col min="32" max="32" width="12" style="28" hidden="1" customWidth="1"/>
    <col min="33" max="33" width="61" style="28" hidden="1" customWidth="1"/>
    <col min="34" max="34" width="29" style="28" hidden="1" customWidth="1"/>
    <col min="35" max="35" width="32.5703125" style="28" hidden="1" customWidth="1"/>
    <col min="36" max="36" width="30.42578125" style="28" hidden="1" customWidth="1"/>
    <col min="37" max="38" width="9.140625" style="25" hidden="1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0"/>
      <c r="C2" s="690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1" t="s">
        <v>55</v>
      </c>
      <c r="C3" s="691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0"/>
      <c r="C4" s="690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1" t="s">
        <v>54</v>
      </c>
      <c r="C5" s="691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0"/>
      <c r="C6" s="700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99"/>
      <c r="C7" s="699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2" t="s">
        <v>254</v>
      </c>
      <c r="C8" s="692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0"/>
      <c r="C9" s="690"/>
      <c r="D9" s="606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1" t="s">
        <v>250</v>
      </c>
      <c r="C10" s="691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89" t="s">
        <v>429</v>
      </c>
      <c r="C13" s="689"/>
      <c r="H13" s="111"/>
    </row>
    <row r="14" spans="2:59" ht="59.25" customHeight="1">
      <c r="B14" s="431" t="s">
        <v>900</v>
      </c>
      <c r="C14" s="508"/>
      <c r="D14" s="33"/>
      <c r="H14" s="111"/>
    </row>
    <row r="15" spans="2:59" ht="15.75">
      <c r="B15" s="431" t="s">
        <v>899</v>
      </c>
      <c r="C15" s="509"/>
      <c r="D15" s="34"/>
      <c r="E15" s="34"/>
      <c r="F15" s="34"/>
      <c r="G15" s="34"/>
      <c r="H15" s="414"/>
      <c r="I15" s="664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09"/>
      <c r="D17" s="509"/>
      <c r="E17" s="34"/>
      <c r="F17" s="34"/>
      <c r="G17" s="34"/>
      <c r="H17" s="661">
        <f>($D$17-$C$17+1)*$H$15</f>
        <v>0</v>
      </c>
      <c r="I17" s="664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4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89" t="s">
        <v>430</v>
      </c>
      <c r="C23" s="689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0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0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5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6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0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89" t="s">
        <v>431</v>
      </c>
      <c r="C31" s="689"/>
    </row>
    <row r="32" spans="1:59" ht="15.75">
      <c r="A32" s="49"/>
      <c r="B32" s="140" t="s">
        <v>164</v>
      </c>
      <c r="C32" s="510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0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3" t="s">
        <v>446</v>
      </c>
      <c r="C37" s="694"/>
      <c r="D37" s="694"/>
      <c r="E37" s="695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6"/>
      <c r="C38" s="697"/>
      <c r="D38" s="697"/>
      <c r="E38" s="698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1"/>
      <c r="C40" s="511"/>
      <c r="D40" s="511"/>
      <c r="E40" s="511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89" t="s">
        <v>451</v>
      </c>
      <c r="C42" s="689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2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1" t="s">
        <v>875</v>
      </c>
      <c r="C47" s="701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8" t="s">
        <v>874</v>
      </c>
      <c r="C48" s="688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0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0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0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7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39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sheetProtection password="C09F" sheet="1" objects="1" scenarios="1"/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zoomScale="85" zoomScaleNormal="85" workbookViewId="0">
      <selection activeCell="J9" sqref="J9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hidden="1" customWidth="1"/>
    <col min="16" max="16" width="14.140625" style="235" hidden="1" customWidth="1"/>
    <col min="17" max="18" width="9.140625" style="235" hidden="1" customWidth="1"/>
    <col min="19" max="23" width="0" style="235" hidden="1" customWidth="1"/>
    <col min="24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0" t="s">
        <v>902</v>
      </c>
      <c r="C2" s="690"/>
      <c r="D2" s="690"/>
      <c r="E2" s="690"/>
      <c r="F2" s="690"/>
      <c r="G2" s="690"/>
      <c r="H2" s="690"/>
      <c r="I2" s="690"/>
      <c r="J2" s="690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7" t="s">
        <v>4</v>
      </c>
      <c r="C3" s="707"/>
      <c r="D3" s="707"/>
      <c r="E3" s="707"/>
      <c r="F3" s="707"/>
      <c r="G3" s="707"/>
      <c r="H3" s="707"/>
      <c r="I3" s="707"/>
      <c r="J3" s="707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3" t="s">
        <v>270</v>
      </c>
      <c r="I5" s="713"/>
      <c r="J5" s="573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2" t="s">
        <v>897</v>
      </c>
      <c r="I6" s="713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36.75" customHeight="1">
      <c r="E8" s="361"/>
      <c r="F8" s="361"/>
      <c r="G8" s="361"/>
      <c r="H8" s="1642" t="s">
        <v>1041</v>
      </c>
      <c r="I8" s="1643"/>
      <c r="J8" s="1644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53.25" customHeight="1">
      <c r="E9" s="361"/>
      <c r="F9" s="361"/>
      <c r="G9" s="361"/>
      <c r="H9" s="1642" t="s">
        <v>1042</v>
      </c>
      <c r="I9" s="1643"/>
      <c r="J9" s="1644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0"/>
      <c r="I10" s="710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09"/>
      <c r="I11" s="709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1"/>
      <c r="I12" s="711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09"/>
      <c r="I18" s="709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8"/>
      <c r="I19" s="70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2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4" t="e">
        <f>H22/'Настройки ТИК'!$C$24</f>
        <v>#DIV/0!</v>
      </c>
      <c r="J22" s="514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1" t="s">
        <v>877</v>
      </c>
      <c r="C24" s="701"/>
      <c r="D24" s="701"/>
      <c r="E24" s="701"/>
      <c r="F24" s="354"/>
      <c r="G24" s="704" t="s">
        <v>825</v>
      </c>
      <c r="H24" s="704"/>
      <c r="I24" s="704"/>
    </row>
    <row r="25" spans="1:64" s="156" customFormat="1" ht="18.75" customHeight="1">
      <c r="B25" s="688" t="s">
        <v>874</v>
      </c>
      <c r="C25" s="688"/>
      <c r="D25" s="688"/>
      <c r="E25" s="688"/>
      <c r="G25" s="703" t="s">
        <v>874</v>
      </c>
      <c r="H25" s="703"/>
      <c r="I25" s="704"/>
    </row>
    <row r="26" spans="1:64" s="156" customFormat="1" ht="81.75" customHeight="1">
      <c r="B26" s="355" t="s">
        <v>827</v>
      </c>
      <c r="C26" s="714"/>
      <c r="D26" s="715"/>
      <c r="E26" s="716"/>
      <c r="G26" s="705" t="s">
        <v>826</v>
      </c>
      <c r="H26" s="705"/>
      <c r="I26" s="702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2"/>
      <c r="K26" s="702"/>
    </row>
    <row r="27" spans="1:64" s="156" customFormat="1" ht="81.75" customHeight="1">
      <c r="B27" s="356" t="s">
        <v>829</v>
      </c>
      <c r="C27" s="714"/>
      <c r="D27" s="715"/>
      <c r="E27" s="716"/>
      <c r="G27" s="705" t="s">
        <v>828</v>
      </c>
      <c r="H27" s="705"/>
      <c r="I27" s="702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2"/>
      <c r="K27" s="702"/>
    </row>
    <row r="28" spans="1:64" s="156" customFormat="1" ht="81.75" customHeight="1">
      <c r="B28" s="356" t="s">
        <v>830</v>
      </c>
      <c r="C28" s="714"/>
      <c r="D28" s="715"/>
      <c r="E28" s="716"/>
      <c r="G28" s="705" t="s">
        <v>876</v>
      </c>
      <c r="H28" s="705"/>
      <c r="I28" s="702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2"/>
      <c r="K28" s="702"/>
    </row>
    <row r="29" spans="1:64" s="156" customFormat="1" ht="81.75" customHeight="1">
      <c r="B29" s="356" t="s">
        <v>847</v>
      </c>
      <c r="C29" s="714"/>
      <c r="D29" s="715"/>
      <c r="E29" s="716"/>
      <c r="G29" s="706" t="s">
        <v>948</v>
      </c>
      <c r="H29" s="706"/>
      <c r="I29" s="706"/>
    </row>
    <row r="30" spans="1:64" s="156" customFormat="1"/>
    <row r="32" spans="1:64" ht="18.75">
      <c r="B32" s="701"/>
      <c r="C32" s="701"/>
      <c r="D32" s="701"/>
      <c r="E32" s="701"/>
    </row>
    <row r="33" spans="2:19" ht="18.75">
      <c r="B33" s="717" t="s">
        <v>895</v>
      </c>
      <c r="C33" s="717"/>
      <c r="D33" s="717"/>
      <c r="E33" s="717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8"/>
    </row>
    <row r="36" spans="2:19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>
      <selection activeCell="J18" sqref="J18"/>
    </sheetView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hidden="1" customWidth="1"/>
    <col min="21" max="21" width="0" style="21" hidden="1" customWidth="1"/>
    <col min="22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8">
        <f>'Настройки ТИК'!$C$14</f>
        <v>0</v>
      </c>
    </row>
    <row r="3" spans="1:20" ht="47.25" customHeight="1">
      <c r="D3" s="728" t="s">
        <v>257</v>
      </c>
      <c r="E3" s="728"/>
      <c r="F3" s="729">
        <f>'Настройки ТИК'!C49</f>
        <v>0</v>
      </c>
      <c r="G3" s="730"/>
      <c r="H3" s="730"/>
      <c r="I3" s="730"/>
      <c r="J3" s="731"/>
    </row>
    <row r="4" spans="1:20">
      <c r="F4" s="733" t="s">
        <v>463</v>
      </c>
      <c r="G4" s="733"/>
      <c r="H4" s="733"/>
      <c r="I4" s="733"/>
      <c r="J4" s="733"/>
    </row>
    <row r="6" spans="1:20">
      <c r="B6" s="22"/>
      <c r="C6" s="22"/>
      <c r="D6" s="22"/>
      <c r="E6" s="24" t="s">
        <v>258</v>
      </c>
      <c r="F6" s="144" t="s">
        <v>268</v>
      </c>
      <c r="G6" s="740"/>
      <c r="H6" s="740"/>
      <c r="I6" s="732" t="s">
        <v>269</v>
      </c>
      <c r="J6" s="732"/>
    </row>
    <row r="7" spans="1:20">
      <c r="D7" s="23"/>
      <c r="E7" s="23"/>
    </row>
    <row r="8" spans="1:20" ht="15.75">
      <c r="A8" s="722" t="s">
        <v>266</v>
      </c>
      <c r="B8" s="722"/>
      <c r="C8" s="722"/>
      <c r="D8" s="722"/>
      <c r="E8" s="722"/>
      <c r="F8" s="722"/>
      <c r="G8" s="722"/>
      <c r="H8" s="722"/>
      <c r="I8" s="722"/>
      <c r="J8" s="722"/>
    </row>
    <row r="9" spans="1:20" ht="15.75">
      <c r="A9" s="722" t="s">
        <v>460</v>
      </c>
      <c r="B9" s="722"/>
      <c r="C9" s="722"/>
      <c r="D9" s="722"/>
      <c r="E9" s="722"/>
      <c r="F9" s="722"/>
      <c r="G9" s="722"/>
      <c r="H9" s="722"/>
      <c r="I9" s="722"/>
      <c r="J9" s="722"/>
    </row>
    <row r="10" spans="1:20" ht="15.75">
      <c r="A10" s="722" t="s">
        <v>461</v>
      </c>
      <c r="B10" s="722"/>
      <c r="C10" s="722"/>
      <c r="D10" s="722"/>
      <c r="E10" s="722"/>
      <c r="F10" s="722"/>
      <c r="G10" s="722"/>
      <c r="H10" s="722"/>
      <c r="I10" s="722"/>
      <c r="J10" s="722"/>
    </row>
    <row r="12" spans="1:20" ht="30.75" customHeight="1">
      <c r="A12" s="737" t="s">
        <v>462</v>
      </c>
      <c r="B12" s="738"/>
      <c r="C12" s="738"/>
      <c r="D12" s="738"/>
      <c r="E12" s="739"/>
      <c r="F12" s="723">
        <f>'Настройки УИК'!J5</f>
        <v>0</v>
      </c>
      <c r="G12" s="723"/>
      <c r="H12" s="723"/>
      <c r="Q12" s="21" t="s">
        <v>964</v>
      </c>
      <c r="R12" s="21">
        <f>SUMIF($S$18:$S$34,"К",$J$18:$J$34)</f>
        <v>0</v>
      </c>
    </row>
    <row r="13" spans="1:20">
      <c r="Q13" s="21" t="s">
        <v>965</v>
      </c>
      <c r="R13" s="21">
        <f>SUMIF($S$18:$S$34,"Д",$J$18:$J$34)</f>
        <v>0</v>
      </c>
    </row>
    <row r="14" spans="1:20" ht="46.5" customHeight="1">
      <c r="A14" s="734" t="s">
        <v>459</v>
      </c>
      <c r="B14" s="735"/>
      <c r="C14" s="735"/>
      <c r="D14" s="735"/>
      <c r="E14" s="736">
        <f>'Настройки ТИК'!B9</f>
        <v>0</v>
      </c>
      <c r="F14" s="736"/>
      <c r="G14" s="736"/>
      <c r="H14" s="736"/>
      <c r="I14" s="736"/>
      <c r="J14" s="736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4" t="s">
        <v>260</v>
      </c>
      <c r="B16" s="725"/>
      <c r="C16" s="725"/>
      <c r="D16" s="725"/>
      <c r="E16" s="725"/>
      <c r="F16" s="725"/>
      <c r="G16" s="725"/>
      <c r="H16" s="725"/>
      <c r="I16" s="726"/>
      <c r="J16" s="125" t="s">
        <v>259</v>
      </c>
      <c r="T16" s="75"/>
    </row>
    <row r="17" spans="1:20" s="22" customFormat="1">
      <c r="A17" s="727" t="s">
        <v>399</v>
      </c>
      <c r="B17" s="725"/>
      <c r="C17" s="725"/>
      <c r="D17" s="725"/>
      <c r="E17" s="725"/>
      <c r="F17" s="725"/>
      <c r="G17" s="725"/>
      <c r="H17" s="725"/>
      <c r="I17" s="726"/>
      <c r="J17" s="422" t="s">
        <v>400</v>
      </c>
      <c r="T17" s="74"/>
    </row>
    <row r="18" spans="1:20" ht="31.5" customHeight="1">
      <c r="A18" s="553" t="s">
        <v>961</v>
      </c>
      <c r="B18" s="720" t="s">
        <v>907</v>
      </c>
      <c r="C18" s="720"/>
      <c r="D18" s="720"/>
      <c r="E18" s="720"/>
      <c r="F18" s="720"/>
      <c r="G18" s="720"/>
      <c r="H18" s="720"/>
      <c r="I18" s="721"/>
      <c r="J18" s="574"/>
      <c r="Q18" s="554" t="s">
        <v>962</v>
      </c>
      <c r="R18" s="442" t="s">
        <v>927</v>
      </c>
      <c r="S18" s="21" t="s">
        <v>963</v>
      </c>
      <c r="T18" s="75"/>
    </row>
    <row r="19" spans="1:20" ht="15.75">
      <c r="A19" s="718" t="s">
        <v>267</v>
      </c>
      <c r="B19" s="718"/>
      <c r="C19" s="718"/>
      <c r="D19" s="718"/>
      <c r="E19" s="718"/>
      <c r="F19" s="718"/>
      <c r="G19" s="718"/>
      <c r="H19" s="718"/>
      <c r="I19" s="719"/>
      <c r="J19" s="575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7"/>
    </row>
    <row r="38" spans="1:1">
      <c r="A38" s="577"/>
    </row>
  </sheetData>
  <sheetProtection password="C09F" sheet="1" objects="1" scenarios="1"/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DB1" sqref="DB1:DF1048576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50" t="s">
        <v>498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6"/>
      <c r="CV1" s="746"/>
      <c r="CW1" s="746"/>
      <c r="CX1" s="746"/>
      <c r="CY1" s="746"/>
      <c r="CZ1" s="746"/>
      <c r="DA1" s="746"/>
      <c r="DB1" s="171"/>
      <c r="DC1" s="171"/>
      <c r="DD1" s="171"/>
      <c r="DE1" s="171"/>
      <c r="DF1" s="171"/>
    </row>
    <row r="2" spans="1:110" ht="18.75">
      <c r="A2" s="747">
        <f>'Настройки УИК'!$C$28</f>
        <v>0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47"/>
      <c r="V2" s="747"/>
      <c r="W2" s="747"/>
      <c r="X2" s="747"/>
      <c r="Y2" s="747"/>
      <c r="Z2" s="747"/>
      <c r="AA2" s="747"/>
      <c r="AB2" s="747"/>
      <c r="AC2" s="747"/>
      <c r="AD2" s="747"/>
      <c r="AE2" s="747"/>
      <c r="AF2" s="747"/>
      <c r="AG2" s="747"/>
      <c r="AH2" s="747"/>
      <c r="AI2" s="747"/>
      <c r="AJ2" s="747"/>
      <c r="AK2" s="747"/>
      <c r="AL2" s="747"/>
      <c r="AM2" s="747"/>
      <c r="AN2" s="747"/>
      <c r="AO2" s="747"/>
      <c r="AP2" s="747"/>
      <c r="AQ2" s="747"/>
      <c r="AR2" s="747"/>
      <c r="AS2" s="747"/>
      <c r="AT2" s="747"/>
      <c r="AU2" s="747"/>
      <c r="AV2" s="747"/>
      <c r="AW2" s="747"/>
      <c r="AX2" s="747"/>
      <c r="AY2" s="747"/>
      <c r="AZ2" s="747"/>
      <c r="BA2" s="747"/>
      <c r="BB2" s="747"/>
      <c r="BC2" s="747"/>
      <c r="BD2" s="747"/>
      <c r="BE2" s="747"/>
      <c r="BF2" s="747"/>
      <c r="BG2" s="747"/>
      <c r="BH2" s="747"/>
      <c r="BI2" s="747"/>
      <c r="BJ2" s="747"/>
      <c r="BK2" s="747"/>
      <c r="BL2" s="337"/>
      <c r="BM2" s="337"/>
      <c r="BN2" s="337"/>
      <c r="BO2" s="337"/>
      <c r="BP2" s="337"/>
      <c r="BQ2" s="746" t="s">
        <v>499</v>
      </c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171"/>
      <c r="DC2" s="171"/>
      <c r="DD2" s="171"/>
      <c r="DE2" s="171"/>
      <c r="DF2" s="171"/>
    </row>
    <row r="3" spans="1:110" ht="15.75">
      <c r="A3" s="748" t="s">
        <v>4</v>
      </c>
      <c r="B3" s="748"/>
      <c r="C3" s="748"/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748"/>
      <c r="T3" s="748"/>
      <c r="U3" s="748"/>
      <c r="V3" s="748"/>
      <c r="W3" s="748"/>
      <c r="X3" s="748"/>
      <c r="Y3" s="748"/>
      <c r="Z3" s="748"/>
      <c r="AA3" s="748"/>
      <c r="AB3" s="748"/>
      <c r="AC3" s="748"/>
      <c r="AD3" s="748"/>
      <c r="AE3" s="748"/>
      <c r="AF3" s="748"/>
      <c r="AG3" s="748"/>
      <c r="AH3" s="748"/>
      <c r="AI3" s="748"/>
      <c r="AJ3" s="748"/>
      <c r="AK3" s="748"/>
      <c r="AL3" s="748"/>
      <c r="AM3" s="748"/>
      <c r="AN3" s="748"/>
      <c r="AO3" s="748"/>
      <c r="AP3" s="748"/>
      <c r="AQ3" s="748"/>
      <c r="AR3" s="748"/>
      <c r="AS3" s="748"/>
      <c r="AT3" s="748"/>
      <c r="AU3" s="748"/>
      <c r="AV3" s="748"/>
      <c r="AW3" s="748"/>
      <c r="AX3" s="748"/>
      <c r="AY3" s="748"/>
      <c r="AZ3" s="748"/>
      <c r="BA3" s="748"/>
      <c r="BB3" s="748"/>
      <c r="BC3" s="748"/>
      <c r="BD3" s="748"/>
      <c r="BE3" s="748"/>
      <c r="BF3" s="748"/>
      <c r="BG3" s="748"/>
      <c r="BH3" s="748"/>
      <c r="BI3" s="748"/>
      <c r="BJ3" s="748"/>
      <c r="BK3" s="748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49"/>
      <c r="CV3" s="749"/>
      <c r="CW3" s="749"/>
      <c r="CX3" s="749"/>
      <c r="CY3" s="749"/>
      <c r="CZ3" s="749"/>
      <c r="DA3" s="749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51" t="s">
        <v>500</v>
      </c>
      <c r="B5" s="751"/>
      <c r="C5" s="751"/>
      <c r="D5" s="751"/>
      <c r="E5" s="751"/>
      <c r="F5" s="751"/>
      <c r="G5" s="751"/>
      <c r="H5" s="751"/>
      <c r="I5" s="751"/>
      <c r="J5" s="751"/>
      <c r="K5" s="751"/>
      <c r="L5" s="751"/>
      <c r="M5" s="751"/>
      <c r="N5" s="751"/>
      <c r="O5" s="751"/>
      <c r="P5" s="751"/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1"/>
      <c r="AC5" s="751"/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1"/>
      <c r="AP5" s="751"/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1"/>
      <c r="BC5" s="751"/>
      <c r="BD5" s="751"/>
      <c r="BE5" s="751"/>
      <c r="BF5" s="751"/>
      <c r="BG5" s="751"/>
      <c r="BH5" s="751"/>
      <c r="BI5" s="751"/>
      <c r="BJ5" s="751"/>
      <c r="BK5" s="751"/>
      <c r="BL5" s="751"/>
      <c r="BM5" s="751"/>
      <c r="BN5" s="751"/>
      <c r="BO5" s="751"/>
      <c r="BP5" s="751"/>
      <c r="BQ5" s="751"/>
      <c r="BR5" s="751"/>
      <c r="BS5" s="751"/>
      <c r="BT5" s="751"/>
      <c r="BU5" s="751"/>
      <c r="BV5" s="751"/>
      <c r="BW5" s="751"/>
      <c r="BX5" s="751"/>
      <c r="BY5" s="751"/>
      <c r="BZ5" s="751"/>
      <c r="CA5" s="751"/>
      <c r="CB5" s="751"/>
      <c r="CC5" s="751"/>
      <c r="CD5" s="751"/>
      <c r="CE5" s="751"/>
      <c r="CF5" s="751"/>
      <c r="CG5" s="751"/>
      <c r="CH5" s="751"/>
      <c r="CI5" s="751"/>
      <c r="CJ5" s="751"/>
      <c r="CK5" s="751"/>
      <c r="CL5" s="751"/>
      <c r="CM5" s="751"/>
      <c r="CN5" s="751"/>
      <c r="CO5" s="751"/>
      <c r="CP5" s="751"/>
      <c r="CQ5" s="751"/>
      <c r="CR5" s="751"/>
      <c r="CS5" s="751"/>
      <c r="CT5" s="751"/>
      <c r="CU5" s="751"/>
      <c r="CV5" s="751"/>
      <c r="CW5" s="751"/>
      <c r="CX5" s="751"/>
      <c r="CY5" s="751"/>
      <c r="CZ5" s="751"/>
      <c r="DA5" s="751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59">
        <f>'Настройки УИК'!$C$26</f>
        <v>0</v>
      </c>
      <c r="D6" s="759"/>
      <c r="E6" s="759"/>
      <c r="F6" s="759"/>
      <c r="G6" s="759"/>
      <c r="H6" s="759"/>
      <c r="I6" s="759"/>
      <c r="J6" s="759"/>
      <c r="K6" s="759"/>
      <c r="L6" s="759"/>
      <c r="M6" s="759"/>
      <c r="N6" s="759"/>
      <c r="O6" s="759"/>
      <c r="P6" s="759"/>
      <c r="Q6" s="759"/>
      <c r="R6" s="759"/>
      <c r="S6" s="759"/>
      <c r="T6" s="759"/>
      <c r="U6" s="759"/>
      <c r="V6" s="759"/>
      <c r="W6" s="759"/>
      <c r="X6" s="759"/>
      <c r="Y6" s="759"/>
      <c r="Z6" s="759"/>
      <c r="AA6" s="759"/>
      <c r="AB6" s="759"/>
      <c r="AC6" s="759"/>
      <c r="AD6" s="759"/>
      <c r="AE6" s="759"/>
      <c r="AF6" s="759"/>
      <c r="AG6" s="759"/>
      <c r="AH6" s="759"/>
      <c r="AI6" s="759"/>
      <c r="AJ6" s="759"/>
      <c r="AK6" s="759"/>
      <c r="AL6" s="759"/>
      <c r="AM6" s="759"/>
      <c r="AN6" s="759"/>
      <c r="AO6" s="759"/>
      <c r="AP6" s="759"/>
      <c r="AQ6" s="759"/>
      <c r="AR6" s="759"/>
      <c r="AS6" s="759"/>
      <c r="AT6" s="759"/>
      <c r="AU6" s="759"/>
      <c r="AV6" s="759"/>
      <c r="AW6" s="759"/>
      <c r="AX6" s="759"/>
      <c r="AY6" s="759"/>
      <c r="AZ6" s="759"/>
      <c r="BA6" s="759"/>
      <c r="BB6" s="759"/>
      <c r="BC6" s="759"/>
      <c r="BD6" s="759"/>
      <c r="BE6" s="759"/>
      <c r="BF6" s="759"/>
      <c r="BG6" s="759"/>
      <c r="BH6" s="759"/>
      <c r="BI6" s="759"/>
      <c r="BJ6" s="759"/>
      <c r="BK6" s="759"/>
      <c r="BL6" s="759"/>
      <c r="BM6" s="759"/>
      <c r="BN6" s="759"/>
      <c r="BO6" s="759"/>
      <c r="BP6" s="759"/>
      <c r="BQ6" s="759"/>
      <c r="BR6" s="759"/>
      <c r="BS6" s="759"/>
      <c r="BT6" s="759"/>
      <c r="BU6" s="759"/>
      <c r="BV6" s="759"/>
      <c r="BW6" s="759"/>
      <c r="BX6" s="759"/>
      <c r="BY6" s="759"/>
      <c r="BZ6" s="759"/>
      <c r="CA6" s="759"/>
      <c r="CB6" s="759"/>
      <c r="CC6" s="759"/>
      <c r="CD6" s="759"/>
      <c r="CE6" s="759"/>
      <c r="CF6" s="759"/>
      <c r="CG6" s="759"/>
      <c r="CH6" s="759"/>
      <c r="CI6" s="759"/>
      <c r="CJ6" s="759"/>
      <c r="CK6" s="759"/>
      <c r="CL6" s="759"/>
      <c r="CM6" s="759"/>
      <c r="CN6" s="759"/>
      <c r="CO6" s="759"/>
      <c r="CP6" s="759"/>
      <c r="CQ6" s="759"/>
      <c r="CR6" s="759"/>
      <c r="CS6" s="759"/>
      <c r="CT6" s="759"/>
      <c r="CU6" s="759"/>
      <c r="CV6" s="759"/>
      <c r="CW6" s="759"/>
      <c r="CX6" s="759"/>
      <c r="CY6" s="759"/>
      <c r="CZ6" s="759"/>
      <c r="DA6" s="759"/>
      <c r="DB6" s="338"/>
      <c r="DC6" s="338"/>
      <c r="DD6" s="338"/>
      <c r="DE6" s="338"/>
      <c r="DF6" s="338"/>
    </row>
    <row r="7" spans="1:110" ht="15.75">
      <c r="A7" s="760" t="s">
        <v>4</v>
      </c>
      <c r="B7" s="760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1"/>
      <c r="AD7" s="691"/>
      <c r="AE7" s="691"/>
      <c r="AF7" s="691"/>
      <c r="AG7" s="691"/>
      <c r="AH7" s="691"/>
      <c r="AI7" s="691"/>
      <c r="AJ7" s="691"/>
      <c r="AK7" s="691"/>
      <c r="AL7" s="691"/>
      <c r="AM7" s="691"/>
      <c r="AN7" s="691"/>
      <c r="AO7" s="691"/>
      <c r="AP7" s="691"/>
      <c r="AQ7" s="691"/>
      <c r="AR7" s="691"/>
      <c r="AS7" s="691"/>
      <c r="AT7" s="691"/>
      <c r="AU7" s="691"/>
      <c r="AV7" s="691"/>
      <c r="AW7" s="691"/>
      <c r="AX7" s="691"/>
      <c r="AY7" s="691"/>
      <c r="AZ7" s="691"/>
      <c r="BA7" s="691"/>
      <c r="BB7" s="691"/>
      <c r="BC7" s="691"/>
      <c r="BD7" s="691"/>
      <c r="BE7" s="691"/>
      <c r="BF7" s="691"/>
      <c r="BG7" s="691"/>
      <c r="BH7" s="691"/>
      <c r="BI7" s="691"/>
      <c r="BJ7" s="691"/>
      <c r="BK7" s="691"/>
      <c r="BL7" s="691"/>
      <c r="BM7" s="691"/>
      <c r="BN7" s="691"/>
      <c r="BO7" s="691"/>
      <c r="BP7" s="691"/>
      <c r="BQ7" s="691"/>
      <c r="BR7" s="691"/>
      <c r="BS7" s="691"/>
      <c r="BT7" s="691"/>
      <c r="BU7" s="691"/>
      <c r="BV7" s="691"/>
      <c r="BW7" s="761"/>
      <c r="BX7" s="761"/>
      <c r="BY7" s="761"/>
      <c r="BZ7" s="761"/>
      <c r="CA7" s="761"/>
      <c r="CB7" s="761"/>
      <c r="CC7" s="761"/>
      <c r="CD7" s="761"/>
      <c r="CE7" s="761"/>
      <c r="CF7" s="761"/>
      <c r="CG7" s="761"/>
      <c r="CH7" s="761"/>
      <c r="CI7" s="761"/>
      <c r="CJ7" s="761"/>
      <c r="CK7" s="761"/>
      <c r="CL7" s="761"/>
      <c r="CM7" s="761"/>
      <c r="CN7" s="761"/>
      <c r="CO7" s="761"/>
      <c r="CP7" s="761"/>
      <c r="CQ7" s="761"/>
      <c r="CR7" s="761"/>
      <c r="CS7" s="761"/>
      <c r="CT7" s="761"/>
      <c r="CU7" s="761"/>
      <c r="CV7" s="761"/>
      <c r="CW7" s="761"/>
      <c r="CX7" s="761"/>
      <c r="CY7" s="761"/>
      <c r="CZ7" s="761"/>
      <c r="DA7" s="761"/>
      <c r="DB7" s="293"/>
      <c r="DC7" s="293"/>
      <c r="DD7" s="293"/>
      <c r="DE7" s="293"/>
      <c r="DF7" s="293"/>
    </row>
    <row r="8" spans="1:110" ht="30" customHeight="1">
      <c r="A8" s="762" t="s">
        <v>502</v>
      </c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AW8" s="762"/>
      <c r="AX8" s="762"/>
      <c r="AY8" s="762"/>
      <c r="AZ8" s="762"/>
      <c r="BA8" s="762"/>
      <c r="BB8" s="762"/>
      <c r="BC8" s="762"/>
      <c r="BD8" s="762"/>
      <c r="BE8" s="762"/>
      <c r="BF8" s="762"/>
      <c r="BG8" s="762"/>
      <c r="BH8" s="762"/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323"/>
      <c r="DC8" s="323"/>
      <c r="DD8" s="323"/>
      <c r="DE8" s="323"/>
      <c r="DF8" s="323"/>
    </row>
    <row r="9" spans="1:110" ht="48.75" customHeight="1">
      <c r="A9" s="763">
        <f>'Настройки ТИК'!$B$9</f>
        <v>0</v>
      </c>
      <c r="B9" s="763"/>
      <c r="C9" s="763"/>
      <c r="D9" s="763"/>
      <c r="E9" s="763"/>
      <c r="F9" s="763"/>
      <c r="G9" s="763"/>
      <c r="H9" s="763"/>
      <c r="I9" s="763"/>
      <c r="J9" s="763"/>
      <c r="K9" s="763"/>
      <c r="L9" s="763"/>
      <c r="M9" s="763"/>
      <c r="N9" s="763"/>
      <c r="O9" s="763"/>
      <c r="P9" s="763"/>
      <c r="Q9" s="763"/>
      <c r="R9" s="763"/>
      <c r="S9" s="763"/>
      <c r="T9" s="763"/>
      <c r="U9" s="763"/>
      <c r="V9" s="763"/>
      <c r="W9" s="763"/>
      <c r="X9" s="763"/>
      <c r="Y9" s="763"/>
      <c r="Z9" s="763"/>
      <c r="AA9" s="763"/>
      <c r="AB9" s="763"/>
      <c r="AC9" s="763"/>
      <c r="AD9" s="763"/>
      <c r="AE9" s="763"/>
      <c r="AF9" s="763"/>
      <c r="AG9" s="763"/>
      <c r="AH9" s="763"/>
      <c r="AI9" s="763"/>
      <c r="AJ9" s="763"/>
      <c r="AK9" s="763"/>
      <c r="AL9" s="763"/>
      <c r="AM9" s="763"/>
      <c r="AN9" s="763"/>
      <c r="AO9" s="763"/>
      <c r="AP9" s="763"/>
      <c r="AQ9" s="763"/>
      <c r="AR9" s="763"/>
      <c r="AS9" s="763"/>
      <c r="AT9" s="763"/>
      <c r="AU9" s="763"/>
      <c r="AV9" s="763"/>
      <c r="AW9" s="763"/>
      <c r="AX9" s="763"/>
      <c r="AY9" s="763"/>
      <c r="AZ9" s="763"/>
      <c r="BA9" s="763"/>
      <c r="BB9" s="763"/>
      <c r="BC9" s="763"/>
      <c r="BD9" s="763"/>
      <c r="BE9" s="763"/>
      <c r="BF9" s="763"/>
      <c r="BG9" s="763"/>
      <c r="BH9" s="763"/>
      <c r="BI9" s="763"/>
      <c r="BJ9" s="763"/>
      <c r="BK9" s="763"/>
      <c r="BL9" s="763"/>
      <c r="BM9" s="763"/>
      <c r="BN9" s="763"/>
      <c r="BO9" s="763"/>
      <c r="BP9" s="763"/>
      <c r="BQ9" s="763"/>
      <c r="BR9" s="763"/>
      <c r="BS9" s="763"/>
      <c r="BT9" s="763"/>
      <c r="BU9" s="763"/>
      <c r="BV9" s="763"/>
      <c r="BW9" s="763"/>
      <c r="BX9" s="763"/>
      <c r="BY9" s="763"/>
      <c r="BZ9" s="763"/>
      <c r="CA9" s="763"/>
      <c r="CB9" s="763"/>
      <c r="CC9" s="763"/>
      <c r="CD9" s="763"/>
      <c r="CE9" s="763"/>
      <c r="CF9" s="763"/>
      <c r="CG9" s="763"/>
      <c r="CH9" s="763"/>
      <c r="CI9" s="763"/>
      <c r="CJ9" s="763"/>
      <c r="CK9" s="763"/>
      <c r="CL9" s="763"/>
      <c r="CM9" s="763"/>
      <c r="CN9" s="763"/>
      <c r="CO9" s="763"/>
      <c r="CP9" s="763"/>
      <c r="CQ9" s="763"/>
      <c r="CR9" s="763"/>
      <c r="CS9" s="763"/>
      <c r="CT9" s="763"/>
      <c r="CU9" s="763"/>
      <c r="CV9" s="763"/>
      <c r="CW9" s="763"/>
      <c r="CX9" s="763"/>
      <c r="CY9" s="763"/>
      <c r="CZ9" s="763"/>
      <c r="DA9" s="763"/>
      <c r="DB9" s="339"/>
      <c r="DC9" s="339"/>
      <c r="DD9" s="339"/>
      <c r="DE9" s="339"/>
      <c r="DF9" s="339"/>
    </row>
    <row r="10" spans="1:110" ht="15.75">
      <c r="A10" s="764"/>
      <c r="B10" s="764"/>
      <c r="C10" s="764"/>
      <c r="D10" s="764"/>
      <c r="E10" s="764"/>
      <c r="F10" s="764"/>
      <c r="G10" s="764"/>
      <c r="H10" s="764"/>
      <c r="I10" s="764"/>
      <c r="J10" s="764"/>
      <c r="K10" s="764"/>
      <c r="L10" s="764"/>
      <c r="M10" s="764"/>
      <c r="N10" s="764"/>
      <c r="O10" s="764"/>
      <c r="P10" s="764"/>
      <c r="Q10" s="764"/>
      <c r="R10" s="764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4"/>
      <c r="AV10" s="764"/>
      <c r="AW10" s="764"/>
      <c r="AX10" s="764"/>
      <c r="AY10" s="764"/>
      <c r="AZ10" s="764"/>
      <c r="BA10" s="764"/>
      <c r="BB10" s="764"/>
      <c r="BC10" s="764"/>
      <c r="BD10" s="764"/>
      <c r="BE10" s="764"/>
      <c r="BF10" s="764"/>
      <c r="BG10" s="764"/>
      <c r="BH10" s="764"/>
      <c r="BI10" s="764"/>
      <c r="BJ10" s="764"/>
      <c r="BK10" s="764"/>
      <c r="BL10" s="764"/>
      <c r="BM10" s="764"/>
      <c r="BN10" s="764"/>
      <c r="BO10" s="764"/>
      <c r="BP10" s="764"/>
      <c r="BQ10" s="764"/>
      <c r="BR10" s="764"/>
      <c r="BS10" s="764"/>
      <c r="BT10" s="764"/>
      <c r="BU10" s="764"/>
      <c r="BV10" s="764"/>
      <c r="BW10" s="764"/>
      <c r="BX10" s="764"/>
      <c r="BY10" s="764"/>
      <c r="BZ10" s="764"/>
      <c r="CA10" s="764"/>
      <c r="CB10" s="764"/>
      <c r="CC10" s="764"/>
      <c r="CD10" s="764"/>
      <c r="CE10" s="764"/>
      <c r="CF10" s="764"/>
      <c r="CG10" s="764"/>
      <c r="CH10" s="764"/>
      <c r="CI10" s="764"/>
      <c r="CJ10" s="764"/>
      <c r="CK10" s="764"/>
      <c r="CL10" s="764"/>
      <c r="CM10" s="764"/>
      <c r="CN10" s="764"/>
      <c r="CO10" s="764"/>
      <c r="CP10" s="764"/>
      <c r="CQ10" s="764"/>
      <c r="CR10" s="764"/>
      <c r="CS10" s="764"/>
      <c r="CT10" s="764"/>
      <c r="CU10" s="764"/>
      <c r="CV10" s="764"/>
      <c r="CW10" s="764"/>
      <c r="CX10" s="764"/>
      <c r="CY10" s="764"/>
      <c r="CZ10" s="764"/>
      <c r="DA10" s="764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2"/>
      <c r="E12" s="662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5" t="e">
        <f ca="1">IF('Настройки ТИК'!$I$17='Настройки ТИК'!$J$17,'Настройки ТИК'!$I$17,'Настройки ТИК'!$I$17&amp;"-"&amp;'Настройки ТИК'!$J$17)</f>
        <v>#VALUE!</v>
      </c>
      <c r="AT12" s="755"/>
      <c r="AU12" s="755"/>
      <c r="AV12" s="755"/>
      <c r="AW12" s="755"/>
      <c r="AX12" s="755"/>
      <c r="AY12" s="755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6" t="s">
        <v>504</v>
      </c>
      <c r="AT13" s="766"/>
      <c r="AU13" s="766"/>
      <c r="AV13" s="766"/>
      <c r="AW13" s="766"/>
      <c r="AX13" s="766"/>
      <c r="AY13" s="766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67" t="s">
        <v>0</v>
      </c>
      <c r="B15" s="768"/>
      <c r="C15" s="771" t="s">
        <v>505</v>
      </c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243"/>
      <c r="DC15" s="243"/>
      <c r="DD15" s="243"/>
      <c r="DE15" s="243"/>
      <c r="DF15" s="243"/>
    </row>
    <row r="16" spans="1:110" ht="33" customHeight="1">
      <c r="A16" s="769"/>
      <c r="B16" s="770"/>
      <c r="C16" s="776" t="str">
        <f ca="1">IF(INDIRECT("'Настройки УИК'!$B$22")=0," ",INDIRECT("'Настройки УИК'!$B$22"))</f>
        <v xml:space="preserve"> </v>
      </c>
      <c r="D16" s="777"/>
      <c r="E16" s="777"/>
      <c r="F16" s="777"/>
      <c r="G16" s="777"/>
      <c r="H16" s="778"/>
      <c r="I16" s="654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4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4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4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4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4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4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4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4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4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4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4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4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4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4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4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4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72" t="s">
        <v>399</v>
      </c>
      <c r="B17" s="773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8">
        <f ca="1">IF(VALUE(INDIRECT("'Настройки УИК'!$F$22"))&gt;0,(IF(AND(VALUE(MID($A18,4,2))=VALUE(MID('Настройки ТИК'!$C$17,4,2)),$B18="",C18=8),C18,0))*INDIRECT("'Настройки УИК'!$I$22")/8,0)</f>
        <v>0</v>
      </c>
      <c r="E18" s="498">
        <f ca="1">IF(VALUE(INDIRECT("'Настройки УИК'!$F$22"))&gt;0,(IF(AND(VALUE(MID($A18,4,2))=VALUE(MID('Настройки ТИК'!$D$17,4,2)),$B18="",C18=8),C18,0))*INDIRECT("'Настройки УИК'!$J$22")/8,0)</f>
        <v>0</v>
      </c>
      <c r="F18" s="498">
        <f ca="1">IF($B18="",0,C18*'Настройки УИК'!$K$22*2*'Настройки ТИК'!$C$32)</f>
        <v>0</v>
      </c>
      <c r="G18" s="498">
        <f ca="1">IF(AND(D18+E18=0,$B18=""),C18*'Настройки УИК'!$K$22*'Настройки ТИК'!$C$32,0)</f>
        <v>0</v>
      </c>
      <c r="H18" s="498">
        <f ca="1">IF(AND('Настройки ТИК'!$C$45="ТИК",'Настройки УИК'!$C$22="Председатель"),0,(F18+G18)*ПК_ТИК)</f>
        <v>0</v>
      </c>
      <c r="I18" s="333"/>
      <c r="J18" s="498">
        <f ca="1">IF(VALUE(INDIRECT("'Настройки УИК'!$F$23"))&gt;0,(IF(AND(VALUE(MID($A18,4,2))=VALUE(MID('Настройки ТИК'!$C$17,4,2)),$B18="",I18=8),I18,0))*INDIRECT("'Настройки УИК'!$I$23")/8,0)</f>
        <v>0</v>
      </c>
      <c r="K18" s="498">
        <f ca="1">IF(VALUE(INDIRECT("'Настройки УИК'!$F$23"))&gt;0,(IF(AND(VALUE(MID($A18,4,2))=VALUE(MID('Настройки ТИК'!$D$17,4,2)),$B18="",I18=8),I18,0))*INDIRECT("'Настройки УИК'!$J$23")/8,0)</f>
        <v>0</v>
      </c>
      <c r="L18" s="498">
        <f ca="1">IF($B18="",0,I18*'Настройки УИК'!$K$22*2*'Настройки ТИК'!$C$32)</f>
        <v>0</v>
      </c>
      <c r="M18" s="498">
        <f ca="1">IF(AND(J18+K18=0,$B18=""),I18*'Настройки УИК'!$K$22*'Настройки ТИК'!$C$32,0)</f>
        <v>0</v>
      </c>
      <c r="N18" s="498">
        <f ca="1">IF(AND('Настройки ТИК'!$C$45="ТИК",'Настройки УИК'!$C$22="Председатель"),0,(L18+M18)*ПК_ТИК)</f>
        <v>0</v>
      </c>
      <c r="O18" s="333"/>
      <c r="P18" s="498">
        <f ca="1">IF(VALUE(INDIRECT("'Настройки УИК'!$F$24"))&gt;0,(IF(AND(VALUE(MID($A18,4,2))=VALUE(MID('Настройки ТИК'!$C$17,4,2)),$B18="",O18=8),O18,0))*INDIRECT("'Настройки УИК'!$I$24")/8,0)</f>
        <v>0</v>
      </c>
      <c r="Q18" s="498">
        <f ca="1">IF(VALUE(INDIRECT("'Настройки УИК'!$F$24"))&gt;0,(IF(AND(VALUE(MID($A18,4,2))=VALUE(MID('Настройки ТИК'!$D$17,4,2)),$B18="",O18=8),O18,0))*INDIRECT("'Настройки УИК'!$J$24")/8,0)</f>
        <v>0</v>
      </c>
      <c r="R18" s="498">
        <f ca="1">IF($B18="",0,O18*'Настройки УИК'!$K$22*2*'Настройки ТИК'!$C$32)</f>
        <v>0</v>
      </c>
      <c r="S18" s="498">
        <f ca="1">IF(AND(P18+Q18=0,$B18=""),O18*'Настройки УИК'!$K$22*'Настройки ТИК'!$C$32,0)</f>
        <v>0</v>
      </c>
      <c r="T18" s="498">
        <f ca="1">IF(AND('Настройки ТИК'!$C$45="ТИК",'Настройки УИК'!$C$22="Председатель"),0,(R18+S18)*ПК_ТИК)</f>
        <v>0</v>
      </c>
      <c r="U18" s="333"/>
      <c r="V18" s="498">
        <f ca="1">IF(VALUE(INDIRECT("'Настройки УИК'!$F$25"))&gt;0,(IF(AND(VALUE(MID($A18,4,2))=VALUE(MID('Настройки ТИК'!$C$17,4,2)),$B18="",U18=8),U18,0))*INDIRECT("'Настройки УИК'!$I$25")/8,0)</f>
        <v>0</v>
      </c>
      <c r="W18" s="498">
        <f ca="1">IF(VALUE(INDIRECT("'Настройки УИК'!$F$25"))&gt;0,(IF(AND(VALUE(MID($A18,4,2))=VALUE(MID('Настройки ТИК'!$D$17,4,2)),$B18="",U18=8),U18,0))*INDIRECT("'Настройки УИК'!$J$25")/8,0)</f>
        <v>0</v>
      </c>
      <c r="X18" s="498">
        <f ca="1">IF($B18="",0,U18*'Настройки УИК'!$K$22*2*'Настройки ТИК'!$C$32)</f>
        <v>0</v>
      </c>
      <c r="Y18" s="498">
        <f ca="1">IF(AND(V18+W18=0,$B18=""),U18*'Настройки УИК'!$K$22*'Настройки ТИК'!$C$32,0)</f>
        <v>0</v>
      </c>
      <c r="Z18" s="498">
        <f ca="1">IF(AND('Настройки ТИК'!$C$45="ТИК",'Настройки УИК'!$C$22="Председатель"),0,(X18+Y18)*ПК_ТИК)</f>
        <v>0</v>
      </c>
      <c r="AA18" s="333"/>
      <c r="AB18" s="498">
        <f ca="1">IF(VALUE(INDIRECT("'Настройки УИК'!$F$26"))&gt;0,(IF(AND(VALUE(MID($A18,4,2))=VALUE(MID('Настройки ТИК'!$C$17,4,2)),$B18="",AA18=8),AA18,0))*INDIRECT("'Настройки УИК'!$I$43")/8,0)</f>
        <v>0</v>
      </c>
      <c r="AC18" s="498">
        <f ca="1">IF(VALUE(INDIRECT("'Настройки УИК'!$F$26"))&gt;0,(IF(AND(VALUE(MID($A18,4,2))=VALUE(MID('Настройки ТИК'!$D$17,4,2)),$B18="",AA18=8),AA18,0))*INDIRECT("'Настройки УИК'!$J$26")/8,0)</f>
        <v>0</v>
      </c>
      <c r="AD18" s="498">
        <f ca="1">IF($B18="",0,AA18*'Настройки УИК'!$K$22*2*'Настройки ТИК'!$C$32)</f>
        <v>0</v>
      </c>
      <c r="AE18" s="498">
        <f ca="1">IF(AND(AB18+AC18=0,$B18=""),AA18*'Настройки УИК'!$K$22*'Настройки ТИК'!$C$32,0)</f>
        <v>0</v>
      </c>
      <c r="AF18" s="498">
        <f ca="1">IF(AND('Настройки ТИК'!$C$45="ТИК",'Настройки УИК'!$C$22="Председатель"),0,(AD18+AE18)*ПК_ТИК)</f>
        <v>0</v>
      </c>
      <c r="AG18" s="333"/>
      <c r="AH18" s="498">
        <f ca="1">IF(VALUE(INDIRECT("'Настройки УИК'!$F$27"))&gt;0,(IF(AND(VALUE(MID($A18,4,2))=VALUE(MID('Настройки ТИК'!$C$17,4,2)),$B18="",AG18=8),AG18,0))*INDIRECT("'Настройки УИК'!$I$27")/8,0)</f>
        <v>0</v>
      </c>
      <c r="AI18" s="498">
        <f ca="1">IF(VALUE(INDIRECT("'Настройки УИК'!$F$27"))&gt;0,(IF(AND(VALUE(MID($A18,4,2))=VALUE(MID('Настройки ТИК'!$D$17,4,2)),$B18="",AG18=8),AG18,0))*INDIRECT("'Настройки УИК'!$J$27")/8,0)</f>
        <v>0</v>
      </c>
      <c r="AJ18" s="498">
        <f ca="1">IF($B18="",0,AG18*'Настройки УИК'!$K$22*2*'Настройки ТИК'!$C$32)</f>
        <v>0</v>
      </c>
      <c r="AK18" s="498">
        <f ca="1">IF(AND(AH18+AI18=0,$B18=""),AG18*'Настройки УИК'!$K$22*'Настройки ТИК'!$C$32,0)</f>
        <v>0</v>
      </c>
      <c r="AL18" s="498">
        <f ca="1">IF(AND('Настройки ТИК'!$C$45="ТИК",'Настройки УИК'!$C$22="Председатель"),0,(AJ18+AK18)*ПК_ТИК)</f>
        <v>0</v>
      </c>
      <c r="AM18" s="333"/>
      <c r="AN18" s="498">
        <f ca="1">IF(VALUE(INDIRECT("'Настройки УИК'!$F$28"))&gt;0,(IF(AND(VALUE(MID($A18,4,2))=VALUE(MID('Настройки ТИК'!$C$17,4,2)),$B18="",AM18=8),AM18,0))*INDIRECT("'Настройки УИК'!$I$28")/8,0)</f>
        <v>0</v>
      </c>
      <c r="AO18" s="498">
        <f ca="1">IF(VALUE(INDIRECT("'Настройки УИК'!$F$28"))&gt;0,(IF(AND(VALUE(MID($A18,4,2))=VALUE(MID('Настройки ТИК'!$D$17,4,2)),$B18="",AM18=8),AM18,0))*INDIRECT("'Настройки УИК'!$J$28")/8,0)</f>
        <v>0</v>
      </c>
      <c r="AP18" s="498">
        <f ca="1">IF($B18="",0,AM18*'Настройки УИК'!$K$22*2*'Настройки ТИК'!$C$32)</f>
        <v>0</v>
      </c>
      <c r="AQ18" s="498">
        <f ca="1">IF(AND(AN18+AO18=0,$B18=""),AM18*'Настройки УИК'!$K$22*'Настройки ТИК'!$C$32,0)</f>
        <v>0</v>
      </c>
      <c r="AR18" s="498">
        <f ca="1">IF(AND('Настройки ТИК'!$C$45="ТИК",'Настройки УИК'!$C$22="Председатель"),0,(AP18+AQ18)*ПК_ТИК)</f>
        <v>0</v>
      </c>
      <c r="AS18" s="333"/>
      <c r="AT18" s="498">
        <f ca="1">IF(VALUE(INDIRECT("'Настройки УИК'!$F$29"))&gt;0,(IF(AND(VALUE(MID($A18,4,2))=VALUE(MID('Настройки ТИК'!$C$17,4,2)),$B18="",AS18=8),AS18,0))*INDIRECT("'Настройки УИК'!$I$29")/8,0)</f>
        <v>0</v>
      </c>
      <c r="AU18" s="498">
        <f ca="1">IF(VALUE(INDIRECT("'Настройки УИК'!$F$29"))&gt;0,(IF(AND(VALUE(MID($A18,4,2))=VALUE(MID('Настройки ТИК'!$D$17,4,2)),$B18="",AS18=8),AS18,0))*INDIRECT("'Настройки УИК'!$J$29")/8,0)</f>
        <v>0</v>
      </c>
      <c r="AV18" s="498">
        <f ca="1">IF($B18="",0,AS18*'Настройки УИК'!$K$22*2*'Настройки ТИК'!$C$32)</f>
        <v>0</v>
      </c>
      <c r="AW18" s="498">
        <f ca="1">IF(AND(AT18+AU18=0,$B18=""),AS18*'Настройки УИК'!$K$22*'Настройки ТИК'!$C$32,0)</f>
        <v>0</v>
      </c>
      <c r="AX18" s="498">
        <f ca="1">IF(AND('Настройки ТИК'!$C$45="ТИК",'Настройки УИК'!$C$22="Председатель"),0,(AV18+AW18)*ПК_ТИК)</f>
        <v>0</v>
      </c>
      <c r="AY18" s="333"/>
      <c r="AZ18" s="498">
        <f ca="1">IF(VALUE(INDIRECT("'Настройки УИК'!$F$30"))&gt;0,(IF(AND(VALUE(MID($A18,4,2))=VALUE(MID('Настройки ТИК'!$C$17,4,2)),$B18="",AY18=8),AY18,0))*INDIRECT("'Настройки УИК'!$I$30")/8,0)</f>
        <v>0</v>
      </c>
      <c r="BA18" s="498">
        <f ca="1">IF(VALUE(INDIRECT("'Настройки УИК'!$F$30"))&gt;0,(IF(AND(VALUE(MID($A18,4,2))=VALUE(MID('Настройки ТИК'!$D$17,4,2)),$B18="",AY18=8),AY18,0))*INDIRECT("'Настройки УИК'!$J$30")/8,0)</f>
        <v>0</v>
      </c>
      <c r="BB18" s="498">
        <f ca="1">IF($B18="",0,AY18*'Настройки УИК'!$K$22*2*'Настройки ТИК'!$C$32)</f>
        <v>0</v>
      </c>
      <c r="BC18" s="498">
        <f ca="1">IF(AND(AZ18+BA18=0,$B18=""),AY18*'Настройки УИК'!$K$22*'Настройки ТИК'!$C$32,0)</f>
        <v>0</v>
      </c>
      <c r="BD18" s="498">
        <f ca="1">IF(AND('Настройки ТИК'!$C$45="ТИК",'Настройки УИК'!$C$22="Председатель"),0,(BB18+BC18)*ПК_ТИК)</f>
        <v>0</v>
      </c>
      <c r="BE18" s="333"/>
      <c r="BF18" s="498">
        <f ca="1">IF(VALUE(INDIRECT("'Настройки УИК'!$F$31"))&gt;0,(IF(AND(VALUE(MID($A18,4,2))=VALUE(MID('Настройки ТИК'!$C$17,4,2)),$B18="",BE18=8),BE18,0))*INDIRECT("'Настройки УИК'!$I$31")/8,0)</f>
        <v>0</v>
      </c>
      <c r="BG18" s="498">
        <f ca="1">IF(VALUE(INDIRECT("'Настройки УИК'!$F$31"))&gt;0,(IF(AND(VALUE(MID($A18,4,2))=VALUE(MID('Настройки ТИК'!$D$17,4,2)),$B18="",BE18=8),BE18,0))*INDIRECT("'Настройки УИК'!$J$31")/8,0)</f>
        <v>0</v>
      </c>
      <c r="BH18" s="498">
        <f ca="1">IF($B18="",0,BE18*'Настройки УИК'!$K$22*2*'Настройки ТИК'!$C$32)</f>
        <v>0</v>
      </c>
      <c r="BI18" s="498">
        <f ca="1">IF(AND(BF18+BG18=0,$B18=""),BE18*'Настройки УИК'!$K$22*'Настройки ТИК'!$C$32,0)</f>
        <v>0</v>
      </c>
      <c r="BJ18" s="498">
        <f ca="1">IF(AND('Настройки ТИК'!$C$45="ТИК",'Настройки УИК'!$C$22="Председатель"),0,(BH18+BI18)*ПК_ТИК)</f>
        <v>0</v>
      </c>
      <c r="BK18" s="333"/>
      <c r="BL18" s="498">
        <f ca="1">IF(VALUE(INDIRECT("'Настройки УИК'!$F$32"))&gt;0,(IF(AND(VALUE(MID($A18,4,2))=VALUE(MID('Настройки ТИК'!$C$17,4,2)),$B18="",BK18=8),BK18,0))*INDIRECT("'Настройки УИК'!$I$32")/8,0)</f>
        <v>0</v>
      </c>
      <c r="BM18" s="498">
        <f ca="1">IF(VALUE(INDIRECT("'Настройки УИК'!$F$32"))&gt;0,(IF(AND(VALUE(MID($A18,4,2))=VALUE(MID('Настройки ТИК'!$D$17,4,2)),$B18="",BK18=8),BK18,0))*INDIRECT("'Настройки УИК'!$J$32")/8,0)</f>
        <v>0</v>
      </c>
      <c r="BN18" s="498">
        <f ca="1">IF($B18="",0,BK18*'Настройки УИК'!$K$22*2*'Настройки ТИК'!$C$32)</f>
        <v>0</v>
      </c>
      <c r="BO18" s="498">
        <f ca="1">IF(AND(BL18+BM18=0,$B18=""),BK18*'Настройки УИК'!$K$22*'Настройки ТИК'!$C$32,0)</f>
        <v>0</v>
      </c>
      <c r="BP18" s="498">
        <f ca="1">IF(AND('Настройки ТИК'!$C$45="ТИК",'Настройки УИК'!$C$22="Председатель"),0,(BN18+BO18)*ПК_ТИК)</f>
        <v>0</v>
      </c>
      <c r="BQ18" s="333"/>
      <c r="BR18" s="498">
        <f ca="1">IF(VALUE(INDIRECT("'Настройки УИК'!$F$33"))&gt;0,(IF(AND(VALUE(MID($A18,4,2))=VALUE(MID('Настройки ТИК'!$C$17,4,2)),$B18="",BQ18=8),BQ18,0))*INDIRECT("'Настройки УИК'!$I$33")/8,0)</f>
        <v>0</v>
      </c>
      <c r="BS18" s="498">
        <f ca="1">IF(VALUE(INDIRECT("'Настройки УИК'!$F$33"))&gt;0,(IF(AND(VALUE(MID($A18,4,2))=VALUE(MID('Настройки ТИК'!$D$17,4,2)),$B18="",BQ18=8),BQ18,0))*INDIRECT("'Настройки УИК'!$J$33")/8,0)</f>
        <v>0</v>
      </c>
      <c r="BT18" s="498">
        <f ca="1">IF($B18="",0,BQ18*'Настройки УИК'!$K$22*2*'Настройки ТИК'!$C$32)</f>
        <v>0</v>
      </c>
      <c r="BU18" s="498">
        <f ca="1">IF(AND(BR18+BS18=0,$B18=""),BQ18*'Настройки УИК'!$K$22*'Настройки ТИК'!$C$32,0)</f>
        <v>0</v>
      </c>
      <c r="BV18" s="498">
        <f ca="1">IF(AND('Настройки ТИК'!$C$45="ТИК",'Настройки УИК'!$C$22="Председатель"),0,(BT18+BU18)*ПК_ТИК)</f>
        <v>0</v>
      </c>
      <c r="BW18" s="333"/>
      <c r="BX18" s="498">
        <f ca="1">IF(VALUE(INDIRECT("'Настройки УИК'!$F$34"))&gt;0,(IF(AND(VALUE(MID($A18,4,2))=VALUE(MID('Настройки ТИК'!$C$17,4,2)),$B18="",BW18=8),BW18,0))*INDIRECT("'Настройки УИК'!$I$34")/8,0)</f>
        <v>0</v>
      </c>
      <c r="BY18" s="498">
        <f ca="1">IF(VALUE(INDIRECT("'Настройки УИК'!$F$34"))&gt;0,(IF(AND(VALUE(MID($A18,4,2))=VALUE(MID('Настройки ТИК'!$D$17,4,2)),$B18="",BW18=8),BW18,0))*INDIRECT("'Настройки УИК'!$J$34")/8,0)</f>
        <v>0</v>
      </c>
      <c r="BZ18" s="498">
        <f ca="1">IF($B18="",0,BW18*'Настройки УИК'!$K$22*2*'Настройки ТИК'!$C$32)</f>
        <v>0</v>
      </c>
      <c r="CA18" s="498">
        <f ca="1">IF(AND(BX18+BY18=0,$B18=""),BW18*'Настройки УИК'!$K$22*'Настройки ТИК'!$C$32,0)</f>
        <v>0</v>
      </c>
      <c r="CB18" s="498">
        <f ca="1">IF(AND('Настройки ТИК'!$C$45="ТИК",'Настройки УИК'!$C$22="Председатель"),0,(BZ18+CA18)*ПК_ТИК)</f>
        <v>0</v>
      </c>
      <c r="CC18" s="333"/>
      <c r="CD18" s="498">
        <f ca="1">IF(VALUE(INDIRECT("'Настройки УИК'!$F$35"))&gt;0,(IF(AND(VALUE(MID($A18,4,2))=VALUE(MID('Настройки ТИК'!$C$17,4,2)),$B18="",CC18=8),CC18,0))*INDIRECT("'Настройки УИК'!$I$35")/8,0)</f>
        <v>0</v>
      </c>
      <c r="CE18" s="498">
        <f ca="1">IF(VALUE(INDIRECT("'Настройки УИК'!$F$35"))&gt;0,(IF(AND(VALUE(MID($A18,4,2))=VALUE(MID('Настройки ТИК'!$D$17,4,2)),$B18="",CC18=8),CC18,0))*INDIRECT("'Настройки УИК'!$J$35")/8,0)</f>
        <v>0</v>
      </c>
      <c r="CF18" s="498">
        <f ca="1">IF($B18="",0,CC18*'Настройки УИК'!$K$22*2*'Настройки ТИК'!$C$32)</f>
        <v>0</v>
      </c>
      <c r="CG18" s="498">
        <f ca="1">IF(AND(CD18+CE18=0,$B18=""),CC18*'Настройки УИК'!$K$22*'Настройки ТИК'!$C$32,0)</f>
        <v>0</v>
      </c>
      <c r="CH18" s="498">
        <f ca="1">IF(AND('Настройки ТИК'!$C$45="ТИК",'Настройки УИК'!$C$22="Председатель"),0,(CF18+CG18)*ПК_ТИК)</f>
        <v>0</v>
      </c>
      <c r="CI18" s="333"/>
      <c r="CJ18" s="498">
        <f ca="1">IF(VALUE(INDIRECT("'Настройки УИК'!$F$36"))&gt;0,(IF(AND(VALUE(MID($A18,4,2))=VALUE(MID('Настройки ТИК'!$C$17,4,2)),$B18="",CI18=8),CI18,0))*INDIRECT("'Настройки УИК'!$I$36")/8,0)</f>
        <v>0</v>
      </c>
      <c r="CK18" s="498">
        <f ca="1">IF(VALUE(INDIRECT("'Настройки УИК'!$F$36"))&gt;0,(IF(AND(VALUE(MID($A18,4,2))=VALUE(MID('Настройки ТИК'!$D$17,4,2)),$B18="",CI18=8),CI18,0))*INDIRECT("'Настройки УИК'!$J$36")/8,0)</f>
        <v>0</v>
      </c>
      <c r="CL18" s="498">
        <f ca="1">IF($B18="",0,CI18*'Настройки УИК'!$K$22*2*'Настройки ТИК'!$C$32)</f>
        <v>0</v>
      </c>
      <c r="CM18" s="498">
        <f ca="1">IF(AND(CJ18+CK18=0,$B18=""),CI18*'Настройки УИК'!$K$22*'Настройки ТИК'!$C$32,0)</f>
        <v>0</v>
      </c>
      <c r="CN18" s="498">
        <f ca="1">IF(AND('Настройки ТИК'!$C$45="ТИК",'Настройки УИК'!$C$22="Председатель"),0,(CL18+CM18)*ПК_ТИК)</f>
        <v>0</v>
      </c>
      <c r="CO18" s="333"/>
      <c r="CP18" s="498">
        <f ca="1">IF(VALUE(INDIRECT("'Настройки УИК'!$F$37"))&gt;0,(IF(AND(VALUE(MID($A18,4,2))=VALUE(MID('Настройки ТИК'!$C$17,4,2)),$B18="",CO18=8),CO18,0))*INDIRECT("'Настройки УИК'!$I$37")/8,0)</f>
        <v>0</v>
      </c>
      <c r="CQ18" s="498">
        <f ca="1">IF(VALUE(INDIRECT("'Настройки УИК'!$F$37"))&gt;0,(IF(AND(VALUE(MID($A18,4,2))=VALUE(MID('Настройки ТИК'!$D$17,4,2)),$B18="",CO18=8),CO18,0))*INDIRECT("'Настройки УИК'!$J$37")/8,0)</f>
        <v>0</v>
      </c>
      <c r="CR18" s="498">
        <f ca="1">IF($B18="",0,CO18*'Настройки УИК'!$K$22*2*'Настройки ТИК'!$C$32)</f>
        <v>0</v>
      </c>
      <c r="CS18" s="498">
        <f ca="1">IF(AND(CP18+CQ18=0,$B18=""),CO18*'Настройки УИК'!$K$22*'Настройки ТИК'!$C$32,0)</f>
        <v>0</v>
      </c>
      <c r="CT18" s="498">
        <f ca="1">IF(AND('Настройки ТИК'!$C$45="ТИК",'Настройки УИК'!$C$22="Председатель"),0,(CR18+CS18)*ПК_ТИК)</f>
        <v>0</v>
      </c>
      <c r="CU18" s="333"/>
      <c r="CV18" s="498">
        <f ca="1">IF(VALUE(INDIRECT("'Настройки УИК'!$F$38"))&gt;0,(IF(AND(VALUE(MID($A18,4,2))=VALUE(MID('Настройки ТИК'!$C$17,4,2)),$B18="",CU18=8),CU18,0))*INDIRECT("'Настройки УИК'!$I$38")/8,0)</f>
        <v>0</v>
      </c>
      <c r="CW18" s="498">
        <f ca="1">IF(VALUE(INDIRECT("'Настройки УИК'!$F$38"))&gt;0,(IF(AND(VALUE(MID($A18,4,2))=VALUE(MID('Настройки ТИК'!$D$17,4,2)),$B18="",CU18=8),CU18,0))*INDIRECT("'Настройки УИК'!$J$38")/8,0)</f>
        <v>0</v>
      </c>
      <c r="CX18" s="498">
        <f ca="1">IF($B18="",0,CU18*'Настройки УИК'!$K$22*2*'Настройки ТИК'!$C$32)</f>
        <v>0</v>
      </c>
      <c r="CY18" s="498">
        <f ca="1">IF(AND(CV18+CW18=0,$B18=""),CU18*'Настройки УИК'!$K$22*'Настройки ТИК'!$C$32,0)</f>
        <v>0</v>
      </c>
      <c r="CZ18" s="498">
        <f ca="1">IF(AND('Настройки ТИК'!$C$45="ТИК",'Настройки УИК'!$C$22="Председатель"),0,(CX18+CY18)*ПК_ТИК)</f>
        <v>0</v>
      </c>
      <c r="DA18" s="333"/>
      <c r="DB18" s="498">
        <f ca="1">IF(VALUE(INDIRECT("'Настройки УИК'!$F$39"))&gt;0,(IF(AND(VALUE(MID($A18,4,2))=VALUE(MID('Настройки ТИК'!$C$17,4,2)),$B18="",DA18=8),DA18,0))*INDIRECT("'Настройки УИК'!$I$39")/8,0)</f>
        <v>0</v>
      </c>
      <c r="DC18" s="498">
        <f ca="1">IF(VALUE(INDIRECT("'Настройки УИК'!$F$39"))&gt;0,(IF(AND(VALUE(MID($A18,4,2))=VALUE(MID('Настройки ТИК'!$D$17,4,2)),$B18="",DA18=8),DA18,0))*INDIRECT("'Настройки УИК'!$J$39")/8,0)</f>
        <v>0</v>
      </c>
      <c r="DD18" s="498">
        <f ca="1">IF($B18="",0,DA18*'Настройки УИК'!$K$22*2*'Настройки ТИК'!$C$32)</f>
        <v>0</v>
      </c>
      <c r="DE18" s="498">
        <f ca="1">IF(AND(DB18+DC18=0,$B18=""),DA18*'Настройки УИК'!$K$22*'Настройки ТИК'!$C$32,0)</f>
        <v>0</v>
      </c>
      <c r="DF18" s="498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56" t="s">
        <v>506</v>
      </c>
      <c r="B19" s="757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56" t="s">
        <v>507</v>
      </c>
      <c r="B20" s="757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74" t="s">
        <v>19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325"/>
      <c r="Q23" s="325"/>
      <c r="R23" s="325"/>
      <c r="S23" s="325"/>
      <c r="T23" s="32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4" t="str">
        <f ca="1">'Настройки УИК'!$I$28</f>
        <v/>
      </c>
      <c r="AT23" s="754"/>
      <c r="AU23" s="754"/>
      <c r="AV23" s="754"/>
      <c r="AW23" s="754"/>
      <c r="AX23" s="754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755"/>
      <c r="BR23" s="755"/>
      <c r="BS23" s="755"/>
      <c r="BT23" s="755"/>
      <c r="BU23" s="755"/>
      <c r="BV23" s="755"/>
      <c r="BW23" s="755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3" t="s">
        <v>5</v>
      </c>
      <c r="V24" s="753"/>
      <c r="W24" s="753"/>
      <c r="X24" s="753"/>
      <c r="Y24" s="753"/>
      <c r="Z24" s="753"/>
      <c r="AA24" s="753"/>
      <c r="AB24" s="753"/>
      <c r="AC24" s="753"/>
      <c r="AD24" s="753"/>
      <c r="AE24" s="753"/>
      <c r="AF24" s="753"/>
      <c r="AG24" s="753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3" t="s">
        <v>6</v>
      </c>
      <c r="AT24" s="753"/>
      <c r="AU24" s="753"/>
      <c r="AV24" s="753"/>
      <c r="AW24" s="753"/>
      <c r="AX24" s="753"/>
      <c r="AY24" s="753"/>
      <c r="AZ24" s="753"/>
      <c r="BA24" s="753"/>
      <c r="BB24" s="753"/>
      <c r="BC24" s="753"/>
      <c r="BD24" s="753"/>
      <c r="BE24" s="753"/>
      <c r="BF24" s="753"/>
      <c r="BG24" s="753"/>
      <c r="BH24" s="753"/>
      <c r="BI24" s="753"/>
      <c r="BJ24" s="753"/>
      <c r="BK24" s="753"/>
      <c r="BL24" s="753"/>
      <c r="BM24" s="753"/>
      <c r="BN24" s="753"/>
      <c r="BO24" s="753"/>
      <c r="BP24" s="753"/>
      <c r="BQ24" s="753"/>
      <c r="BR24" s="753"/>
      <c r="BS24" s="753"/>
      <c r="BT24" s="753"/>
      <c r="BU24" s="753"/>
      <c r="BV24" s="753"/>
      <c r="BW24" s="753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58" t="s">
        <v>508</v>
      </c>
      <c r="B25" s="758"/>
      <c r="C25" s="758"/>
      <c r="D25" s="758"/>
      <c r="E25" s="758"/>
      <c r="F25" s="758"/>
      <c r="G25" s="758"/>
      <c r="H25" s="758"/>
      <c r="I25" s="758"/>
      <c r="J25" s="758"/>
      <c r="K25" s="758"/>
      <c r="L25" s="758"/>
      <c r="M25" s="758"/>
      <c r="N25" s="758"/>
      <c r="O25" s="758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65" t="str">
        <f>IF('Настройки УИК'!$C22=0," ",'Настройки УИК'!C22)</f>
        <v/>
      </c>
      <c r="D27" s="765"/>
      <c r="E27" s="765"/>
      <c r="F27" s="765"/>
      <c r="G27" s="765"/>
      <c r="H27" s="765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44" t="s">
        <v>893</v>
      </c>
      <c r="B28" s="745"/>
      <c r="C28" s="499" t="e">
        <f ca="1">SUM(INDIRECT("D18:E"&amp;MROUND(N($D$4),1)+17))</f>
        <v>#DIV/0!</v>
      </c>
      <c r="D28" s="499"/>
      <c r="E28" s="499"/>
      <c r="F28" s="499"/>
      <c r="G28" s="499"/>
      <c r="H28" s="499"/>
      <c r="I28" s="499" t="e">
        <f ca="1">SUM(INDIRECT("J18:K"&amp;MROUND(N($D$4),1)+17))</f>
        <v>#DIV/0!</v>
      </c>
      <c r="J28" s="499"/>
      <c r="K28" s="499"/>
      <c r="L28" s="499"/>
      <c r="M28" s="499"/>
      <c r="N28" s="499"/>
      <c r="O28" s="499" t="e">
        <f ca="1">SUM(INDIRECT("P18:Q"&amp;MROUND(N($D$4),1)+17))</f>
        <v>#DIV/0!</v>
      </c>
      <c r="P28" s="499"/>
      <c r="Q28" s="499"/>
      <c r="R28" s="499"/>
      <c r="S28" s="499"/>
      <c r="T28" s="499"/>
      <c r="U28" s="499" t="e">
        <f ca="1">SUM(INDIRECT("V18:W"&amp;MROUND(N($D$4),1)+17))</f>
        <v>#DIV/0!</v>
      </c>
      <c r="V28" s="499"/>
      <c r="W28" s="499"/>
      <c r="X28" s="499"/>
      <c r="Y28" s="499"/>
      <c r="Z28" s="499"/>
      <c r="AA28" s="499" t="e">
        <f ca="1">SUM(INDIRECT("AB18:AC"&amp;MROUND(N($D$4),1)+17))</f>
        <v>#DIV/0!</v>
      </c>
      <c r="AB28" s="499"/>
      <c r="AC28" s="499"/>
      <c r="AD28" s="499"/>
      <c r="AE28" s="499"/>
      <c r="AF28" s="499"/>
      <c r="AG28" s="499" t="e">
        <f ca="1">SUM(INDIRECT("AH18:AI"&amp;MROUND(N($D$4),1)+17))</f>
        <v>#DIV/0!</v>
      </c>
      <c r="AH28" s="499"/>
      <c r="AI28" s="499"/>
      <c r="AJ28" s="499"/>
      <c r="AK28" s="499"/>
      <c r="AL28" s="499"/>
      <c r="AM28" s="499" t="e">
        <f ca="1">SUM(INDIRECT("AN18:AO"&amp;MROUND(N($D$4),1)+17))</f>
        <v>#DIV/0!</v>
      </c>
      <c r="AN28" s="499"/>
      <c r="AO28" s="499"/>
      <c r="AP28" s="499"/>
      <c r="AQ28" s="499"/>
      <c r="AR28" s="499"/>
      <c r="AS28" s="499" t="e">
        <f ca="1">SUM(INDIRECT("AT18:AU"&amp;MROUND(N($D$4),1)+17))</f>
        <v>#DIV/0!</v>
      </c>
      <c r="AT28" s="499"/>
      <c r="AU28" s="499"/>
      <c r="AV28" s="499"/>
      <c r="AW28" s="499"/>
      <c r="AX28" s="499"/>
      <c r="AY28" s="499" t="e">
        <f ca="1">SUM(INDIRECT("AZ18:BA"&amp;MROUND(N($D$4),1)+17))</f>
        <v>#DIV/0!</v>
      </c>
      <c r="AZ28" s="499"/>
      <c r="BA28" s="499"/>
      <c r="BB28" s="499"/>
      <c r="BC28" s="499"/>
      <c r="BD28" s="499"/>
      <c r="BE28" s="499" t="e">
        <f ca="1">SUM(INDIRECT("BF18:BG"&amp;MROUND(N($D$4),1)+17))</f>
        <v>#DIV/0!</v>
      </c>
      <c r="BF28" s="499"/>
      <c r="BG28" s="499"/>
      <c r="BH28" s="499"/>
      <c r="BI28" s="499"/>
      <c r="BJ28" s="499"/>
      <c r="BK28" s="499" t="e">
        <f ca="1">SUM(INDIRECT("BL18:BM"&amp;MROUND(N($D$4),1)+17))</f>
        <v>#DIV/0!</v>
      </c>
      <c r="BL28" s="499"/>
      <c r="BM28" s="499"/>
      <c r="BN28" s="499"/>
      <c r="BO28" s="499"/>
      <c r="BP28" s="499"/>
      <c r="BQ28" s="499" t="e">
        <f ca="1">SUM(INDIRECT("BR18:BS"&amp;MROUND(N($D$4),1)+17))</f>
        <v>#DIV/0!</v>
      </c>
      <c r="BR28" s="499"/>
      <c r="BS28" s="499"/>
      <c r="BT28" s="499"/>
      <c r="BU28" s="499"/>
      <c r="BV28" s="499"/>
      <c r="BW28" s="499" t="e">
        <f ca="1">SUM(INDIRECT("BX18:BY"&amp;MROUND(N($D$4),1)+17))</f>
        <v>#DIV/0!</v>
      </c>
      <c r="BX28" s="499"/>
      <c r="BY28" s="499"/>
      <c r="BZ28" s="499"/>
      <c r="CA28" s="499"/>
      <c r="CB28" s="499"/>
      <c r="CC28" s="499" t="e">
        <f ca="1">SUM(INDIRECT("CD18:CE"&amp;MROUND(N($D$4),1)+17))</f>
        <v>#DIV/0!</v>
      </c>
      <c r="CD28" s="499"/>
      <c r="CE28" s="499"/>
      <c r="CF28" s="499"/>
      <c r="CG28" s="499"/>
      <c r="CH28" s="499"/>
      <c r="CI28" s="499" t="e">
        <f ca="1">SUM(INDIRECT("CJ18:CK"&amp;MROUND(N($D$4),1)+17))</f>
        <v>#DIV/0!</v>
      </c>
      <c r="CJ28" s="499"/>
      <c r="CK28" s="499"/>
      <c r="CL28" s="499"/>
      <c r="CM28" s="499"/>
      <c r="CN28" s="499"/>
      <c r="CO28" s="499" t="e">
        <f ca="1">SUM(INDIRECT("CP18:CQ"&amp;MROUND(N($D$4),1)+17))</f>
        <v>#DIV/0!</v>
      </c>
      <c r="CP28" s="499"/>
      <c r="CQ28" s="499"/>
      <c r="CR28" s="499"/>
      <c r="CS28" s="499"/>
      <c r="CT28" s="499"/>
      <c r="CU28" s="499" t="e">
        <f ca="1">SUM(INDIRECT("CV18:CW"&amp;MROUND(N($D$4),1)+17))</f>
        <v>#DIV/0!</v>
      </c>
      <c r="CV28" s="499"/>
      <c r="CW28" s="499"/>
      <c r="CX28" s="499"/>
      <c r="CY28" s="499"/>
      <c r="CZ28" s="499"/>
      <c r="DA28" s="499" t="e">
        <f ca="1">SUM(INDIRECT("DB18:DC"&amp;MROUND(N($D$4),1)+17))</f>
        <v>#DIV/0!</v>
      </c>
      <c r="DB28" s="499"/>
      <c r="DC28" s="499"/>
      <c r="DD28" s="499"/>
      <c r="DE28" s="499"/>
      <c r="DF28" s="500"/>
      <c r="DG28" s="501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19">
        <f>Сумм_К_НЕЗП</f>
        <v>0</v>
      </c>
      <c r="DI28" s="520" t="e">
        <f ca="1">INDIRECT("DH"&amp;MROUND(N($D$4),1)+27)-INDIRECT("DG"&amp;MROUND(N($D$4),1)+27)</f>
        <v>#DIV/0!</v>
      </c>
    </row>
    <row r="29" spans="1:113" s="234" customFormat="1" ht="55.5" customHeight="1">
      <c r="A29" s="742" t="s">
        <v>894</v>
      </c>
      <c r="B29" s="743"/>
      <c r="C29" s="502" t="e">
        <f ca="1">SUM(INDIRECT("F18:H"&amp;MROUND(N($D$4),1)+17))</f>
        <v>#DIV/0!</v>
      </c>
      <c r="D29" s="502"/>
      <c r="E29" s="502"/>
      <c r="F29" s="502"/>
      <c r="G29" s="502"/>
      <c r="H29" s="502"/>
      <c r="I29" s="502" t="e">
        <f ca="1">SUM(INDIRECT("L18:N"&amp;MROUND(N($D$4),1)+17))</f>
        <v>#DIV/0!</v>
      </c>
      <c r="J29" s="502"/>
      <c r="K29" s="502"/>
      <c r="L29" s="502"/>
      <c r="M29" s="502"/>
      <c r="N29" s="502"/>
      <c r="O29" s="502" t="e">
        <f ca="1">SUM(INDIRECT("R18:T"&amp;MROUND(N($D$4),1)+17))</f>
        <v>#DIV/0!</v>
      </c>
      <c r="P29" s="502"/>
      <c r="Q29" s="502"/>
      <c r="R29" s="502"/>
      <c r="S29" s="502"/>
      <c r="T29" s="502"/>
      <c r="U29" s="502" t="e">
        <f ca="1">SUM(INDIRECT("X18:Z"&amp;MROUND(N($D$4),1)+17))</f>
        <v>#DIV/0!</v>
      </c>
      <c r="V29" s="502"/>
      <c r="W29" s="502"/>
      <c r="X29" s="502"/>
      <c r="Y29" s="502"/>
      <c r="Z29" s="502"/>
      <c r="AA29" s="502" t="e">
        <f ca="1">SUM(INDIRECT("AD18:AF"&amp;MROUND(N($D$4),1)+17))</f>
        <v>#DIV/0!</v>
      </c>
      <c r="AB29" s="502"/>
      <c r="AC29" s="502"/>
      <c r="AD29" s="502"/>
      <c r="AE29" s="502"/>
      <c r="AF29" s="502"/>
      <c r="AG29" s="502" t="e">
        <f ca="1">SUM(INDIRECT("AJ18:AL"&amp;MROUND(N($D$4),1)+17))</f>
        <v>#DIV/0!</v>
      </c>
      <c r="AH29" s="502"/>
      <c r="AI29" s="502"/>
      <c r="AJ29" s="502"/>
      <c r="AK29" s="502"/>
      <c r="AL29" s="502"/>
      <c r="AM29" s="502" t="e">
        <f ca="1">SUM(INDIRECT("AP18:AR"&amp;MROUND(N($D$4),1)+17))</f>
        <v>#DIV/0!</v>
      </c>
      <c r="AN29" s="502"/>
      <c r="AO29" s="502"/>
      <c r="AP29" s="502"/>
      <c r="AQ29" s="502"/>
      <c r="AR29" s="502"/>
      <c r="AS29" s="502" t="e">
        <f ca="1">SUM(INDIRECT("AV18:AX"&amp;MROUND(N($D$4),1)+17))</f>
        <v>#DIV/0!</v>
      </c>
      <c r="AT29" s="502"/>
      <c r="AU29" s="502"/>
      <c r="AV29" s="502"/>
      <c r="AW29" s="502"/>
      <c r="AX29" s="502"/>
      <c r="AY29" s="502" t="e">
        <f ca="1">SUM(INDIRECT("BB18:BD"&amp;MROUND(N($D$4),1)+17))</f>
        <v>#DIV/0!</v>
      </c>
      <c r="AZ29" s="502"/>
      <c r="BA29" s="502"/>
      <c r="BB29" s="502"/>
      <c r="BC29" s="502"/>
      <c r="BD29" s="502"/>
      <c r="BE29" s="502" t="e">
        <f ca="1">SUM(INDIRECT("BH18:BJ"&amp;MROUND(N($D$4),1)+17))</f>
        <v>#DIV/0!</v>
      </c>
      <c r="BF29" s="502"/>
      <c r="BG29" s="502"/>
      <c r="BH29" s="502"/>
      <c r="BI29" s="502"/>
      <c r="BJ29" s="502"/>
      <c r="BK29" s="502" t="e">
        <f ca="1">SUM(INDIRECT("BN18:BP"&amp;MROUND(N($D$4),1)+17))</f>
        <v>#DIV/0!</v>
      </c>
      <c r="BL29" s="502"/>
      <c r="BM29" s="502"/>
      <c r="BN29" s="502"/>
      <c r="BO29" s="502"/>
      <c r="BP29" s="502"/>
      <c r="BQ29" s="502" t="e">
        <f ca="1">SUM(INDIRECT("BT18:BV"&amp;MROUND(N($D$4),1)+17))</f>
        <v>#DIV/0!</v>
      </c>
      <c r="BR29" s="502"/>
      <c r="BS29" s="502"/>
      <c r="BT29" s="502"/>
      <c r="BU29" s="502"/>
      <c r="BV29" s="502"/>
      <c r="BW29" s="502" t="e">
        <f ca="1">SUM(INDIRECT("BZ18:CB"&amp;MROUND(N($D$4),1)+17))</f>
        <v>#DIV/0!</v>
      </c>
      <c r="BX29" s="502"/>
      <c r="BY29" s="502"/>
      <c r="BZ29" s="502"/>
      <c r="CA29" s="502"/>
      <c r="CB29" s="502"/>
      <c r="CC29" s="502" t="e">
        <f ca="1">SUM(INDIRECT("CF18:CH"&amp;MROUND(N($D$4),1)+17))</f>
        <v>#DIV/0!</v>
      </c>
      <c r="CD29" s="502"/>
      <c r="CE29" s="502"/>
      <c r="CF29" s="502"/>
      <c r="CG29" s="502"/>
      <c r="CH29" s="502"/>
      <c r="CI29" s="502" t="e">
        <f ca="1">SUM(INDIRECT("CL18:CN"&amp;MROUND(N($D$4),1)+17))</f>
        <v>#DIV/0!</v>
      </c>
      <c r="CJ29" s="502"/>
      <c r="CK29" s="502"/>
      <c r="CL29" s="502"/>
      <c r="CM29" s="502"/>
      <c r="CN29" s="502"/>
      <c r="CO29" s="502" t="e">
        <f ca="1">SUM(INDIRECT("CL18:CN"&amp;MROUND(N($D$4),1)+17))</f>
        <v>#DIV/0!</v>
      </c>
      <c r="CP29" s="502"/>
      <c r="CQ29" s="502"/>
      <c r="CR29" s="502"/>
      <c r="CS29" s="502"/>
      <c r="CT29" s="502"/>
      <c r="CU29" s="502" t="e">
        <f ca="1">SUM(INDIRECT("CX18:CZ"&amp;MROUND(N($D$4),1)+17))</f>
        <v>#DIV/0!</v>
      </c>
      <c r="CV29" s="502"/>
      <c r="CW29" s="502"/>
      <c r="CX29" s="502"/>
      <c r="CY29" s="502"/>
      <c r="CZ29" s="502"/>
      <c r="DA29" s="502" t="e">
        <f ca="1">SUM(INDIRECT("DD18:DF"&amp;MROUND(N($D$4),1)+17))</f>
        <v>#DIV/0!</v>
      </c>
      <c r="DB29" s="502"/>
      <c r="DC29" s="502"/>
      <c r="DD29" s="502"/>
      <c r="DE29" s="502"/>
      <c r="DF29" s="503"/>
      <c r="DG29" s="504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1">
        <f>Сумм_Д_НЕЗП</f>
        <v>0</v>
      </c>
      <c r="DI29" s="520" t="e">
        <f ca="1">INDIRECT("DH"&amp;MROUND(N($D$4),1)+28)-INDIRECT("DG"&amp;MROUND(N($D$4),1)+28)</f>
        <v>#DIV/0!</v>
      </c>
    </row>
    <row r="30" spans="1:113" s="234" customFormat="1" ht="36" customHeight="1">
      <c r="A30" s="742" t="s">
        <v>861</v>
      </c>
      <c r="B30" s="743"/>
      <c r="C30" s="502" t="e">
        <f ca="1">SUM(INDIRECT("D18:E"&amp;MROUND(N($D$4),1)+17))+SUM(INDIRECT("F18:H"&amp;MROUND(N($D$4),1)+17))</f>
        <v>#DIV/0!</v>
      </c>
      <c r="D30" s="502"/>
      <c r="E30" s="502"/>
      <c r="F30" s="502"/>
      <c r="G30" s="502"/>
      <c r="H30" s="502"/>
      <c r="I30" s="502" t="e">
        <f ca="1">SUM(INDIRECT("J18:K"&amp;MROUND(N($D$4),1)+17))+SUM(INDIRECT("L18:N"&amp;MROUND(N($D$4),1)+17))</f>
        <v>#DIV/0!</v>
      </c>
      <c r="J30" s="502"/>
      <c r="K30" s="502"/>
      <c r="L30" s="502"/>
      <c r="M30" s="502"/>
      <c r="N30" s="502"/>
      <c r="O30" s="502" t="e">
        <f ca="1">SUM(INDIRECT("P18:Q"&amp;MROUND(N($D$4),1)+17))+SUM(INDIRECT("R18:T"&amp;MROUND(N($D$4),1)+17))</f>
        <v>#DIV/0!</v>
      </c>
      <c r="P30" s="502"/>
      <c r="Q30" s="502"/>
      <c r="R30" s="502"/>
      <c r="S30" s="502"/>
      <c r="T30" s="502"/>
      <c r="U30" s="502" t="e">
        <f ca="1">SUM(INDIRECT("V18:W"&amp;MROUND(N($D$4),1)+17))+SUM(INDIRECT("X18:Z"&amp;MROUND(N($D$4),1)+17))</f>
        <v>#DIV/0!</v>
      </c>
      <c r="V30" s="502"/>
      <c r="W30" s="502"/>
      <c r="X30" s="502"/>
      <c r="Y30" s="502"/>
      <c r="Z30" s="502"/>
      <c r="AA30" s="502" t="e">
        <f ca="1">SUM(INDIRECT("AB18:AC"&amp;MROUND(N($D$4),1)+17))+SUM(INDIRECT("AD18:AF"&amp;MROUND(N($D$4),1)+17))</f>
        <v>#DIV/0!</v>
      </c>
      <c r="AB30" s="502"/>
      <c r="AC30" s="502"/>
      <c r="AD30" s="502"/>
      <c r="AE30" s="502"/>
      <c r="AF30" s="502"/>
      <c r="AG30" s="502" t="e">
        <f ca="1">SUM(INDIRECT("AH18:AI"&amp;MROUND(N($D$4),1)+17))+SUM(INDIRECT("AJ18:AL"&amp;MROUND(N($D$4),1)+17))</f>
        <v>#DIV/0!</v>
      </c>
      <c r="AH30" s="502"/>
      <c r="AI30" s="502"/>
      <c r="AJ30" s="502"/>
      <c r="AK30" s="502"/>
      <c r="AL30" s="502"/>
      <c r="AM30" s="502" t="e">
        <f ca="1">SUM(INDIRECT("AN18:AO"&amp;MROUND(N($D$4),1)+17))+SUM(INDIRECT("AP18:AR"&amp;MROUND(N($D$4),1)+17))</f>
        <v>#DIV/0!</v>
      </c>
      <c r="AN30" s="502"/>
      <c r="AO30" s="502"/>
      <c r="AP30" s="502"/>
      <c r="AQ30" s="502"/>
      <c r="AR30" s="502"/>
      <c r="AS30" s="502" t="e">
        <f ca="1">SUM(INDIRECT("AT18:AU"&amp;MROUND(N($D$4),1)+17))+SUM(INDIRECT("AV18:AX"&amp;MROUND(N($D$4),1)+17))</f>
        <v>#DIV/0!</v>
      </c>
      <c r="AT30" s="502"/>
      <c r="AU30" s="502"/>
      <c r="AV30" s="502"/>
      <c r="AW30" s="502"/>
      <c r="AX30" s="502"/>
      <c r="AY30" s="502" t="e">
        <f ca="1">SUM(INDIRECT("AZ18:BA"&amp;MROUND(N($D$4),1)+17))+SUM(INDIRECT("BB18:BD"&amp;MROUND(N($D$4),1)+17))</f>
        <v>#DIV/0!</v>
      </c>
      <c r="AZ30" s="502"/>
      <c r="BA30" s="502"/>
      <c r="BB30" s="502"/>
      <c r="BC30" s="502"/>
      <c r="BD30" s="502"/>
      <c r="BE30" s="502" t="e">
        <f ca="1">SUM(INDIRECT("BF18:BG"&amp;MROUND(N($D$4),1)+17))+SUM(INDIRECT("BH18:BJ"&amp;MROUND(N($D$4),1)+17))</f>
        <v>#DIV/0!</v>
      </c>
      <c r="BF30" s="502"/>
      <c r="BG30" s="502"/>
      <c r="BH30" s="502"/>
      <c r="BI30" s="502"/>
      <c r="BJ30" s="502"/>
      <c r="BK30" s="502" t="e">
        <f ca="1">SUM(INDIRECT("BL18:BM"&amp;MROUND(N($D$4),1)+17))+SUM(INDIRECT("BN18:BP"&amp;MROUND(N($D$4),1)+17))</f>
        <v>#DIV/0!</v>
      </c>
      <c r="BL30" s="502"/>
      <c r="BM30" s="502"/>
      <c r="BN30" s="502"/>
      <c r="BO30" s="502"/>
      <c r="BP30" s="502"/>
      <c r="BQ30" s="502" t="e">
        <f ca="1">SUM(INDIRECT("BR18:BS"&amp;MROUND(N($D$4),1)+17))+SUM(INDIRECT("BT18:BV"&amp;MROUND(N($D$4),1)+17))</f>
        <v>#DIV/0!</v>
      </c>
      <c r="BR30" s="502"/>
      <c r="BS30" s="502"/>
      <c r="BT30" s="502"/>
      <c r="BU30" s="502"/>
      <c r="BV30" s="502"/>
      <c r="BW30" s="502" t="e">
        <f ca="1">SUM(INDIRECT("BX18:BY"&amp;MROUND(N($D$4),1)+17))+SUM(INDIRECT("BZ18:CB"&amp;MROUND(N($D$4),1)+17))</f>
        <v>#DIV/0!</v>
      </c>
      <c r="BX30" s="502"/>
      <c r="BY30" s="502"/>
      <c r="BZ30" s="502"/>
      <c r="CA30" s="502"/>
      <c r="CB30" s="502"/>
      <c r="CC30" s="502" t="e">
        <f ca="1">SUM(INDIRECT("CD18:CE"&amp;MROUND(N($D$4),1)+17))+SUM(INDIRECT("CF18:CH"&amp;MROUND(N($D$4),1)+17))</f>
        <v>#DIV/0!</v>
      </c>
      <c r="CD30" s="502"/>
      <c r="CE30" s="502"/>
      <c r="CF30" s="502"/>
      <c r="CG30" s="502"/>
      <c r="CH30" s="502"/>
      <c r="CI30" s="502" t="e">
        <f ca="1">SUM(INDIRECT("CJ18:CK"&amp;MROUND(N($D$4),1)+17))+SUM(INDIRECT("CL18:CN"&amp;MROUND(N($D$4),1)+17))</f>
        <v>#DIV/0!</v>
      </c>
      <c r="CJ30" s="502"/>
      <c r="CK30" s="502"/>
      <c r="CL30" s="502"/>
      <c r="CM30" s="502"/>
      <c r="CN30" s="502"/>
      <c r="CO30" s="502" t="e">
        <f ca="1">SUM(INDIRECT("CP18:CQ"&amp;MROUND(N($D$4),1)+17))+SUM(INDIRECT("CR18:CT"&amp;MROUND(N($D$4),1)+17))</f>
        <v>#DIV/0!</v>
      </c>
      <c r="CP30" s="502"/>
      <c r="CQ30" s="502"/>
      <c r="CR30" s="502"/>
      <c r="CS30" s="502"/>
      <c r="CT30" s="502"/>
      <c r="CU30" s="502" t="e">
        <f ca="1">SUM(INDIRECT("CV18:CW"&amp;MROUND(N($D$4),1)+17))+SUM(INDIRECT("CX18:CZ"&amp;MROUND(N($D$4),1)+17))</f>
        <v>#DIV/0!</v>
      </c>
      <c r="CV30" s="502"/>
      <c r="CW30" s="502"/>
      <c r="CX30" s="502"/>
      <c r="CY30" s="502"/>
      <c r="CZ30" s="502"/>
      <c r="DA30" s="502" t="e">
        <f ca="1">SUM(INDIRECT("DB18:DC"&amp;MROUND(N($D$4),1)+17))+SUM(INDIRECT("DD18:DF"&amp;MROUND(N($D$4),1)+17))</f>
        <v>#DIV/0!</v>
      </c>
      <c r="DB30" s="502"/>
      <c r="DC30" s="502"/>
      <c r="DD30" s="502"/>
      <c r="DE30" s="502"/>
      <c r="DF30" s="502"/>
      <c r="DG30" s="504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1">
        <f>Сумм_К_НЕЗП+Сумм_Д_НЕЗП</f>
        <v>0</v>
      </c>
      <c r="DI30" s="520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4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52" t="s">
        <v>944</v>
      </c>
      <c r="D34" s="752"/>
      <c r="E34" s="752"/>
      <c r="F34" s="752"/>
      <c r="G34" s="752"/>
      <c r="H34" s="752"/>
      <c r="I34" s="752"/>
      <c r="J34" s="752"/>
      <c r="K34" s="752"/>
      <c r="L34" s="752"/>
      <c r="M34" s="752"/>
      <c r="N34" s="752"/>
      <c r="O34" s="752"/>
      <c r="P34" s="752"/>
      <c r="Q34" s="752"/>
      <c r="R34" s="752"/>
      <c r="S34" s="752"/>
      <c r="T34" s="752"/>
      <c r="U34" s="752"/>
      <c r="V34" s="752"/>
      <c r="W34" s="752"/>
      <c r="X34" s="752"/>
      <c r="Y34" s="752"/>
      <c r="Z34" s="752"/>
      <c r="AA34" s="752"/>
      <c r="AB34" s="752"/>
      <c r="AC34" s="752"/>
      <c r="AD34" s="752"/>
      <c r="AE34" s="752"/>
      <c r="AF34" s="752"/>
      <c r="AG34" s="752"/>
      <c r="AH34" s="752"/>
      <c r="AI34" s="752"/>
      <c r="AJ34" s="752"/>
      <c r="AK34" s="752"/>
      <c r="AL34" s="752"/>
      <c r="AM34" s="752"/>
      <c r="AN34" s="752"/>
      <c r="AO34" s="752"/>
      <c r="AP34" s="752"/>
      <c r="AQ34" s="752"/>
      <c r="AR34" s="752"/>
      <c r="AS34" s="752"/>
      <c r="AT34" s="752"/>
      <c r="AU34" s="752"/>
      <c r="AV34" s="752"/>
      <c r="AW34" s="752"/>
      <c r="AX34" s="752"/>
      <c r="AY34" s="752"/>
      <c r="AZ34" s="752"/>
      <c r="BA34" s="752"/>
      <c r="BB34" s="752"/>
      <c r="BC34" s="752"/>
      <c r="BD34" s="752"/>
      <c r="BE34" s="752"/>
    </row>
    <row r="35" spans="1:113" s="363" customFormat="1" ht="18.75">
      <c r="C35" s="752"/>
      <c r="D35" s="752"/>
      <c r="E35" s="752"/>
      <c r="F35" s="752"/>
      <c r="G35" s="752"/>
      <c r="H35" s="752"/>
      <c r="I35" s="752"/>
      <c r="J35" s="752"/>
      <c r="K35" s="752"/>
      <c r="L35" s="752"/>
      <c r="M35" s="752"/>
      <c r="N35" s="752"/>
      <c r="O35" s="752"/>
      <c r="P35" s="752"/>
      <c r="Q35" s="752"/>
      <c r="R35" s="752"/>
      <c r="S35" s="752"/>
      <c r="T35" s="752"/>
      <c r="U35" s="752"/>
      <c r="V35" s="752"/>
      <c r="W35" s="752"/>
      <c r="X35" s="752"/>
      <c r="Y35" s="752"/>
      <c r="Z35" s="752"/>
      <c r="AA35" s="752"/>
      <c r="AB35" s="752"/>
      <c r="AC35" s="752"/>
      <c r="AD35" s="752"/>
      <c r="AE35" s="752"/>
      <c r="AF35" s="752"/>
      <c r="AG35" s="752"/>
      <c r="AH35" s="752"/>
      <c r="AI35" s="752"/>
      <c r="AJ35" s="752"/>
      <c r="AK35" s="752"/>
      <c r="AL35" s="752"/>
      <c r="AM35" s="752"/>
      <c r="AN35" s="752"/>
      <c r="AO35" s="752"/>
      <c r="AP35" s="752"/>
      <c r="AQ35" s="752"/>
      <c r="AR35" s="752"/>
      <c r="AS35" s="752"/>
      <c r="AT35" s="752"/>
      <c r="AU35" s="752"/>
      <c r="AV35" s="752"/>
      <c r="AW35" s="752"/>
      <c r="AX35" s="752"/>
      <c r="AY35" s="752"/>
      <c r="AZ35" s="752"/>
      <c r="BA35" s="752"/>
      <c r="BB35" s="752"/>
      <c r="BC35" s="752"/>
      <c r="BD35" s="752"/>
      <c r="BE35" s="752"/>
    </row>
    <row r="36" spans="1:113" s="363" customFormat="1" ht="18.75">
      <c r="C36" s="752"/>
      <c r="D36" s="752"/>
      <c r="E36" s="752"/>
      <c r="F36" s="752"/>
      <c r="G36" s="752"/>
      <c r="H36" s="752"/>
      <c r="I36" s="752"/>
      <c r="J36" s="752"/>
      <c r="K36" s="752"/>
      <c r="L36" s="752"/>
      <c r="M36" s="752"/>
      <c r="N36" s="752"/>
      <c r="O36" s="752"/>
      <c r="P36" s="752"/>
      <c r="Q36" s="752"/>
      <c r="R36" s="752"/>
      <c r="S36" s="752"/>
      <c r="T36" s="752"/>
      <c r="U36" s="752"/>
      <c r="V36" s="752"/>
      <c r="W36" s="752"/>
      <c r="X36" s="752"/>
      <c r="Y36" s="752"/>
      <c r="Z36" s="752"/>
      <c r="AA36" s="752"/>
      <c r="AB36" s="752"/>
      <c r="AC36" s="752"/>
      <c r="AD36" s="752"/>
      <c r="AE36" s="752"/>
      <c r="AF36" s="752"/>
      <c r="AG36" s="752"/>
      <c r="AH36" s="752"/>
      <c r="AI36" s="752"/>
      <c r="AJ36" s="752"/>
      <c r="AK36" s="752"/>
      <c r="AL36" s="752"/>
      <c r="AM36" s="752"/>
      <c r="AN36" s="752"/>
      <c r="AO36" s="752"/>
      <c r="AP36" s="752"/>
      <c r="AQ36" s="752"/>
      <c r="AR36" s="752"/>
      <c r="AS36" s="752"/>
      <c r="AT36" s="752"/>
      <c r="AU36" s="752"/>
      <c r="AV36" s="752"/>
      <c r="AW36" s="752"/>
      <c r="AX36" s="752"/>
      <c r="AY36" s="752"/>
      <c r="AZ36" s="752"/>
      <c r="BA36" s="752"/>
      <c r="BB36" s="752"/>
      <c r="BC36" s="752"/>
      <c r="BD36" s="752"/>
      <c r="BE36" s="752"/>
    </row>
    <row r="37" spans="1:113" s="363" customFormat="1" ht="18.75">
      <c r="B37" s="363" t="s">
        <v>881</v>
      </c>
      <c r="C37" s="741" t="s">
        <v>879</v>
      </c>
      <c r="D37" s="741"/>
      <c r="E37" s="741"/>
      <c r="F37" s="741"/>
      <c r="G37" s="741"/>
      <c r="H37" s="741"/>
      <c r="I37" s="741"/>
      <c r="J37" s="741"/>
      <c r="K37" s="741"/>
      <c r="L37" s="741"/>
      <c r="M37" s="741"/>
      <c r="N37" s="741"/>
      <c r="O37" s="741"/>
      <c r="P37" s="741"/>
      <c r="Q37" s="741"/>
      <c r="R37" s="741"/>
      <c r="S37" s="741"/>
      <c r="T37" s="741"/>
      <c r="U37" s="741"/>
      <c r="V37" s="741"/>
      <c r="W37" s="741"/>
      <c r="X37" s="741"/>
      <c r="Y37" s="741"/>
      <c r="Z37" s="741"/>
      <c r="AA37" s="741"/>
      <c r="AB37" s="741"/>
      <c r="AC37" s="741"/>
      <c r="AD37" s="741"/>
      <c r="AE37" s="741"/>
      <c r="AF37" s="741"/>
      <c r="AG37" s="741"/>
      <c r="AH37" s="741"/>
      <c r="AI37" s="741"/>
      <c r="AJ37" s="741"/>
      <c r="AK37" s="741"/>
      <c r="AL37" s="741"/>
      <c r="AM37" s="741"/>
      <c r="AN37" s="741"/>
      <c r="AO37" s="741"/>
      <c r="AP37" s="741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6"/>
    </row>
    <row r="39" spans="1:113" s="363" customFormat="1" ht="18.75"/>
  </sheetData>
  <sheetProtection password="C09F" sheet="1" objects="1" scenarios="1"/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tabSelected="1" topLeftCell="A7" zoomScale="85" zoomScaleNormal="85" zoomScaleSheetLayoutView="85" workbookViewId="0">
      <pane xSplit="4" topLeftCell="BW1" activePane="topRight" state="frozen"/>
      <selection pane="topRight" activeCell="O29" sqref="O29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6"/>
      <c r="C2" s="616"/>
      <c r="G2" s="616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2" t="s">
        <v>3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5">
        <f ca="1">INDIRECT("'Настройки УИК'!$C$26")</f>
        <v>0</v>
      </c>
      <c r="D5" s="836"/>
      <c r="E5" s="836"/>
      <c r="F5" s="836"/>
      <c r="G5" s="836"/>
      <c r="H5" s="836"/>
      <c r="I5" s="836"/>
      <c r="J5" s="836"/>
      <c r="K5" s="836"/>
      <c r="L5" s="836"/>
      <c r="M5" s="836"/>
      <c r="N5" s="836"/>
      <c r="O5" s="836"/>
      <c r="P5" s="836"/>
      <c r="Q5" s="836"/>
      <c r="R5" s="836"/>
      <c r="S5" s="836"/>
      <c r="T5" s="836"/>
      <c r="U5" s="836"/>
      <c r="V5" s="836"/>
      <c r="W5" s="836"/>
      <c r="X5" s="836"/>
      <c r="Y5" s="836"/>
      <c r="Z5" s="836"/>
      <c r="AA5" s="836"/>
      <c r="AB5" s="836"/>
      <c r="AC5" s="836"/>
      <c r="AD5" s="836"/>
      <c r="AE5" s="836"/>
      <c r="AF5" s="836"/>
      <c r="AG5" s="836"/>
      <c r="AH5" s="836"/>
      <c r="AI5" s="836"/>
      <c r="AJ5" s="836"/>
      <c r="AK5" s="836"/>
      <c r="AL5" s="836"/>
      <c r="AM5" s="836"/>
      <c r="AN5" s="836"/>
      <c r="AO5" s="836"/>
      <c r="AP5" s="836"/>
      <c r="AQ5" s="836"/>
      <c r="AR5" s="836"/>
      <c r="AS5" s="836"/>
      <c r="AT5" s="836"/>
      <c r="AU5" s="836"/>
      <c r="AV5" s="836"/>
      <c r="AW5" s="836"/>
      <c r="AX5" s="836"/>
      <c r="AY5" s="836"/>
      <c r="AZ5" s="836"/>
      <c r="BA5" s="836"/>
      <c r="BB5" s="836"/>
      <c r="BC5" s="261"/>
      <c r="BD5" s="261"/>
      <c r="BE5" s="260"/>
      <c r="BF5" s="796"/>
      <c r="BG5" s="796"/>
      <c r="BH5" s="796"/>
      <c r="BI5" s="796"/>
      <c r="BJ5" s="796"/>
      <c r="BK5" s="796"/>
      <c r="BL5" s="796"/>
      <c r="BM5" s="797"/>
      <c r="BN5" s="238"/>
      <c r="BO5" s="238"/>
      <c r="BP5" s="238"/>
      <c r="BQ5" s="828">
        <f>'Настройки УИК'!$I$43</f>
        <v>0</v>
      </c>
      <c r="BR5" s="829"/>
      <c r="BS5" s="829"/>
      <c r="BT5" s="829"/>
      <c r="BU5" s="829"/>
      <c r="BV5" s="829"/>
      <c r="BW5" s="829"/>
      <c r="BX5" s="829"/>
      <c r="BY5" s="829"/>
      <c r="BZ5" s="829"/>
      <c r="CA5" s="829"/>
      <c r="CB5" s="829"/>
      <c r="CC5" s="829"/>
      <c r="CD5" s="829"/>
      <c r="CE5" s="829"/>
      <c r="CF5" s="829"/>
      <c r="CG5" s="829"/>
      <c r="CH5" s="829"/>
      <c r="CI5" s="829"/>
      <c r="CJ5" s="829"/>
      <c r="CK5" s="829"/>
      <c r="CL5" s="829"/>
      <c r="CM5" s="829"/>
      <c r="CN5" s="829"/>
      <c r="CO5" s="829"/>
    </row>
    <row r="6" spans="2:158">
      <c r="C6" s="114"/>
      <c r="D6" s="114"/>
      <c r="E6" s="707" t="s">
        <v>4</v>
      </c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7"/>
      <c r="AD6" s="707"/>
      <c r="AE6" s="707"/>
      <c r="AF6" s="707"/>
      <c r="AG6" s="707"/>
      <c r="AH6" s="707"/>
      <c r="AI6" s="707"/>
      <c r="AJ6" s="707"/>
      <c r="AK6" s="707"/>
      <c r="AL6" s="707"/>
      <c r="AM6" s="707"/>
      <c r="AN6" s="707"/>
      <c r="AO6" s="707"/>
      <c r="AP6" s="707"/>
      <c r="AQ6" s="707"/>
      <c r="AR6" s="707"/>
      <c r="AS6" s="707"/>
      <c r="AT6" s="707"/>
      <c r="AU6" s="707"/>
      <c r="AV6" s="707"/>
      <c r="AW6" s="707"/>
      <c r="AX6" s="707"/>
      <c r="AY6" s="707"/>
      <c r="AZ6" s="707"/>
      <c r="BA6" s="707"/>
      <c r="BB6" s="707"/>
      <c r="BC6" s="72"/>
      <c r="BD6" s="72"/>
      <c r="BE6" s="72"/>
      <c r="BF6" s="123"/>
      <c r="BG6" s="123"/>
      <c r="BH6" s="123"/>
      <c r="BI6" s="123"/>
      <c r="BJ6" s="123"/>
      <c r="BK6" s="832" t="s">
        <v>5</v>
      </c>
      <c r="BL6" s="832"/>
      <c r="BM6" s="707"/>
      <c r="BN6" s="72"/>
      <c r="BO6" s="72"/>
      <c r="BP6" s="72"/>
      <c r="BQ6" s="707" t="s">
        <v>6</v>
      </c>
      <c r="BR6" s="707"/>
      <c r="BS6" s="707"/>
      <c r="BT6" s="707"/>
      <c r="BU6" s="707"/>
      <c r="BV6" s="707"/>
      <c r="BW6" s="707"/>
      <c r="BX6" s="707"/>
      <c r="BY6" s="707"/>
      <c r="BZ6" s="707"/>
      <c r="CA6" s="707"/>
      <c r="CB6" s="707"/>
      <c r="CC6" s="707"/>
      <c r="CD6" s="707"/>
      <c r="CE6" s="707"/>
      <c r="CF6" s="707"/>
      <c r="CG6" s="707"/>
      <c r="CH6" s="707"/>
      <c r="CI6" s="707"/>
      <c r="CJ6" s="707"/>
      <c r="CK6" s="707"/>
      <c r="CL6" s="707"/>
      <c r="CM6" s="707"/>
      <c r="CN6" s="707"/>
      <c r="CO6" s="707"/>
    </row>
    <row r="7" spans="2:158" ht="10.5" customHeight="1"/>
    <row r="8" spans="2:158">
      <c r="AD8" s="839" t="s">
        <v>7</v>
      </c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839"/>
      <c r="AV8" s="839"/>
      <c r="AW8" s="839"/>
      <c r="AX8" s="839"/>
      <c r="AY8" s="839"/>
      <c r="AZ8" s="73"/>
    </row>
    <row r="9" spans="2:158" ht="37.5" customHeight="1">
      <c r="E9" s="826" t="s">
        <v>8</v>
      </c>
      <c r="F9" s="827"/>
      <c r="G9" s="827"/>
      <c r="H9" s="827"/>
      <c r="I9" s="827"/>
      <c r="J9" s="827"/>
      <c r="K9" s="827"/>
      <c r="L9" s="827"/>
      <c r="M9" s="827"/>
      <c r="N9" s="827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7"/>
      <c r="AA9" s="827"/>
      <c r="AB9" s="827"/>
      <c r="AC9" s="827"/>
      <c r="AD9" s="827"/>
      <c r="AE9" s="827"/>
      <c r="AF9" s="827"/>
      <c r="AG9" s="827"/>
      <c r="AH9" s="373"/>
      <c r="AI9" s="373"/>
      <c r="AJ9" s="373"/>
      <c r="AK9" s="373"/>
      <c r="AL9" s="373"/>
      <c r="AM9" s="829">
        <f ca="1">INDIRECT("'Настройки УИК'!$C$26")</f>
        <v>0</v>
      </c>
      <c r="AN9" s="829"/>
      <c r="AO9" s="829"/>
      <c r="AP9" s="829"/>
      <c r="AQ9" s="829"/>
      <c r="AR9" s="829"/>
      <c r="AS9" s="829"/>
      <c r="AT9" s="829"/>
      <c r="AU9" s="829"/>
      <c r="AV9" s="829"/>
      <c r="AW9" s="829"/>
      <c r="AX9" s="829"/>
      <c r="AY9" s="829"/>
      <c r="AZ9" s="829"/>
      <c r="BA9" s="829"/>
      <c r="BB9" s="829"/>
      <c r="BC9" s="829"/>
      <c r="BD9" s="829"/>
      <c r="BE9" s="829"/>
      <c r="BF9" s="829"/>
      <c r="BG9" s="829"/>
      <c r="BH9" s="829"/>
      <c r="BI9" s="829"/>
      <c r="BJ9" s="829"/>
      <c r="BK9" s="829"/>
      <c r="BL9" s="829"/>
      <c r="BM9" s="829"/>
      <c r="BN9" s="829"/>
      <c r="BO9" s="829"/>
      <c r="BP9" s="829"/>
      <c r="BQ9" s="829"/>
      <c r="BR9" s="829"/>
      <c r="BS9" s="829"/>
      <c r="BT9" s="829"/>
      <c r="BU9" s="829"/>
      <c r="BV9" s="829"/>
      <c r="BW9" s="829"/>
      <c r="BX9" s="829"/>
      <c r="BY9" s="829"/>
      <c r="BZ9" s="829"/>
      <c r="CA9" s="829"/>
      <c r="CB9" s="829"/>
      <c r="CC9" s="829"/>
      <c r="CD9" s="829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29"/>
      <c r="CU9" s="829"/>
      <c r="CV9" s="829"/>
      <c r="CW9" s="829"/>
      <c r="CX9" s="829"/>
      <c r="CY9" s="829"/>
      <c r="CZ9" s="829"/>
      <c r="DA9" s="829"/>
      <c r="DB9" s="829"/>
      <c r="DC9" s="829"/>
      <c r="DD9" s="829"/>
      <c r="DE9" s="829"/>
      <c r="DF9" s="829"/>
      <c r="DG9" s="829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2" t="s">
        <v>4</v>
      </c>
      <c r="AN10" s="832"/>
      <c r="AO10" s="832"/>
      <c r="AP10" s="832"/>
      <c r="AQ10" s="832"/>
      <c r="AR10" s="832"/>
      <c r="AS10" s="832"/>
      <c r="AT10" s="832"/>
      <c r="AU10" s="832"/>
      <c r="AV10" s="832"/>
      <c r="AW10" s="832"/>
      <c r="AX10" s="832"/>
      <c r="AY10" s="832"/>
      <c r="AZ10" s="832"/>
      <c r="BA10" s="832"/>
      <c r="BB10" s="832"/>
      <c r="BC10" s="832"/>
      <c r="BD10" s="832"/>
      <c r="BE10" s="832"/>
      <c r="BF10" s="832"/>
      <c r="BG10" s="832"/>
      <c r="BH10" s="832"/>
      <c r="BI10" s="832"/>
      <c r="BJ10" s="832"/>
      <c r="BK10" s="832"/>
      <c r="BL10" s="832"/>
      <c r="BM10" s="832"/>
      <c r="BN10" s="832"/>
      <c r="BO10" s="832"/>
      <c r="BP10" s="832"/>
      <c r="BQ10" s="83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39" t="s">
        <v>9</v>
      </c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C11" s="839"/>
      <c r="DD11" s="839"/>
      <c r="DE11" s="839"/>
      <c r="DF11" s="839"/>
      <c r="DG11" s="839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36">
        <f>'Настройки ТИК'!B9</f>
        <v>0</v>
      </c>
      <c r="F12" s="836"/>
      <c r="G12" s="836"/>
      <c r="H12" s="836"/>
      <c r="I12" s="836"/>
      <c r="J12" s="836"/>
      <c r="K12" s="836"/>
      <c r="L12" s="836"/>
      <c r="M12" s="836"/>
      <c r="N12" s="836"/>
      <c r="O12" s="836"/>
      <c r="P12" s="836"/>
      <c r="Q12" s="836"/>
      <c r="R12" s="836"/>
      <c r="S12" s="836"/>
      <c r="T12" s="836"/>
      <c r="U12" s="836"/>
      <c r="V12" s="836"/>
      <c r="W12" s="836"/>
      <c r="X12" s="836"/>
      <c r="Y12" s="836"/>
      <c r="Z12" s="836"/>
      <c r="AA12" s="836"/>
      <c r="AB12" s="836"/>
      <c r="AC12" s="836"/>
      <c r="AD12" s="836"/>
      <c r="AE12" s="836"/>
      <c r="AF12" s="836"/>
      <c r="AG12" s="836"/>
      <c r="AH12" s="836"/>
      <c r="AI12" s="836"/>
      <c r="AJ12" s="836"/>
      <c r="AK12" s="836"/>
      <c r="AL12" s="836"/>
      <c r="AM12" s="836"/>
      <c r="AN12" s="836"/>
      <c r="AO12" s="836"/>
      <c r="AP12" s="836"/>
      <c r="AQ12" s="836"/>
      <c r="AR12" s="836"/>
      <c r="AS12" s="836"/>
      <c r="AT12" s="836"/>
      <c r="AU12" s="836"/>
      <c r="AV12" s="836"/>
      <c r="AW12" s="836"/>
      <c r="AX12" s="836"/>
      <c r="AY12" s="836"/>
      <c r="AZ12" s="836"/>
      <c r="BA12" s="836"/>
      <c r="BB12" s="836"/>
      <c r="BC12" s="836"/>
      <c r="BD12" s="836"/>
      <c r="BE12" s="836"/>
      <c r="BF12" s="836"/>
      <c r="BG12" s="836"/>
      <c r="BH12" s="836"/>
      <c r="BI12" s="836"/>
      <c r="BJ12" s="836"/>
      <c r="BK12" s="836"/>
      <c r="BL12" s="836"/>
      <c r="BM12" s="836"/>
      <c r="BN12" s="836"/>
      <c r="BO12" s="836"/>
      <c r="BP12" s="836"/>
      <c r="BQ12" s="836"/>
      <c r="BR12" s="836"/>
      <c r="BS12" s="836"/>
      <c r="BT12" s="836"/>
      <c r="BU12" s="836"/>
      <c r="BV12" s="836"/>
      <c r="BW12" s="836"/>
      <c r="BX12" s="836"/>
      <c r="BY12" s="836"/>
      <c r="BZ12" s="836"/>
      <c r="CA12" s="836"/>
      <c r="CB12" s="836"/>
      <c r="CC12" s="836"/>
      <c r="CD12" s="836"/>
      <c r="CE12" s="836"/>
      <c r="CF12" s="836"/>
      <c r="CG12" s="836"/>
      <c r="CH12" s="836"/>
      <c r="CI12" s="836"/>
      <c r="CJ12" s="836"/>
      <c r="CK12" s="836"/>
      <c r="CL12" s="836"/>
      <c r="CM12" s="836"/>
      <c r="CN12" s="836"/>
      <c r="CO12" s="836"/>
      <c r="CP12" s="836"/>
      <c r="CQ12" s="836"/>
      <c r="CR12" s="836"/>
      <c r="CS12" s="836"/>
      <c r="CT12" s="836"/>
      <c r="CU12" s="836"/>
      <c r="CV12" s="836"/>
      <c r="CW12" s="836"/>
      <c r="CX12" s="836"/>
      <c r="CY12" s="836"/>
      <c r="CZ12" s="836"/>
      <c r="DA12" s="836"/>
      <c r="DB12" s="836"/>
      <c r="DC12" s="836"/>
      <c r="DD12" s="836"/>
      <c r="DE12" s="836"/>
      <c r="DF12" s="836"/>
      <c r="DG12" s="836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1"/>
      <c r="F14" s="831"/>
      <c r="G14" s="831"/>
      <c r="H14" s="831"/>
      <c r="I14" s="831"/>
      <c r="J14" s="831"/>
      <c r="K14" s="831"/>
      <c r="L14" s="831"/>
      <c r="M14" s="831"/>
      <c r="N14" s="831"/>
      <c r="O14" s="831"/>
      <c r="P14" s="831"/>
      <c r="Q14" s="831"/>
      <c r="R14" s="831"/>
      <c r="S14" s="831"/>
      <c r="T14" s="831"/>
      <c r="U14" s="831"/>
      <c r="V14" s="831"/>
      <c r="W14" s="831"/>
      <c r="X14" s="831"/>
      <c r="Y14" s="831"/>
      <c r="Z14" s="831"/>
      <c r="AA14" s="831"/>
      <c r="AB14" s="831"/>
      <c r="AC14" s="831"/>
      <c r="AD14" s="831"/>
      <c r="AE14" s="831"/>
      <c r="AF14" s="831"/>
      <c r="AG14" s="831"/>
      <c r="AH14" s="831"/>
      <c r="AI14" s="831"/>
      <c r="AJ14" s="831"/>
      <c r="AK14" s="831"/>
      <c r="AL14" s="831"/>
      <c r="AM14" s="831"/>
      <c r="AN14" s="831"/>
      <c r="AO14" s="831"/>
      <c r="AP14" s="831"/>
      <c r="AQ14" s="831"/>
      <c r="AR14" s="831"/>
      <c r="AS14" s="831"/>
      <c r="AT14" s="831"/>
      <c r="AU14" s="831"/>
      <c r="AV14" s="831"/>
      <c r="AW14" s="831"/>
      <c r="AX14" s="831"/>
      <c r="AY14" s="831"/>
      <c r="AZ14" s="831"/>
      <c r="BA14" s="831"/>
      <c r="BB14" s="831"/>
      <c r="BC14" s="831"/>
      <c r="BD14" s="831"/>
      <c r="BE14" s="831"/>
      <c r="BF14" s="831"/>
      <c r="BG14" s="831"/>
      <c r="BH14" s="831"/>
      <c r="BI14" s="831"/>
      <c r="BJ14" s="831"/>
      <c r="BK14" s="831"/>
      <c r="BL14" s="831"/>
      <c r="BM14" s="831"/>
      <c r="BN14" s="831"/>
      <c r="BO14" s="831"/>
      <c r="BP14" s="831"/>
      <c r="BQ14" s="831"/>
      <c r="BR14" s="831"/>
      <c r="BS14" s="831"/>
      <c r="BT14" s="831"/>
      <c r="BU14" s="831"/>
      <c r="BV14" s="831"/>
      <c r="BW14" s="831"/>
      <c r="BX14" s="831"/>
      <c r="BY14" s="831"/>
      <c r="BZ14" s="831"/>
      <c r="CA14" s="831"/>
      <c r="CB14" s="831"/>
      <c r="CC14" s="831"/>
      <c r="CD14" s="831"/>
      <c r="CE14" s="831"/>
      <c r="CF14" s="831"/>
      <c r="CG14" s="831"/>
      <c r="CH14" s="831"/>
      <c r="CI14" s="831"/>
      <c r="CJ14" s="831"/>
      <c r="CK14" s="831"/>
      <c r="CL14" s="831"/>
      <c r="CM14" s="831"/>
      <c r="CN14" s="831"/>
      <c r="CO14" s="831"/>
      <c r="CP14" s="831"/>
      <c r="CQ14" s="831"/>
      <c r="CR14" s="831"/>
      <c r="CS14" s="831"/>
      <c r="CT14" s="831"/>
      <c r="CU14" s="831"/>
      <c r="CV14" s="831"/>
      <c r="CW14" s="831"/>
      <c r="CX14" s="831"/>
      <c r="CY14" s="831"/>
      <c r="CZ14" s="831"/>
      <c r="DA14" s="831"/>
      <c r="DB14" s="831"/>
      <c r="DC14" s="831"/>
      <c r="DD14" s="831"/>
      <c r="DE14" s="831"/>
      <c r="DF14" s="831"/>
      <c r="DG14" s="831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41" t="s">
        <v>10</v>
      </c>
      <c r="F15" s="842"/>
      <c r="G15" s="842"/>
      <c r="H15" s="842"/>
      <c r="I15" s="842"/>
      <c r="J15" s="842"/>
      <c r="K15" s="842"/>
      <c r="L15" s="842"/>
      <c r="M15" s="842"/>
      <c r="N15" s="842"/>
      <c r="O15" s="842"/>
      <c r="P15" s="842"/>
      <c r="Q15" s="842"/>
      <c r="R15" s="842"/>
      <c r="S15" s="842"/>
      <c r="T15" s="842"/>
      <c r="U15" s="842"/>
      <c r="V15" s="842"/>
      <c r="W15" s="842"/>
      <c r="X15" s="842"/>
      <c r="Y15" s="842"/>
      <c r="Z15" s="842"/>
      <c r="AA15" s="842"/>
      <c r="AB15" s="842"/>
      <c r="AC15" s="842"/>
      <c r="AD15" s="842"/>
      <c r="AE15" s="842"/>
      <c r="AF15" s="842"/>
      <c r="AG15" s="842"/>
      <c r="AH15" s="842"/>
      <c r="AI15" s="842"/>
      <c r="AJ15" s="842"/>
      <c r="AK15" s="842"/>
      <c r="AL15" s="842"/>
      <c r="AM15" s="842"/>
      <c r="AN15" s="842"/>
      <c r="AO15" s="842"/>
      <c r="AP15" s="842"/>
      <c r="AQ15" s="842"/>
      <c r="AR15" s="842"/>
      <c r="AS15" s="842"/>
      <c r="AT15" s="842"/>
      <c r="AU15" s="842"/>
      <c r="AV15" s="842"/>
      <c r="AW15" s="842"/>
      <c r="AX15" s="842"/>
      <c r="AY15" s="842"/>
      <c r="AZ15" s="842"/>
      <c r="BA15" s="842"/>
      <c r="BB15" s="842"/>
      <c r="BC15" s="842"/>
      <c r="BD15" s="842"/>
      <c r="BE15" s="842"/>
      <c r="BF15" s="842"/>
      <c r="BG15" s="842"/>
      <c r="BH15" s="842"/>
      <c r="BI15" s="842"/>
      <c r="BJ15" s="842"/>
      <c r="BK15" s="842"/>
      <c r="BL15" s="842"/>
      <c r="BM15" s="842"/>
      <c r="BN15" s="842"/>
      <c r="BO15" s="842"/>
      <c r="BP15" s="842"/>
      <c r="BQ15" s="842"/>
      <c r="BR15" s="842"/>
      <c r="BS15" s="842"/>
      <c r="BT15" s="842"/>
      <c r="BU15" s="842"/>
      <c r="BV15" s="842"/>
      <c r="BW15" s="842"/>
      <c r="BX15" s="842"/>
      <c r="BY15" s="842"/>
      <c r="BZ15" s="842"/>
      <c r="CA15" s="842"/>
      <c r="CB15" s="842"/>
      <c r="CC15" s="842"/>
      <c r="CD15" s="842"/>
      <c r="CE15" s="842"/>
      <c r="CF15" s="842"/>
      <c r="CG15" s="842"/>
      <c r="CH15" s="842"/>
      <c r="CI15" s="842"/>
      <c r="CJ15" s="842"/>
      <c r="CK15" s="842"/>
      <c r="CL15" s="842"/>
      <c r="CM15" s="842"/>
      <c r="CN15" s="842"/>
      <c r="CO15" s="842"/>
      <c r="CP15" s="842"/>
      <c r="CQ15" s="842"/>
      <c r="CR15" s="842"/>
      <c r="CS15" s="842"/>
      <c r="CT15" s="842"/>
      <c r="CU15" s="842"/>
      <c r="CV15" s="842"/>
      <c r="CW15" s="842"/>
      <c r="CX15" s="842"/>
      <c r="CY15" s="842"/>
      <c r="CZ15" s="842"/>
      <c r="DA15" s="842"/>
      <c r="DB15" s="842"/>
      <c r="DC15" s="842"/>
      <c r="DD15" s="842"/>
      <c r="DE15" s="842"/>
      <c r="DF15" s="842"/>
      <c r="DG15" s="842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8" t="str">
        <f>TEXT('Настройки ТИК'!C17,"ММММ")</f>
        <v>Январь</v>
      </c>
      <c r="H16" s="528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29"/>
      <c r="AY16" s="755" t="e">
        <f ca="1">IF('Настройки ТИК'!$I$17='Настройки ТИК'!$J$17,'Настройки ТИК'!$I$17,'Настройки ТИК'!$I$17&amp;"-"&amp;'Настройки ТИК'!$J$17)</f>
        <v>#VALUE!</v>
      </c>
      <c r="AZ16" s="755"/>
      <c r="BA16" s="755"/>
      <c r="BB16" s="755"/>
      <c r="BC16" s="755"/>
      <c r="BD16" s="755"/>
      <c r="BE16" s="755"/>
      <c r="BF16" s="263"/>
      <c r="BG16" s="263"/>
      <c r="BH16" s="263"/>
      <c r="BI16" s="77"/>
      <c r="BJ16" s="77"/>
      <c r="BK16" s="843" t="str">
        <f>'Настройки ТИК'!$I$15</f>
        <v/>
      </c>
      <c r="BL16" s="843"/>
      <c r="BM16" s="844"/>
      <c r="BN16" s="837" t="s">
        <v>152</v>
      </c>
      <c r="BO16" s="837"/>
      <c r="BP16" s="837"/>
      <c r="BQ16" s="837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38"/>
      <c r="F17" s="838"/>
      <c r="J17" s="264"/>
      <c r="AX17" s="121"/>
      <c r="AY17" s="830" t="s">
        <v>149</v>
      </c>
      <c r="AZ17" s="830"/>
      <c r="BA17" s="830"/>
      <c r="BB17" s="830"/>
      <c r="BC17" s="830"/>
      <c r="BD17" s="830"/>
      <c r="BE17" s="830"/>
      <c r="BF17" s="830"/>
      <c r="BG17" s="830"/>
      <c r="BH17" s="830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51" t="s">
        <v>0</v>
      </c>
      <c r="B19" s="852"/>
      <c r="C19" s="481"/>
      <c r="D19" s="481"/>
      <c r="E19" s="840" t="s">
        <v>1</v>
      </c>
      <c r="F19" s="833"/>
      <c r="G19" s="833"/>
      <c r="H19" s="833"/>
      <c r="I19" s="833"/>
      <c r="J19" s="833"/>
      <c r="K19" s="833"/>
      <c r="L19" s="833"/>
      <c r="M19" s="833"/>
      <c r="N19" s="833"/>
      <c r="O19" s="833"/>
      <c r="P19" s="833"/>
      <c r="Q19" s="833"/>
      <c r="R19" s="833"/>
      <c r="S19" s="833"/>
      <c r="T19" s="833"/>
      <c r="U19" s="833"/>
      <c r="V19" s="833"/>
      <c r="W19" s="833"/>
      <c r="X19" s="833"/>
      <c r="Y19" s="833"/>
      <c r="Z19" s="833"/>
      <c r="AA19" s="833"/>
      <c r="AB19" s="833"/>
      <c r="AC19" s="833"/>
      <c r="AD19" s="833"/>
      <c r="AE19" s="833"/>
      <c r="AF19" s="833"/>
      <c r="AG19" s="833"/>
      <c r="AH19" s="833"/>
      <c r="AI19" s="833"/>
      <c r="AJ19" s="833"/>
      <c r="AK19" s="833"/>
      <c r="AL19" s="833"/>
      <c r="AM19" s="833"/>
      <c r="AN19" s="833"/>
      <c r="AO19" s="833"/>
      <c r="AP19" s="833"/>
      <c r="AQ19" s="833"/>
      <c r="AR19" s="833"/>
      <c r="AS19" s="833"/>
      <c r="AT19" s="833"/>
      <c r="AU19" s="833"/>
      <c r="AV19" s="833"/>
      <c r="AW19" s="833"/>
      <c r="AX19" s="833"/>
      <c r="AY19" s="833"/>
      <c r="AZ19" s="833"/>
      <c r="BA19" s="833"/>
      <c r="BB19" s="833"/>
      <c r="BC19" s="833"/>
      <c r="BD19" s="833"/>
      <c r="BE19" s="833"/>
      <c r="BF19" s="833"/>
      <c r="BG19" s="833"/>
      <c r="BH19" s="833"/>
      <c r="BI19" s="833"/>
      <c r="BJ19" s="833"/>
      <c r="BK19" s="833"/>
      <c r="BL19" s="833"/>
      <c r="BM19" s="833"/>
      <c r="BN19" s="833"/>
      <c r="BO19" s="833"/>
      <c r="BP19" s="833"/>
      <c r="BQ19" s="833"/>
      <c r="BR19" s="833"/>
      <c r="BS19" s="833"/>
      <c r="BT19" s="833"/>
      <c r="BU19" s="833"/>
      <c r="BV19" s="833"/>
      <c r="BW19" s="833"/>
      <c r="BX19" s="833"/>
      <c r="BY19" s="833"/>
      <c r="BZ19" s="833"/>
      <c r="CA19" s="833"/>
      <c r="CB19" s="833"/>
      <c r="CC19" s="833"/>
      <c r="CD19" s="833"/>
      <c r="CE19" s="833"/>
      <c r="CF19" s="833"/>
      <c r="CG19" s="833"/>
      <c r="CH19" s="833"/>
      <c r="CI19" s="833"/>
      <c r="CJ19" s="833"/>
      <c r="CK19" s="833"/>
      <c r="CL19" s="833"/>
      <c r="CM19" s="833"/>
      <c r="CN19" s="833"/>
      <c r="CO19" s="833"/>
      <c r="CP19" s="833"/>
      <c r="CQ19" s="833"/>
      <c r="CR19" s="833"/>
      <c r="CS19" s="833"/>
      <c r="CT19" s="833"/>
      <c r="CU19" s="833"/>
      <c r="CV19" s="833"/>
      <c r="CW19" s="833"/>
      <c r="CX19" s="833"/>
      <c r="CY19" s="833"/>
      <c r="CZ19" s="833"/>
      <c r="DA19" s="833"/>
      <c r="DB19" s="833"/>
      <c r="DC19" s="833"/>
      <c r="DD19" s="833"/>
      <c r="DE19" s="833"/>
      <c r="DF19" s="833"/>
      <c r="DG19" s="833"/>
      <c r="DH19" s="686"/>
      <c r="DI19" s="833" t="s">
        <v>1</v>
      </c>
      <c r="DJ19" s="833"/>
      <c r="DK19" s="833"/>
      <c r="DL19" s="833"/>
      <c r="DM19" s="833"/>
      <c r="DN19" s="833"/>
      <c r="DO19" s="833"/>
      <c r="DP19" s="833"/>
      <c r="DQ19" s="833"/>
      <c r="DR19" s="833"/>
      <c r="DS19" s="833"/>
      <c r="DT19" s="833"/>
      <c r="DU19" s="833"/>
      <c r="DV19" s="833"/>
      <c r="DW19" s="833"/>
      <c r="DX19" s="833"/>
      <c r="DY19" s="833"/>
      <c r="DZ19" s="833"/>
      <c r="EA19" s="833"/>
      <c r="EB19" s="833"/>
      <c r="EC19" s="833"/>
      <c r="ED19" s="833"/>
      <c r="EE19" s="833"/>
      <c r="EF19" s="833"/>
      <c r="EG19" s="833"/>
      <c r="EH19" s="833"/>
      <c r="EI19" s="833"/>
      <c r="EJ19" s="833"/>
      <c r="EK19" s="833"/>
      <c r="EL19" s="833"/>
      <c r="EM19" s="833"/>
      <c r="EN19" s="833"/>
      <c r="EO19" s="833"/>
      <c r="EP19" s="833"/>
      <c r="EQ19" s="833"/>
      <c r="ER19" s="833"/>
      <c r="ES19" s="833"/>
      <c r="ET19" s="833"/>
      <c r="EU19" s="833"/>
      <c r="EV19" s="833"/>
      <c r="EW19" s="833"/>
      <c r="EX19" s="833"/>
      <c r="EY19" s="833"/>
      <c r="EZ19" s="833"/>
      <c r="FA19" s="833"/>
      <c r="FB19" s="833"/>
      <c r="FC19" s="833"/>
      <c r="FD19" s="833"/>
      <c r="FE19" s="833"/>
      <c r="FF19" s="833"/>
      <c r="FG19" s="833"/>
      <c r="FH19" s="833"/>
      <c r="FI19" s="833"/>
      <c r="FJ19" s="833"/>
      <c r="FK19" s="833"/>
      <c r="FL19" s="833"/>
      <c r="FM19" s="833"/>
      <c r="FN19" s="833"/>
      <c r="FO19" s="833"/>
      <c r="FP19" s="833"/>
      <c r="FQ19" s="833"/>
      <c r="FR19" s="833"/>
      <c r="FS19" s="833"/>
      <c r="FT19" s="833"/>
      <c r="FU19" s="833"/>
      <c r="FV19" s="833"/>
      <c r="FW19" s="833"/>
      <c r="FX19" s="833"/>
      <c r="FY19" s="833"/>
      <c r="FZ19" s="833"/>
      <c r="GA19" s="833"/>
      <c r="GB19" s="833"/>
      <c r="GC19" s="833"/>
      <c r="GD19" s="833"/>
      <c r="GE19" s="833"/>
      <c r="GF19" s="833"/>
      <c r="GG19" s="833"/>
      <c r="GH19" s="833"/>
      <c r="GI19" s="833"/>
      <c r="GJ19" s="833"/>
      <c r="GK19" s="833"/>
      <c r="GL19" s="833"/>
      <c r="GM19" s="833"/>
      <c r="GN19" s="833"/>
      <c r="GO19" s="833"/>
      <c r="GP19" s="833"/>
      <c r="GQ19" s="833"/>
      <c r="GR19" s="833"/>
      <c r="GS19" s="833"/>
      <c r="GT19" s="833"/>
      <c r="GU19" s="833"/>
      <c r="GV19" s="833"/>
      <c r="GW19" s="833"/>
      <c r="GX19" s="833"/>
      <c r="GY19" s="833"/>
      <c r="GZ19" s="833"/>
      <c r="HA19" s="833"/>
      <c r="HB19" s="833"/>
      <c r="HC19" s="833"/>
      <c r="HD19" s="833"/>
      <c r="HE19" s="833"/>
      <c r="HF19" s="833"/>
      <c r="HG19" s="833"/>
      <c r="HH19" s="833"/>
      <c r="HI19" s="833"/>
      <c r="HJ19" s="833"/>
      <c r="HK19" s="834"/>
    </row>
    <row r="20" spans="1:223" s="115" customFormat="1" ht="9" customHeight="1">
      <c r="A20" s="853"/>
      <c r="B20" s="854"/>
      <c r="C20" s="289"/>
      <c r="D20" s="289">
        <f>'Настройки УИК'!$R22</f>
        <v>0</v>
      </c>
      <c r="E20" s="817" t="str">
        <f ca="1">IF(INDIRECT("'Настройки УИК'!$B$22")=0,"",INDIRECT("'Настройки УИК'!$B$22"))</f>
        <v/>
      </c>
      <c r="F20" s="818"/>
      <c r="G20" s="818"/>
      <c r="H20" s="818"/>
      <c r="I20" s="818"/>
      <c r="J20" s="818"/>
      <c r="K20" s="818"/>
      <c r="L20" s="818"/>
      <c r="M20" s="818"/>
      <c r="N20" s="818"/>
      <c r="O20" s="819"/>
      <c r="P20" s="289" t="e">
        <f>'Настройки УИК'!#REF!</f>
        <v>#REF!</v>
      </c>
      <c r="Q20" s="817" t="str">
        <f ca="1">IF(INDIRECT("'Настройки УИК'!$B$23")=0,"",INDIRECT("'Настройки УИК'!$B$23"))</f>
        <v/>
      </c>
      <c r="R20" s="818"/>
      <c r="S20" s="818"/>
      <c r="T20" s="818"/>
      <c r="U20" s="818"/>
      <c r="V20" s="818"/>
      <c r="W20" s="818"/>
      <c r="X20" s="818"/>
      <c r="Y20" s="818"/>
      <c r="Z20" s="818"/>
      <c r="AA20" s="819"/>
      <c r="AB20" s="289" t="e">
        <f>'Настройки УИК'!#REF!</f>
        <v>#REF!</v>
      </c>
      <c r="AC20" s="817" t="str">
        <f ca="1">IF(INDIRECT("'Настройки УИК'!$B$24")=0,"",INDIRECT("'Настройки УИК'!$B$24"))</f>
        <v>Склонение по падежам УИК</v>
      </c>
      <c r="AD20" s="818"/>
      <c r="AE20" s="818"/>
      <c r="AF20" s="818"/>
      <c r="AG20" s="818"/>
      <c r="AH20" s="818"/>
      <c r="AI20" s="818"/>
      <c r="AJ20" s="818"/>
      <c r="AK20" s="818"/>
      <c r="AL20" s="818"/>
      <c r="AM20" s="819"/>
      <c r="AN20" s="289" t="e">
        <f>'Настройки УИК'!#REF!</f>
        <v>#REF!</v>
      </c>
      <c r="AO20" s="817" t="str">
        <f ca="1">IF(INDIRECT("'Настройки УИК'!$B$25")=0,"",INDIRECT("'Настройки УИК'!$B$25"))</f>
        <v>для печати документов</v>
      </c>
      <c r="AP20" s="818"/>
      <c r="AQ20" s="818"/>
      <c r="AR20" s="818"/>
      <c r="AS20" s="818"/>
      <c r="AT20" s="818"/>
      <c r="AU20" s="818"/>
      <c r="AV20" s="818"/>
      <c r="AW20" s="818"/>
      <c r="AX20" s="818"/>
      <c r="AY20" s="819"/>
      <c r="AZ20" s="289" t="e">
        <f>'Настройки УИК'!#REF!</f>
        <v>#REF!</v>
      </c>
      <c r="BA20" s="817" t="str">
        <f ca="1">IF(INDIRECT("'Настройки УИК'!$B$26")=0,"",INDIRECT("'Настройки УИК'!$B$26"))</f>
        <v xml:space="preserve">Родительный </v>
      </c>
      <c r="BB20" s="818"/>
      <c r="BC20" s="818"/>
      <c r="BD20" s="818"/>
      <c r="BE20" s="818"/>
      <c r="BF20" s="818"/>
      <c r="BG20" s="818"/>
      <c r="BH20" s="818"/>
      <c r="BI20" s="818"/>
      <c r="BJ20" s="818"/>
      <c r="BK20" s="819"/>
      <c r="BL20" s="289" t="e">
        <f>'Настройки УИК'!#REF!</f>
        <v>#REF!</v>
      </c>
      <c r="BM20" s="817" t="str">
        <f ca="1">IF(INDIRECT("'Настройки УИК'!$B$27")=0,"",INDIRECT("'Настройки УИК'!$B$27"))</f>
        <v xml:space="preserve">Дательный </v>
      </c>
      <c r="BN20" s="818"/>
      <c r="BO20" s="818"/>
      <c r="BP20" s="818"/>
      <c r="BQ20" s="818"/>
      <c r="BR20" s="818"/>
      <c r="BS20" s="818"/>
      <c r="BT20" s="818"/>
      <c r="BU20" s="818"/>
      <c r="BV20" s="818"/>
      <c r="BW20" s="819"/>
      <c r="BX20" s="289" t="e">
        <f>'Настройки УИК'!#REF!</f>
        <v>#REF!</v>
      </c>
      <c r="BY20" s="817" t="str">
        <f ca="1">IF(INDIRECT("'Настройки УИК'!$B$28")=0,"",INDIRECT("'Настройки УИК'!$B$28"))</f>
        <v>Творительный</v>
      </c>
      <c r="BZ20" s="818"/>
      <c r="CA20" s="818"/>
      <c r="CB20" s="818"/>
      <c r="CC20" s="818"/>
      <c r="CD20" s="818"/>
      <c r="CE20" s="818"/>
      <c r="CF20" s="818"/>
      <c r="CG20" s="818"/>
      <c r="CH20" s="818"/>
      <c r="CI20" s="819"/>
      <c r="CJ20" s="289" t="e">
        <f>'Настройки УИК'!#REF!</f>
        <v>#REF!</v>
      </c>
      <c r="CK20" s="817" t="str">
        <f ca="1">IF(INDIRECT("'Настройки УИК'!$B$29")=0,"",INDIRECT("'Настройки УИК'!$B$29"))</f>
        <v>Винительный</v>
      </c>
      <c r="CL20" s="818"/>
      <c r="CM20" s="818"/>
      <c r="CN20" s="818"/>
      <c r="CO20" s="818"/>
      <c r="CP20" s="818"/>
      <c r="CQ20" s="818"/>
      <c r="CR20" s="818"/>
      <c r="CS20" s="818"/>
      <c r="CT20" s="818"/>
      <c r="CU20" s="819"/>
      <c r="CV20" s="289" t="e">
        <f>'Настройки УИК'!#REF!</f>
        <v>#REF!</v>
      </c>
      <c r="CW20" s="817" t="str">
        <f ca="1">IF(INDIRECT("'Настройки УИК'!$B$30")=0,"",INDIRECT("'Настройки УИК'!$B$30"))</f>
        <v/>
      </c>
      <c r="CX20" s="818"/>
      <c r="CY20" s="818"/>
      <c r="CZ20" s="818"/>
      <c r="DA20" s="818"/>
      <c r="DB20" s="818"/>
      <c r="DC20" s="818"/>
      <c r="DD20" s="818"/>
      <c r="DE20" s="818"/>
      <c r="DF20" s="818"/>
      <c r="DG20" s="819"/>
      <c r="DH20" s="289" t="e">
        <f>'Настройки УИК'!#REF!</f>
        <v>#REF!</v>
      </c>
      <c r="DI20" s="817" t="str">
        <f ca="1">IF(INDIRECT("'Настройки УИК'!$B$31")=0,"",INDIRECT("'Настройки УИК'!$B$31"))</f>
        <v/>
      </c>
      <c r="DJ20" s="818"/>
      <c r="DK20" s="818"/>
      <c r="DL20" s="818"/>
      <c r="DM20" s="818"/>
      <c r="DN20" s="818"/>
      <c r="DO20" s="818"/>
      <c r="DP20" s="818"/>
      <c r="DQ20" s="818"/>
      <c r="DR20" s="818"/>
      <c r="DS20" s="819"/>
      <c r="DT20" s="289" t="e">
        <f>'Настройки УИК'!#REF!</f>
        <v>#REF!</v>
      </c>
      <c r="DU20" s="817" t="str">
        <f ca="1">IF(INDIRECT("'Настройки УИК'!$B$32")=0,"",INDIRECT("'Настройки УИК'!$B$32"))</f>
        <v/>
      </c>
      <c r="DV20" s="818"/>
      <c r="DW20" s="818"/>
      <c r="DX20" s="818"/>
      <c r="DY20" s="818"/>
      <c r="DZ20" s="818"/>
      <c r="EA20" s="818"/>
      <c r="EB20" s="818"/>
      <c r="EC20" s="818"/>
      <c r="ED20" s="818"/>
      <c r="EE20" s="819"/>
      <c r="EF20" s="289" t="e">
        <f>'Настройки УИК'!#REF!</f>
        <v>#REF!</v>
      </c>
      <c r="EG20" s="817" t="str">
        <f ca="1">IF(INDIRECT("'Настройки УИК'!$B$33")=0,"",INDIRECT("'Настройки УИК'!$B$33"))</f>
        <v>Должности</v>
      </c>
      <c r="EH20" s="818"/>
      <c r="EI20" s="818"/>
      <c r="EJ20" s="818"/>
      <c r="EK20" s="818"/>
      <c r="EL20" s="818"/>
      <c r="EM20" s="818"/>
      <c r="EN20" s="818"/>
      <c r="EO20" s="818"/>
      <c r="EP20" s="818"/>
      <c r="EQ20" s="819"/>
      <c r="ER20" s="289" t="e">
        <f>'Настройки УИК'!#REF!</f>
        <v>#REF!</v>
      </c>
      <c r="ES20" s="817" t="str">
        <f ca="1">IF(INDIRECT("'Настройки УИК'!$B$34")=0,"",INDIRECT("'Настройки УИК'!$B$34"))</f>
        <v/>
      </c>
      <c r="ET20" s="818"/>
      <c r="EU20" s="818"/>
      <c r="EV20" s="818"/>
      <c r="EW20" s="818"/>
      <c r="EX20" s="818"/>
      <c r="EY20" s="818"/>
      <c r="EZ20" s="818"/>
      <c r="FA20" s="818"/>
      <c r="FB20" s="818"/>
      <c r="FC20" s="819"/>
      <c r="FD20" s="289" t="e">
        <f>'Настройки УИК'!#REF!</f>
        <v>#REF!</v>
      </c>
      <c r="FE20" s="817" t="str">
        <f ca="1">IF(INDIRECT("'Настройки УИК'!$B$35")=0,"",INDIRECT("'Настройки УИК'!$B$35"))</f>
        <v>Председатель</v>
      </c>
      <c r="FF20" s="818"/>
      <c r="FG20" s="818"/>
      <c r="FH20" s="818"/>
      <c r="FI20" s="818"/>
      <c r="FJ20" s="818"/>
      <c r="FK20" s="818"/>
      <c r="FL20" s="818"/>
      <c r="FM20" s="818"/>
      <c r="FN20" s="818"/>
      <c r="FO20" s="819"/>
      <c r="FP20" s="289" t="e">
        <f>'Настройки УИК'!#REF!</f>
        <v>#REF!</v>
      </c>
      <c r="FQ20" s="817" t="str">
        <f ca="1">IF(INDIRECT("'Настройки УИК'!$B$36")=0,"",INDIRECT("'Настройки УИК'!$B$36"))</f>
        <v/>
      </c>
      <c r="FR20" s="818"/>
      <c r="FS20" s="818"/>
      <c r="FT20" s="818"/>
      <c r="FU20" s="818"/>
      <c r="FV20" s="818"/>
      <c r="FW20" s="818"/>
      <c r="FX20" s="818"/>
      <c r="FY20" s="818"/>
      <c r="FZ20" s="818"/>
      <c r="GA20" s="819"/>
      <c r="GB20" s="289" t="e">
        <f>'Настройки УИК'!#REF!</f>
        <v>#REF!</v>
      </c>
      <c r="GC20" s="817" t="str">
        <f ca="1">IF(INDIRECT("'Настройки УИК'!$B$37")=0,"",INDIRECT("'Настройки УИК'!$B$37"))</f>
        <v/>
      </c>
      <c r="GD20" s="818"/>
      <c r="GE20" s="818"/>
      <c r="GF20" s="818"/>
      <c r="GG20" s="818"/>
      <c r="GH20" s="818"/>
      <c r="GI20" s="818"/>
      <c r="GJ20" s="818"/>
      <c r="GK20" s="818"/>
      <c r="GL20" s="818"/>
      <c r="GM20" s="819"/>
      <c r="GN20" s="289" t="e">
        <f>'Настройки УИК'!#REF!</f>
        <v>#REF!</v>
      </c>
      <c r="GO20" s="817" t="str">
        <f ca="1">IF(INDIRECT("'Настройки УИК'!$B$38")=0,"",INDIRECT("'Настройки УИК'!$B$38"))</f>
        <v/>
      </c>
      <c r="GP20" s="818"/>
      <c r="GQ20" s="818"/>
      <c r="GR20" s="818"/>
      <c r="GS20" s="818"/>
      <c r="GT20" s="818"/>
      <c r="GU20" s="818"/>
      <c r="GV20" s="818"/>
      <c r="GW20" s="818"/>
      <c r="GX20" s="818"/>
      <c r="GY20" s="819"/>
      <c r="GZ20" s="289" t="e">
        <f>'Настройки УИК'!#REF!</f>
        <v>#REF!</v>
      </c>
      <c r="HA20" s="817" t="str">
        <f ca="1">IF(INDIRECT("'Настройки УИК'!$B$39")=0,"",INDIRECT("'Настройки УИК'!$B$39"))</f>
        <v/>
      </c>
      <c r="HB20" s="818"/>
      <c r="HC20" s="818"/>
      <c r="HD20" s="818"/>
      <c r="HE20" s="818"/>
      <c r="HF20" s="818"/>
      <c r="HG20" s="818"/>
      <c r="HH20" s="818"/>
      <c r="HI20" s="818"/>
      <c r="HJ20" s="818"/>
      <c r="HK20" s="819"/>
    </row>
    <row r="21" spans="1:223" s="115" customFormat="1" ht="9" customHeight="1">
      <c r="A21" s="853"/>
      <c r="B21" s="854"/>
      <c r="C21" s="289"/>
      <c r="D21" s="289"/>
      <c r="E21" s="820"/>
      <c r="F21" s="821"/>
      <c r="G21" s="821"/>
      <c r="H21" s="821"/>
      <c r="I21" s="821"/>
      <c r="J21" s="821"/>
      <c r="K21" s="821"/>
      <c r="L21" s="821"/>
      <c r="M21" s="821"/>
      <c r="N21" s="821"/>
      <c r="O21" s="822"/>
      <c r="P21" s="289"/>
      <c r="Q21" s="820"/>
      <c r="R21" s="821"/>
      <c r="S21" s="821"/>
      <c r="T21" s="821"/>
      <c r="U21" s="821"/>
      <c r="V21" s="821"/>
      <c r="W21" s="821"/>
      <c r="X21" s="821"/>
      <c r="Y21" s="821"/>
      <c r="Z21" s="821"/>
      <c r="AA21" s="822"/>
      <c r="AB21" s="289"/>
      <c r="AC21" s="820"/>
      <c r="AD21" s="821"/>
      <c r="AE21" s="821"/>
      <c r="AF21" s="821"/>
      <c r="AG21" s="821"/>
      <c r="AH21" s="821"/>
      <c r="AI21" s="821"/>
      <c r="AJ21" s="821"/>
      <c r="AK21" s="821"/>
      <c r="AL21" s="821"/>
      <c r="AM21" s="822"/>
      <c r="AN21" s="289"/>
      <c r="AO21" s="820"/>
      <c r="AP21" s="821"/>
      <c r="AQ21" s="821"/>
      <c r="AR21" s="821"/>
      <c r="AS21" s="821"/>
      <c r="AT21" s="821"/>
      <c r="AU21" s="821"/>
      <c r="AV21" s="821"/>
      <c r="AW21" s="821"/>
      <c r="AX21" s="821"/>
      <c r="AY21" s="822"/>
      <c r="AZ21" s="289"/>
      <c r="BA21" s="820"/>
      <c r="BB21" s="821"/>
      <c r="BC21" s="821"/>
      <c r="BD21" s="821"/>
      <c r="BE21" s="821"/>
      <c r="BF21" s="821"/>
      <c r="BG21" s="821"/>
      <c r="BH21" s="821"/>
      <c r="BI21" s="821"/>
      <c r="BJ21" s="821"/>
      <c r="BK21" s="822"/>
      <c r="BL21" s="289"/>
      <c r="BM21" s="820"/>
      <c r="BN21" s="821"/>
      <c r="BO21" s="821"/>
      <c r="BP21" s="821"/>
      <c r="BQ21" s="821"/>
      <c r="BR21" s="821"/>
      <c r="BS21" s="821"/>
      <c r="BT21" s="821"/>
      <c r="BU21" s="821"/>
      <c r="BV21" s="821"/>
      <c r="BW21" s="822"/>
      <c r="BX21" s="289"/>
      <c r="BY21" s="820"/>
      <c r="BZ21" s="821"/>
      <c r="CA21" s="821"/>
      <c r="CB21" s="821"/>
      <c r="CC21" s="821"/>
      <c r="CD21" s="821"/>
      <c r="CE21" s="821"/>
      <c r="CF21" s="821"/>
      <c r="CG21" s="821"/>
      <c r="CH21" s="821"/>
      <c r="CI21" s="822"/>
      <c r="CJ21" s="289"/>
      <c r="CK21" s="820"/>
      <c r="CL21" s="821"/>
      <c r="CM21" s="821"/>
      <c r="CN21" s="821"/>
      <c r="CO21" s="821"/>
      <c r="CP21" s="821"/>
      <c r="CQ21" s="821"/>
      <c r="CR21" s="821"/>
      <c r="CS21" s="821"/>
      <c r="CT21" s="821"/>
      <c r="CU21" s="822"/>
      <c r="CV21" s="289"/>
      <c r="CW21" s="820"/>
      <c r="CX21" s="821"/>
      <c r="CY21" s="821"/>
      <c r="CZ21" s="821"/>
      <c r="DA21" s="821"/>
      <c r="DB21" s="821"/>
      <c r="DC21" s="821"/>
      <c r="DD21" s="821"/>
      <c r="DE21" s="821"/>
      <c r="DF21" s="821"/>
      <c r="DG21" s="822"/>
      <c r="DH21" s="289"/>
      <c r="DI21" s="820"/>
      <c r="DJ21" s="821"/>
      <c r="DK21" s="821"/>
      <c r="DL21" s="821"/>
      <c r="DM21" s="821"/>
      <c r="DN21" s="821"/>
      <c r="DO21" s="821"/>
      <c r="DP21" s="821"/>
      <c r="DQ21" s="821"/>
      <c r="DR21" s="821"/>
      <c r="DS21" s="822"/>
      <c r="DT21" s="289"/>
      <c r="DU21" s="820"/>
      <c r="DV21" s="821"/>
      <c r="DW21" s="821"/>
      <c r="DX21" s="821"/>
      <c r="DY21" s="821"/>
      <c r="DZ21" s="821"/>
      <c r="EA21" s="821"/>
      <c r="EB21" s="821"/>
      <c r="EC21" s="821"/>
      <c r="ED21" s="821"/>
      <c r="EE21" s="822"/>
      <c r="EF21" s="289"/>
      <c r="EG21" s="820"/>
      <c r="EH21" s="821"/>
      <c r="EI21" s="821"/>
      <c r="EJ21" s="821"/>
      <c r="EK21" s="821"/>
      <c r="EL21" s="821"/>
      <c r="EM21" s="821"/>
      <c r="EN21" s="821"/>
      <c r="EO21" s="821"/>
      <c r="EP21" s="821"/>
      <c r="EQ21" s="822"/>
      <c r="ER21" s="289"/>
      <c r="ES21" s="820"/>
      <c r="ET21" s="821"/>
      <c r="EU21" s="821"/>
      <c r="EV21" s="821"/>
      <c r="EW21" s="821"/>
      <c r="EX21" s="821"/>
      <c r="EY21" s="821"/>
      <c r="EZ21" s="821"/>
      <c r="FA21" s="821"/>
      <c r="FB21" s="821"/>
      <c r="FC21" s="822"/>
      <c r="FD21" s="289"/>
      <c r="FE21" s="820"/>
      <c r="FF21" s="821"/>
      <c r="FG21" s="821"/>
      <c r="FH21" s="821"/>
      <c r="FI21" s="821"/>
      <c r="FJ21" s="821"/>
      <c r="FK21" s="821"/>
      <c r="FL21" s="821"/>
      <c r="FM21" s="821"/>
      <c r="FN21" s="821"/>
      <c r="FO21" s="822"/>
      <c r="FP21" s="289"/>
      <c r="FQ21" s="820"/>
      <c r="FR21" s="821"/>
      <c r="FS21" s="821"/>
      <c r="FT21" s="821"/>
      <c r="FU21" s="821"/>
      <c r="FV21" s="821"/>
      <c r="FW21" s="821"/>
      <c r="FX21" s="821"/>
      <c r="FY21" s="821"/>
      <c r="FZ21" s="821"/>
      <c r="GA21" s="822"/>
      <c r="GB21" s="289"/>
      <c r="GC21" s="820"/>
      <c r="GD21" s="821"/>
      <c r="GE21" s="821"/>
      <c r="GF21" s="821"/>
      <c r="GG21" s="821"/>
      <c r="GH21" s="821"/>
      <c r="GI21" s="821"/>
      <c r="GJ21" s="821"/>
      <c r="GK21" s="821"/>
      <c r="GL21" s="821"/>
      <c r="GM21" s="822"/>
      <c r="GN21" s="289"/>
      <c r="GO21" s="820"/>
      <c r="GP21" s="821"/>
      <c r="GQ21" s="821"/>
      <c r="GR21" s="821"/>
      <c r="GS21" s="821"/>
      <c r="GT21" s="821"/>
      <c r="GU21" s="821"/>
      <c r="GV21" s="821"/>
      <c r="GW21" s="821"/>
      <c r="GX21" s="821"/>
      <c r="GY21" s="822"/>
      <c r="GZ21" s="289"/>
      <c r="HA21" s="820"/>
      <c r="HB21" s="821"/>
      <c r="HC21" s="821"/>
      <c r="HD21" s="821"/>
      <c r="HE21" s="821"/>
      <c r="HF21" s="821"/>
      <c r="HG21" s="821"/>
      <c r="HH21" s="821"/>
      <c r="HI21" s="821"/>
      <c r="HJ21" s="821"/>
      <c r="HK21" s="822"/>
    </row>
    <row r="22" spans="1:223" s="115" customFormat="1" ht="9" customHeight="1">
      <c r="A22" s="853"/>
      <c r="B22" s="854"/>
      <c r="C22" s="289"/>
      <c r="D22" s="289"/>
      <c r="E22" s="820"/>
      <c r="F22" s="821"/>
      <c r="G22" s="821"/>
      <c r="H22" s="821"/>
      <c r="I22" s="821"/>
      <c r="J22" s="821"/>
      <c r="K22" s="821"/>
      <c r="L22" s="821"/>
      <c r="M22" s="821"/>
      <c r="N22" s="821"/>
      <c r="O22" s="822"/>
      <c r="P22" s="289"/>
      <c r="Q22" s="820"/>
      <c r="R22" s="821"/>
      <c r="S22" s="821"/>
      <c r="T22" s="821"/>
      <c r="U22" s="821"/>
      <c r="V22" s="821"/>
      <c r="W22" s="821"/>
      <c r="X22" s="821"/>
      <c r="Y22" s="821"/>
      <c r="Z22" s="821"/>
      <c r="AA22" s="822"/>
      <c r="AB22" s="289"/>
      <c r="AC22" s="820"/>
      <c r="AD22" s="821"/>
      <c r="AE22" s="821"/>
      <c r="AF22" s="821"/>
      <c r="AG22" s="821"/>
      <c r="AH22" s="821"/>
      <c r="AI22" s="821"/>
      <c r="AJ22" s="821"/>
      <c r="AK22" s="821"/>
      <c r="AL22" s="821"/>
      <c r="AM22" s="822"/>
      <c r="AN22" s="289"/>
      <c r="AO22" s="820"/>
      <c r="AP22" s="821"/>
      <c r="AQ22" s="821"/>
      <c r="AR22" s="821"/>
      <c r="AS22" s="821"/>
      <c r="AT22" s="821"/>
      <c r="AU22" s="821"/>
      <c r="AV22" s="821"/>
      <c r="AW22" s="821"/>
      <c r="AX22" s="821"/>
      <c r="AY22" s="822"/>
      <c r="AZ22" s="289"/>
      <c r="BA22" s="820"/>
      <c r="BB22" s="821"/>
      <c r="BC22" s="821"/>
      <c r="BD22" s="821"/>
      <c r="BE22" s="821"/>
      <c r="BF22" s="821"/>
      <c r="BG22" s="821"/>
      <c r="BH22" s="821"/>
      <c r="BI22" s="821"/>
      <c r="BJ22" s="821"/>
      <c r="BK22" s="822"/>
      <c r="BL22" s="289"/>
      <c r="BM22" s="820"/>
      <c r="BN22" s="821"/>
      <c r="BO22" s="821"/>
      <c r="BP22" s="821"/>
      <c r="BQ22" s="821"/>
      <c r="BR22" s="821"/>
      <c r="BS22" s="821"/>
      <c r="BT22" s="821"/>
      <c r="BU22" s="821"/>
      <c r="BV22" s="821"/>
      <c r="BW22" s="822"/>
      <c r="BX22" s="289"/>
      <c r="BY22" s="820"/>
      <c r="BZ22" s="821"/>
      <c r="CA22" s="821"/>
      <c r="CB22" s="821"/>
      <c r="CC22" s="821"/>
      <c r="CD22" s="821"/>
      <c r="CE22" s="821"/>
      <c r="CF22" s="821"/>
      <c r="CG22" s="821"/>
      <c r="CH22" s="821"/>
      <c r="CI22" s="822"/>
      <c r="CJ22" s="289"/>
      <c r="CK22" s="820"/>
      <c r="CL22" s="821"/>
      <c r="CM22" s="821"/>
      <c r="CN22" s="821"/>
      <c r="CO22" s="821"/>
      <c r="CP22" s="821"/>
      <c r="CQ22" s="821"/>
      <c r="CR22" s="821"/>
      <c r="CS22" s="821"/>
      <c r="CT22" s="821"/>
      <c r="CU22" s="822"/>
      <c r="CV22" s="289"/>
      <c r="CW22" s="820"/>
      <c r="CX22" s="821"/>
      <c r="CY22" s="821"/>
      <c r="CZ22" s="821"/>
      <c r="DA22" s="821"/>
      <c r="DB22" s="821"/>
      <c r="DC22" s="821"/>
      <c r="DD22" s="821"/>
      <c r="DE22" s="821"/>
      <c r="DF22" s="821"/>
      <c r="DG22" s="822"/>
      <c r="DH22" s="289"/>
      <c r="DI22" s="820"/>
      <c r="DJ22" s="821"/>
      <c r="DK22" s="821"/>
      <c r="DL22" s="821"/>
      <c r="DM22" s="821"/>
      <c r="DN22" s="821"/>
      <c r="DO22" s="821"/>
      <c r="DP22" s="821"/>
      <c r="DQ22" s="821"/>
      <c r="DR22" s="821"/>
      <c r="DS22" s="822"/>
      <c r="DT22" s="289"/>
      <c r="DU22" s="820"/>
      <c r="DV22" s="821"/>
      <c r="DW22" s="821"/>
      <c r="DX22" s="821"/>
      <c r="DY22" s="821"/>
      <c r="DZ22" s="821"/>
      <c r="EA22" s="821"/>
      <c r="EB22" s="821"/>
      <c r="EC22" s="821"/>
      <c r="ED22" s="821"/>
      <c r="EE22" s="822"/>
      <c r="EF22" s="289"/>
      <c r="EG22" s="820"/>
      <c r="EH22" s="821"/>
      <c r="EI22" s="821"/>
      <c r="EJ22" s="821"/>
      <c r="EK22" s="821"/>
      <c r="EL22" s="821"/>
      <c r="EM22" s="821"/>
      <c r="EN22" s="821"/>
      <c r="EO22" s="821"/>
      <c r="EP22" s="821"/>
      <c r="EQ22" s="822"/>
      <c r="ER22" s="289"/>
      <c r="ES22" s="820"/>
      <c r="ET22" s="821"/>
      <c r="EU22" s="821"/>
      <c r="EV22" s="821"/>
      <c r="EW22" s="821"/>
      <c r="EX22" s="821"/>
      <c r="EY22" s="821"/>
      <c r="EZ22" s="821"/>
      <c r="FA22" s="821"/>
      <c r="FB22" s="821"/>
      <c r="FC22" s="822"/>
      <c r="FD22" s="289"/>
      <c r="FE22" s="820"/>
      <c r="FF22" s="821"/>
      <c r="FG22" s="821"/>
      <c r="FH22" s="821"/>
      <c r="FI22" s="821"/>
      <c r="FJ22" s="821"/>
      <c r="FK22" s="821"/>
      <c r="FL22" s="821"/>
      <c r="FM22" s="821"/>
      <c r="FN22" s="821"/>
      <c r="FO22" s="822"/>
      <c r="FP22" s="289"/>
      <c r="FQ22" s="820"/>
      <c r="FR22" s="821"/>
      <c r="FS22" s="821"/>
      <c r="FT22" s="821"/>
      <c r="FU22" s="821"/>
      <c r="FV22" s="821"/>
      <c r="FW22" s="821"/>
      <c r="FX22" s="821"/>
      <c r="FY22" s="821"/>
      <c r="FZ22" s="821"/>
      <c r="GA22" s="822"/>
      <c r="GB22" s="289"/>
      <c r="GC22" s="820"/>
      <c r="GD22" s="821"/>
      <c r="GE22" s="821"/>
      <c r="GF22" s="821"/>
      <c r="GG22" s="821"/>
      <c r="GH22" s="821"/>
      <c r="GI22" s="821"/>
      <c r="GJ22" s="821"/>
      <c r="GK22" s="821"/>
      <c r="GL22" s="821"/>
      <c r="GM22" s="822"/>
      <c r="GN22" s="289"/>
      <c r="GO22" s="820"/>
      <c r="GP22" s="821"/>
      <c r="GQ22" s="821"/>
      <c r="GR22" s="821"/>
      <c r="GS22" s="821"/>
      <c r="GT22" s="821"/>
      <c r="GU22" s="821"/>
      <c r="GV22" s="821"/>
      <c r="GW22" s="821"/>
      <c r="GX22" s="821"/>
      <c r="GY22" s="822"/>
      <c r="GZ22" s="289"/>
      <c r="HA22" s="820"/>
      <c r="HB22" s="821"/>
      <c r="HC22" s="821"/>
      <c r="HD22" s="821"/>
      <c r="HE22" s="821"/>
      <c r="HF22" s="821"/>
      <c r="HG22" s="821"/>
      <c r="HH22" s="821"/>
      <c r="HI22" s="821"/>
      <c r="HJ22" s="821"/>
      <c r="HK22" s="822"/>
    </row>
    <row r="23" spans="1:223" s="115" customFormat="1" ht="9" customHeight="1">
      <c r="A23" s="853"/>
      <c r="B23" s="854"/>
      <c r="C23" s="289"/>
      <c r="D23" s="289"/>
      <c r="E23" s="820"/>
      <c r="F23" s="821"/>
      <c r="G23" s="821"/>
      <c r="H23" s="821"/>
      <c r="I23" s="821"/>
      <c r="J23" s="821"/>
      <c r="K23" s="821"/>
      <c r="L23" s="821"/>
      <c r="M23" s="821"/>
      <c r="N23" s="821"/>
      <c r="O23" s="822"/>
      <c r="P23" s="289"/>
      <c r="Q23" s="820"/>
      <c r="R23" s="821"/>
      <c r="S23" s="821"/>
      <c r="T23" s="821"/>
      <c r="U23" s="821"/>
      <c r="V23" s="821"/>
      <c r="W23" s="821"/>
      <c r="X23" s="821"/>
      <c r="Y23" s="821"/>
      <c r="Z23" s="821"/>
      <c r="AA23" s="822"/>
      <c r="AB23" s="289"/>
      <c r="AC23" s="820"/>
      <c r="AD23" s="821"/>
      <c r="AE23" s="821"/>
      <c r="AF23" s="821"/>
      <c r="AG23" s="821"/>
      <c r="AH23" s="821"/>
      <c r="AI23" s="821"/>
      <c r="AJ23" s="821"/>
      <c r="AK23" s="821"/>
      <c r="AL23" s="821"/>
      <c r="AM23" s="822"/>
      <c r="AN23" s="289"/>
      <c r="AO23" s="820"/>
      <c r="AP23" s="821"/>
      <c r="AQ23" s="821"/>
      <c r="AR23" s="821"/>
      <c r="AS23" s="821"/>
      <c r="AT23" s="821"/>
      <c r="AU23" s="821"/>
      <c r="AV23" s="821"/>
      <c r="AW23" s="821"/>
      <c r="AX23" s="821"/>
      <c r="AY23" s="822"/>
      <c r="AZ23" s="289"/>
      <c r="BA23" s="820"/>
      <c r="BB23" s="821"/>
      <c r="BC23" s="821"/>
      <c r="BD23" s="821"/>
      <c r="BE23" s="821"/>
      <c r="BF23" s="821"/>
      <c r="BG23" s="821"/>
      <c r="BH23" s="821"/>
      <c r="BI23" s="821"/>
      <c r="BJ23" s="821"/>
      <c r="BK23" s="822"/>
      <c r="BL23" s="289"/>
      <c r="BM23" s="820"/>
      <c r="BN23" s="821"/>
      <c r="BO23" s="821"/>
      <c r="BP23" s="821"/>
      <c r="BQ23" s="821"/>
      <c r="BR23" s="821"/>
      <c r="BS23" s="821"/>
      <c r="BT23" s="821"/>
      <c r="BU23" s="821"/>
      <c r="BV23" s="821"/>
      <c r="BW23" s="822"/>
      <c r="BX23" s="289"/>
      <c r="BY23" s="820"/>
      <c r="BZ23" s="821"/>
      <c r="CA23" s="821"/>
      <c r="CB23" s="821"/>
      <c r="CC23" s="821"/>
      <c r="CD23" s="821"/>
      <c r="CE23" s="821"/>
      <c r="CF23" s="821"/>
      <c r="CG23" s="821"/>
      <c r="CH23" s="821"/>
      <c r="CI23" s="822"/>
      <c r="CJ23" s="289"/>
      <c r="CK23" s="820"/>
      <c r="CL23" s="821"/>
      <c r="CM23" s="821"/>
      <c r="CN23" s="821"/>
      <c r="CO23" s="821"/>
      <c r="CP23" s="821"/>
      <c r="CQ23" s="821"/>
      <c r="CR23" s="821"/>
      <c r="CS23" s="821"/>
      <c r="CT23" s="821"/>
      <c r="CU23" s="822"/>
      <c r="CV23" s="289"/>
      <c r="CW23" s="820"/>
      <c r="CX23" s="821"/>
      <c r="CY23" s="821"/>
      <c r="CZ23" s="821"/>
      <c r="DA23" s="821"/>
      <c r="DB23" s="821"/>
      <c r="DC23" s="821"/>
      <c r="DD23" s="821"/>
      <c r="DE23" s="821"/>
      <c r="DF23" s="821"/>
      <c r="DG23" s="822"/>
      <c r="DH23" s="289"/>
      <c r="DI23" s="820"/>
      <c r="DJ23" s="821"/>
      <c r="DK23" s="821"/>
      <c r="DL23" s="821"/>
      <c r="DM23" s="821"/>
      <c r="DN23" s="821"/>
      <c r="DO23" s="821"/>
      <c r="DP23" s="821"/>
      <c r="DQ23" s="821"/>
      <c r="DR23" s="821"/>
      <c r="DS23" s="822"/>
      <c r="DT23" s="289"/>
      <c r="DU23" s="820"/>
      <c r="DV23" s="821"/>
      <c r="DW23" s="821"/>
      <c r="DX23" s="821"/>
      <c r="DY23" s="821"/>
      <c r="DZ23" s="821"/>
      <c r="EA23" s="821"/>
      <c r="EB23" s="821"/>
      <c r="EC23" s="821"/>
      <c r="ED23" s="821"/>
      <c r="EE23" s="822"/>
      <c r="EF23" s="289"/>
      <c r="EG23" s="820"/>
      <c r="EH23" s="821"/>
      <c r="EI23" s="821"/>
      <c r="EJ23" s="821"/>
      <c r="EK23" s="821"/>
      <c r="EL23" s="821"/>
      <c r="EM23" s="821"/>
      <c r="EN23" s="821"/>
      <c r="EO23" s="821"/>
      <c r="EP23" s="821"/>
      <c r="EQ23" s="822"/>
      <c r="ER23" s="289"/>
      <c r="ES23" s="820"/>
      <c r="ET23" s="821"/>
      <c r="EU23" s="821"/>
      <c r="EV23" s="821"/>
      <c r="EW23" s="821"/>
      <c r="EX23" s="821"/>
      <c r="EY23" s="821"/>
      <c r="EZ23" s="821"/>
      <c r="FA23" s="821"/>
      <c r="FB23" s="821"/>
      <c r="FC23" s="822"/>
      <c r="FD23" s="289"/>
      <c r="FE23" s="820"/>
      <c r="FF23" s="821"/>
      <c r="FG23" s="821"/>
      <c r="FH23" s="821"/>
      <c r="FI23" s="821"/>
      <c r="FJ23" s="821"/>
      <c r="FK23" s="821"/>
      <c r="FL23" s="821"/>
      <c r="FM23" s="821"/>
      <c r="FN23" s="821"/>
      <c r="FO23" s="822"/>
      <c r="FP23" s="289"/>
      <c r="FQ23" s="820"/>
      <c r="FR23" s="821"/>
      <c r="FS23" s="821"/>
      <c r="FT23" s="821"/>
      <c r="FU23" s="821"/>
      <c r="FV23" s="821"/>
      <c r="FW23" s="821"/>
      <c r="FX23" s="821"/>
      <c r="FY23" s="821"/>
      <c r="FZ23" s="821"/>
      <c r="GA23" s="822"/>
      <c r="GB23" s="289"/>
      <c r="GC23" s="820"/>
      <c r="GD23" s="821"/>
      <c r="GE23" s="821"/>
      <c r="GF23" s="821"/>
      <c r="GG23" s="821"/>
      <c r="GH23" s="821"/>
      <c r="GI23" s="821"/>
      <c r="GJ23" s="821"/>
      <c r="GK23" s="821"/>
      <c r="GL23" s="821"/>
      <c r="GM23" s="822"/>
      <c r="GN23" s="289"/>
      <c r="GO23" s="820"/>
      <c r="GP23" s="821"/>
      <c r="GQ23" s="821"/>
      <c r="GR23" s="821"/>
      <c r="GS23" s="821"/>
      <c r="GT23" s="821"/>
      <c r="GU23" s="821"/>
      <c r="GV23" s="821"/>
      <c r="GW23" s="821"/>
      <c r="GX23" s="821"/>
      <c r="GY23" s="822"/>
      <c r="GZ23" s="289"/>
      <c r="HA23" s="820"/>
      <c r="HB23" s="821"/>
      <c r="HC23" s="821"/>
      <c r="HD23" s="821"/>
      <c r="HE23" s="821"/>
      <c r="HF23" s="821"/>
      <c r="HG23" s="821"/>
      <c r="HH23" s="821"/>
      <c r="HI23" s="821"/>
      <c r="HJ23" s="821"/>
      <c r="HK23" s="822"/>
    </row>
    <row r="24" spans="1:223" s="115" customFormat="1" ht="9" customHeight="1">
      <c r="A24" s="853"/>
      <c r="B24" s="854"/>
      <c r="C24" s="289"/>
      <c r="D24" s="289"/>
      <c r="E24" s="823"/>
      <c r="F24" s="824"/>
      <c r="G24" s="824"/>
      <c r="H24" s="824"/>
      <c r="I24" s="824"/>
      <c r="J24" s="824"/>
      <c r="K24" s="824"/>
      <c r="L24" s="824"/>
      <c r="M24" s="824"/>
      <c r="N24" s="824"/>
      <c r="O24" s="825"/>
      <c r="P24" s="289"/>
      <c r="Q24" s="823"/>
      <c r="R24" s="824"/>
      <c r="S24" s="824"/>
      <c r="T24" s="824"/>
      <c r="U24" s="824"/>
      <c r="V24" s="824"/>
      <c r="W24" s="824"/>
      <c r="X24" s="824"/>
      <c r="Y24" s="824"/>
      <c r="Z24" s="824"/>
      <c r="AA24" s="825"/>
      <c r="AB24" s="289"/>
      <c r="AC24" s="823"/>
      <c r="AD24" s="824"/>
      <c r="AE24" s="824"/>
      <c r="AF24" s="824"/>
      <c r="AG24" s="824"/>
      <c r="AH24" s="824"/>
      <c r="AI24" s="824"/>
      <c r="AJ24" s="824"/>
      <c r="AK24" s="824"/>
      <c r="AL24" s="824"/>
      <c r="AM24" s="825"/>
      <c r="AN24" s="289"/>
      <c r="AO24" s="823"/>
      <c r="AP24" s="824"/>
      <c r="AQ24" s="824"/>
      <c r="AR24" s="824"/>
      <c r="AS24" s="824"/>
      <c r="AT24" s="824"/>
      <c r="AU24" s="824"/>
      <c r="AV24" s="824"/>
      <c r="AW24" s="824"/>
      <c r="AX24" s="824"/>
      <c r="AY24" s="825"/>
      <c r="AZ24" s="289"/>
      <c r="BA24" s="823"/>
      <c r="BB24" s="824"/>
      <c r="BC24" s="824"/>
      <c r="BD24" s="824"/>
      <c r="BE24" s="824"/>
      <c r="BF24" s="824"/>
      <c r="BG24" s="824"/>
      <c r="BH24" s="824"/>
      <c r="BI24" s="824"/>
      <c r="BJ24" s="824"/>
      <c r="BK24" s="825"/>
      <c r="BL24" s="289"/>
      <c r="BM24" s="823"/>
      <c r="BN24" s="824"/>
      <c r="BO24" s="824"/>
      <c r="BP24" s="824"/>
      <c r="BQ24" s="824"/>
      <c r="BR24" s="824"/>
      <c r="BS24" s="824"/>
      <c r="BT24" s="824"/>
      <c r="BU24" s="824"/>
      <c r="BV24" s="824"/>
      <c r="BW24" s="825"/>
      <c r="BX24" s="289"/>
      <c r="BY24" s="823"/>
      <c r="BZ24" s="824"/>
      <c r="CA24" s="824"/>
      <c r="CB24" s="824"/>
      <c r="CC24" s="824"/>
      <c r="CD24" s="824"/>
      <c r="CE24" s="824"/>
      <c r="CF24" s="824"/>
      <c r="CG24" s="824"/>
      <c r="CH24" s="824"/>
      <c r="CI24" s="825"/>
      <c r="CJ24" s="289"/>
      <c r="CK24" s="823"/>
      <c r="CL24" s="824"/>
      <c r="CM24" s="824"/>
      <c r="CN24" s="824"/>
      <c r="CO24" s="824"/>
      <c r="CP24" s="824"/>
      <c r="CQ24" s="824"/>
      <c r="CR24" s="824"/>
      <c r="CS24" s="824"/>
      <c r="CT24" s="824"/>
      <c r="CU24" s="825"/>
      <c r="CV24" s="289"/>
      <c r="CW24" s="823"/>
      <c r="CX24" s="824"/>
      <c r="CY24" s="824"/>
      <c r="CZ24" s="824"/>
      <c r="DA24" s="824"/>
      <c r="DB24" s="824"/>
      <c r="DC24" s="824"/>
      <c r="DD24" s="824"/>
      <c r="DE24" s="824"/>
      <c r="DF24" s="824"/>
      <c r="DG24" s="825"/>
      <c r="DH24" s="289"/>
      <c r="DI24" s="823"/>
      <c r="DJ24" s="824"/>
      <c r="DK24" s="824"/>
      <c r="DL24" s="824"/>
      <c r="DM24" s="824"/>
      <c r="DN24" s="824"/>
      <c r="DO24" s="824"/>
      <c r="DP24" s="824"/>
      <c r="DQ24" s="824"/>
      <c r="DR24" s="824"/>
      <c r="DS24" s="825"/>
      <c r="DT24" s="289"/>
      <c r="DU24" s="823"/>
      <c r="DV24" s="824"/>
      <c r="DW24" s="824"/>
      <c r="DX24" s="824"/>
      <c r="DY24" s="824"/>
      <c r="DZ24" s="824"/>
      <c r="EA24" s="824"/>
      <c r="EB24" s="824"/>
      <c r="EC24" s="824"/>
      <c r="ED24" s="824"/>
      <c r="EE24" s="825"/>
      <c r="EF24" s="289"/>
      <c r="EG24" s="823"/>
      <c r="EH24" s="824"/>
      <c r="EI24" s="824"/>
      <c r="EJ24" s="824"/>
      <c r="EK24" s="824"/>
      <c r="EL24" s="824"/>
      <c r="EM24" s="824"/>
      <c r="EN24" s="824"/>
      <c r="EO24" s="824"/>
      <c r="EP24" s="824"/>
      <c r="EQ24" s="825"/>
      <c r="ER24" s="289"/>
      <c r="ES24" s="823"/>
      <c r="ET24" s="824"/>
      <c r="EU24" s="824"/>
      <c r="EV24" s="824"/>
      <c r="EW24" s="824"/>
      <c r="EX24" s="824"/>
      <c r="EY24" s="824"/>
      <c r="EZ24" s="824"/>
      <c r="FA24" s="824"/>
      <c r="FB24" s="824"/>
      <c r="FC24" s="825"/>
      <c r="FD24" s="289"/>
      <c r="FE24" s="823"/>
      <c r="FF24" s="824"/>
      <c r="FG24" s="824"/>
      <c r="FH24" s="824"/>
      <c r="FI24" s="824"/>
      <c r="FJ24" s="824"/>
      <c r="FK24" s="824"/>
      <c r="FL24" s="824"/>
      <c r="FM24" s="824"/>
      <c r="FN24" s="824"/>
      <c r="FO24" s="825"/>
      <c r="FP24" s="289"/>
      <c r="FQ24" s="823"/>
      <c r="FR24" s="824"/>
      <c r="FS24" s="824"/>
      <c r="FT24" s="824"/>
      <c r="FU24" s="824"/>
      <c r="FV24" s="824"/>
      <c r="FW24" s="824"/>
      <c r="FX24" s="824"/>
      <c r="FY24" s="824"/>
      <c r="FZ24" s="824"/>
      <c r="GA24" s="825"/>
      <c r="GB24" s="289"/>
      <c r="GC24" s="823"/>
      <c r="GD24" s="824"/>
      <c r="GE24" s="824"/>
      <c r="GF24" s="824"/>
      <c r="GG24" s="824"/>
      <c r="GH24" s="824"/>
      <c r="GI24" s="824"/>
      <c r="GJ24" s="824"/>
      <c r="GK24" s="824"/>
      <c r="GL24" s="824"/>
      <c r="GM24" s="825"/>
      <c r="GN24" s="289"/>
      <c r="GO24" s="823"/>
      <c r="GP24" s="824"/>
      <c r="GQ24" s="824"/>
      <c r="GR24" s="824"/>
      <c r="GS24" s="824"/>
      <c r="GT24" s="824"/>
      <c r="GU24" s="824"/>
      <c r="GV24" s="824"/>
      <c r="GW24" s="824"/>
      <c r="GX24" s="824"/>
      <c r="GY24" s="825"/>
      <c r="GZ24" s="289"/>
      <c r="HA24" s="823"/>
      <c r="HB24" s="824"/>
      <c r="HC24" s="824"/>
      <c r="HD24" s="824"/>
      <c r="HE24" s="824"/>
      <c r="HF24" s="824"/>
      <c r="HG24" s="824"/>
      <c r="HH24" s="824"/>
      <c r="HI24" s="824"/>
      <c r="HJ24" s="824"/>
      <c r="HK24" s="825"/>
    </row>
    <row r="25" spans="1:223" s="116" customFormat="1" ht="42" customHeight="1">
      <c r="A25" s="853"/>
      <c r="B25" s="854"/>
      <c r="C25" s="289"/>
      <c r="D25" s="289"/>
      <c r="E25" s="804" t="str">
        <f ca="1">IF(INDIRECT("'Настройки УИК'!$C$22")=0," ",INDIRECT("'Настройки УИК'!$C$22"))</f>
        <v/>
      </c>
      <c r="F25" s="804"/>
      <c r="G25" s="804"/>
      <c r="H25" s="804"/>
      <c r="I25" s="804"/>
      <c r="J25" s="804"/>
      <c r="K25" s="804"/>
      <c r="L25" s="804"/>
      <c r="M25" s="804"/>
      <c r="N25" s="804"/>
      <c r="O25" s="804"/>
      <c r="P25" s="289"/>
      <c r="Q25" s="804" t="str">
        <f ca="1">IF(INDIRECT("'Настройки УИК'!$C$23")=0," ",INDIRECT("'Настройки УИК'!$C$23"))</f>
        <v xml:space="preserve"> </v>
      </c>
      <c r="R25" s="804"/>
      <c r="S25" s="804"/>
      <c r="T25" s="804"/>
      <c r="U25" s="804"/>
      <c r="V25" s="804"/>
      <c r="W25" s="804"/>
      <c r="X25" s="804"/>
      <c r="Y25" s="804"/>
      <c r="Z25" s="804"/>
      <c r="AA25" s="804"/>
      <c r="AB25" s="289"/>
      <c r="AC25" s="804" t="str">
        <f ca="1">IF(INDIRECT("'Настройки УИК'!$C$24")=0," ",INDIRECT("'Настройки УИК'!$C$24"))</f>
        <v xml:space="preserve"> </v>
      </c>
      <c r="AD25" s="804"/>
      <c r="AE25" s="804"/>
      <c r="AF25" s="804"/>
      <c r="AG25" s="804"/>
      <c r="AH25" s="804"/>
      <c r="AI25" s="804"/>
      <c r="AJ25" s="804"/>
      <c r="AK25" s="804"/>
      <c r="AL25" s="804"/>
      <c r="AM25" s="804"/>
      <c r="AN25" s="289"/>
      <c r="AO25" s="804" t="str">
        <f ca="1">IF(INDIRECT("'Настройки УИК'!$C$25")=0," ",INDIRECT("'Настройки УИК'!$C$25"))</f>
        <v xml:space="preserve"> </v>
      </c>
      <c r="AP25" s="804"/>
      <c r="AQ25" s="804"/>
      <c r="AR25" s="804"/>
      <c r="AS25" s="804"/>
      <c r="AT25" s="804"/>
      <c r="AU25" s="804"/>
      <c r="AV25" s="804"/>
      <c r="AW25" s="804"/>
      <c r="AX25" s="804"/>
      <c r="AY25" s="804"/>
      <c r="AZ25" s="289"/>
      <c r="BA25" s="804" t="str">
        <f ca="1">IF(INDIRECT("'Настройки УИК'!$C$26")=0," ",INDIRECT("'Настройки УИК'!$C$26"))</f>
        <v xml:space="preserve"> </v>
      </c>
      <c r="BB25" s="804"/>
      <c r="BC25" s="804"/>
      <c r="BD25" s="804"/>
      <c r="BE25" s="804"/>
      <c r="BF25" s="804"/>
      <c r="BG25" s="804"/>
      <c r="BH25" s="804"/>
      <c r="BI25" s="804"/>
      <c r="BJ25" s="804"/>
      <c r="BK25" s="804"/>
      <c r="BL25" s="289"/>
      <c r="BM25" s="804" t="str">
        <f ca="1">IF(INDIRECT("'Настройки УИК'!$C$27")=0," ",INDIRECT("'Настройки УИК'!$C$27"))</f>
        <v xml:space="preserve"> </v>
      </c>
      <c r="BN25" s="804"/>
      <c r="BO25" s="804"/>
      <c r="BP25" s="804"/>
      <c r="BQ25" s="804"/>
      <c r="BR25" s="804"/>
      <c r="BS25" s="804"/>
      <c r="BT25" s="804"/>
      <c r="BU25" s="804"/>
      <c r="BV25" s="804"/>
      <c r="BW25" s="804"/>
      <c r="BX25" s="289"/>
      <c r="BY25" s="804" t="str">
        <f ca="1">IF(INDIRECT("'Настройки УИК'!$C$28")=0," ",INDIRECT("'Настройки УИК'!$C$28"))</f>
        <v xml:space="preserve"> </v>
      </c>
      <c r="BZ25" s="804"/>
      <c r="CA25" s="804"/>
      <c r="CB25" s="804"/>
      <c r="CC25" s="804"/>
      <c r="CD25" s="804"/>
      <c r="CE25" s="804"/>
      <c r="CF25" s="804"/>
      <c r="CG25" s="804"/>
      <c r="CH25" s="804"/>
      <c r="CI25" s="804"/>
      <c r="CJ25" s="289"/>
      <c r="CK25" s="804" t="str">
        <f ca="1">IF(INDIRECT("'Настройки УИК'!$C$29")=0," ",INDIRECT("'Настройки УИК'!$C$29"))</f>
        <v xml:space="preserve"> </v>
      </c>
      <c r="CL25" s="804"/>
      <c r="CM25" s="804"/>
      <c r="CN25" s="804"/>
      <c r="CO25" s="804"/>
      <c r="CP25" s="804"/>
      <c r="CQ25" s="804"/>
      <c r="CR25" s="804"/>
      <c r="CS25" s="804"/>
      <c r="CT25" s="804"/>
      <c r="CU25" s="804"/>
      <c r="CV25" s="289"/>
      <c r="CW25" s="804" t="str">
        <f ca="1">IF(INDIRECT("'Настройки УИК'!$C$30")=0," ",INDIRECT("'Настройки УИК'!$C$30"))</f>
        <v xml:space="preserve"> </v>
      </c>
      <c r="CX25" s="804"/>
      <c r="CY25" s="804"/>
      <c r="CZ25" s="804"/>
      <c r="DA25" s="804"/>
      <c r="DB25" s="804"/>
      <c r="DC25" s="804"/>
      <c r="DD25" s="804"/>
      <c r="DE25" s="804"/>
      <c r="DF25" s="804"/>
      <c r="DG25" s="804"/>
      <c r="DH25" s="289"/>
      <c r="DI25" s="804" t="str">
        <f ca="1">IF(INDIRECT("'Настройки УИК'!$C$31")=0," ",INDIRECT("'Настройки УИК'!$C$31"))</f>
        <v xml:space="preserve"> </v>
      </c>
      <c r="DJ25" s="804"/>
      <c r="DK25" s="804"/>
      <c r="DL25" s="804"/>
      <c r="DM25" s="804"/>
      <c r="DN25" s="804"/>
      <c r="DO25" s="804"/>
      <c r="DP25" s="804"/>
      <c r="DQ25" s="804"/>
      <c r="DR25" s="804"/>
      <c r="DS25" s="804"/>
      <c r="DT25" s="289"/>
      <c r="DU25" s="804" t="str">
        <f ca="1">IF(INDIRECT("'Настройки УИК'!$C$32")=0," ",INDIRECT("'Настройки УИК'!$C$32"))</f>
        <v xml:space="preserve"> </v>
      </c>
      <c r="DV25" s="804"/>
      <c r="DW25" s="804"/>
      <c r="DX25" s="804"/>
      <c r="DY25" s="804"/>
      <c r="DZ25" s="804"/>
      <c r="EA25" s="804"/>
      <c r="EB25" s="804"/>
      <c r="EC25" s="804"/>
      <c r="ED25" s="804"/>
      <c r="EE25" s="804"/>
      <c r="EF25" s="289"/>
      <c r="EG25" s="804" t="str">
        <f ca="1">IF(INDIRECT("'Настройки УИК'!$C$33")=0," ",INDIRECT("'Настройки УИК'!$C$33"))</f>
        <v xml:space="preserve"> </v>
      </c>
      <c r="EH25" s="804"/>
      <c r="EI25" s="804"/>
      <c r="EJ25" s="804"/>
      <c r="EK25" s="804"/>
      <c r="EL25" s="804"/>
      <c r="EM25" s="804"/>
      <c r="EN25" s="804"/>
      <c r="EO25" s="804"/>
      <c r="EP25" s="804"/>
      <c r="EQ25" s="804"/>
      <c r="ER25" s="289"/>
      <c r="ES25" s="804" t="str">
        <f ca="1">IF(INDIRECT("'Настройки УИК'!$C$34")=0," ",INDIRECT("'Настройки УИК'!$C$34"))</f>
        <v xml:space="preserve"> </v>
      </c>
      <c r="ET25" s="804"/>
      <c r="EU25" s="804"/>
      <c r="EV25" s="804"/>
      <c r="EW25" s="804"/>
      <c r="EX25" s="804"/>
      <c r="EY25" s="804"/>
      <c r="EZ25" s="804"/>
      <c r="FA25" s="804"/>
      <c r="FB25" s="804"/>
      <c r="FC25" s="804"/>
      <c r="FD25" s="289"/>
      <c r="FE25" s="804" t="str">
        <f ca="1">IF(INDIRECT("'Настройки УИК'!$C$35")=0," ",INDIRECT("'Настройки УИК'!$C$35"))</f>
        <v>Заместитель председателя</v>
      </c>
      <c r="FF25" s="804"/>
      <c r="FG25" s="804"/>
      <c r="FH25" s="804"/>
      <c r="FI25" s="804"/>
      <c r="FJ25" s="804"/>
      <c r="FK25" s="804"/>
      <c r="FL25" s="804"/>
      <c r="FM25" s="804"/>
      <c r="FN25" s="804"/>
      <c r="FO25" s="804"/>
      <c r="FP25" s="289"/>
      <c r="FQ25" s="804" t="str">
        <f ca="1">IF(INDIRECT("'Настройки УИК'!$C$36")=0," ",INDIRECT("'Настройки УИК'!$C$36"))</f>
        <v xml:space="preserve"> </v>
      </c>
      <c r="FR25" s="804"/>
      <c r="FS25" s="804"/>
      <c r="FT25" s="804"/>
      <c r="FU25" s="804"/>
      <c r="FV25" s="804"/>
      <c r="FW25" s="804"/>
      <c r="FX25" s="804"/>
      <c r="FY25" s="804"/>
      <c r="FZ25" s="804"/>
      <c r="GA25" s="804"/>
      <c r="GB25" s="289"/>
      <c r="GC25" s="804" t="str">
        <f ca="1">IF(INDIRECT("'Настройки УИК'!$C$37")=0," ",INDIRECT("'Настройки УИК'!$C$37"))</f>
        <v xml:space="preserve"> </v>
      </c>
      <c r="GD25" s="804"/>
      <c r="GE25" s="804"/>
      <c r="GF25" s="804"/>
      <c r="GG25" s="804"/>
      <c r="GH25" s="804"/>
      <c r="GI25" s="804"/>
      <c r="GJ25" s="804"/>
      <c r="GK25" s="804"/>
      <c r="GL25" s="804"/>
      <c r="GM25" s="804"/>
      <c r="GN25" s="289"/>
      <c r="GO25" s="804" t="str">
        <f ca="1">IF(INDIRECT("'Настройки УИК'!$C$38")=0," ",INDIRECT("'Настройки УИК'!$C$38"))</f>
        <v xml:space="preserve"> </v>
      </c>
      <c r="GP25" s="804"/>
      <c r="GQ25" s="804"/>
      <c r="GR25" s="804"/>
      <c r="GS25" s="804"/>
      <c r="GT25" s="804"/>
      <c r="GU25" s="804"/>
      <c r="GV25" s="804"/>
      <c r="GW25" s="804"/>
      <c r="GX25" s="804"/>
      <c r="GY25" s="804"/>
      <c r="GZ25" s="289"/>
      <c r="HA25" s="804" t="str">
        <f ca="1">IF(INDIRECT("'Настройки УИК'!$C$39")=0," ",INDIRECT("'Настройки УИК'!$C$39"))</f>
        <v xml:space="preserve"> </v>
      </c>
      <c r="HB25" s="804"/>
      <c r="HC25" s="804"/>
      <c r="HD25" s="804"/>
      <c r="HE25" s="804"/>
      <c r="HF25" s="804"/>
      <c r="HG25" s="804"/>
      <c r="HH25" s="804"/>
      <c r="HI25" s="804"/>
      <c r="HJ25" s="804"/>
      <c r="HK25" s="804"/>
    </row>
    <row r="26" spans="1:223" s="116" customFormat="1" ht="51" hidden="1" customHeight="1">
      <c r="A26" s="853"/>
      <c r="B26" s="854"/>
      <c r="C26" s="289"/>
      <c r="D26" s="289"/>
      <c r="E26" s="803">
        <f ca="1">IF(ISERROR(VALUE(INDIRECT("'Настройки УИК'!$F$22"))),0,VALUE(INDIRECT("'Настройки УИК'!$F$22")))</f>
        <v>0</v>
      </c>
      <c r="F26" s="804"/>
      <c r="G26" s="804"/>
      <c r="H26" s="804"/>
      <c r="I26" s="804"/>
      <c r="J26" s="804"/>
      <c r="K26" s="804"/>
      <c r="L26" s="804"/>
      <c r="M26" s="804"/>
      <c r="N26" s="804"/>
      <c r="O26" s="804"/>
      <c r="P26" s="289"/>
      <c r="Q26" s="803">
        <f ca="1">IF(ISERROR(VALUE(INDIRECT("'Настройки УИК'!$F$23"))),0,VALUE(INDIRECT("'Настройки УИК'!$F$23")))</f>
        <v>0</v>
      </c>
      <c r="R26" s="804"/>
      <c r="S26" s="804"/>
      <c r="T26" s="804"/>
      <c r="U26" s="804"/>
      <c r="V26" s="804"/>
      <c r="W26" s="804"/>
      <c r="X26" s="804"/>
      <c r="Y26" s="804"/>
      <c r="Z26" s="804"/>
      <c r="AA26" s="804"/>
      <c r="AB26" s="289"/>
      <c r="AC26" s="803">
        <f ca="1">IF(ISERROR(VALUE(INDIRECT("'Настройки УИК'!$F$24"))),0,VALUE(INDIRECT("'Настройки УИК'!$F$24")))</f>
        <v>0</v>
      </c>
      <c r="AD26" s="804"/>
      <c r="AE26" s="804"/>
      <c r="AF26" s="804"/>
      <c r="AG26" s="804"/>
      <c r="AH26" s="804"/>
      <c r="AI26" s="804"/>
      <c r="AJ26" s="804"/>
      <c r="AK26" s="804"/>
      <c r="AL26" s="804"/>
      <c r="AM26" s="804"/>
      <c r="AN26" s="289"/>
      <c r="AO26" s="803">
        <f ca="1">IF(ISERROR(VALUE(INDIRECT("'Настройки УИК'!$F$25"))),0,VALUE(INDIRECT("'Настройки УИК'!$F$25")))</f>
        <v>0</v>
      </c>
      <c r="AP26" s="804"/>
      <c r="AQ26" s="804"/>
      <c r="AR26" s="804"/>
      <c r="AS26" s="804"/>
      <c r="AT26" s="804"/>
      <c r="AU26" s="804"/>
      <c r="AV26" s="804"/>
      <c r="AW26" s="804"/>
      <c r="AX26" s="804"/>
      <c r="AY26" s="804"/>
      <c r="AZ26" s="289"/>
      <c r="BA26" s="803">
        <f ca="1">IF(ISERROR(VALUE(INDIRECT("'Настройки УИК'!$F$26"))),0,VALUE(INDIRECT("'Настройки УИК'!$F$26")))</f>
        <v>0</v>
      </c>
      <c r="BB26" s="804"/>
      <c r="BC26" s="804"/>
      <c r="BD26" s="804"/>
      <c r="BE26" s="804"/>
      <c r="BF26" s="804"/>
      <c r="BG26" s="804"/>
      <c r="BH26" s="804"/>
      <c r="BI26" s="804"/>
      <c r="BJ26" s="804"/>
      <c r="BK26" s="804"/>
      <c r="BL26" s="289"/>
      <c r="BM26" s="803">
        <f ca="1">IF(ISERROR(VALUE(INDIRECT("'Настройки УИК'!$F$27"))),0,VALUE(INDIRECT("'Настройки УИК'!$F$27")))</f>
        <v>0</v>
      </c>
      <c r="BN26" s="804"/>
      <c r="BO26" s="804"/>
      <c r="BP26" s="804"/>
      <c r="BQ26" s="804"/>
      <c r="BR26" s="804"/>
      <c r="BS26" s="804"/>
      <c r="BT26" s="804"/>
      <c r="BU26" s="804"/>
      <c r="BV26" s="804"/>
      <c r="BW26" s="804"/>
      <c r="BX26" s="289"/>
      <c r="BY26" s="803">
        <f ca="1">IF(ISERROR(VALUE(INDIRECT("'Настройки УИК'!$F$28"))),0,VALUE(INDIRECT("'Настройки УИК'!$F$28")))</f>
        <v>0</v>
      </c>
      <c r="BZ26" s="804"/>
      <c r="CA26" s="804"/>
      <c r="CB26" s="804"/>
      <c r="CC26" s="804"/>
      <c r="CD26" s="804"/>
      <c r="CE26" s="804"/>
      <c r="CF26" s="804"/>
      <c r="CG26" s="804"/>
      <c r="CH26" s="804"/>
      <c r="CI26" s="804"/>
      <c r="CJ26" s="289"/>
      <c r="CK26" s="803">
        <f ca="1">IF(ISERROR(VALUE(INDIRECT("'Настройки УИК'!$F$29"))),0,VALUE(INDIRECT("'Настройки УИК'!$F$29")))</f>
        <v>0</v>
      </c>
      <c r="CL26" s="804"/>
      <c r="CM26" s="804"/>
      <c r="CN26" s="804"/>
      <c r="CO26" s="804"/>
      <c r="CP26" s="804"/>
      <c r="CQ26" s="804"/>
      <c r="CR26" s="804"/>
      <c r="CS26" s="804"/>
      <c r="CT26" s="804"/>
      <c r="CU26" s="804"/>
      <c r="CV26" s="289"/>
      <c r="CW26" s="803">
        <f ca="1">IF(ISERROR(VALUE(INDIRECT("'Настройки УИК'!$F$30"))),0,VALUE(INDIRECT("'Настройки УИК'!$F$30")))</f>
        <v>0</v>
      </c>
      <c r="CX26" s="804"/>
      <c r="CY26" s="804"/>
      <c r="CZ26" s="804"/>
      <c r="DA26" s="804"/>
      <c r="DB26" s="804"/>
      <c r="DC26" s="804"/>
      <c r="DD26" s="804"/>
      <c r="DE26" s="804"/>
      <c r="DF26" s="804"/>
      <c r="DG26" s="804"/>
      <c r="DH26" s="289"/>
      <c r="DI26" s="803">
        <f ca="1">IF(ISERROR(VALUE(INDIRECT("'Настройки УИК'!$F$31"))),0,VALUE(INDIRECT("'Настройки УИК'!$F$31")))</f>
        <v>0</v>
      </c>
      <c r="DJ26" s="804"/>
      <c r="DK26" s="804"/>
      <c r="DL26" s="804"/>
      <c r="DM26" s="804"/>
      <c r="DN26" s="804"/>
      <c r="DO26" s="804"/>
      <c r="DP26" s="804"/>
      <c r="DQ26" s="804"/>
      <c r="DR26" s="804"/>
      <c r="DS26" s="804"/>
      <c r="DT26" s="289"/>
      <c r="DU26" s="803">
        <f ca="1">IF(ISERROR(VALUE(INDIRECT("'Настройки УИК'!$F$32"))),0,VALUE(INDIRECT("'Настройки УИК'!$F$32")))</f>
        <v>0</v>
      </c>
      <c r="DV26" s="804"/>
      <c r="DW26" s="804"/>
      <c r="DX26" s="804"/>
      <c r="DY26" s="804"/>
      <c r="DZ26" s="804"/>
      <c r="EA26" s="804"/>
      <c r="EB26" s="804"/>
      <c r="EC26" s="804"/>
      <c r="ED26" s="804"/>
      <c r="EE26" s="804"/>
      <c r="EF26" s="289"/>
      <c r="EG26" s="803">
        <f ca="1">IF(ISERROR(VALUE(INDIRECT("'Настройки УИК'!$F$33"))),0,VALUE(INDIRECT("'Настройки УИК'!$F$33")))</f>
        <v>0</v>
      </c>
      <c r="EH26" s="804"/>
      <c r="EI26" s="804"/>
      <c r="EJ26" s="804"/>
      <c r="EK26" s="804"/>
      <c r="EL26" s="804"/>
      <c r="EM26" s="804"/>
      <c r="EN26" s="804"/>
      <c r="EO26" s="804"/>
      <c r="EP26" s="804"/>
      <c r="EQ26" s="804"/>
      <c r="ER26" s="289"/>
      <c r="ES26" s="803">
        <f ca="1">IF(ISERROR(VALUE(INDIRECT("'Настройки УИК'!$F$34"))),0,VALUE(INDIRECT("'Настройки УИК'!$F$34")))</f>
        <v>0</v>
      </c>
      <c r="ET26" s="804"/>
      <c r="EU26" s="804"/>
      <c r="EV26" s="804"/>
      <c r="EW26" s="804"/>
      <c r="EX26" s="804"/>
      <c r="EY26" s="804"/>
      <c r="EZ26" s="804"/>
      <c r="FA26" s="804"/>
      <c r="FB26" s="804"/>
      <c r="FC26" s="804"/>
      <c r="FD26" s="289"/>
      <c r="FE26" s="803">
        <f ca="1">IF(ISERROR(VALUE(INDIRECT("'Настройки УИК'!$F$35"))),0,VALUE(INDIRECT("'Настройки УИК'!$F$35")))</f>
        <v>0</v>
      </c>
      <c r="FF26" s="804"/>
      <c r="FG26" s="804"/>
      <c r="FH26" s="804"/>
      <c r="FI26" s="804"/>
      <c r="FJ26" s="804"/>
      <c r="FK26" s="804"/>
      <c r="FL26" s="804"/>
      <c r="FM26" s="804"/>
      <c r="FN26" s="804"/>
      <c r="FO26" s="804"/>
      <c r="FP26" s="289"/>
      <c r="FQ26" s="803">
        <f ca="1">IF(ISERROR(VALUE(INDIRECT("'Настройки УИК'!$F$36"))),0,VALUE(INDIRECT("'Настройки УИК'!$F$36")))</f>
        <v>0</v>
      </c>
      <c r="FR26" s="804"/>
      <c r="FS26" s="804"/>
      <c r="FT26" s="804"/>
      <c r="FU26" s="804"/>
      <c r="FV26" s="804"/>
      <c r="FW26" s="804"/>
      <c r="FX26" s="804"/>
      <c r="FY26" s="804"/>
      <c r="FZ26" s="804"/>
      <c r="GA26" s="804"/>
      <c r="GB26" s="289"/>
      <c r="GC26" s="803">
        <f ca="1">IF(ISERROR(VALUE(INDIRECT("'Настройки УИК'!$F$37"))),0,VALUE(INDIRECT("'Настройки УИК'!$F$37")))</f>
        <v>0</v>
      </c>
      <c r="GD26" s="804"/>
      <c r="GE26" s="804"/>
      <c r="GF26" s="804"/>
      <c r="GG26" s="804"/>
      <c r="GH26" s="804"/>
      <c r="GI26" s="804"/>
      <c r="GJ26" s="804"/>
      <c r="GK26" s="804"/>
      <c r="GL26" s="804"/>
      <c r="GM26" s="804"/>
      <c r="GN26" s="289"/>
      <c r="GO26" s="803">
        <f ca="1">IF(ISERROR(VALUE(INDIRECT("'Настройки УИК'!$F$38"))),0,VALUE(INDIRECT("'Настройки УИК'!$F$38")))</f>
        <v>0</v>
      </c>
      <c r="GP26" s="804"/>
      <c r="GQ26" s="804"/>
      <c r="GR26" s="804"/>
      <c r="GS26" s="804"/>
      <c r="GT26" s="804"/>
      <c r="GU26" s="804"/>
      <c r="GV26" s="804"/>
      <c r="GW26" s="804"/>
      <c r="GX26" s="804"/>
      <c r="GY26" s="804"/>
      <c r="GZ26" s="289"/>
      <c r="HA26" s="803">
        <f ca="1">IF(ISERROR(VALUE(INDIRECT("'Настройки УИК'!$F$39"))),0,VALUE(INDIRECT("'Настройки УИК'!$F$39")))</f>
        <v>0</v>
      </c>
      <c r="HB26" s="804"/>
      <c r="HC26" s="804"/>
      <c r="HD26" s="804"/>
      <c r="HE26" s="804"/>
      <c r="HF26" s="804"/>
      <c r="HG26" s="804"/>
      <c r="HH26" s="804"/>
      <c r="HI26" s="804"/>
      <c r="HJ26" s="804"/>
      <c r="HK26" s="804"/>
    </row>
    <row r="27" spans="1:223" s="116" customFormat="1" ht="78.75" hidden="1" customHeight="1">
      <c r="A27" s="855"/>
      <c r="B27" s="856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849" t="s">
        <v>399</v>
      </c>
      <c r="B28" s="850"/>
      <c r="C28" s="482"/>
      <c r="D28" s="482"/>
      <c r="E28" s="805" t="s">
        <v>400</v>
      </c>
      <c r="F28" s="806"/>
      <c r="G28" s="806"/>
      <c r="H28" s="806"/>
      <c r="I28" s="806"/>
      <c r="J28" s="806"/>
      <c r="K28" s="806"/>
      <c r="L28" s="806"/>
      <c r="M28" s="806"/>
      <c r="N28" s="806"/>
      <c r="O28" s="807"/>
      <c r="P28" s="482"/>
      <c r="Q28" s="805" t="s">
        <v>401</v>
      </c>
      <c r="R28" s="806"/>
      <c r="S28" s="806"/>
      <c r="T28" s="806"/>
      <c r="U28" s="806"/>
      <c r="V28" s="806"/>
      <c r="W28" s="806"/>
      <c r="X28" s="806"/>
      <c r="Y28" s="806"/>
      <c r="Z28" s="806"/>
      <c r="AA28" s="807"/>
      <c r="AB28" s="482"/>
      <c r="AC28" s="805" t="s">
        <v>402</v>
      </c>
      <c r="AD28" s="806"/>
      <c r="AE28" s="806"/>
      <c r="AF28" s="806"/>
      <c r="AG28" s="806"/>
      <c r="AH28" s="806"/>
      <c r="AI28" s="806"/>
      <c r="AJ28" s="806"/>
      <c r="AK28" s="806"/>
      <c r="AL28" s="806"/>
      <c r="AM28" s="807"/>
      <c r="AN28" s="482"/>
      <c r="AO28" s="805" t="s">
        <v>403</v>
      </c>
      <c r="AP28" s="806"/>
      <c r="AQ28" s="806"/>
      <c r="AR28" s="806"/>
      <c r="AS28" s="806"/>
      <c r="AT28" s="806"/>
      <c r="AU28" s="806"/>
      <c r="AV28" s="806"/>
      <c r="AW28" s="806"/>
      <c r="AX28" s="806"/>
      <c r="AY28" s="807"/>
      <c r="AZ28" s="482"/>
      <c r="BA28" s="805" t="s">
        <v>404</v>
      </c>
      <c r="BB28" s="806"/>
      <c r="BC28" s="806"/>
      <c r="BD28" s="806"/>
      <c r="BE28" s="806"/>
      <c r="BF28" s="806"/>
      <c r="BG28" s="806"/>
      <c r="BH28" s="806"/>
      <c r="BI28" s="806"/>
      <c r="BJ28" s="806"/>
      <c r="BK28" s="807"/>
      <c r="BL28" s="482"/>
      <c r="BM28" s="805" t="s">
        <v>405</v>
      </c>
      <c r="BN28" s="806"/>
      <c r="BO28" s="806"/>
      <c r="BP28" s="806"/>
      <c r="BQ28" s="806"/>
      <c r="BR28" s="806"/>
      <c r="BS28" s="806"/>
      <c r="BT28" s="806"/>
      <c r="BU28" s="806"/>
      <c r="BV28" s="806"/>
      <c r="BW28" s="807"/>
      <c r="BX28" s="482"/>
      <c r="BY28" s="805" t="s">
        <v>406</v>
      </c>
      <c r="BZ28" s="806"/>
      <c r="CA28" s="806"/>
      <c r="CB28" s="806"/>
      <c r="CC28" s="806"/>
      <c r="CD28" s="806"/>
      <c r="CE28" s="806"/>
      <c r="CF28" s="806"/>
      <c r="CG28" s="806"/>
      <c r="CH28" s="806"/>
      <c r="CI28" s="807"/>
      <c r="CJ28" s="482"/>
      <c r="CK28" s="805" t="s">
        <v>407</v>
      </c>
      <c r="CL28" s="806"/>
      <c r="CM28" s="806"/>
      <c r="CN28" s="806"/>
      <c r="CO28" s="806"/>
      <c r="CP28" s="806"/>
      <c r="CQ28" s="806"/>
      <c r="CR28" s="806"/>
      <c r="CS28" s="806"/>
      <c r="CT28" s="806"/>
      <c r="CU28" s="807"/>
      <c r="CV28" s="482"/>
      <c r="CW28" s="805" t="s">
        <v>408</v>
      </c>
      <c r="CX28" s="806"/>
      <c r="CY28" s="806"/>
      <c r="CZ28" s="806"/>
      <c r="DA28" s="806"/>
      <c r="DB28" s="806"/>
      <c r="DC28" s="806"/>
      <c r="DD28" s="806"/>
      <c r="DE28" s="806"/>
      <c r="DF28" s="806"/>
      <c r="DG28" s="807"/>
      <c r="DH28" s="482"/>
      <c r="DI28" s="805" t="s">
        <v>409</v>
      </c>
      <c r="DJ28" s="806"/>
      <c r="DK28" s="806"/>
      <c r="DL28" s="806"/>
      <c r="DM28" s="806"/>
      <c r="DN28" s="806"/>
      <c r="DO28" s="806"/>
      <c r="DP28" s="806"/>
      <c r="DQ28" s="806"/>
      <c r="DR28" s="806"/>
      <c r="DS28" s="807"/>
      <c r="DT28" s="482"/>
      <c r="DU28" s="805" t="s">
        <v>410</v>
      </c>
      <c r="DV28" s="806"/>
      <c r="DW28" s="806"/>
      <c r="DX28" s="806"/>
      <c r="DY28" s="806"/>
      <c r="DZ28" s="806"/>
      <c r="EA28" s="806"/>
      <c r="EB28" s="806"/>
      <c r="EC28" s="806"/>
      <c r="ED28" s="806"/>
      <c r="EE28" s="807"/>
      <c r="EF28" s="482"/>
      <c r="EG28" s="805" t="s">
        <v>411</v>
      </c>
      <c r="EH28" s="806"/>
      <c r="EI28" s="806"/>
      <c r="EJ28" s="806"/>
      <c r="EK28" s="806"/>
      <c r="EL28" s="806"/>
      <c r="EM28" s="806"/>
      <c r="EN28" s="806"/>
      <c r="EO28" s="806"/>
      <c r="EP28" s="806"/>
      <c r="EQ28" s="807"/>
      <c r="ER28" s="482"/>
      <c r="ES28" s="805" t="s">
        <v>412</v>
      </c>
      <c r="ET28" s="806"/>
      <c r="EU28" s="806"/>
      <c r="EV28" s="806"/>
      <c r="EW28" s="806"/>
      <c r="EX28" s="806"/>
      <c r="EY28" s="806"/>
      <c r="EZ28" s="806"/>
      <c r="FA28" s="806"/>
      <c r="FB28" s="806"/>
      <c r="FC28" s="807"/>
      <c r="FD28" s="482"/>
      <c r="FE28" s="805" t="s">
        <v>413</v>
      </c>
      <c r="FF28" s="806"/>
      <c r="FG28" s="806"/>
      <c r="FH28" s="806"/>
      <c r="FI28" s="806"/>
      <c r="FJ28" s="806"/>
      <c r="FK28" s="806"/>
      <c r="FL28" s="806"/>
      <c r="FM28" s="806"/>
      <c r="FN28" s="806"/>
      <c r="FO28" s="807"/>
      <c r="FP28" s="482"/>
      <c r="FQ28" s="805" t="s">
        <v>414</v>
      </c>
      <c r="FR28" s="806"/>
      <c r="FS28" s="806"/>
      <c r="FT28" s="806"/>
      <c r="FU28" s="806"/>
      <c r="FV28" s="806"/>
      <c r="FW28" s="806"/>
      <c r="FX28" s="806"/>
      <c r="FY28" s="806"/>
      <c r="FZ28" s="806"/>
      <c r="GA28" s="807"/>
      <c r="GB28" s="482"/>
      <c r="GC28" s="805" t="s">
        <v>415</v>
      </c>
      <c r="GD28" s="806"/>
      <c r="GE28" s="806"/>
      <c r="GF28" s="806"/>
      <c r="GG28" s="806"/>
      <c r="GH28" s="806"/>
      <c r="GI28" s="806"/>
      <c r="GJ28" s="806"/>
      <c r="GK28" s="806"/>
      <c r="GL28" s="806"/>
      <c r="GM28" s="807"/>
      <c r="GN28" s="482"/>
      <c r="GO28" s="805" t="s">
        <v>416</v>
      </c>
      <c r="GP28" s="806"/>
      <c r="GQ28" s="806"/>
      <c r="GR28" s="806"/>
      <c r="GS28" s="806"/>
      <c r="GT28" s="806"/>
      <c r="GU28" s="806"/>
      <c r="GV28" s="806"/>
      <c r="GW28" s="806"/>
      <c r="GX28" s="806"/>
      <c r="GY28" s="807"/>
      <c r="GZ28" s="482"/>
      <c r="HA28" s="805" t="s">
        <v>906</v>
      </c>
      <c r="HB28" s="806"/>
      <c r="HC28" s="806"/>
      <c r="HD28" s="806"/>
      <c r="HE28" s="806"/>
      <c r="HF28" s="806"/>
      <c r="HG28" s="806"/>
      <c r="HH28" s="806"/>
      <c r="HI28" s="806"/>
      <c r="HJ28" s="806"/>
      <c r="HK28" s="807"/>
    </row>
    <row r="29" spans="1:223">
      <c r="A29" s="407" t="s">
        <v>903</v>
      </c>
      <c r="B29" s="408" t="s">
        <v>904</v>
      </c>
      <c r="C29" s="483" t="s">
        <v>950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 t="e">
        <f>IF(VALUE(MID('Настройки ТИК'!$C$17,4,2))=VALUE(MID('Настройки ТИК'!$D$17,4,2)),IF(O29="К",I29,0),IF(MONTH($A29)&lt;VALUE(MID('Настройки ТИК'!$D$17,4,2)),IF(O29="К",I29,0),0))</f>
        <v>#VALUE!</v>
      </c>
      <c r="K29" s="269" t="e">
        <f>IF(VALUE(MID('Настройки ТИК'!$C$17,4,2))=VALUE(MID('Настройки ТИК'!$D$17,4,2)),0,IF(MONTH($A29)&lt;VALUE(MID('Настройки ТИК'!$D$17,4,2)),0,IF(O29="К",I29,0)))</f>
        <v>#VALUE!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 t="e">
        <f>IF(VALUE(MID('Настройки ТИК'!$C$17,4,2))=VALUE(MID('Настройки ТИК'!$D$17,4,2)),IF(AA29="К",U29,0),IF(MONTH($A29)&lt;VALUE(MID('Настройки ТИК'!$D$17,4,2)),IF(AA29="К",U29,0),0))</f>
        <v>#VALUE!</v>
      </c>
      <c r="W29" s="269" t="e">
        <f>IF(VALUE(MID('Настройки ТИК'!$C$17,4,2))=VALUE(MID('Настройки ТИК'!$D$17,4,2)),0,IF(MONTH($A29)&lt;VALUE(MID('Настройки ТИК'!$D$17,4,2)),0,IF(AA29="К",U29,0)))</f>
        <v>#VALUE!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 t="e">
        <f>IF(VALUE(MID('Настройки ТИК'!$C$17,4,2))=VALUE(MID('Настройки ТИК'!$D$17,4,2)),IF(AM29="К",AG29,0),IF(MONTH($A29)&lt;VALUE(MID('Настройки ТИК'!$D$17,4,2)),IF(AM29="К",AG29,0),0))</f>
        <v>#VALUE!</v>
      </c>
      <c r="AI29" s="269" t="e">
        <f>IF(VALUE(MID('Настройки ТИК'!$C$17,4,2))=VALUE(MID('Настройки ТИК'!$D$17,4,2)),0,IF(MONTH($A29)&lt;VALUE(MID('Настройки ТИК'!$D$17,4,2)),0,IF(AM29="К",AG29,0)))</f>
        <v>#VALUE!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 t="e">
        <f>IF(VALUE(MID('Настройки ТИК'!$C$17,4,2))=VALUE(MID('Настройки ТИК'!$D$17,4,2)),IF(AY29="К",AS29,0),IF(MONTH($A29)&lt;VALUE(MID('Настройки ТИК'!$D$17,4,2)),IF(AY29="К",AS29,0),0))</f>
        <v>#VALUE!</v>
      </c>
      <c r="AU29" s="269" t="e">
        <f>IF(VALUE(MID('Настройки ТИК'!$C$17,4,2))=VALUE(MID('Настройки ТИК'!$D$17,4,2)),0,IF(MONTH($A29)&lt;VALUE(MID('Настройки ТИК'!$D$17,4,2)),0,IF(AY29="К",AS29,0)))</f>
        <v>#VALUE!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 t="e">
        <f>IF(VALUE(MID('Настройки ТИК'!$C$17,4,2))=VALUE(MID('Настройки ТИК'!$D$17,4,2)),IF(BK29="К",BE29,0),IF(MONTH($A29)&lt;VALUE(MID('Настройки ТИК'!$D$17,4,2)),IF(BK29="К",BE29,0),0))</f>
        <v>#VALUE!</v>
      </c>
      <c r="BG29" s="269" t="e">
        <f>IF(VALUE(MID('Настройки ТИК'!$C$17,4,2))=VALUE(MID('Настройки ТИК'!$D$17,4,2)),0,IF(MONTH($A29)&lt;VALUE(MID('Настройки ТИК'!$D$17,4,2)),0,IF(BK29="К",BE29,0)))</f>
        <v>#VALUE!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 t="e">
        <f>IF(VALUE(MID('Настройки ТИК'!$C$17,4,2))=VALUE(MID('Настройки ТИК'!$D$17,4,2)),IF(BW29="К",BQ29,0),IF(MONTH($A29)&lt;VALUE(MID('Настройки ТИК'!$D$17,4,2)),IF(BW29="К",BQ29,0),0))</f>
        <v>#VALUE!</v>
      </c>
      <c r="BS29" s="269" t="e">
        <f>IF(VALUE(MID('Настройки ТИК'!$C$17,4,2))=VALUE(MID('Настройки ТИК'!$D$17,4,2)),0,IF(MONTH($A29)&lt;VALUE(MID('Настройки ТИК'!$D$17,4,2)),0,IF(BW29="К",BQ29,0)))</f>
        <v>#VALUE!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 t="e">
        <f>IF(VALUE(MID('Настройки ТИК'!$C$17,4,2))=VALUE(MID('Настройки ТИК'!$D$17,4,2)),IF(CI29="К",CC29,0),IF(MONTH($A29)&lt;VALUE(MID('Настройки ТИК'!$D$17,4,2)),IF(CI29="К",CC29,0),0))</f>
        <v>#VALUE!</v>
      </c>
      <c r="CE29" s="269" t="e">
        <f>IF(VALUE(MID('Настройки ТИК'!$C$17,4,2))=VALUE(MID('Настройки ТИК'!$D$17,4,2)),0,IF(MONTH($A29)&lt;VALUE(MID('Настройки ТИК'!$D$17,4,2)),0,IF(CI29="К",CC29,0)))</f>
        <v>#VALUE!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 t="e">
        <f>IF(VALUE(MID('Настройки ТИК'!$C$17,4,2))=VALUE(MID('Настройки ТИК'!$D$17,4,2)),IF(CU29="К",CO29,0),IF(MONTH($A29)&lt;VALUE(MID('Настройки ТИК'!$D$17,4,2)),IF(CU29="К",CO29,0),0))</f>
        <v>#VALUE!</v>
      </c>
      <c r="CQ29" s="269" t="e">
        <f>IF(VALUE(MID('Настройки ТИК'!$C$17,4,2))=VALUE(MID('Настройки ТИК'!$D$17,4,2)),0,IF(MONTH($A29)&lt;VALUE(MID('Настройки ТИК'!$D$17,4,2)),0,IF(CU29="К",CO29,0)))</f>
        <v>#VALUE!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 t="e">
        <f>IF(VALUE(MID('Настройки ТИК'!$C$17,4,2))=VALUE(MID('Настройки ТИК'!$D$17,4,2)),IF(DG29="К",DA29,0),IF(MONTH($A29)&lt;VALUE(MID('Настройки ТИК'!$D$17,4,2)),IF(DG29="К",DA29,0),0))</f>
        <v>#VALUE!</v>
      </c>
      <c r="DC29" s="269" t="e">
        <f>IF(VALUE(MID('Настройки ТИК'!$C$17,4,2))=VALUE(MID('Настройки ТИК'!$D$17,4,2)),0,IF(MONTH($A29)&lt;VALUE(MID('Настройки ТИК'!$D$17,4,2)),0,IF(DG29="К",DA29,0)))</f>
        <v>#VALUE!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 t="e">
        <f>IF(VALUE(MID('Настройки ТИК'!$C$17,4,2))=VALUE(MID('Настройки ТИК'!$D$17,4,2)),IF(DS29="К",DM29,0),IF(MONTH($A29)&lt;VALUE(MID('Настройки ТИК'!$D$17,4,2)),IF(DS29="К",DM29,0),0))</f>
        <v>#VALUE!</v>
      </c>
      <c r="DO29" s="269" t="e">
        <f>IF(VALUE(MID('Настройки ТИК'!$C$17,4,2))=VALUE(MID('Настройки ТИК'!$D$17,4,2)),0,IF(MONTH($A29)&lt;VALUE(MID('Настройки ТИК'!$D$17,4,2)),0,IF(DS29="К",DM29,0)))</f>
        <v>#VALUE!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 t="e">
        <f>IF(VALUE(MID('Настройки ТИК'!$C$17,4,2))=VALUE(MID('Настройки ТИК'!$D$17,4,2)),IF(EE29="К",DY29,0),IF(MONTH($A29)&lt;VALUE(MID('Настройки ТИК'!$D$17,4,2)),IF(EE29="К",DY29,0),0))</f>
        <v>#VALUE!</v>
      </c>
      <c r="EA29" s="269" t="e">
        <f>IF(VALUE(MID('Настройки ТИК'!$C$17,4,2))=VALUE(MID('Настройки ТИК'!$D$17,4,2)),0,IF(MONTH($A29)&lt;VALUE(MID('Настройки ТИК'!$D$17,4,2)),0,IF(EE29="К",DY29,0)))</f>
        <v>#VALUE!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 t="e">
        <f>IF(VALUE(MID('Настройки ТИК'!$C$17,4,2))=VALUE(MID('Настройки ТИК'!$D$17,4,2)),IF(EQ29="К",EK29,0),IF(MONTH($A29)&lt;VALUE(MID('Настройки ТИК'!$D$17,4,2)),IF(EQ29="К",EK29,0),0))</f>
        <v>#VALUE!</v>
      </c>
      <c r="EM29" s="269" t="e">
        <f>IF(VALUE(MID('Настройки ТИК'!$C$17,4,2))=VALUE(MID('Настройки ТИК'!$D$17,4,2)),0,IF(MONTH($A29)&lt;VALUE(MID('Настройки ТИК'!$D$17,4,2)),0,IF(EQ29="К",EK29,0)))</f>
        <v>#VALUE!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 t="e">
        <f>IF(VALUE(MID('Настройки ТИК'!$C$17,4,2))=VALUE(MID('Настройки ТИК'!$D$17,4,2)),IF(FC29="К",EW29,0),IF(MONTH($A29)&lt;VALUE(MID('Настройки ТИК'!$D$17,4,2)),IF(FC29="К",EW29,0),0))</f>
        <v>#VALUE!</v>
      </c>
      <c r="EY29" s="269" t="e">
        <f>IF(VALUE(MID('Настройки ТИК'!$C$17,4,2))=VALUE(MID('Настройки ТИК'!$D$17,4,2)),0,IF(MONTH($A29)&lt;VALUE(MID('Настройки ТИК'!$D$17,4,2)),0,IF(FC29="К",EW29,0)))</f>
        <v>#VALUE!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 t="e">
        <f>IF(VALUE(MID('Настройки ТИК'!$C$17,4,2))=VALUE(MID('Настройки ТИК'!$D$17,4,2)),IF(FO29="К",FI29,0),IF(MONTH($A29)&lt;VALUE(MID('Настройки ТИК'!$D$17,4,2)),IF(FO29="К",FI29,0),0))</f>
        <v>#VALUE!</v>
      </c>
      <c r="FK29" s="269" t="e">
        <f>IF(VALUE(MID('Настройки ТИК'!$C$17,4,2))=VALUE(MID('Настройки ТИК'!$D$17,4,2)),0,IF(MONTH($A29)&lt;VALUE(MID('Настройки ТИК'!$D$17,4,2)),0,IF(FO29="К",FI29,0)))</f>
        <v>#VALUE!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 t="e">
        <f>IF(VALUE(MID('Настройки ТИК'!$C$17,4,2))=VALUE(MID('Настройки ТИК'!$D$17,4,2)),IF(GA29="К",FU29,0),IF(MONTH($A29)&lt;VALUE(MID('Настройки ТИК'!$D$17,4,2)),IF(GA29="К",FU29,0),0))</f>
        <v>#VALUE!</v>
      </c>
      <c r="FW29" s="269" t="e">
        <f>IF(VALUE(MID('Настройки ТИК'!$C$17,4,2))=VALUE(MID('Настройки ТИК'!$D$17,4,2)),0,IF(MONTH($A29)&lt;VALUE(MID('Настройки ТИК'!$D$17,4,2)),0,IF(GA29="К",FU29,0)))</f>
        <v>#VALUE!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 t="e">
        <f>IF(VALUE(MID('Настройки ТИК'!$C$17,4,2))=VALUE(MID('Настройки ТИК'!$D$17,4,2)),IF(GM29="К",GG29,0),IF(MONTH($A29)&lt;VALUE(MID('Настройки ТИК'!$D$17,4,2)),IF(GM29="К",GG29,0),0))</f>
        <v>#VALUE!</v>
      </c>
      <c r="GI29" s="269" t="e">
        <f>IF(VALUE(MID('Настройки ТИК'!$C$17,4,2))=VALUE(MID('Настройки ТИК'!$D$17,4,2)),0,IF(MONTH($A29)&lt;VALUE(MID('Настройки ТИК'!$D$17,4,2)),0,IF(GM29="К",GG29,0)))</f>
        <v>#VALUE!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 t="e">
        <f>IF(VALUE(MID('Настройки ТИК'!$C$17,4,2))=VALUE(MID('Настройки ТИК'!$D$17,4,2)),IF(GY29="К",GS29,0),IF(MONTH($A29)&lt;VALUE(MID('Настройки ТИК'!$D$17,4,2)),IF(GY29="К",GS29,0),0))</f>
        <v>#VALUE!</v>
      </c>
      <c r="GU29" s="269" t="e">
        <f>IF(VALUE(MID('Настройки ТИК'!$C$17,4,2))=VALUE(MID('Настройки ТИК'!$D$17,4,2)),0,IF(MONTH($A29)&lt;VALUE(MID('Настройки ТИК'!$D$17,4,2)),0,IF(GY29="К",GS29,0)))</f>
        <v>#VALUE!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 t="e">
        <f>IF(VALUE(MID('Настройки ТИК'!$C$17,4,2))=VALUE(MID('Настройки ТИК'!$D$17,4,2)),IF(HK29="К",HE29,0),IF(MONTH($A29)&lt;VALUE(MID('Настройки ТИК'!$D$17,4,2)),IF(HK29="К",HE29,0),0))</f>
        <v>#VALUE!</v>
      </c>
      <c r="HG29" s="269" t="e">
        <f>IF(VALUE(MID('Настройки ТИК'!$C$17,4,2))=VALUE(MID('Настройки ТИК'!$D$17,4,2)),0,IF(MONTH($A29)&lt;VALUE(MID('Настройки ТИК'!$D$17,4,2)),0,IF(HK29="К",HE29,0)))</f>
        <v>#VALUE!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12"/>
      <c r="B30" s="809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10" t="s">
        <v>12</v>
      </c>
      <c r="B31" s="811"/>
      <c r="C31" s="273"/>
      <c r="D31" s="386"/>
      <c r="E31" s="788">
        <f ca="1">SUM(INDIRECT("I29:I"&amp;MROUND(N($G$3),1)+28))</f>
        <v>0</v>
      </c>
      <c r="F31" s="789"/>
      <c r="G31" s="789"/>
      <c r="H31" s="789"/>
      <c r="I31" s="789"/>
      <c r="J31" s="789"/>
      <c r="K31" s="789"/>
      <c r="L31" s="789"/>
      <c r="M31" s="789"/>
      <c r="N31" s="789"/>
      <c r="O31" s="790"/>
      <c r="P31" s="381"/>
      <c r="Q31" s="788">
        <f ca="1">SUM(INDIRECT("U29:U"&amp;MROUND(N($G$3),1)+28))</f>
        <v>0</v>
      </c>
      <c r="R31" s="789"/>
      <c r="S31" s="789"/>
      <c r="T31" s="789"/>
      <c r="U31" s="789"/>
      <c r="V31" s="789"/>
      <c r="W31" s="789"/>
      <c r="X31" s="789"/>
      <c r="Y31" s="789"/>
      <c r="Z31" s="789"/>
      <c r="AA31" s="790"/>
      <c r="AB31" s="381"/>
      <c r="AC31" s="788">
        <f ca="1">SUM(INDIRECT("AG29:AG"&amp;MROUND(N($G$3),1)+28))</f>
        <v>0</v>
      </c>
      <c r="AD31" s="789"/>
      <c r="AE31" s="789"/>
      <c r="AF31" s="789"/>
      <c r="AG31" s="789"/>
      <c r="AH31" s="789"/>
      <c r="AI31" s="789"/>
      <c r="AJ31" s="789"/>
      <c r="AK31" s="789"/>
      <c r="AL31" s="789"/>
      <c r="AM31" s="790"/>
      <c r="AN31" s="392"/>
      <c r="AO31" s="788">
        <f ca="1">SUM(INDIRECT("AS29:AS"&amp;MROUND(N($G$3),1)+28))</f>
        <v>0</v>
      </c>
      <c r="AP31" s="789"/>
      <c r="AQ31" s="789"/>
      <c r="AR31" s="789"/>
      <c r="AS31" s="789"/>
      <c r="AT31" s="789"/>
      <c r="AU31" s="789"/>
      <c r="AV31" s="789"/>
      <c r="AW31" s="789"/>
      <c r="AX31" s="789"/>
      <c r="AY31" s="790"/>
      <c r="AZ31" s="392"/>
      <c r="BA31" s="788">
        <f ca="1">SUM(INDIRECT("BE29:BE"&amp;MROUND(N($G$3),1)+28))</f>
        <v>0</v>
      </c>
      <c r="BB31" s="789"/>
      <c r="BC31" s="789"/>
      <c r="BD31" s="789"/>
      <c r="BE31" s="789"/>
      <c r="BF31" s="789"/>
      <c r="BG31" s="789"/>
      <c r="BH31" s="789"/>
      <c r="BI31" s="789"/>
      <c r="BJ31" s="789"/>
      <c r="BK31" s="790"/>
      <c r="BL31" s="392"/>
      <c r="BM31" s="788">
        <f ca="1">SUM(INDIRECT("BQ29:BQ"&amp;MROUND(N($G$3),1)+28))</f>
        <v>0</v>
      </c>
      <c r="BN31" s="789"/>
      <c r="BO31" s="789"/>
      <c r="BP31" s="789"/>
      <c r="BQ31" s="789"/>
      <c r="BR31" s="789"/>
      <c r="BS31" s="789"/>
      <c r="BT31" s="789"/>
      <c r="BU31" s="789"/>
      <c r="BV31" s="789"/>
      <c r="BW31" s="790"/>
      <c r="BX31" s="392"/>
      <c r="BY31" s="788">
        <f ca="1">SUM(INDIRECT("CC29:CC"&amp;MROUND(N($G$3),1)+28))</f>
        <v>0</v>
      </c>
      <c r="BZ31" s="789"/>
      <c r="CA31" s="789"/>
      <c r="CB31" s="789"/>
      <c r="CC31" s="789"/>
      <c r="CD31" s="789"/>
      <c r="CE31" s="789"/>
      <c r="CF31" s="789"/>
      <c r="CG31" s="789"/>
      <c r="CH31" s="789"/>
      <c r="CI31" s="790"/>
      <c r="CJ31" s="392"/>
      <c r="CK31" s="788">
        <f ca="1">SUM(INDIRECT("CO29:CO"&amp;MROUND(N($G$3),1)+28))</f>
        <v>0</v>
      </c>
      <c r="CL31" s="789"/>
      <c r="CM31" s="789"/>
      <c r="CN31" s="789"/>
      <c r="CO31" s="789"/>
      <c r="CP31" s="789"/>
      <c r="CQ31" s="789"/>
      <c r="CR31" s="789"/>
      <c r="CS31" s="789"/>
      <c r="CT31" s="789"/>
      <c r="CU31" s="790"/>
      <c r="CV31" s="392"/>
      <c r="CW31" s="788">
        <f ca="1">SUM(INDIRECT("DA29:DA"&amp;MROUND(N($G$3),1)+28))</f>
        <v>0</v>
      </c>
      <c r="CX31" s="789"/>
      <c r="CY31" s="789"/>
      <c r="CZ31" s="789"/>
      <c r="DA31" s="789"/>
      <c r="DB31" s="789"/>
      <c r="DC31" s="789"/>
      <c r="DD31" s="789"/>
      <c r="DE31" s="789"/>
      <c r="DF31" s="789"/>
      <c r="DG31" s="790"/>
      <c r="DH31" s="392"/>
      <c r="DI31" s="788">
        <f ca="1">SUM(INDIRECT("DM29:DM"&amp;MROUND(N($G$3),1)+28))</f>
        <v>0</v>
      </c>
      <c r="DJ31" s="789"/>
      <c r="DK31" s="789"/>
      <c r="DL31" s="789"/>
      <c r="DM31" s="789"/>
      <c r="DN31" s="789"/>
      <c r="DO31" s="789"/>
      <c r="DP31" s="789"/>
      <c r="DQ31" s="789"/>
      <c r="DR31" s="789"/>
      <c r="DS31" s="790"/>
      <c r="DT31" s="392"/>
      <c r="DU31" s="788">
        <f ca="1">SUM(INDIRECT("DY29:DY"&amp;MROUND(N($G$3),1)+28))</f>
        <v>0</v>
      </c>
      <c r="DV31" s="789"/>
      <c r="DW31" s="789"/>
      <c r="DX31" s="789"/>
      <c r="DY31" s="789"/>
      <c r="DZ31" s="789"/>
      <c r="EA31" s="789"/>
      <c r="EB31" s="789"/>
      <c r="EC31" s="789"/>
      <c r="ED31" s="789"/>
      <c r="EE31" s="790"/>
      <c r="EF31" s="392"/>
      <c r="EG31" s="788">
        <f ca="1">SUM(INDIRECT("EK29:EK"&amp;MROUND(N($G$3),1)+28))</f>
        <v>0</v>
      </c>
      <c r="EH31" s="789"/>
      <c r="EI31" s="789"/>
      <c r="EJ31" s="789"/>
      <c r="EK31" s="789"/>
      <c r="EL31" s="789"/>
      <c r="EM31" s="789"/>
      <c r="EN31" s="789"/>
      <c r="EO31" s="789"/>
      <c r="EP31" s="789"/>
      <c r="EQ31" s="790"/>
      <c r="ER31" s="392"/>
      <c r="ES31" s="788">
        <f ca="1">SUM(INDIRECT("EW29:EW"&amp;MROUND(N($G$3),1)+28))</f>
        <v>0</v>
      </c>
      <c r="ET31" s="789"/>
      <c r="EU31" s="789"/>
      <c r="EV31" s="789"/>
      <c r="EW31" s="789"/>
      <c r="EX31" s="789"/>
      <c r="EY31" s="789"/>
      <c r="EZ31" s="789"/>
      <c r="FA31" s="789"/>
      <c r="FB31" s="789"/>
      <c r="FC31" s="790"/>
      <c r="FD31" s="392"/>
      <c r="FE31" s="788">
        <f ca="1">SUM(INDIRECT("FI29:FI"&amp;MROUND(N($G$3),1)+28))</f>
        <v>0</v>
      </c>
      <c r="FF31" s="789"/>
      <c r="FG31" s="789"/>
      <c r="FH31" s="789"/>
      <c r="FI31" s="789"/>
      <c r="FJ31" s="789"/>
      <c r="FK31" s="789"/>
      <c r="FL31" s="789"/>
      <c r="FM31" s="789"/>
      <c r="FN31" s="789"/>
      <c r="FO31" s="790"/>
      <c r="FP31" s="392"/>
      <c r="FQ31" s="788">
        <f ca="1">SUM(INDIRECT("FU29:FU"&amp;MROUND(N($G$3),1)+28))</f>
        <v>0</v>
      </c>
      <c r="FR31" s="789"/>
      <c r="FS31" s="789"/>
      <c r="FT31" s="789"/>
      <c r="FU31" s="789"/>
      <c r="FV31" s="789"/>
      <c r="FW31" s="789"/>
      <c r="FX31" s="789"/>
      <c r="FY31" s="789"/>
      <c r="FZ31" s="789"/>
      <c r="GA31" s="790"/>
      <c r="GB31" s="392"/>
      <c r="GC31" s="788">
        <f ca="1">SUM(INDIRECT("GG29:GG"&amp;MROUND(N($G$3),1)+28))</f>
        <v>0</v>
      </c>
      <c r="GD31" s="789"/>
      <c r="GE31" s="789"/>
      <c r="GF31" s="789"/>
      <c r="GG31" s="789"/>
      <c r="GH31" s="789"/>
      <c r="GI31" s="789"/>
      <c r="GJ31" s="789"/>
      <c r="GK31" s="789"/>
      <c r="GL31" s="789"/>
      <c r="GM31" s="790"/>
      <c r="GN31" s="392"/>
      <c r="GO31" s="788">
        <f ca="1">SUM(INDIRECT("GS29:GS"&amp;MROUND(N($G$3),1)+28))</f>
        <v>0</v>
      </c>
      <c r="GP31" s="789"/>
      <c r="GQ31" s="789"/>
      <c r="GR31" s="789"/>
      <c r="GS31" s="789"/>
      <c r="GT31" s="789"/>
      <c r="GU31" s="789"/>
      <c r="GV31" s="789"/>
      <c r="GW31" s="789"/>
      <c r="GX31" s="789"/>
      <c r="GY31" s="790"/>
      <c r="GZ31" s="392"/>
      <c r="HA31" s="788">
        <f ca="1">SUM(INDIRECT("HE29:HE"&amp;MROUND(N($G$3),1)+28))</f>
        <v>0</v>
      </c>
      <c r="HB31" s="789"/>
      <c r="HC31" s="789"/>
      <c r="HD31" s="789"/>
      <c r="HE31" s="789"/>
      <c r="HF31" s="789"/>
      <c r="HG31" s="789"/>
      <c r="HH31" s="789"/>
      <c r="HI31" s="789"/>
      <c r="HJ31" s="789"/>
      <c r="HK31" s="790"/>
    </row>
    <row r="32" spans="1:223" ht="40.5" customHeight="1">
      <c r="A32" s="812" t="s">
        <v>14</v>
      </c>
      <c r="B32" s="809"/>
      <c r="C32" s="117"/>
      <c r="D32" s="385"/>
      <c r="E32" s="788">
        <f ca="1">IF(ISERROR(SUM(INDIRECT("J29:K"&amp;MROUND(N($G$3),1)+28))),0,SUM(INDIRECT("J29:K"&amp;MROUND(N($G$3),1)+28)))</f>
        <v>0</v>
      </c>
      <c r="F32" s="789"/>
      <c r="G32" s="789"/>
      <c r="H32" s="789"/>
      <c r="I32" s="789"/>
      <c r="J32" s="789"/>
      <c r="K32" s="789"/>
      <c r="L32" s="789"/>
      <c r="M32" s="789"/>
      <c r="N32" s="789"/>
      <c r="O32" s="790"/>
      <c r="P32" s="381"/>
      <c r="Q32" s="788">
        <f ca="1">IF(ISERROR(SUM(INDIRECT("V29:W"&amp;MROUND(N($G$3),1)+28))),0,SUM(INDIRECT("V29:W"&amp;MROUND(N($G$3),1)+28)))</f>
        <v>0</v>
      </c>
      <c r="R32" s="789"/>
      <c r="S32" s="789"/>
      <c r="T32" s="789"/>
      <c r="U32" s="789"/>
      <c r="V32" s="789"/>
      <c r="W32" s="789"/>
      <c r="X32" s="789"/>
      <c r="Y32" s="789"/>
      <c r="Z32" s="789"/>
      <c r="AA32" s="790"/>
      <c r="AB32" s="381"/>
      <c r="AC32" s="788">
        <f ca="1">IF(ISERROR(SUM(INDIRECT("AH29:AI"&amp;MROUND(N($G$3),1)+28))),0,SUM(INDIRECT("AH29:AI"&amp;MROUND(N($G$3),1)+28)))</f>
        <v>0</v>
      </c>
      <c r="AD32" s="789"/>
      <c r="AE32" s="789"/>
      <c r="AF32" s="789"/>
      <c r="AG32" s="789"/>
      <c r="AH32" s="789"/>
      <c r="AI32" s="789"/>
      <c r="AJ32" s="789"/>
      <c r="AK32" s="789"/>
      <c r="AL32" s="789"/>
      <c r="AM32" s="790"/>
      <c r="AN32" s="392"/>
      <c r="AO32" s="788">
        <f ca="1">IF(ISERROR(SUM(INDIRECT("AT29:AU"&amp;MROUND(N($G$3),1)+28))),0,SUM(INDIRECT("AT29:AU"&amp;MROUND(N($G$3),1)+28)))</f>
        <v>0</v>
      </c>
      <c r="AP32" s="789"/>
      <c r="AQ32" s="789"/>
      <c r="AR32" s="789"/>
      <c r="AS32" s="789"/>
      <c r="AT32" s="789"/>
      <c r="AU32" s="789"/>
      <c r="AV32" s="789"/>
      <c r="AW32" s="789"/>
      <c r="AX32" s="789"/>
      <c r="AY32" s="790"/>
      <c r="AZ32" s="392"/>
      <c r="BA32" s="788">
        <f ca="1">IF(ISERROR(SUM(INDIRECT("BF29:BG"&amp;MROUND(N($G$3),1)+28))),0,SUM(INDIRECT("BF29:BG"&amp;MROUND(N($G$3),1)+28)))</f>
        <v>0</v>
      </c>
      <c r="BB32" s="789"/>
      <c r="BC32" s="789"/>
      <c r="BD32" s="789"/>
      <c r="BE32" s="789"/>
      <c r="BF32" s="789"/>
      <c r="BG32" s="789"/>
      <c r="BH32" s="789"/>
      <c r="BI32" s="789"/>
      <c r="BJ32" s="789"/>
      <c r="BK32" s="790"/>
      <c r="BL32" s="392"/>
      <c r="BM32" s="788">
        <f ca="1">IF(ISERROR(SUM(INDIRECT("BR29:BS"&amp;MROUND(N($G$3),1)+28))),0,SUM(INDIRECT("BR29:BS"&amp;MROUND(N($G$3),1)+28)))</f>
        <v>0</v>
      </c>
      <c r="BN32" s="789"/>
      <c r="BO32" s="789"/>
      <c r="BP32" s="789"/>
      <c r="BQ32" s="789"/>
      <c r="BR32" s="789"/>
      <c r="BS32" s="789"/>
      <c r="BT32" s="789"/>
      <c r="BU32" s="789"/>
      <c r="BV32" s="789"/>
      <c r="BW32" s="790"/>
      <c r="BX32" s="392"/>
      <c r="BY32" s="788">
        <f ca="1">IF(ISERROR(SUM(INDIRECT("CD29:CE"&amp;MROUND(N($G$3),1)+28))),0,SUM(INDIRECT("CD29:CE"&amp;MROUND(N($G$3),1)+28)))</f>
        <v>0</v>
      </c>
      <c r="BZ32" s="789"/>
      <c r="CA32" s="789"/>
      <c r="CB32" s="789"/>
      <c r="CC32" s="789"/>
      <c r="CD32" s="789"/>
      <c r="CE32" s="789"/>
      <c r="CF32" s="789"/>
      <c r="CG32" s="789"/>
      <c r="CH32" s="789"/>
      <c r="CI32" s="790"/>
      <c r="CJ32" s="392"/>
      <c r="CK32" s="788">
        <f ca="1">IF(ISERROR(SUM(INDIRECT("CP29:CQ"&amp;MROUND(N($G$3),1)+28))),0,SUM(INDIRECT("CP29:CQ"&amp;MROUND(N($G$3),1)+28)))</f>
        <v>0</v>
      </c>
      <c r="CL32" s="789"/>
      <c r="CM32" s="789"/>
      <c r="CN32" s="789"/>
      <c r="CO32" s="789"/>
      <c r="CP32" s="789"/>
      <c r="CQ32" s="789"/>
      <c r="CR32" s="789"/>
      <c r="CS32" s="789"/>
      <c r="CT32" s="789"/>
      <c r="CU32" s="790"/>
      <c r="CV32" s="392"/>
      <c r="CW32" s="788">
        <f ca="1">IF(ISERROR(SUM(INDIRECT("DB29:DC"&amp;MROUND(N($G$3),1)+28))),0,SUM(INDIRECT("DB29:DC"&amp;MROUND(N($G$3),1)+28)))</f>
        <v>0</v>
      </c>
      <c r="CX32" s="789"/>
      <c r="CY32" s="789"/>
      <c r="CZ32" s="789"/>
      <c r="DA32" s="789"/>
      <c r="DB32" s="789"/>
      <c r="DC32" s="789"/>
      <c r="DD32" s="789"/>
      <c r="DE32" s="789"/>
      <c r="DF32" s="789"/>
      <c r="DG32" s="790"/>
      <c r="DH32" s="392"/>
      <c r="DI32" s="788">
        <f ca="1">IF(ISERROR(SUM(INDIRECT("DN29:DO"&amp;MROUND(N($G$3),1)+28))),0,SUM(INDIRECT("DN29:DO"&amp;MROUND(N($G$3),1)+28)))</f>
        <v>0</v>
      </c>
      <c r="DJ32" s="789"/>
      <c r="DK32" s="789"/>
      <c r="DL32" s="789"/>
      <c r="DM32" s="789"/>
      <c r="DN32" s="789"/>
      <c r="DO32" s="789"/>
      <c r="DP32" s="789"/>
      <c r="DQ32" s="789"/>
      <c r="DR32" s="789"/>
      <c r="DS32" s="790"/>
      <c r="DT32" s="392"/>
      <c r="DU32" s="788">
        <f ca="1">IF(ISERROR(SUM(INDIRECT("DZ29:EA"&amp;MROUND(N($G$3),1)+28))),0,SUM(INDIRECT("DZ29:EA"&amp;MROUND(N($G$3),1)+28)))</f>
        <v>0</v>
      </c>
      <c r="DV32" s="789"/>
      <c r="DW32" s="789"/>
      <c r="DX32" s="789"/>
      <c r="DY32" s="789"/>
      <c r="DZ32" s="789"/>
      <c r="EA32" s="789"/>
      <c r="EB32" s="789"/>
      <c r="EC32" s="789"/>
      <c r="ED32" s="789"/>
      <c r="EE32" s="790"/>
      <c r="EF32" s="392"/>
      <c r="EG32" s="788">
        <f ca="1">IF(ISERROR(SUM(INDIRECT("EL29:EM"&amp;MROUND(N($G$3),1)+28))),0,SUM(INDIRECT("EL29:EM"&amp;MROUND(N($G$3),1)+28)))</f>
        <v>0</v>
      </c>
      <c r="EH32" s="789"/>
      <c r="EI32" s="789"/>
      <c r="EJ32" s="789"/>
      <c r="EK32" s="789"/>
      <c r="EL32" s="789"/>
      <c r="EM32" s="789"/>
      <c r="EN32" s="789"/>
      <c r="EO32" s="789"/>
      <c r="EP32" s="789"/>
      <c r="EQ32" s="790"/>
      <c r="ER32" s="392"/>
      <c r="ES32" s="788">
        <f ca="1">IF(ISERROR(SUM(INDIRECT("EX29:EY"&amp;MROUND(N($G$3),1)+28))),0,SUM(INDIRECT("EX29:EY"&amp;MROUND(N($G$3),1)+28)))</f>
        <v>0</v>
      </c>
      <c r="ET32" s="789"/>
      <c r="EU32" s="789"/>
      <c r="EV32" s="789"/>
      <c r="EW32" s="789"/>
      <c r="EX32" s="789"/>
      <c r="EY32" s="789"/>
      <c r="EZ32" s="789"/>
      <c r="FA32" s="789"/>
      <c r="FB32" s="789"/>
      <c r="FC32" s="790"/>
      <c r="FD32" s="392"/>
      <c r="FE32" s="788">
        <f ca="1">IF(ISERROR(SUM(INDIRECT("FJ29:FK"&amp;MROUND(N($G$3),1)+28))),0,SUM(INDIRECT("FJ29:FK"&amp;MROUND(N($G$3),1)+28)))</f>
        <v>0</v>
      </c>
      <c r="FF32" s="789"/>
      <c r="FG32" s="789"/>
      <c r="FH32" s="789"/>
      <c r="FI32" s="789"/>
      <c r="FJ32" s="789"/>
      <c r="FK32" s="789"/>
      <c r="FL32" s="789"/>
      <c r="FM32" s="789"/>
      <c r="FN32" s="789"/>
      <c r="FO32" s="790"/>
      <c r="FP32" s="392"/>
      <c r="FQ32" s="788">
        <f ca="1">IF(ISERROR(SUM(INDIRECT("FV29:FW"&amp;MROUND(N($G$3),1)+28))),0,SUM(INDIRECT("FV29:FW"&amp;MROUND(N($G$3),1)+28)))</f>
        <v>0</v>
      </c>
      <c r="FR32" s="789"/>
      <c r="FS32" s="789"/>
      <c r="FT32" s="789"/>
      <c r="FU32" s="789"/>
      <c r="FV32" s="789"/>
      <c r="FW32" s="789"/>
      <c r="FX32" s="789"/>
      <c r="FY32" s="789"/>
      <c r="FZ32" s="789"/>
      <c r="GA32" s="790"/>
      <c r="GB32" s="392"/>
      <c r="GC32" s="788">
        <f ca="1">IF(ISERROR(SUM(INDIRECT("GH29:GI"&amp;MROUND(N($G$3),1)+28))),0,SUM(INDIRECT("GH29:GI"&amp;MROUND(N($G$3),1)+28)))</f>
        <v>0</v>
      </c>
      <c r="GD32" s="789"/>
      <c r="GE32" s="789"/>
      <c r="GF32" s="789"/>
      <c r="GG32" s="789"/>
      <c r="GH32" s="789"/>
      <c r="GI32" s="789"/>
      <c r="GJ32" s="789"/>
      <c r="GK32" s="789"/>
      <c r="GL32" s="789"/>
      <c r="GM32" s="790"/>
      <c r="GN32" s="392"/>
      <c r="GO32" s="788">
        <f ca="1">IF(ISERROR(SUM(INDIRECT("GT29:GU"&amp;MROUND(N($G$3),1)+28))),0,SUM(INDIRECT("GT29:GU"&amp;MROUND(N($G$3),1)+28)))</f>
        <v>0</v>
      </c>
      <c r="GP32" s="789"/>
      <c r="GQ32" s="789"/>
      <c r="GR32" s="789"/>
      <c r="GS32" s="789"/>
      <c r="GT32" s="789"/>
      <c r="GU32" s="789"/>
      <c r="GV32" s="789"/>
      <c r="GW32" s="789"/>
      <c r="GX32" s="789"/>
      <c r="GY32" s="790"/>
      <c r="GZ32" s="392"/>
      <c r="HA32" s="788">
        <f ca="1">IF(ISERROR(SUM(INDIRECT("HF29:HG"&amp;MROUND(N($G$3),1)+28))),0,SUM(INDIRECT("HF29:HG"&amp;MROUND(N($G$3),1)+28)))</f>
        <v>0</v>
      </c>
      <c r="HB32" s="789"/>
      <c r="HC32" s="789"/>
      <c r="HD32" s="789"/>
      <c r="HE32" s="789"/>
      <c r="HF32" s="789"/>
      <c r="HG32" s="789"/>
      <c r="HH32" s="789"/>
      <c r="HI32" s="789"/>
      <c r="HJ32" s="789"/>
      <c r="HK32" s="790"/>
    </row>
    <row r="33" spans="1:224" ht="68.25" customHeight="1">
      <c r="A33" s="812" t="s">
        <v>13</v>
      </c>
      <c r="B33" s="809"/>
      <c r="C33" s="117"/>
      <c r="D33" s="385"/>
      <c r="E33" s="788">
        <f ca="1">SUM(INDIRECT("L29:L"&amp;MROUND(N($G$3),1)+28))</f>
        <v>0</v>
      </c>
      <c r="F33" s="789"/>
      <c r="G33" s="789"/>
      <c r="H33" s="789"/>
      <c r="I33" s="789"/>
      <c r="J33" s="789"/>
      <c r="K33" s="789"/>
      <c r="L33" s="789"/>
      <c r="M33" s="789"/>
      <c r="N33" s="789"/>
      <c r="O33" s="790"/>
      <c r="P33" s="381"/>
      <c r="Q33" s="788">
        <f ca="1">SUM(INDIRECT("X29:X"&amp;MROUND(N($G$3),1)+28))</f>
        <v>0</v>
      </c>
      <c r="R33" s="789"/>
      <c r="S33" s="789"/>
      <c r="T33" s="789"/>
      <c r="U33" s="789"/>
      <c r="V33" s="789"/>
      <c r="W33" s="789"/>
      <c r="X33" s="789"/>
      <c r="Y33" s="789"/>
      <c r="Z33" s="789"/>
      <c r="AA33" s="790"/>
      <c r="AB33" s="381"/>
      <c r="AC33" s="788">
        <f ca="1">SUM(INDIRECT("AJ29:AJ"&amp;MROUND(N($G$3),1)+28))</f>
        <v>0</v>
      </c>
      <c r="AD33" s="789"/>
      <c r="AE33" s="789"/>
      <c r="AF33" s="789"/>
      <c r="AG33" s="789"/>
      <c r="AH33" s="789"/>
      <c r="AI33" s="789"/>
      <c r="AJ33" s="789"/>
      <c r="AK33" s="789"/>
      <c r="AL33" s="789"/>
      <c r="AM33" s="790"/>
      <c r="AN33" s="392"/>
      <c r="AO33" s="788">
        <f ca="1">SUM(INDIRECT("AV29:AV"&amp;MROUND(N($G$3),1)+28))</f>
        <v>0</v>
      </c>
      <c r="AP33" s="789"/>
      <c r="AQ33" s="789"/>
      <c r="AR33" s="789"/>
      <c r="AS33" s="789"/>
      <c r="AT33" s="789"/>
      <c r="AU33" s="789"/>
      <c r="AV33" s="789"/>
      <c r="AW33" s="789"/>
      <c r="AX33" s="789"/>
      <c r="AY33" s="790"/>
      <c r="AZ33" s="392"/>
      <c r="BA33" s="788">
        <f ca="1">SUM(INDIRECT("BH29:BH"&amp;MROUND(N($G$3),1)+28))</f>
        <v>0</v>
      </c>
      <c r="BB33" s="789"/>
      <c r="BC33" s="789"/>
      <c r="BD33" s="789"/>
      <c r="BE33" s="789"/>
      <c r="BF33" s="789"/>
      <c r="BG33" s="789"/>
      <c r="BH33" s="789"/>
      <c r="BI33" s="789"/>
      <c r="BJ33" s="789"/>
      <c r="BK33" s="790"/>
      <c r="BL33" s="392"/>
      <c r="BM33" s="788">
        <f ca="1">SUM(INDIRECT("BT29:BT"&amp;MROUND(N($G$3),1)+28))</f>
        <v>0</v>
      </c>
      <c r="BN33" s="789"/>
      <c r="BO33" s="789"/>
      <c r="BP33" s="789"/>
      <c r="BQ33" s="789"/>
      <c r="BR33" s="789"/>
      <c r="BS33" s="789"/>
      <c r="BT33" s="789"/>
      <c r="BU33" s="789"/>
      <c r="BV33" s="789"/>
      <c r="BW33" s="790"/>
      <c r="BX33" s="392"/>
      <c r="BY33" s="788">
        <f ca="1">SUM(INDIRECT("CF29:CF"&amp;MROUND(N($G$3),1)+28))</f>
        <v>0</v>
      </c>
      <c r="BZ33" s="789"/>
      <c r="CA33" s="789"/>
      <c r="CB33" s="789"/>
      <c r="CC33" s="789"/>
      <c r="CD33" s="789"/>
      <c r="CE33" s="789"/>
      <c r="CF33" s="789"/>
      <c r="CG33" s="789"/>
      <c r="CH33" s="789"/>
      <c r="CI33" s="790"/>
      <c r="CJ33" s="392"/>
      <c r="CK33" s="788">
        <f ca="1">SUM(INDIRECT("CR29:CR"&amp;MROUND(N($G$3),1)+28))</f>
        <v>0</v>
      </c>
      <c r="CL33" s="789"/>
      <c r="CM33" s="789"/>
      <c r="CN33" s="789"/>
      <c r="CO33" s="789"/>
      <c r="CP33" s="789"/>
      <c r="CQ33" s="789"/>
      <c r="CR33" s="789"/>
      <c r="CS33" s="789"/>
      <c r="CT33" s="789"/>
      <c r="CU33" s="790"/>
      <c r="CV33" s="392"/>
      <c r="CW33" s="788">
        <f ca="1">SUM(INDIRECT("DD29:DD"&amp;MROUND(N($G$3),1)+28))</f>
        <v>0</v>
      </c>
      <c r="CX33" s="789"/>
      <c r="CY33" s="789"/>
      <c r="CZ33" s="789"/>
      <c r="DA33" s="789"/>
      <c r="DB33" s="789"/>
      <c r="DC33" s="789"/>
      <c r="DD33" s="789"/>
      <c r="DE33" s="789"/>
      <c r="DF33" s="789"/>
      <c r="DG33" s="790"/>
      <c r="DH33" s="392"/>
      <c r="DI33" s="788">
        <f ca="1">SUM(INDIRECT("DP29:DP"&amp;MROUND(N($G$3),1)+28))</f>
        <v>0</v>
      </c>
      <c r="DJ33" s="789"/>
      <c r="DK33" s="789"/>
      <c r="DL33" s="789"/>
      <c r="DM33" s="789"/>
      <c r="DN33" s="789"/>
      <c r="DO33" s="789"/>
      <c r="DP33" s="789"/>
      <c r="DQ33" s="789"/>
      <c r="DR33" s="789"/>
      <c r="DS33" s="790"/>
      <c r="DT33" s="392"/>
      <c r="DU33" s="788">
        <f ca="1">SUM(INDIRECT("EB29:EB"&amp;MROUND(N($G$3),1)+28))</f>
        <v>0</v>
      </c>
      <c r="DV33" s="789"/>
      <c r="DW33" s="789"/>
      <c r="DX33" s="789"/>
      <c r="DY33" s="789"/>
      <c r="DZ33" s="789"/>
      <c r="EA33" s="789"/>
      <c r="EB33" s="789"/>
      <c r="EC33" s="789"/>
      <c r="ED33" s="789"/>
      <c r="EE33" s="790"/>
      <c r="EF33" s="392"/>
      <c r="EG33" s="788">
        <f ca="1">SUM(INDIRECT("EN29:EN"&amp;MROUND(N($G$3),1)+28))</f>
        <v>0</v>
      </c>
      <c r="EH33" s="789"/>
      <c r="EI33" s="789"/>
      <c r="EJ33" s="789"/>
      <c r="EK33" s="789"/>
      <c r="EL33" s="789"/>
      <c r="EM33" s="789"/>
      <c r="EN33" s="789"/>
      <c r="EO33" s="789"/>
      <c r="EP33" s="789"/>
      <c r="EQ33" s="790"/>
      <c r="ER33" s="392"/>
      <c r="ES33" s="788">
        <f ca="1">SUM(INDIRECT("EZ29:EZ"&amp;MROUND(N($G$3),1)+28))</f>
        <v>0</v>
      </c>
      <c r="ET33" s="789"/>
      <c r="EU33" s="789"/>
      <c r="EV33" s="789"/>
      <c r="EW33" s="789"/>
      <c r="EX33" s="789"/>
      <c r="EY33" s="789"/>
      <c r="EZ33" s="789"/>
      <c r="FA33" s="789"/>
      <c r="FB33" s="789"/>
      <c r="FC33" s="790"/>
      <c r="FD33" s="392"/>
      <c r="FE33" s="788">
        <f ca="1">SUM(INDIRECT("FL29:FL"&amp;MROUND(N($G$3),1)+28))</f>
        <v>0</v>
      </c>
      <c r="FF33" s="789"/>
      <c r="FG33" s="789"/>
      <c r="FH33" s="789"/>
      <c r="FI33" s="789"/>
      <c r="FJ33" s="789"/>
      <c r="FK33" s="789"/>
      <c r="FL33" s="789"/>
      <c r="FM33" s="789"/>
      <c r="FN33" s="789"/>
      <c r="FO33" s="790"/>
      <c r="FP33" s="392"/>
      <c r="FQ33" s="788">
        <f ca="1">SUM(INDIRECT("FX29:FX"&amp;MROUND(N($G$3),1)+28))</f>
        <v>0</v>
      </c>
      <c r="FR33" s="789"/>
      <c r="FS33" s="789"/>
      <c r="FT33" s="789"/>
      <c r="FU33" s="789"/>
      <c r="FV33" s="789"/>
      <c r="FW33" s="789"/>
      <c r="FX33" s="789"/>
      <c r="FY33" s="789"/>
      <c r="FZ33" s="789"/>
      <c r="GA33" s="790"/>
      <c r="GB33" s="392"/>
      <c r="GC33" s="788">
        <f ca="1">SUM(INDIRECT("GJ29:GJ"&amp;MROUND(N($G$3),1)+28))</f>
        <v>0</v>
      </c>
      <c r="GD33" s="789"/>
      <c r="GE33" s="789"/>
      <c r="GF33" s="789"/>
      <c r="GG33" s="789"/>
      <c r="GH33" s="789"/>
      <c r="GI33" s="789"/>
      <c r="GJ33" s="789"/>
      <c r="GK33" s="789"/>
      <c r="GL33" s="789"/>
      <c r="GM33" s="790"/>
      <c r="GN33" s="392"/>
      <c r="GO33" s="788">
        <f ca="1">SUM(INDIRECT("GV29:GV"&amp;MROUND(N($G$3),1)+28))</f>
        <v>0</v>
      </c>
      <c r="GP33" s="789"/>
      <c r="GQ33" s="789"/>
      <c r="GR33" s="789"/>
      <c r="GS33" s="789"/>
      <c r="GT33" s="789"/>
      <c r="GU33" s="789"/>
      <c r="GV33" s="789"/>
      <c r="GW33" s="789"/>
      <c r="GX33" s="789"/>
      <c r="GY33" s="790"/>
      <c r="GZ33" s="392"/>
      <c r="HA33" s="788">
        <f ca="1">SUM(INDIRECT("HH29:HH"&amp;MROUND(N($G$3),1)+28))</f>
        <v>0</v>
      </c>
      <c r="HB33" s="789"/>
      <c r="HC33" s="789"/>
      <c r="HD33" s="789"/>
      <c r="HE33" s="789"/>
      <c r="HF33" s="789"/>
      <c r="HG33" s="789"/>
      <c r="HH33" s="789"/>
      <c r="HI33" s="789"/>
      <c r="HJ33" s="789"/>
      <c r="HK33" s="790"/>
    </row>
    <row r="34" spans="1:224" ht="34.5" customHeight="1">
      <c r="A34" s="813" t="s">
        <v>15</v>
      </c>
      <c r="B34" s="814"/>
      <c r="C34" s="118"/>
      <c r="D34" s="387"/>
      <c r="E34" s="788">
        <f ca="1">SUM(INDIRECT("N29:N"&amp;MROUND(N($G$3),1)+28))</f>
        <v>0</v>
      </c>
      <c r="F34" s="789"/>
      <c r="G34" s="789"/>
      <c r="H34" s="789"/>
      <c r="I34" s="789"/>
      <c r="J34" s="789"/>
      <c r="K34" s="789"/>
      <c r="L34" s="789"/>
      <c r="M34" s="789"/>
      <c r="N34" s="789"/>
      <c r="O34" s="790"/>
      <c r="P34" s="381"/>
      <c r="Q34" s="788">
        <f ca="1">SUM(INDIRECT("Z29:Z"&amp;MROUND(N($G$3),1)+28))</f>
        <v>0</v>
      </c>
      <c r="R34" s="789"/>
      <c r="S34" s="789"/>
      <c r="T34" s="789"/>
      <c r="U34" s="789"/>
      <c r="V34" s="789"/>
      <c r="W34" s="789"/>
      <c r="X34" s="789"/>
      <c r="Y34" s="789"/>
      <c r="Z34" s="789"/>
      <c r="AA34" s="790"/>
      <c r="AB34" s="381"/>
      <c r="AC34" s="788">
        <f ca="1">SUM(INDIRECT("AL29:AL"&amp;MROUND(N($G$3),1)+28))</f>
        <v>0</v>
      </c>
      <c r="AD34" s="789"/>
      <c r="AE34" s="789"/>
      <c r="AF34" s="789"/>
      <c r="AG34" s="789"/>
      <c r="AH34" s="789"/>
      <c r="AI34" s="789"/>
      <c r="AJ34" s="789"/>
      <c r="AK34" s="789"/>
      <c r="AL34" s="789"/>
      <c r="AM34" s="790"/>
      <c r="AN34" s="392"/>
      <c r="AO34" s="788">
        <f ca="1">SUM(INDIRECT("AX29:AX"&amp;MROUND(N($G$3),1)+28))</f>
        <v>0</v>
      </c>
      <c r="AP34" s="789"/>
      <c r="AQ34" s="789"/>
      <c r="AR34" s="789"/>
      <c r="AS34" s="789"/>
      <c r="AT34" s="789"/>
      <c r="AU34" s="789"/>
      <c r="AV34" s="789"/>
      <c r="AW34" s="789"/>
      <c r="AX34" s="789"/>
      <c r="AY34" s="790"/>
      <c r="AZ34" s="392"/>
      <c r="BA34" s="788">
        <f ca="1">SUM(INDIRECT("BJ29:BJ"&amp;MROUND(N($G$3),1)+28))</f>
        <v>0</v>
      </c>
      <c r="BB34" s="789"/>
      <c r="BC34" s="789"/>
      <c r="BD34" s="789"/>
      <c r="BE34" s="789"/>
      <c r="BF34" s="789"/>
      <c r="BG34" s="789"/>
      <c r="BH34" s="789"/>
      <c r="BI34" s="789"/>
      <c r="BJ34" s="789"/>
      <c r="BK34" s="790"/>
      <c r="BL34" s="392"/>
      <c r="BM34" s="788">
        <f ca="1">SUM(INDIRECT("BV29:BV"&amp;MROUND(N($G$3),1)+28))</f>
        <v>0</v>
      </c>
      <c r="BN34" s="789"/>
      <c r="BO34" s="789"/>
      <c r="BP34" s="789"/>
      <c r="BQ34" s="789"/>
      <c r="BR34" s="789"/>
      <c r="BS34" s="789"/>
      <c r="BT34" s="789"/>
      <c r="BU34" s="789"/>
      <c r="BV34" s="789"/>
      <c r="BW34" s="790"/>
      <c r="BX34" s="392"/>
      <c r="BY34" s="788">
        <f ca="1">SUM(INDIRECT("CH29:CH"&amp;MROUND(N($G$3),1)+28))</f>
        <v>0</v>
      </c>
      <c r="BZ34" s="789"/>
      <c r="CA34" s="789"/>
      <c r="CB34" s="789"/>
      <c r="CC34" s="789"/>
      <c r="CD34" s="789"/>
      <c r="CE34" s="789"/>
      <c r="CF34" s="789"/>
      <c r="CG34" s="789"/>
      <c r="CH34" s="789"/>
      <c r="CI34" s="790"/>
      <c r="CJ34" s="392"/>
      <c r="CK34" s="788">
        <f ca="1">SUM(INDIRECT("CT29:CT"&amp;MROUND(N($G$3),1)+28))</f>
        <v>0</v>
      </c>
      <c r="CL34" s="789"/>
      <c r="CM34" s="789"/>
      <c r="CN34" s="789"/>
      <c r="CO34" s="789"/>
      <c r="CP34" s="789"/>
      <c r="CQ34" s="789"/>
      <c r="CR34" s="789"/>
      <c r="CS34" s="789"/>
      <c r="CT34" s="789"/>
      <c r="CU34" s="790"/>
      <c r="CV34" s="392"/>
      <c r="CW34" s="788">
        <f ca="1">SUM(INDIRECT("DF29:DF"&amp;MROUND(N($G$3),1)+28))</f>
        <v>0</v>
      </c>
      <c r="CX34" s="789"/>
      <c r="CY34" s="789"/>
      <c r="CZ34" s="789"/>
      <c r="DA34" s="789"/>
      <c r="DB34" s="789"/>
      <c r="DC34" s="789"/>
      <c r="DD34" s="789"/>
      <c r="DE34" s="789"/>
      <c r="DF34" s="789"/>
      <c r="DG34" s="790"/>
      <c r="DH34" s="392"/>
      <c r="DI34" s="788">
        <f ca="1">SUM(INDIRECT("DR29:DR"&amp;MROUND(N($G$3),1)+28))</f>
        <v>0</v>
      </c>
      <c r="DJ34" s="789"/>
      <c r="DK34" s="789"/>
      <c r="DL34" s="789"/>
      <c r="DM34" s="789"/>
      <c r="DN34" s="789"/>
      <c r="DO34" s="789"/>
      <c r="DP34" s="789"/>
      <c r="DQ34" s="789"/>
      <c r="DR34" s="789"/>
      <c r="DS34" s="790"/>
      <c r="DT34" s="392"/>
      <c r="DU34" s="788">
        <f ca="1">SUM(INDIRECT("ED29:ED"&amp;MROUND(N($G$3),1)+28))</f>
        <v>0</v>
      </c>
      <c r="DV34" s="789"/>
      <c r="DW34" s="789"/>
      <c r="DX34" s="789"/>
      <c r="DY34" s="789"/>
      <c r="DZ34" s="789"/>
      <c r="EA34" s="789"/>
      <c r="EB34" s="789"/>
      <c r="EC34" s="789"/>
      <c r="ED34" s="789"/>
      <c r="EE34" s="790"/>
      <c r="EF34" s="392"/>
      <c r="EG34" s="788">
        <f ca="1">SUM(INDIRECT("EP29:EP"&amp;MROUND(N($G$3),1)+28))</f>
        <v>0</v>
      </c>
      <c r="EH34" s="789"/>
      <c r="EI34" s="789"/>
      <c r="EJ34" s="789"/>
      <c r="EK34" s="789"/>
      <c r="EL34" s="789"/>
      <c r="EM34" s="789"/>
      <c r="EN34" s="789"/>
      <c r="EO34" s="789"/>
      <c r="EP34" s="789"/>
      <c r="EQ34" s="790"/>
      <c r="ER34" s="392"/>
      <c r="ES34" s="788">
        <f ca="1">SUM(INDIRECT("FB29:FB"&amp;MROUND(N($G$3),1)+28))</f>
        <v>0</v>
      </c>
      <c r="ET34" s="789"/>
      <c r="EU34" s="789"/>
      <c r="EV34" s="789"/>
      <c r="EW34" s="789"/>
      <c r="EX34" s="789"/>
      <c r="EY34" s="789"/>
      <c r="EZ34" s="789"/>
      <c r="FA34" s="789"/>
      <c r="FB34" s="789"/>
      <c r="FC34" s="790"/>
      <c r="FD34" s="392"/>
      <c r="FE34" s="788">
        <f ca="1">SUM(INDIRECT("FN29:FN"&amp;MROUND(N($G$3),1)+28))</f>
        <v>0</v>
      </c>
      <c r="FF34" s="789"/>
      <c r="FG34" s="789"/>
      <c r="FH34" s="789"/>
      <c r="FI34" s="789"/>
      <c r="FJ34" s="789"/>
      <c r="FK34" s="789"/>
      <c r="FL34" s="789"/>
      <c r="FM34" s="789"/>
      <c r="FN34" s="789"/>
      <c r="FO34" s="790"/>
      <c r="FP34" s="392"/>
      <c r="FQ34" s="788">
        <f ca="1">SUM(INDIRECT("FZ29:FZ"&amp;MROUND(N($G$3),1)+28))</f>
        <v>0</v>
      </c>
      <c r="FR34" s="789"/>
      <c r="FS34" s="789"/>
      <c r="FT34" s="789"/>
      <c r="FU34" s="789"/>
      <c r="FV34" s="789"/>
      <c r="FW34" s="789"/>
      <c r="FX34" s="789"/>
      <c r="FY34" s="789"/>
      <c r="FZ34" s="789"/>
      <c r="GA34" s="790"/>
      <c r="GB34" s="392"/>
      <c r="GC34" s="788">
        <f ca="1">SUM(INDIRECT("GL29:GL"&amp;MROUND(N($G$3),1)+28))</f>
        <v>0</v>
      </c>
      <c r="GD34" s="789"/>
      <c r="GE34" s="789"/>
      <c r="GF34" s="789"/>
      <c r="GG34" s="789"/>
      <c r="GH34" s="789"/>
      <c r="GI34" s="789"/>
      <c r="GJ34" s="789"/>
      <c r="GK34" s="789"/>
      <c r="GL34" s="789"/>
      <c r="GM34" s="790"/>
      <c r="GN34" s="392"/>
      <c r="GO34" s="788">
        <f ca="1">SUM(INDIRECT("GX29:GX"&amp;MROUND(N($G$3),1)+28))</f>
        <v>0</v>
      </c>
      <c r="GP34" s="789"/>
      <c r="GQ34" s="789"/>
      <c r="GR34" s="789"/>
      <c r="GS34" s="789"/>
      <c r="GT34" s="789"/>
      <c r="GU34" s="789"/>
      <c r="GV34" s="789"/>
      <c r="GW34" s="789"/>
      <c r="GX34" s="789"/>
      <c r="GY34" s="790"/>
      <c r="GZ34" s="392"/>
      <c r="HA34" s="788">
        <f ca="1">SUM(INDIRECT("HJ29:HJ"&amp;MROUND(N($G$3),1)+28))</f>
        <v>0</v>
      </c>
      <c r="HB34" s="789"/>
      <c r="HC34" s="789"/>
      <c r="HD34" s="789"/>
      <c r="HE34" s="789"/>
      <c r="HF34" s="789"/>
      <c r="HG34" s="789"/>
      <c r="HH34" s="789"/>
      <c r="HI34" s="789"/>
      <c r="HJ34" s="789"/>
      <c r="HK34" s="790"/>
    </row>
    <row r="35" spans="1:224" ht="43.5" customHeight="1">
      <c r="A35" s="812" t="s">
        <v>16</v>
      </c>
      <c r="B35" s="814"/>
      <c r="C35" s="118"/>
      <c r="D35" s="387"/>
      <c r="E35" s="788">
        <f ca="1">SUM(INDIRECT("M29:M"&amp;MROUND(N($G$3),1)+28))</f>
        <v>0</v>
      </c>
      <c r="F35" s="789"/>
      <c r="G35" s="789"/>
      <c r="H35" s="789"/>
      <c r="I35" s="789"/>
      <c r="J35" s="789"/>
      <c r="K35" s="789"/>
      <c r="L35" s="789"/>
      <c r="M35" s="789"/>
      <c r="N35" s="789"/>
      <c r="O35" s="790"/>
      <c r="P35" s="381"/>
      <c r="Q35" s="788">
        <f ca="1">SUM(INDIRECT("Y29:Y"&amp;MROUND(N($G$3),1)+28))</f>
        <v>0</v>
      </c>
      <c r="R35" s="789"/>
      <c r="S35" s="789"/>
      <c r="T35" s="789"/>
      <c r="U35" s="789"/>
      <c r="V35" s="789"/>
      <c r="W35" s="789"/>
      <c r="X35" s="789"/>
      <c r="Y35" s="789"/>
      <c r="Z35" s="789"/>
      <c r="AA35" s="790"/>
      <c r="AB35" s="381"/>
      <c r="AC35" s="788">
        <f ca="1">SUM(INDIRECT("AK29:AK"&amp;MROUND(N($G$3),1)+28))</f>
        <v>0</v>
      </c>
      <c r="AD35" s="789"/>
      <c r="AE35" s="789"/>
      <c r="AF35" s="789"/>
      <c r="AG35" s="789"/>
      <c r="AH35" s="789"/>
      <c r="AI35" s="789"/>
      <c r="AJ35" s="789"/>
      <c r="AK35" s="789"/>
      <c r="AL35" s="789"/>
      <c r="AM35" s="790"/>
      <c r="AN35" s="392"/>
      <c r="AO35" s="788">
        <f ca="1">SUM(INDIRECT("AW29:AW"&amp;MROUND(N($G$3),1)+28))</f>
        <v>0</v>
      </c>
      <c r="AP35" s="789"/>
      <c r="AQ35" s="789"/>
      <c r="AR35" s="789"/>
      <c r="AS35" s="789"/>
      <c r="AT35" s="789"/>
      <c r="AU35" s="789"/>
      <c r="AV35" s="789"/>
      <c r="AW35" s="789"/>
      <c r="AX35" s="789"/>
      <c r="AY35" s="790"/>
      <c r="AZ35" s="392"/>
      <c r="BA35" s="788">
        <f ca="1">SUM(INDIRECT("BI29:BI"&amp;MROUND(N($G$3),1)+28))</f>
        <v>0</v>
      </c>
      <c r="BB35" s="789"/>
      <c r="BC35" s="789"/>
      <c r="BD35" s="789"/>
      <c r="BE35" s="789"/>
      <c r="BF35" s="789"/>
      <c r="BG35" s="789"/>
      <c r="BH35" s="789"/>
      <c r="BI35" s="789"/>
      <c r="BJ35" s="789"/>
      <c r="BK35" s="790"/>
      <c r="BL35" s="392"/>
      <c r="BM35" s="788">
        <f ca="1">SUM(INDIRECT("BU29:BU"&amp;MROUND(N($G$3),1)+28))</f>
        <v>0</v>
      </c>
      <c r="BN35" s="789"/>
      <c r="BO35" s="789"/>
      <c r="BP35" s="789"/>
      <c r="BQ35" s="789"/>
      <c r="BR35" s="789"/>
      <c r="BS35" s="789"/>
      <c r="BT35" s="789"/>
      <c r="BU35" s="789"/>
      <c r="BV35" s="789"/>
      <c r="BW35" s="790"/>
      <c r="BX35" s="392"/>
      <c r="BY35" s="788">
        <f ca="1">SUM(INDIRECT("CG29:CG"&amp;MROUND(N($G$3),1)+28))</f>
        <v>0</v>
      </c>
      <c r="BZ35" s="789"/>
      <c r="CA35" s="789"/>
      <c r="CB35" s="789"/>
      <c r="CC35" s="789"/>
      <c r="CD35" s="789"/>
      <c r="CE35" s="789"/>
      <c r="CF35" s="789"/>
      <c r="CG35" s="789"/>
      <c r="CH35" s="789"/>
      <c r="CI35" s="790"/>
      <c r="CJ35" s="392"/>
      <c r="CK35" s="788">
        <f ca="1">SUM(INDIRECT("CS29:CS"&amp;MROUND(N($G$3),1)+28))</f>
        <v>0</v>
      </c>
      <c r="CL35" s="789"/>
      <c r="CM35" s="789"/>
      <c r="CN35" s="789"/>
      <c r="CO35" s="789"/>
      <c r="CP35" s="789"/>
      <c r="CQ35" s="789"/>
      <c r="CR35" s="789"/>
      <c r="CS35" s="789"/>
      <c r="CT35" s="789"/>
      <c r="CU35" s="790"/>
      <c r="CV35" s="392"/>
      <c r="CW35" s="788">
        <f ca="1">SUM(INDIRECT("DE29:DE"&amp;MROUND(N($G$3),1)+28))</f>
        <v>0</v>
      </c>
      <c r="CX35" s="789"/>
      <c r="CY35" s="789"/>
      <c r="CZ35" s="789"/>
      <c r="DA35" s="789"/>
      <c r="DB35" s="789"/>
      <c r="DC35" s="789"/>
      <c r="DD35" s="789"/>
      <c r="DE35" s="789"/>
      <c r="DF35" s="789"/>
      <c r="DG35" s="790"/>
      <c r="DH35" s="392"/>
      <c r="DI35" s="788">
        <f ca="1">SUM(INDIRECT("DQ29:DQ"&amp;MROUND(N($G$3),1)+28))</f>
        <v>0</v>
      </c>
      <c r="DJ35" s="789"/>
      <c r="DK35" s="789"/>
      <c r="DL35" s="789"/>
      <c r="DM35" s="789"/>
      <c r="DN35" s="789"/>
      <c r="DO35" s="789"/>
      <c r="DP35" s="789"/>
      <c r="DQ35" s="789"/>
      <c r="DR35" s="789"/>
      <c r="DS35" s="790"/>
      <c r="DT35" s="392"/>
      <c r="DU35" s="788">
        <f ca="1">SUM(INDIRECT("EC29:EC"&amp;MROUND(N($G$3),1)+28))</f>
        <v>0</v>
      </c>
      <c r="DV35" s="789"/>
      <c r="DW35" s="789"/>
      <c r="DX35" s="789"/>
      <c r="DY35" s="789"/>
      <c r="DZ35" s="789"/>
      <c r="EA35" s="789"/>
      <c r="EB35" s="789"/>
      <c r="EC35" s="789"/>
      <c r="ED35" s="789"/>
      <c r="EE35" s="790"/>
      <c r="EF35" s="392"/>
      <c r="EG35" s="788">
        <f ca="1">SUM(INDIRECT("EO29:EO"&amp;MROUND(N($G$3),1)+28))</f>
        <v>0</v>
      </c>
      <c r="EH35" s="789"/>
      <c r="EI35" s="789"/>
      <c r="EJ35" s="789"/>
      <c r="EK35" s="789"/>
      <c r="EL35" s="789"/>
      <c r="EM35" s="789"/>
      <c r="EN35" s="789"/>
      <c r="EO35" s="789"/>
      <c r="EP35" s="789"/>
      <c r="EQ35" s="790"/>
      <c r="ER35" s="392"/>
      <c r="ES35" s="788">
        <f ca="1">SUM(INDIRECT("FA29:FA"&amp;MROUND(N($G$3),1)+28))</f>
        <v>0</v>
      </c>
      <c r="ET35" s="789"/>
      <c r="EU35" s="789"/>
      <c r="EV35" s="789"/>
      <c r="EW35" s="789"/>
      <c r="EX35" s="789"/>
      <c r="EY35" s="789"/>
      <c r="EZ35" s="789"/>
      <c r="FA35" s="789"/>
      <c r="FB35" s="789"/>
      <c r="FC35" s="790"/>
      <c r="FD35" s="392"/>
      <c r="FE35" s="788">
        <f ca="1">SUM(INDIRECT("FM29:FM"&amp;MROUND(N($G$3),1)+28))</f>
        <v>0</v>
      </c>
      <c r="FF35" s="789"/>
      <c r="FG35" s="789"/>
      <c r="FH35" s="789"/>
      <c r="FI35" s="789"/>
      <c r="FJ35" s="789"/>
      <c r="FK35" s="789"/>
      <c r="FL35" s="789"/>
      <c r="FM35" s="789"/>
      <c r="FN35" s="789"/>
      <c r="FO35" s="790"/>
      <c r="FP35" s="392"/>
      <c r="FQ35" s="788">
        <f ca="1">SUM(INDIRECT("FY29:FY"&amp;MROUND(N($G$3),1)+28))</f>
        <v>0</v>
      </c>
      <c r="FR35" s="789"/>
      <c r="FS35" s="789"/>
      <c r="FT35" s="789"/>
      <c r="FU35" s="789"/>
      <c r="FV35" s="789"/>
      <c r="FW35" s="789"/>
      <c r="FX35" s="789"/>
      <c r="FY35" s="789"/>
      <c r="FZ35" s="789"/>
      <c r="GA35" s="790"/>
      <c r="GB35" s="392"/>
      <c r="GC35" s="788">
        <f ca="1">SUM(INDIRECT("GK29:GK"&amp;MROUND(N($G$3),1)+28))</f>
        <v>0</v>
      </c>
      <c r="GD35" s="789"/>
      <c r="GE35" s="789"/>
      <c r="GF35" s="789"/>
      <c r="GG35" s="789"/>
      <c r="GH35" s="789"/>
      <c r="GI35" s="789"/>
      <c r="GJ35" s="789"/>
      <c r="GK35" s="789"/>
      <c r="GL35" s="789"/>
      <c r="GM35" s="790"/>
      <c r="GN35" s="392"/>
      <c r="GO35" s="788">
        <f ca="1">SUM(INDIRECT("GW29:GW"&amp;MROUND(N($G$3),1)+28))</f>
        <v>0</v>
      </c>
      <c r="GP35" s="789"/>
      <c r="GQ35" s="789"/>
      <c r="GR35" s="789"/>
      <c r="GS35" s="789"/>
      <c r="GT35" s="789"/>
      <c r="GU35" s="789"/>
      <c r="GV35" s="789"/>
      <c r="GW35" s="789"/>
      <c r="GX35" s="789"/>
      <c r="GY35" s="790"/>
      <c r="GZ35" s="392"/>
      <c r="HA35" s="788">
        <f ca="1">SUM(INDIRECT("HI29:HI"&amp;MROUND(N($G$3),1)+28))</f>
        <v>0</v>
      </c>
      <c r="HB35" s="789"/>
      <c r="HC35" s="789"/>
      <c r="HD35" s="789"/>
      <c r="HE35" s="789"/>
      <c r="HF35" s="789"/>
      <c r="HG35" s="789"/>
      <c r="HH35" s="789"/>
      <c r="HI35" s="789"/>
      <c r="HJ35" s="789"/>
      <c r="HK35" s="790"/>
    </row>
    <row r="36" spans="1:224" ht="43.5" customHeight="1">
      <c r="A36" s="815" t="s">
        <v>420</v>
      </c>
      <c r="B36" s="816"/>
      <c r="C36" s="118"/>
      <c r="D36" s="387"/>
      <c r="E36" s="788">
        <f ca="1">SUM(INDIRECT("L29:L"&amp;MROUND(N($G$3),1)+28))-SUM(INDIRECT("N29:N"&amp;MROUND(N($G$3),1)+28))-SUM(INDIRECT("M29:M"&amp;MROUND(N($G$3),1)+28))</f>
        <v>0</v>
      </c>
      <c r="F36" s="789"/>
      <c r="G36" s="789"/>
      <c r="H36" s="789"/>
      <c r="I36" s="789"/>
      <c r="J36" s="789"/>
      <c r="K36" s="789"/>
      <c r="L36" s="789"/>
      <c r="M36" s="789"/>
      <c r="N36" s="789"/>
      <c r="O36" s="790"/>
      <c r="P36" s="381"/>
      <c r="Q36" s="788">
        <f ca="1">SUM(INDIRECT("X29:X"&amp;MROUND(N($G$3),1)+28))-SUM(INDIRECT("Z29:Z"&amp;MROUND(N($G$3),1)+28))-SUM(INDIRECT("Y29:Y"&amp;MROUND(N($G$3),1)+28))</f>
        <v>0</v>
      </c>
      <c r="R36" s="789"/>
      <c r="S36" s="789"/>
      <c r="T36" s="789"/>
      <c r="U36" s="789"/>
      <c r="V36" s="789"/>
      <c r="W36" s="789"/>
      <c r="X36" s="789"/>
      <c r="Y36" s="789"/>
      <c r="Z36" s="789"/>
      <c r="AA36" s="790"/>
      <c r="AB36" s="381"/>
      <c r="AC36" s="788">
        <f ca="1">SUM(INDIRECT("AJ29:AJ"&amp;MROUND(N($G$3),1)+28))-SUM(INDIRECT("AL29:AL"&amp;MROUND(N($G$3),1)+28))-SUM(INDIRECT("AK29:AK"&amp;MROUND(N($G$3),1)+28))</f>
        <v>0</v>
      </c>
      <c r="AD36" s="789"/>
      <c r="AE36" s="789"/>
      <c r="AF36" s="789"/>
      <c r="AG36" s="789"/>
      <c r="AH36" s="789"/>
      <c r="AI36" s="789"/>
      <c r="AJ36" s="789"/>
      <c r="AK36" s="789"/>
      <c r="AL36" s="789"/>
      <c r="AM36" s="790"/>
      <c r="AN36" s="392"/>
      <c r="AO36" s="788">
        <f ca="1">SUM(INDIRECT("AV29:AV"&amp;MROUND(N($G$3),1)+28))-SUM(INDIRECT("AX29:AX"&amp;MROUND(N($G$3),1)+28))-SUM(INDIRECT("AW29:AW"&amp;MROUND(N($G$3),1)+28))</f>
        <v>0</v>
      </c>
      <c r="AP36" s="789"/>
      <c r="AQ36" s="789"/>
      <c r="AR36" s="789"/>
      <c r="AS36" s="789"/>
      <c r="AT36" s="789"/>
      <c r="AU36" s="789"/>
      <c r="AV36" s="789"/>
      <c r="AW36" s="789"/>
      <c r="AX36" s="789"/>
      <c r="AY36" s="790"/>
      <c r="AZ36" s="392"/>
      <c r="BA36" s="788">
        <f ca="1">SUM(INDIRECT("BH29:BH"&amp;MROUND(N($G$3),1)+28))-SUM(INDIRECT("BJ29:BJ"&amp;MROUND(N($G$3),1)+28))-SUM(INDIRECT("BI29:BI"&amp;MROUND(N($G$3),1)+28))</f>
        <v>0</v>
      </c>
      <c r="BB36" s="789"/>
      <c r="BC36" s="789"/>
      <c r="BD36" s="789"/>
      <c r="BE36" s="789"/>
      <c r="BF36" s="789"/>
      <c r="BG36" s="789"/>
      <c r="BH36" s="789"/>
      <c r="BI36" s="789"/>
      <c r="BJ36" s="789"/>
      <c r="BK36" s="790"/>
      <c r="BL36" s="392"/>
      <c r="BM36" s="788">
        <f ca="1">SUM(INDIRECT("BT29:BT"&amp;MROUND(N($G$3),1)+28))-SUM(INDIRECT("BV29:BV"&amp;MROUND(N($G$3),1)+28))-SUM(INDIRECT("BU29:BU"&amp;MROUND(N($G$3),1)+28))</f>
        <v>0</v>
      </c>
      <c r="BN36" s="789"/>
      <c r="BO36" s="789"/>
      <c r="BP36" s="789"/>
      <c r="BQ36" s="789"/>
      <c r="BR36" s="789"/>
      <c r="BS36" s="789"/>
      <c r="BT36" s="789"/>
      <c r="BU36" s="789"/>
      <c r="BV36" s="789"/>
      <c r="BW36" s="790"/>
      <c r="BX36" s="392"/>
      <c r="BY36" s="788">
        <f ca="1">SUM(INDIRECT("CF29:CF"&amp;MROUND(N($G$3),1)+28))-SUM(INDIRECT("CH29:CH"&amp;MROUND(N($G$3),1)+28))-SUM(INDIRECT("CG29:CG"&amp;MROUND(N($G$3),1)+28))</f>
        <v>0</v>
      </c>
      <c r="BZ36" s="789"/>
      <c r="CA36" s="789"/>
      <c r="CB36" s="789"/>
      <c r="CC36" s="789"/>
      <c r="CD36" s="789"/>
      <c r="CE36" s="789"/>
      <c r="CF36" s="789"/>
      <c r="CG36" s="789"/>
      <c r="CH36" s="789"/>
      <c r="CI36" s="790"/>
      <c r="CJ36" s="392"/>
      <c r="CK36" s="788">
        <f ca="1">SUM(INDIRECT("CR29:CR"&amp;MROUND(N($G$3),1)+28))-SUM(INDIRECT("CT29:CT"&amp;MROUND(N($G$3),1)+28))-SUM(INDIRECT("CS29:CS"&amp;MROUND(N($G$3),1)+28))</f>
        <v>0</v>
      </c>
      <c r="CL36" s="789"/>
      <c r="CM36" s="789"/>
      <c r="CN36" s="789"/>
      <c r="CO36" s="789"/>
      <c r="CP36" s="789"/>
      <c r="CQ36" s="789"/>
      <c r="CR36" s="789"/>
      <c r="CS36" s="789"/>
      <c r="CT36" s="789"/>
      <c r="CU36" s="790"/>
      <c r="CV36" s="392"/>
      <c r="CW36" s="788">
        <f ca="1">SUM(INDIRECT("DD29:DD"&amp;MROUND(N($G$3),1)+28))-SUM(INDIRECT("DF29:DF"&amp;MROUND(N($G$3),1)+28))-SUM(INDIRECT("DE29:DE"&amp;MROUND(N($G$3),1)+28))</f>
        <v>0</v>
      </c>
      <c r="CX36" s="789"/>
      <c r="CY36" s="789"/>
      <c r="CZ36" s="789"/>
      <c r="DA36" s="789"/>
      <c r="DB36" s="789"/>
      <c r="DC36" s="789"/>
      <c r="DD36" s="789"/>
      <c r="DE36" s="789"/>
      <c r="DF36" s="789"/>
      <c r="DG36" s="790"/>
      <c r="DH36" s="392"/>
      <c r="DI36" s="788">
        <f ca="1">SUM(INDIRECT("DP29:DP"&amp;MROUND(N($G$3),1)+28))-SUM(INDIRECT("DR29:DR"&amp;MROUND(N($G$3),1)+28))-SUM(INDIRECT("DQ29:DQ"&amp;MROUND(N($G$3),1)+28))</f>
        <v>0</v>
      </c>
      <c r="DJ36" s="789"/>
      <c r="DK36" s="789"/>
      <c r="DL36" s="789"/>
      <c r="DM36" s="789"/>
      <c r="DN36" s="789"/>
      <c r="DO36" s="789"/>
      <c r="DP36" s="789"/>
      <c r="DQ36" s="789"/>
      <c r="DR36" s="789"/>
      <c r="DS36" s="790"/>
      <c r="DT36" s="392"/>
      <c r="DU36" s="788">
        <f ca="1">SUM(INDIRECT("EB29:EB"&amp;MROUND(N($G$3),1)+28))-SUM(INDIRECT("ED29:ED"&amp;MROUND(N($G$3),1)+28))-SUM(INDIRECT("EC29:EC"&amp;MROUND(N($G$3),1)+28))</f>
        <v>0</v>
      </c>
      <c r="DV36" s="789"/>
      <c r="DW36" s="789"/>
      <c r="DX36" s="789"/>
      <c r="DY36" s="789"/>
      <c r="DZ36" s="789"/>
      <c r="EA36" s="789"/>
      <c r="EB36" s="789"/>
      <c r="EC36" s="789"/>
      <c r="ED36" s="789"/>
      <c r="EE36" s="790"/>
      <c r="EF36" s="392"/>
      <c r="EG36" s="788">
        <f ca="1">SUM(INDIRECT("EN29:EN"&amp;MROUND(N($G$3),1)+28))-SUM(INDIRECT("EP29:EP"&amp;MROUND(N($G$3),1)+28))-SUM(INDIRECT("EO29:EO"&amp;MROUND(N($G$3),1)+28))</f>
        <v>0</v>
      </c>
      <c r="EH36" s="789"/>
      <c r="EI36" s="789"/>
      <c r="EJ36" s="789"/>
      <c r="EK36" s="789"/>
      <c r="EL36" s="789"/>
      <c r="EM36" s="789"/>
      <c r="EN36" s="789"/>
      <c r="EO36" s="789"/>
      <c r="EP36" s="789"/>
      <c r="EQ36" s="790"/>
      <c r="ER36" s="392"/>
      <c r="ES36" s="788">
        <f ca="1">SUM(INDIRECT("EZ29:EZ"&amp;MROUND(N($G$3),1)+28))-SUM(INDIRECT("FB29:FB"&amp;MROUND(N($G$3),1)+28))-SUM(INDIRECT("FA29:FA"&amp;MROUND(N($G$3),1)+28))</f>
        <v>0</v>
      </c>
      <c r="ET36" s="789"/>
      <c r="EU36" s="789"/>
      <c r="EV36" s="789"/>
      <c r="EW36" s="789"/>
      <c r="EX36" s="789"/>
      <c r="EY36" s="789"/>
      <c r="EZ36" s="789"/>
      <c r="FA36" s="789"/>
      <c r="FB36" s="789"/>
      <c r="FC36" s="790"/>
      <c r="FD36" s="392"/>
      <c r="FE36" s="788">
        <f ca="1">SUM(INDIRECT("FL29:FL"&amp;MROUND(N($G$3),1)+28))-SUM(INDIRECT("FN29:FN"&amp;MROUND(N($G$3),1)+28))-SUM(INDIRECT("FM29:FM"&amp;MROUND(N($G$3),1)+28))</f>
        <v>0</v>
      </c>
      <c r="FF36" s="789"/>
      <c r="FG36" s="789"/>
      <c r="FH36" s="789"/>
      <c r="FI36" s="789"/>
      <c r="FJ36" s="789"/>
      <c r="FK36" s="789"/>
      <c r="FL36" s="789"/>
      <c r="FM36" s="789"/>
      <c r="FN36" s="789"/>
      <c r="FO36" s="790"/>
      <c r="FP36" s="392"/>
      <c r="FQ36" s="788">
        <f ca="1">SUM(INDIRECT("FX29:FX"&amp;MROUND(N($G$3),1)+28))-SUM(INDIRECT("FZ29:FZ"&amp;MROUND(N($G$3),1)+28))-SUM(INDIRECT("FY29:FY"&amp;MROUND(N($G$3),1)+28))</f>
        <v>0</v>
      </c>
      <c r="FR36" s="789"/>
      <c r="FS36" s="789"/>
      <c r="FT36" s="789"/>
      <c r="FU36" s="789"/>
      <c r="FV36" s="789"/>
      <c r="FW36" s="789"/>
      <c r="FX36" s="789"/>
      <c r="FY36" s="789"/>
      <c r="FZ36" s="789"/>
      <c r="GA36" s="790"/>
      <c r="GB36" s="392"/>
      <c r="GC36" s="788">
        <f ca="1">SUM(INDIRECT("GJ29:GJ"&amp;MROUND(N($G$3),1)+28))-SUM(INDIRECT("GL29:GL"&amp;MROUND(N($G$3),1)+28))-SUM(INDIRECT("GK29:GK"&amp;MROUND(N($G$3),1)+28))</f>
        <v>0</v>
      </c>
      <c r="GD36" s="789"/>
      <c r="GE36" s="789"/>
      <c r="GF36" s="789"/>
      <c r="GG36" s="789"/>
      <c r="GH36" s="789"/>
      <c r="GI36" s="789"/>
      <c r="GJ36" s="789"/>
      <c r="GK36" s="789"/>
      <c r="GL36" s="789"/>
      <c r="GM36" s="790"/>
      <c r="GN36" s="392"/>
      <c r="GO36" s="788">
        <f ca="1">SUM(INDIRECT("GV29:GV"&amp;MROUND(N($G$3),1)+28))-SUM(INDIRECT("GX29:GX"&amp;MROUND(N($G$3),1)+28))-SUM(INDIRECT("GW29:GW"&amp;MROUND(N($G$3),1)+28))</f>
        <v>0</v>
      </c>
      <c r="GP36" s="789"/>
      <c r="GQ36" s="789"/>
      <c r="GR36" s="789"/>
      <c r="GS36" s="789"/>
      <c r="GT36" s="789"/>
      <c r="GU36" s="789"/>
      <c r="GV36" s="789"/>
      <c r="GW36" s="789"/>
      <c r="GX36" s="789"/>
      <c r="GY36" s="790"/>
      <c r="GZ36" s="392"/>
      <c r="HA36" s="788">
        <f ca="1">SUM(INDIRECT("HH29:HH"&amp;MROUND(N($G$3),1)+28))-SUM(INDIRECT("HJ29:HJ"&amp;MROUND(N($G$3),1)+28))-SUM(INDIRECT("HI29:HI"&amp;MROUND(N($G$3),1)+28))</f>
        <v>0</v>
      </c>
      <c r="HB36" s="789"/>
      <c r="HC36" s="789"/>
      <c r="HD36" s="789"/>
      <c r="HE36" s="789"/>
      <c r="HF36" s="789"/>
      <c r="HG36" s="789"/>
      <c r="HH36" s="789"/>
      <c r="HI36" s="789"/>
      <c r="HJ36" s="789"/>
      <c r="HK36" s="790"/>
    </row>
    <row r="37" spans="1:224" ht="51.75" hidden="1" customHeight="1">
      <c r="A37" s="808" t="s">
        <v>144</v>
      </c>
      <c r="B37" s="809"/>
      <c r="C37" s="118"/>
      <c r="D37" s="387"/>
      <c r="E37" s="791" t="e">
        <f ca="1">SUM(INDIRECT("J29:J"&amp;MROUND(N($G$3),1)+28))</f>
        <v>#VALUE!</v>
      </c>
      <c r="F37" s="792"/>
      <c r="G37" s="792"/>
      <c r="H37" s="792"/>
      <c r="I37" s="792"/>
      <c r="J37" s="792"/>
      <c r="K37" s="792"/>
      <c r="L37" s="792"/>
      <c r="M37" s="792"/>
      <c r="N37" s="792"/>
      <c r="O37" s="793"/>
      <c r="P37" s="383"/>
      <c r="Q37" s="791" t="e">
        <f ca="1">SUM(INDIRECT("V29:V"&amp;MROUND(N($G$3),1)+28))</f>
        <v>#VALUE!</v>
      </c>
      <c r="R37" s="792"/>
      <c r="S37" s="792"/>
      <c r="T37" s="792"/>
      <c r="U37" s="792"/>
      <c r="V37" s="792"/>
      <c r="W37" s="792"/>
      <c r="X37" s="792"/>
      <c r="Y37" s="792"/>
      <c r="Z37" s="792"/>
      <c r="AA37" s="793"/>
      <c r="AB37" s="383"/>
      <c r="AC37" s="791" t="e">
        <f ca="1">SUM(INDIRECT("AH29:AH"&amp;MROUND(N($G$3),1)+28))</f>
        <v>#VALUE!</v>
      </c>
      <c r="AD37" s="792"/>
      <c r="AE37" s="792"/>
      <c r="AF37" s="792"/>
      <c r="AG37" s="792"/>
      <c r="AH37" s="792"/>
      <c r="AI37" s="792"/>
      <c r="AJ37" s="792"/>
      <c r="AK37" s="792"/>
      <c r="AL37" s="792"/>
      <c r="AM37" s="793"/>
      <c r="AN37" s="383"/>
      <c r="AO37" s="791" t="e">
        <f ca="1">SUM(INDIRECT("AT29:AT"&amp;MROUND(N($G$3),1)+28))</f>
        <v>#VALUE!</v>
      </c>
      <c r="AP37" s="792"/>
      <c r="AQ37" s="792"/>
      <c r="AR37" s="792"/>
      <c r="AS37" s="792"/>
      <c r="AT37" s="792"/>
      <c r="AU37" s="792"/>
      <c r="AV37" s="792"/>
      <c r="AW37" s="792"/>
      <c r="AX37" s="792"/>
      <c r="AY37" s="793"/>
      <c r="AZ37" s="383"/>
      <c r="BA37" s="791" t="e">
        <f ca="1">SUM(INDIRECT("BF29:BF"&amp;MROUND(N($G$3),1)+28))</f>
        <v>#VALUE!</v>
      </c>
      <c r="BB37" s="792"/>
      <c r="BC37" s="792"/>
      <c r="BD37" s="792"/>
      <c r="BE37" s="792"/>
      <c r="BF37" s="792"/>
      <c r="BG37" s="792"/>
      <c r="BH37" s="792"/>
      <c r="BI37" s="792"/>
      <c r="BJ37" s="792"/>
      <c r="BK37" s="793"/>
      <c r="BL37" s="383"/>
      <c r="BM37" s="791" t="e">
        <f ca="1">SUM(INDIRECT("BR29:BR"&amp;MROUND(N($G$3),1)+28))</f>
        <v>#VALUE!</v>
      </c>
      <c r="BN37" s="792"/>
      <c r="BO37" s="792"/>
      <c r="BP37" s="792"/>
      <c r="BQ37" s="792"/>
      <c r="BR37" s="792"/>
      <c r="BS37" s="792"/>
      <c r="BT37" s="792"/>
      <c r="BU37" s="792"/>
      <c r="BV37" s="792"/>
      <c r="BW37" s="793"/>
      <c r="BX37" s="383"/>
      <c r="BY37" s="791" t="e">
        <f ca="1">SUM(INDIRECT("CD29:CD"&amp;MROUND(N($G$3),1)+28))</f>
        <v>#VALUE!</v>
      </c>
      <c r="BZ37" s="792"/>
      <c r="CA37" s="792"/>
      <c r="CB37" s="792"/>
      <c r="CC37" s="792"/>
      <c r="CD37" s="792"/>
      <c r="CE37" s="792"/>
      <c r="CF37" s="792"/>
      <c r="CG37" s="792"/>
      <c r="CH37" s="792"/>
      <c r="CI37" s="793"/>
      <c r="CJ37" s="383"/>
      <c r="CK37" s="791" t="e">
        <f ca="1">SUM(INDIRECT("CP29:CP"&amp;MROUND(N($G$3),1)+28))</f>
        <v>#VALUE!</v>
      </c>
      <c r="CL37" s="792"/>
      <c r="CM37" s="792"/>
      <c r="CN37" s="792"/>
      <c r="CO37" s="792"/>
      <c r="CP37" s="792"/>
      <c r="CQ37" s="792"/>
      <c r="CR37" s="792"/>
      <c r="CS37" s="792"/>
      <c r="CT37" s="792"/>
      <c r="CU37" s="793"/>
      <c r="CV37" s="383"/>
      <c r="CW37" s="791" t="e">
        <f ca="1">SUM(INDIRECT("DB29:DB"&amp;MROUND(N($G$3),1)+28))</f>
        <v>#VALUE!</v>
      </c>
      <c r="CX37" s="792"/>
      <c r="CY37" s="792"/>
      <c r="CZ37" s="792"/>
      <c r="DA37" s="792"/>
      <c r="DB37" s="792"/>
      <c r="DC37" s="792"/>
      <c r="DD37" s="792"/>
      <c r="DE37" s="792"/>
      <c r="DF37" s="792"/>
      <c r="DG37" s="793"/>
      <c r="DH37" s="383"/>
      <c r="DI37" s="791" t="e">
        <f ca="1">SUM(INDIRECT("DN29:DN"&amp;MROUND(N($G$3),1)+28))</f>
        <v>#VALUE!</v>
      </c>
      <c r="DJ37" s="792"/>
      <c r="DK37" s="792"/>
      <c r="DL37" s="792"/>
      <c r="DM37" s="792"/>
      <c r="DN37" s="792"/>
      <c r="DO37" s="792"/>
      <c r="DP37" s="792"/>
      <c r="DQ37" s="792"/>
      <c r="DR37" s="792"/>
      <c r="DS37" s="793"/>
      <c r="DT37" s="383"/>
      <c r="DU37" s="791" t="e">
        <f ca="1">SUM(INDIRECT("DZ29:DZ"&amp;MROUND(N($G$3),1)+28))</f>
        <v>#VALUE!</v>
      </c>
      <c r="DV37" s="792"/>
      <c r="DW37" s="792"/>
      <c r="DX37" s="792"/>
      <c r="DY37" s="792"/>
      <c r="DZ37" s="792"/>
      <c r="EA37" s="792"/>
      <c r="EB37" s="792"/>
      <c r="EC37" s="792"/>
      <c r="ED37" s="792"/>
      <c r="EE37" s="793"/>
      <c r="EF37" s="383"/>
      <c r="EG37" s="791" t="e">
        <f ca="1">SUM(INDIRECT("EL29:EL"&amp;MROUND(N($G$3),1)+28))</f>
        <v>#VALUE!</v>
      </c>
      <c r="EH37" s="792"/>
      <c r="EI37" s="792"/>
      <c r="EJ37" s="792"/>
      <c r="EK37" s="792"/>
      <c r="EL37" s="792"/>
      <c r="EM37" s="792"/>
      <c r="EN37" s="792"/>
      <c r="EO37" s="792"/>
      <c r="EP37" s="792"/>
      <c r="EQ37" s="793"/>
      <c r="ER37" s="383"/>
      <c r="ES37" s="791" t="e">
        <f ca="1">SUM(INDIRECT("EX29:EX"&amp;MROUND(N($G$3),1)+28))</f>
        <v>#VALUE!</v>
      </c>
      <c r="ET37" s="792"/>
      <c r="EU37" s="792"/>
      <c r="EV37" s="792"/>
      <c r="EW37" s="792"/>
      <c r="EX37" s="792"/>
      <c r="EY37" s="792"/>
      <c r="EZ37" s="792"/>
      <c r="FA37" s="792"/>
      <c r="FB37" s="792"/>
      <c r="FC37" s="793"/>
      <c r="FD37" s="383"/>
      <c r="FE37" s="791" t="e">
        <f ca="1">SUM(INDIRECT("FJ29:FJ"&amp;MROUND(N($G$3),1)+28))</f>
        <v>#VALUE!</v>
      </c>
      <c r="FF37" s="792"/>
      <c r="FG37" s="792"/>
      <c r="FH37" s="792"/>
      <c r="FI37" s="792"/>
      <c r="FJ37" s="792"/>
      <c r="FK37" s="792"/>
      <c r="FL37" s="792"/>
      <c r="FM37" s="792"/>
      <c r="FN37" s="792"/>
      <c r="FO37" s="793"/>
      <c r="FP37" s="383"/>
      <c r="FQ37" s="791" t="e">
        <f ca="1">SUM(INDIRECT("FV29:FV"&amp;MROUND(N($G$3),1)+28))</f>
        <v>#VALUE!</v>
      </c>
      <c r="FR37" s="792"/>
      <c r="FS37" s="792"/>
      <c r="FT37" s="792"/>
      <c r="FU37" s="792"/>
      <c r="FV37" s="792"/>
      <c r="FW37" s="792"/>
      <c r="FX37" s="792"/>
      <c r="FY37" s="792"/>
      <c r="FZ37" s="792"/>
      <c r="GA37" s="793"/>
      <c r="GB37" s="383"/>
      <c r="GC37" s="791" t="e">
        <f ca="1">SUM(INDIRECT("GH29:GH"&amp;MROUND(N($G$3),1)+28))</f>
        <v>#VALUE!</v>
      </c>
      <c r="GD37" s="792"/>
      <c r="GE37" s="792"/>
      <c r="GF37" s="792"/>
      <c r="GG37" s="792"/>
      <c r="GH37" s="792"/>
      <c r="GI37" s="792"/>
      <c r="GJ37" s="792"/>
      <c r="GK37" s="792"/>
      <c r="GL37" s="792"/>
      <c r="GM37" s="793"/>
      <c r="GN37" s="383"/>
      <c r="GO37" s="791" t="e">
        <f ca="1">SUM(INDIRECT("GT29:GT"&amp;MROUND(N($G$3),1)+28))</f>
        <v>#VALUE!</v>
      </c>
      <c r="GP37" s="792"/>
      <c r="GQ37" s="792"/>
      <c r="GR37" s="792"/>
      <c r="GS37" s="792"/>
      <c r="GT37" s="792"/>
      <c r="GU37" s="792"/>
      <c r="GV37" s="792"/>
      <c r="GW37" s="792"/>
      <c r="GX37" s="792"/>
      <c r="GY37" s="793"/>
      <c r="GZ37" s="383"/>
      <c r="HA37" s="791" t="e">
        <f ca="1">SUM(INDIRECT("HF29:HF"&amp;MROUND(N($G$3),1)+28))</f>
        <v>#VALUE!</v>
      </c>
      <c r="HB37" s="792"/>
      <c r="HC37" s="792"/>
      <c r="HD37" s="792"/>
      <c r="HE37" s="792"/>
      <c r="HF37" s="792"/>
      <c r="HG37" s="792"/>
      <c r="HH37" s="792"/>
      <c r="HI37" s="792"/>
      <c r="HJ37" s="792"/>
      <c r="HK37" s="793"/>
    </row>
    <row r="38" spans="1:224" ht="54.75" hidden="1" customHeight="1">
      <c r="A38" s="808" t="s">
        <v>145</v>
      </c>
      <c r="B38" s="809"/>
      <c r="C38" s="118"/>
      <c r="D38" s="387"/>
      <c r="E38" s="791" t="e">
        <f ca="1">SUM(INDIRECT("K29:K"&amp;MROUND(N($G$3),1)+28))</f>
        <v>#VALUE!</v>
      </c>
      <c r="F38" s="792"/>
      <c r="G38" s="792"/>
      <c r="H38" s="792"/>
      <c r="I38" s="792"/>
      <c r="J38" s="792"/>
      <c r="K38" s="792"/>
      <c r="L38" s="792"/>
      <c r="M38" s="792"/>
      <c r="N38" s="792"/>
      <c r="O38" s="793"/>
      <c r="P38" s="383"/>
      <c r="Q38" s="791" t="e">
        <f ca="1">SUM(INDIRECT("W29:W"&amp;MROUND(N($G$3),1)+28))</f>
        <v>#VALUE!</v>
      </c>
      <c r="R38" s="792"/>
      <c r="S38" s="792"/>
      <c r="T38" s="792"/>
      <c r="U38" s="792"/>
      <c r="V38" s="792"/>
      <c r="W38" s="792"/>
      <c r="X38" s="792"/>
      <c r="Y38" s="792"/>
      <c r="Z38" s="792"/>
      <c r="AA38" s="793"/>
      <c r="AB38" s="383"/>
      <c r="AC38" s="791" t="e">
        <f ca="1">SUM(INDIRECT("AI29:AI"&amp;MROUND(N($G$3),1)+28))</f>
        <v>#VALUE!</v>
      </c>
      <c r="AD38" s="792"/>
      <c r="AE38" s="792"/>
      <c r="AF38" s="792"/>
      <c r="AG38" s="792"/>
      <c r="AH38" s="792"/>
      <c r="AI38" s="792"/>
      <c r="AJ38" s="792"/>
      <c r="AK38" s="792"/>
      <c r="AL38" s="792"/>
      <c r="AM38" s="793"/>
      <c r="AN38" s="383"/>
      <c r="AO38" s="791" t="e">
        <f ca="1">SUM(INDIRECT("AU29:AU"&amp;MROUND(N($G$3),1)+28))</f>
        <v>#VALUE!</v>
      </c>
      <c r="AP38" s="792"/>
      <c r="AQ38" s="792"/>
      <c r="AR38" s="792"/>
      <c r="AS38" s="792"/>
      <c r="AT38" s="792"/>
      <c r="AU38" s="792"/>
      <c r="AV38" s="792"/>
      <c r="AW38" s="792"/>
      <c r="AX38" s="792"/>
      <c r="AY38" s="793"/>
      <c r="AZ38" s="383"/>
      <c r="BA38" s="791" t="e">
        <f ca="1">SUM(INDIRECT("BG29:BG"&amp;MROUND(N($G$3),1)+28))</f>
        <v>#VALUE!</v>
      </c>
      <c r="BB38" s="792"/>
      <c r="BC38" s="792"/>
      <c r="BD38" s="792"/>
      <c r="BE38" s="792"/>
      <c r="BF38" s="792"/>
      <c r="BG38" s="792"/>
      <c r="BH38" s="792"/>
      <c r="BI38" s="792"/>
      <c r="BJ38" s="792"/>
      <c r="BK38" s="793"/>
      <c r="BL38" s="383"/>
      <c r="BM38" s="791" t="e">
        <f ca="1">SUM(INDIRECT("BS29:BS"&amp;MROUND(N($G$3),1)+28))</f>
        <v>#VALUE!</v>
      </c>
      <c r="BN38" s="792"/>
      <c r="BO38" s="792"/>
      <c r="BP38" s="792"/>
      <c r="BQ38" s="792"/>
      <c r="BR38" s="792"/>
      <c r="BS38" s="792"/>
      <c r="BT38" s="792"/>
      <c r="BU38" s="792"/>
      <c r="BV38" s="792"/>
      <c r="BW38" s="793"/>
      <c r="BX38" s="383"/>
      <c r="BY38" s="791" t="e">
        <f ca="1">SUM(INDIRECT("CE29:CE"&amp;MROUND(N($G$3),1)+28))</f>
        <v>#VALUE!</v>
      </c>
      <c r="BZ38" s="792"/>
      <c r="CA38" s="792"/>
      <c r="CB38" s="792"/>
      <c r="CC38" s="792"/>
      <c r="CD38" s="792"/>
      <c r="CE38" s="792"/>
      <c r="CF38" s="792"/>
      <c r="CG38" s="792"/>
      <c r="CH38" s="792"/>
      <c r="CI38" s="793"/>
      <c r="CJ38" s="383"/>
      <c r="CK38" s="791" t="e">
        <f ca="1">SUM(INDIRECT("CQ29:CQ"&amp;MROUND(N($G$3),1)+28))</f>
        <v>#VALUE!</v>
      </c>
      <c r="CL38" s="792"/>
      <c r="CM38" s="792"/>
      <c r="CN38" s="792"/>
      <c r="CO38" s="792"/>
      <c r="CP38" s="792"/>
      <c r="CQ38" s="792"/>
      <c r="CR38" s="792"/>
      <c r="CS38" s="792"/>
      <c r="CT38" s="792"/>
      <c r="CU38" s="793"/>
      <c r="CV38" s="383"/>
      <c r="CW38" s="791" t="e">
        <f ca="1">SUM(INDIRECT("DC29:DC"&amp;MROUND(N($G$3),1)+28))</f>
        <v>#VALUE!</v>
      </c>
      <c r="CX38" s="792"/>
      <c r="CY38" s="792"/>
      <c r="CZ38" s="792"/>
      <c r="DA38" s="792"/>
      <c r="DB38" s="792"/>
      <c r="DC38" s="792"/>
      <c r="DD38" s="792"/>
      <c r="DE38" s="792"/>
      <c r="DF38" s="792"/>
      <c r="DG38" s="793"/>
      <c r="DH38" s="383"/>
      <c r="DI38" s="791" t="e">
        <f ca="1">SUM(INDIRECT("DO29:DO"&amp;MROUND(N($G$3),1)+28))</f>
        <v>#VALUE!</v>
      </c>
      <c r="DJ38" s="792"/>
      <c r="DK38" s="792"/>
      <c r="DL38" s="792"/>
      <c r="DM38" s="792"/>
      <c r="DN38" s="792"/>
      <c r="DO38" s="792"/>
      <c r="DP38" s="792"/>
      <c r="DQ38" s="792"/>
      <c r="DR38" s="792"/>
      <c r="DS38" s="793"/>
      <c r="DT38" s="383"/>
      <c r="DU38" s="791" t="e">
        <f ca="1">SUM(INDIRECT("EA29:EA"&amp;MROUND(N($G$3),1)+28))</f>
        <v>#VALUE!</v>
      </c>
      <c r="DV38" s="792"/>
      <c r="DW38" s="792"/>
      <c r="DX38" s="792"/>
      <c r="DY38" s="792"/>
      <c r="DZ38" s="792"/>
      <c r="EA38" s="792"/>
      <c r="EB38" s="792"/>
      <c r="EC38" s="792"/>
      <c r="ED38" s="792"/>
      <c r="EE38" s="793"/>
      <c r="EF38" s="383"/>
      <c r="EG38" s="791" t="e">
        <f ca="1">SUM(INDIRECT("EM29:EM"&amp;MROUND(N($G$3),1)+28))</f>
        <v>#VALUE!</v>
      </c>
      <c r="EH38" s="792"/>
      <c r="EI38" s="792"/>
      <c r="EJ38" s="792"/>
      <c r="EK38" s="792"/>
      <c r="EL38" s="792"/>
      <c r="EM38" s="792"/>
      <c r="EN38" s="792"/>
      <c r="EO38" s="792"/>
      <c r="EP38" s="792"/>
      <c r="EQ38" s="793"/>
      <c r="ER38" s="383"/>
      <c r="ES38" s="791" t="e">
        <f ca="1">SUM(INDIRECT("EY29:EY"&amp;MROUND(N($G$3),1)+28))</f>
        <v>#VALUE!</v>
      </c>
      <c r="ET38" s="792"/>
      <c r="EU38" s="792"/>
      <c r="EV38" s="792"/>
      <c r="EW38" s="792"/>
      <c r="EX38" s="792"/>
      <c r="EY38" s="792"/>
      <c r="EZ38" s="792"/>
      <c r="FA38" s="792"/>
      <c r="FB38" s="792"/>
      <c r="FC38" s="793"/>
      <c r="FD38" s="383"/>
      <c r="FE38" s="791" t="e">
        <f ca="1">SUM(INDIRECT("FK29:FK"&amp;MROUND(N($G$3),1)+28))</f>
        <v>#VALUE!</v>
      </c>
      <c r="FF38" s="792"/>
      <c r="FG38" s="792"/>
      <c r="FH38" s="792"/>
      <c r="FI38" s="792"/>
      <c r="FJ38" s="792"/>
      <c r="FK38" s="792"/>
      <c r="FL38" s="792"/>
      <c r="FM38" s="792"/>
      <c r="FN38" s="792"/>
      <c r="FO38" s="793"/>
      <c r="FP38" s="383"/>
      <c r="FQ38" s="791" t="e">
        <f ca="1">SUM(INDIRECT("FW29:FW"&amp;MROUND(N($G$3),1)+28))</f>
        <v>#VALUE!</v>
      </c>
      <c r="FR38" s="792"/>
      <c r="FS38" s="792"/>
      <c r="FT38" s="792"/>
      <c r="FU38" s="792"/>
      <c r="FV38" s="792"/>
      <c r="FW38" s="792"/>
      <c r="FX38" s="792"/>
      <c r="FY38" s="792"/>
      <c r="FZ38" s="792"/>
      <c r="GA38" s="793"/>
      <c r="GB38" s="383"/>
      <c r="GC38" s="791" t="e">
        <f ca="1">SUM(INDIRECT("GI29:GI"&amp;MROUND(N($G$3),1)+28))</f>
        <v>#VALUE!</v>
      </c>
      <c r="GD38" s="792"/>
      <c r="GE38" s="792"/>
      <c r="GF38" s="792"/>
      <c r="GG38" s="792"/>
      <c r="GH38" s="792"/>
      <c r="GI38" s="792"/>
      <c r="GJ38" s="792"/>
      <c r="GK38" s="792"/>
      <c r="GL38" s="792"/>
      <c r="GM38" s="793"/>
      <c r="GN38" s="383"/>
      <c r="GO38" s="791" t="e">
        <f ca="1">SUM(INDIRECT("GU29:GU"&amp;MROUND(N($G$3),1)+28))</f>
        <v>#VALUE!</v>
      </c>
      <c r="GP38" s="792"/>
      <c r="GQ38" s="792"/>
      <c r="GR38" s="792"/>
      <c r="GS38" s="792"/>
      <c r="GT38" s="792"/>
      <c r="GU38" s="792"/>
      <c r="GV38" s="792"/>
      <c r="GW38" s="792"/>
      <c r="GX38" s="792"/>
      <c r="GY38" s="793"/>
      <c r="GZ38" s="383"/>
      <c r="HA38" s="791" t="e">
        <f ca="1">SUM(INDIRECT("HG29:HG"&amp;MROUND(N($G$3),1)+28))</f>
        <v>#VALUE!</v>
      </c>
      <c r="HB38" s="792"/>
      <c r="HC38" s="792"/>
      <c r="HD38" s="792"/>
      <c r="HE38" s="792"/>
      <c r="HF38" s="792"/>
      <c r="HG38" s="792"/>
      <c r="HH38" s="792"/>
      <c r="HI38" s="792"/>
      <c r="HJ38" s="792"/>
      <c r="HK38" s="793"/>
    </row>
    <row r="39" spans="1:224" ht="42.75" customHeight="1">
      <c r="A39" s="815" t="s">
        <v>17</v>
      </c>
      <c r="B39" s="816"/>
      <c r="C39" s="117"/>
      <c r="D39" s="385"/>
      <c r="E39" s="783"/>
      <c r="F39" s="784"/>
      <c r="G39" s="784"/>
      <c r="H39" s="784"/>
      <c r="I39" s="784"/>
      <c r="J39" s="784"/>
      <c r="K39" s="784"/>
      <c r="L39" s="784"/>
      <c r="M39" s="784"/>
      <c r="N39" s="784"/>
      <c r="O39" s="785"/>
      <c r="P39" s="382"/>
      <c r="Q39" s="783"/>
      <c r="R39" s="784"/>
      <c r="S39" s="784"/>
      <c r="T39" s="784"/>
      <c r="U39" s="784"/>
      <c r="V39" s="784"/>
      <c r="W39" s="784"/>
      <c r="X39" s="784"/>
      <c r="Y39" s="784"/>
      <c r="Z39" s="784"/>
      <c r="AA39" s="785"/>
      <c r="AB39" s="382"/>
      <c r="AC39" s="783"/>
      <c r="AD39" s="784"/>
      <c r="AE39" s="784"/>
      <c r="AF39" s="784"/>
      <c r="AG39" s="784"/>
      <c r="AH39" s="784"/>
      <c r="AI39" s="784"/>
      <c r="AJ39" s="784"/>
      <c r="AK39" s="784"/>
      <c r="AL39" s="784"/>
      <c r="AM39" s="785"/>
      <c r="AN39" s="382"/>
      <c r="AO39" s="783"/>
      <c r="AP39" s="784"/>
      <c r="AQ39" s="784"/>
      <c r="AR39" s="784"/>
      <c r="AS39" s="784"/>
      <c r="AT39" s="784"/>
      <c r="AU39" s="784"/>
      <c r="AV39" s="784"/>
      <c r="AW39" s="784"/>
      <c r="AX39" s="784"/>
      <c r="AY39" s="785"/>
      <c r="AZ39" s="382"/>
      <c r="BA39" s="783"/>
      <c r="BB39" s="784"/>
      <c r="BC39" s="784"/>
      <c r="BD39" s="784"/>
      <c r="BE39" s="784"/>
      <c r="BF39" s="784"/>
      <c r="BG39" s="784"/>
      <c r="BH39" s="784"/>
      <c r="BI39" s="784"/>
      <c r="BJ39" s="784"/>
      <c r="BK39" s="785"/>
      <c r="BL39" s="382"/>
      <c r="BM39" s="783"/>
      <c r="BN39" s="784"/>
      <c r="BO39" s="784"/>
      <c r="BP39" s="784"/>
      <c r="BQ39" s="784"/>
      <c r="BR39" s="784"/>
      <c r="BS39" s="784"/>
      <c r="BT39" s="784"/>
      <c r="BU39" s="784"/>
      <c r="BV39" s="784"/>
      <c r="BW39" s="785"/>
      <c r="BX39" s="382"/>
      <c r="BY39" s="783"/>
      <c r="BZ39" s="784"/>
      <c r="CA39" s="784"/>
      <c r="CB39" s="784"/>
      <c r="CC39" s="784"/>
      <c r="CD39" s="784"/>
      <c r="CE39" s="784"/>
      <c r="CF39" s="784"/>
      <c r="CG39" s="784"/>
      <c r="CH39" s="784"/>
      <c r="CI39" s="785"/>
      <c r="CJ39" s="382"/>
      <c r="CK39" s="783"/>
      <c r="CL39" s="784"/>
      <c r="CM39" s="784"/>
      <c r="CN39" s="784"/>
      <c r="CO39" s="784"/>
      <c r="CP39" s="784"/>
      <c r="CQ39" s="784"/>
      <c r="CR39" s="784"/>
      <c r="CS39" s="784"/>
      <c r="CT39" s="784"/>
      <c r="CU39" s="785"/>
      <c r="CV39" s="382"/>
      <c r="CW39" s="783"/>
      <c r="CX39" s="784"/>
      <c r="CY39" s="784"/>
      <c r="CZ39" s="784"/>
      <c r="DA39" s="784"/>
      <c r="DB39" s="784"/>
      <c r="DC39" s="784"/>
      <c r="DD39" s="784"/>
      <c r="DE39" s="784"/>
      <c r="DF39" s="784"/>
      <c r="DG39" s="785"/>
      <c r="DH39" s="382"/>
      <c r="DI39" s="783"/>
      <c r="DJ39" s="784"/>
      <c r="DK39" s="784"/>
      <c r="DL39" s="784"/>
      <c r="DM39" s="784"/>
      <c r="DN39" s="784"/>
      <c r="DO39" s="784"/>
      <c r="DP39" s="784"/>
      <c r="DQ39" s="784"/>
      <c r="DR39" s="784"/>
      <c r="DS39" s="785"/>
      <c r="DT39" s="382"/>
      <c r="DU39" s="783"/>
      <c r="DV39" s="784"/>
      <c r="DW39" s="784"/>
      <c r="DX39" s="784"/>
      <c r="DY39" s="784"/>
      <c r="DZ39" s="784"/>
      <c r="EA39" s="784"/>
      <c r="EB39" s="784"/>
      <c r="EC39" s="784"/>
      <c r="ED39" s="784"/>
      <c r="EE39" s="785"/>
      <c r="EF39" s="382"/>
      <c r="EG39" s="783"/>
      <c r="EH39" s="784"/>
      <c r="EI39" s="784"/>
      <c r="EJ39" s="784"/>
      <c r="EK39" s="784"/>
      <c r="EL39" s="784"/>
      <c r="EM39" s="784"/>
      <c r="EN39" s="784"/>
      <c r="EO39" s="784"/>
      <c r="EP39" s="784"/>
      <c r="EQ39" s="785"/>
      <c r="ER39" s="382"/>
      <c r="ES39" s="783"/>
      <c r="ET39" s="784"/>
      <c r="EU39" s="784"/>
      <c r="EV39" s="784"/>
      <c r="EW39" s="784"/>
      <c r="EX39" s="784"/>
      <c r="EY39" s="784"/>
      <c r="EZ39" s="784"/>
      <c r="FA39" s="784"/>
      <c r="FB39" s="784"/>
      <c r="FC39" s="785"/>
      <c r="FD39" s="382"/>
      <c r="FE39" s="783"/>
      <c r="FF39" s="784"/>
      <c r="FG39" s="784"/>
      <c r="FH39" s="784"/>
      <c r="FI39" s="784"/>
      <c r="FJ39" s="784"/>
      <c r="FK39" s="784"/>
      <c r="FL39" s="784"/>
      <c r="FM39" s="784"/>
      <c r="FN39" s="784"/>
      <c r="FO39" s="785"/>
      <c r="FP39" s="382"/>
      <c r="FQ39" s="783"/>
      <c r="FR39" s="784"/>
      <c r="FS39" s="784"/>
      <c r="FT39" s="784"/>
      <c r="FU39" s="784"/>
      <c r="FV39" s="784"/>
      <c r="FW39" s="784"/>
      <c r="FX39" s="784"/>
      <c r="FY39" s="784"/>
      <c r="FZ39" s="784"/>
      <c r="GA39" s="785"/>
      <c r="GB39" s="382"/>
      <c r="GC39" s="783"/>
      <c r="GD39" s="784"/>
      <c r="GE39" s="784"/>
      <c r="GF39" s="784"/>
      <c r="GG39" s="784"/>
      <c r="GH39" s="784"/>
      <c r="GI39" s="784"/>
      <c r="GJ39" s="784"/>
      <c r="GK39" s="784"/>
      <c r="GL39" s="784"/>
      <c r="GM39" s="785"/>
      <c r="GN39" s="382"/>
      <c r="GO39" s="783"/>
      <c r="GP39" s="784"/>
      <c r="GQ39" s="784"/>
      <c r="GR39" s="784"/>
      <c r="GS39" s="784"/>
      <c r="GT39" s="784"/>
      <c r="GU39" s="784"/>
      <c r="GV39" s="784"/>
      <c r="GW39" s="784"/>
      <c r="GX39" s="784"/>
      <c r="GY39" s="785"/>
      <c r="GZ39" s="382"/>
      <c r="HA39" s="783"/>
      <c r="HB39" s="784"/>
      <c r="HC39" s="784"/>
      <c r="HD39" s="784"/>
      <c r="HE39" s="784"/>
      <c r="HF39" s="784"/>
      <c r="HG39" s="784"/>
      <c r="HH39" s="784"/>
      <c r="HI39" s="784"/>
      <c r="HJ39" s="784"/>
      <c r="HK39" s="785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6"/>
      <c r="DK40" s="646"/>
      <c r="DL40" s="646"/>
      <c r="DM40" s="646"/>
      <c r="DN40" s="646"/>
      <c r="DO40" s="646"/>
      <c r="DP40" s="646"/>
      <c r="DQ40" s="646"/>
      <c r="DR40" s="646"/>
      <c r="DS40" s="646"/>
      <c r="DT40" s="646"/>
      <c r="DU40" s="646"/>
      <c r="DV40" s="646"/>
      <c r="DW40" s="646"/>
      <c r="DX40" s="646"/>
      <c r="DY40" s="646"/>
      <c r="DZ40" s="646"/>
      <c r="EA40" s="646"/>
      <c r="EB40" s="646"/>
      <c r="EC40" s="646"/>
      <c r="ED40" s="646"/>
      <c r="EE40" s="646"/>
      <c r="EF40" s="646"/>
      <c r="EG40" s="646"/>
      <c r="EH40" s="646"/>
      <c r="EI40" s="646"/>
      <c r="EJ40" s="646"/>
      <c r="EK40" s="646"/>
      <c r="EL40" s="646"/>
      <c r="EM40" s="646"/>
      <c r="EN40" s="646"/>
      <c r="EO40" s="646"/>
      <c r="EP40" s="646"/>
      <c r="EQ40" s="646"/>
      <c r="ER40" s="646"/>
      <c r="ES40" s="646"/>
      <c r="ET40" s="646"/>
      <c r="EU40" s="646"/>
      <c r="EV40" s="646"/>
      <c r="EW40" s="646"/>
      <c r="EX40" s="646"/>
      <c r="EY40" s="646"/>
      <c r="EZ40" s="646"/>
      <c r="FA40" s="646"/>
      <c r="FB40" s="646"/>
      <c r="FC40" s="646"/>
      <c r="FD40" s="646"/>
      <c r="FE40" s="646"/>
      <c r="FF40" s="646"/>
      <c r="FG40" s="646"/>
      <c r="FH40" s="646"/>
      <c r="FI40" s="646"/>
      <c r="FJ40" s="646"/>
      <c r="FK40" s="646"/>
      <c r="FL40" s="646"/>
      <c r="FM40" s="646"/>
      <c r="FN40" s="646"/>
      <c r="FO40" s="646"/>
      <c r="FP40" s="646"/>
      <c r="FQ40" s="646"/>
      <c r="FR40" s="646"/>
      <c r="FS40" s="646"/>
      <c r="FT40" s="646"/>
      <c r="FU40" s="646"/>
      <c r="FV40" s="646"/>
      <c r="FW40" s="646"/>
      <c r="FX40" s="646"/>
      <c r="FY40" s="646"/>
      <c r="FZ40" s="646"/>
      <c r="GA40" s="646"/>
      <c r="GB40" s="646"/>
      <c r="GC40" s="646"/>
      <c r="GD40" s="646"/>
      <c r="GE40" s="646"/>
      <c r="GF40" s="646"/>
      <c r="GG40" s="646"/>
      <c r="GH40" s="646"/>
      <c r="GI40" s="646"/>
      <c r="GJ40" s="646"/>
      <c r="GK40" s="646"/>
      <c r="GL40" s="646"/>
      <c r="GM40" s="646"/>
      <c r="GN40" s="646"/>
      <c r="GO40" s="646"/>
      <c r="GP40" s="646"/>
      <c r="GQ40" s="646"/>
      <c r="GR40" s="646"/>
      <c r="GS40" s="646"/>
      <c r="GT40" s="646"/>
      <c r="GU40" s="646"/>
      <c r="GV40" s="646"/>
      <c r="GW40" s="646"/>
      <c r="GX40" s="646"/>
      <c r="GY40" s="646"/>
      <c r="GZ40" s="646"/>
      <c r="HA40" s="646"/>
      <c r="HB40" s="646"/>
      <c r="HC40" s="646"/>
      <c r="HD40" s="646"/>
      <c r="HE40" s="646"/>
      <c r="HF40" s="646"/>
      <c r="HG40" s="646"/>
      <c r="HH40" s="646"/>
      <c r="HI40" s="646"/>
      <c r="HJ40" s="646"/>
      <c r="HK40" s="646"/>
      <c r="HL40" s="646"/>
      <c r="HM40" s="646"/>
      <c r="HN40" s="646"/>
      <c r="HO40" s="646"/>
      <c r="HP40" s="646"/>
    </row>
    <row r="41" spans="1:224" s="274" customFormat="1" ht="15.75" customHeight="1">
      <c r="A41" s="34"/>
      <c r="B41" s="34"/>
      <c r="C41" s="34"/>
      <c r="D41" s="34"/>
      <c r="E41" s="848" t="s">
        <v>18</v>
      </c>
      <c r="F41" s="827"/>
      <c r="G41" s="827"/>
      <c r="H41" s="827"/>
      <c r="I41" s="827"/>
      <c r="J41" s="827"/>
      <c r="K41" s="827"/>
      <c r="L41" s="827"/>
      <c r="M41" s="827"/>
      <c r="N41" s="827"/>
      <c r="O41" s="827"/>
      <c r="P41" s="827"/>
      <c r="Q41" s="827"/>
      <c r="R41" s="827"/>
      <c r="S41" s="827"/>
      <c r="T41" s="827"/>
      <c r="U41" s="827"/>
      <c r="V41" s="827"/>
      <c r="W41" s="827"/>
      <c r="X41" s="827"/>
      <c r="Y41" s="827"/>
      <c r="Z41" s="827"/>
      <c r="AA41" s="827"/>
      <c r="AB41" s="827"/>
      <c r="AC41" s="827"/>
      <c r="AD41" s="373"/>
      <c r="AE41" s="373"/>
      <c r="AF41" s="373"/>
      <c r="AG41" s="796"/>
      <c r="AH41" s="796"/>
      <c r="AI41" s="796"/>
      <c r="AJ41" s="796"/>
      <c r="AK41" s="796"/>
      <c r="AL41" s="796"/>
      <c r="AM41" s="797"/>
      <c r="AN41" s="797"/>
      <c r="AO41" s="797"/>
      <c r="AP41" s="34"/>
      <c r="AQ41" s="34"/>
      <c r="AR41" s="34"/>
      <c r="AS41" s="847" t="str">
        <f ca="1">'Настройки УИК'!$I$27</f>
        <v/>
      </c>
      <c r="AT41" s="836"/>
      <c r="AU41" s="836"/>
      <c r="AV41" s="836"/>
      <c r="AW41" s="836"/>
      <c r="AX41" s="836"/>
      <c r="AY41" s="836"/>
      <c r="AZ41" s="836"/>
      <c r="BA41" s="836"/>
      <c r="BB41" s="836"/>
      <c r="BC41" s="836"/>
      <c r="BD41" s="836"/>
      <c r="BE41" s="836"/>
      <c r="BF41" s="836"/>
      <c r="BG41" s="836"/>
      <c r="BH41" s="836"/>
      <c r="BI41" s="836"/>
      <c r="BJ41" s="836"/>
      <c r="BK41" s="836"/>
      <c r="BL41" s="836"/>
      <c r="BM41" s="836"/>
      <c r="BN41" s="836"/>
      <c r="BO41" s="836"/>
      <c r="BP41" s="836"/>
      <c r="BQ41" s="836"/>
      <c r="DJ41" s="646"/>
      <c r="DK41" s="646"/>
      <c r="DL41" s="646"/>
      <c r="DM41" s="646"/>
      <c r="DN41" s="646"/>
      <c r="DO41" s="646"/>
      <c r="DP41" s="646"/>
      <c r="DQ41" s="646"/>
      <c r="DR41" s="646"/>
      <c r="DS41" s="646"/>
      <c r="DT41" s="646"/>
      <c r="DU41" s="646"/>
      <c r="DV41" s="646"/>
      <c r="DW41" s="646"/>
      <c r="DX41" s="646"/>
      <c r="DY41" s="646"/>
      <c r="DZ41" s="646"/>
      <c r="EA41" s="646"/>
      <c r="EB41" s="646"/>
      <c r="EC41" s="646"/>
      <c r="ED41" s="646"/>
      <c r="EE41" s="646"/>
      <c r="EF41" s="646"/>
      <c r="EG41" s="646"/>
      <c r="EH41" s="646"/>
      <c r="EI41" s="646"/>
      <c r="EJ41" s="646"/>
      <c r="EK41" s="646"/>
      <c r="EL41" s="646"/>
      <c r="EM41" s="646"/>
      <c r="EN41" s="646"/>
      <c r="EO41" s="646"/>
      <c r="EP41" s="646"/>
      <c r="EQ41" s="646"/>
      <c r="ER41" s="646"/>
      <c r="ES41" s="646"/>
      <c r="ET41" s="646"/>
      <c r="EU41" s="646"/>
      <c r="EV41" s="646"/>
      <c r="EW41" s="646"/>
      <c r="EX41" s="646"/>
      <c r="EY41" s="646"/>
      <c r="EZ41" s="646"/>
      <c r="FA41" s="646"/>
      <c r="FB41" s="646"/>
      <c r="FC41" s="646"/>
      <c r="FD41" s="646"/>
      <c r="FE41" s="646"/>
      <c r="FF41" s="646"/>
      <c r="FG41" s="646"/>
      <c r="FH41" s="646"/>
      <c r="FI41" s="646"/>
      <c r="FJ41" s="646"/>
      <c r="FK41" s="646"/>
      <c r="FL41" s="646"/>
      <c r="FM41" s="646"/>
      <c r="FN41" s="646"/>
      <c r="FO41" s="646"/>
      <c r="FP41" s="646"/>
      <c r="FQ41" s="646"/>
      <c r="FR41" s="646"/>
      <c r="FS41" s="646"/>
      <c r="FT41" s="646"/>
      <c r="FU41" s="646"/>
      <c r="FV41" s="646"/>
      <c r="FW41" s="646"/>
      <c r="FX41" s="646"/>
      <c r="FY41" s="646"/>
      <c r="FZ41" s="646"/>
      <c r="GA41" s="646"/>
      <c r="GB41" s="646"/>
      <c r="GC41" s="646"/>
      <c r="GD41" s="646"/>
      <c r="GE41" s="646"/>
      <c r="GF41" s="646"/>
      <c r="GG41" s="646"/>
      <c r="GH41" s="646"/>
      <c r="GI41" s="646"/>
      <c r="GJ41" s="646"/>
      <c r="GK41" s="646"/>
      <c r="GL41" s="646"/>
      <c r="GM41" s="646"/>
      <c r="GN41" s="646"/>
      <c r="GO41" s="646"/>
      <c r="GP41" s="646"/>
      <c r="GQ41" s="646"/>
      <c r="GR41" s="646"/>
      <c r="GS41" s="646"/>
      <c r="GT41" s="646"/>
      <c r="GU41" s="646"/>
      <c r="GV41" s="646"/>
      <c r="GW41" s="646"/>
      <c r="GX41" s="646"/>
      <c r="GY41" s="646"/>
      <c r="GZ41" s="646"/>
      <c r="HA41" s="646"/>
      <c r="HB41" s="646"/>
      <c r="HC41" s="646"/>
      <c r="HD41" s="646"/>
      <c r="HE41" s="646"/>
      <c r="HF41" s="646"/>
      <c r="HG41" s="646"/>
      <c r="HH41" s="646"/>
      <c r="HI41" s="646"/>
      <c r="HJ41" s="646"/>
      <c r="HK41" s="646"/>
      <c r="HL41" s="646"/>
      <c r="HM41" s="646"/>
      <c r="HN41" s="646"/>
      <c r="HO41" s="646"/>
      <c r="HP41" s="646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7" t="s">
        <v>5</v>
      </c>
      <c r="AH42" s="707"/>
      <c r="AI42" s="707"/>
      <c r="AJ42" s="707"/>
      <c r="AK42" s="707"/>
      <c r="AL42" s="707"/>
      <c r="AM42" s="798"/>
      <c r="AN42" s="798"/>
      <c r="AO42" s="798"/>
      <c r="AP42" s="34"/>
      <c r="AQ42" s="34"/>
      <c r="AR42" s="34"/>
      <c r="AS42" s="707" t="s">
        <v>6</v>
      </c>
      <c r="AT42" s="707"/>
      <c r="AU42" s="707"/>
      <c r="AV42" s="707"/>
      <c r="AW42" s="707"/>
      <c r="AX42" s="707"/>
      <c r="AY42" s="707"/>
      <c r="AZ42" s="707"/>
      <c r="BA42" s="707"/>
      <c r="BB42" s="707"/>
      <c r="BC42" s="707"/>
      <c r="BD42" s="707"/>
      <c r="BE42" s="707"/>
      <c r="BF42" s="707"/>
      <c r="BG42" s="707"/>
      <c r="BH42" s="707"/>
      <c r="BI42" s="707"/>
      <c r="BJ42" s="707"/>
      <c r="BK42" s="707"/>
      <c r="BL42" s="707"/>
      <c r="BM42" s="707"/>
      <c r="BN42" s="707"/>
      <c r="BO42" s="707"/>
      <c r="BP42" s="707"/>
      <c r="BQ42" s="707"/>
      <c r="DJ42" s="646"/>
      <c r="DK42" s="646"/>
      <c r="DL42" s="646"/>
      <c r="DM42" s="646"/>
      <c r="DN42" s="646"/>
      <c r="DO42" s="646"/>
      <c r="DP42" s="646"/>
      <c r="DQ42" s="646"/>
      <c r="DR42" s="646"/>
      <c r="DS42" s="646"/>
      <c r="DT42" s="646"/>
      <c r="DU42" s="646"/>
      <c r="DV42" s="646"/>
      <c r="DW42" s="646"/>
      <c r="DX42" s="646"/>
      <c r="DY42" s="646"/>
      <c r="DZ42" s="646"/>
      <c r="EA42" s="646"/>
      <c r="EB42" s="646"/>
      <c r="EC42" s="646"/>
      <c r="ED42" s="646"/>
      <c r="EE42" s="646"/>
      <c r="EF42" s="646"/>
      <c r="EG42" s="646"/>
      <c r="EH42" s="646"/>
      <c r="EI42" s="646"/>
      <c r="EJ42" s="646"/>
      <c r="EK42" s="646"/>
      <c r="EL42" s="646"/>
      <c r="EM42" s="646"/>
      <c r="EN42" s="646"/>
      <c r="EO42" s="646"/>
      <c r="EP42" s="646"/>
      <c r="EQ42" s="646"/>
      <c r="ER42" s="646"/>
      <c r="ES42" s="646"/>
      <c r="ET42" s="646"/>
      <c r="EU42" s="646"/>
      <c r="EV42" s="646"/>
      <c r="EW42" s="646"/>
      <c r="EX42" s="646"/>
      <c r="EY42" s="646"/>
      <c r="EZ42" s="646"/>
      <c r="FA42" s="646"/>
      <c r="FB42" s="646"/>
      <c r="FC42" s="646"/>
      <c r="FD42" s="646"/>
      <c r="FE42" s="646"/>
      <c r="FF42" s="646"/>
      <c r="FG42" s="646"/>
      <c r="FH42" s="646"/>
      <c r="FI42" s="646"/>
      <c r="FJ42" s="646"/>
      <c r="FK42" s="646"/>
      <c r="FL42" s="646"/>
      <c r="FM42" s="646"/>
      <c r="FN42" s="646"/>
      <c r="FO42" s="646"/>
      <c r="FP42" s="646"/>
      <c r="FQ42" s="646"/>
      <c r="FR42" s="646"/>
      <c r="FS42" s="646"/>
      <c r="FT42" s="646"/>
      <c r="FU42" s="646"/>
      <c r="FV42" s="646"/>
      <c r="FW42" s="646"/>
      <c r="FX42" s="646"/>
      <c r="FY42" s="646"/>
      <c r="FZ42" s="646"/>
      <c r="GA42" s="646"/>
      <c r="GB42" s="646"/>
      <c r="GC42" s="646"/>
      <c r="GD42" s="646"/>
      <c r="GE42" s="646"/>
      <c r="GF42" s="646"/>
      <c r="GG42" s="646"/>
      <c r="GH42" s="646"/>
      <c r="GI42" s="646"/>
      <c r="GJ42" s="646"/>
      <c r="GK42" s="646"/>
      <c r="GL42" s="646"/>
      <c r="GM42" s="646"/>
      <c r="GN42" s="646"/>
      <c r="GO42" s="646"/>
      <c r="GP42" s="646"/>
      <c r="GQ42" s="646"/>
      <c r="GR42" s="646"/>
      <c r="GS42" s="646"/>
      <c r="GT42" s="646"/>
      <c r="GU42" s="646"/>
      <c r="GV42" s="646"/>
      <c r="GW42" s="646"/>
      <c r="GX42" s="646"/>
      <c r="GY42" s="646"/>
      <c r="GZ42" s="646"/>
      <c r="HA42" s="646"/>
      <c r="HB42" s="646"/>
      <c r="HC42" s="646"/>
      <c r="HD42" s="646"/>
      <c r="HE42" s="646"/>
      <c r="HF42" s="646"/>
      <c r="HG42" s="646"/>
      <c r="HH42" s="646"/>
      <c r="HI42" s="646"/>
      <c r="HJ42" s="646"/>
      <c r="HK42" s="646"/>
      <c r="HL42" s="646"/>
      <c r="HM42" s="646"/>
      <c r="HN42" s="646"/>
      <c r="HO42" s="646"/>
      <c r="HP42" s="646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6"/>
      <c r="DK43" s="646"/>
      <c r="DL43" s="646"/>
      <c r="DM43" s="646"/>
      <c r="DN43" s="646"/>
      <c r="DO43" s="646"/>
      <c r="DP43" s="646"/>
      <c r="DQ43" s="646"/>
      <c r="DR43" s="646"/>
      <c r="DS43" s="646"/>
      <c r="DT43" s="646"/>
      <c r="DU43" s="646"/>
      <c r="DV43" s="646"/>
      <c r="DW43" s="646"/>
      <c r="DX43" s="646"/>
      <c r="DY43" s="646"/>
      <c r="DZ43" s="646"/>
      <c r="EA43" s="646"/>
      <c r="EB43" s="646"/>
      <c r="EC43" s="646"/>
      <c r="ED43" s="646"/>
      <c r="EE43" s="646"/>
      <c r="EF43" s="646"/>
      <c r="EG43" s="646"/>
      <c r="EH43" s="646"/>
      <c r="EI43" s="646"/>
      <c r="EJ43" s="646"/>
      <c r="EK43" s="646"/>
      <c r="EL43" s="646"/>
      <c r="EM43" s="646"/>
      <c r="EN43" s="646"/>
      <c r="EO43" s="646"/>
      <c r="EP43" s="646"/>
      <c r="EQ43" s="646"/>
      <c r="ER43" s="646"/>
      <c r="ES43" s="646"/>
      <c r="ET43" s="646"/>
      <c r="EU43" s="646"/>
      <c r="EV43" s="646"/>
      <c r="EW43" s="646"/>
      <c r="EX43" s="646"/>
      <c r="EY43" s="646"/>
      <c r="EZ43" s="646"/>
      <c r="FA43" s="646"/>
      <c r="FB43" s="646"/>
      <c r="FC43" s="646"/>
      <c r="FD43" s="646"/>
      <c r="FE43" s="646"/>
      <c r="FF43" s="646"/>
      <c r="FG43" s="646"/>
      <c r="FH43" s="646"/>
      <c r="FI43" s="646"/>
      <c r="FJ43" s="646"/>
      <c r="FK43" s="646"/>
      <c r="FL43" s="646"/>
      <c r="FM43" s="646"/>
      <c r="FN43" s="646"/>
      <c r="FO43" s="646"/>
      <c r="FP43" s="646"/>
      <c r="FQ43" s="646"/>
      <c r="FR43" s="646"/>
      <c r="FS43" s="646"/>
      <c r="FT43" s="646"/>
      <c r="FU43" s="646"/>
      <c r="FV43" s="646"/>
      <c r="FW43" s="646"/>
      <c r="FX43" s="646"/>
      <c r="FY43" s="646"/>
      <c r="FZ43" s="646"/>
      <c r="GA43" s="646"/>
      <c r="GB43" s="646"/>
      <c r="GC43" s="646"/>
      <c r="GD43" s="646"/>
      <c r="GE43" s="646"/>
      <c r="GF43" s="646"/>
      <c r="GG43" s="646"/>
      <c r="GH43" s="646"/>
      <c r="GI43" s="646"/>
      <c r="GJ43" s="646"/>
      <c r="GK43" s="646"/>
      <c r="GL43" s="646"/>
      <c r="GM43" s="646"/>
      <c r="GN43" s="646"/>
      <c r="GO43" s="646"/>
      <c r="GP43" s="646"/>
      <c r="GQ43" s="646"/>
      <c r="GR43" s="646"/>
      <c r="GS43" s="646"/>
      <c r="GT43" s="646"/>
      <c r="GU43" s="646"/>
      <c r="GV43" s="646"/>
      <c r="GW43" s="646"/>
      <c r="GX43" s="646"/>
      <c r="GY43" s="646"/>
      <c r="GZ43" s="646"/>
      <c r="HA43" s="646"/>
      <c r="HB43" s="646"/>
      <c r="HC43" s="646"/>
      <c r="HD43" s="646"/>
      <c r="HE43" s="646"/>
      <c r="HF43" s="646"/>
      <c r="HG43" s="646"/>
      <c r="HH43" s="646"/>
      <c r="HI43" s="646"/>
      <c r="HJ43" s="646"/>
      <c r="HK43" s="646"/>
      <c r="HL43" s="646"/>
      <c r="HM43" s="646"/>
      <c r="HN43" s="646"/>
      <c r="HO43" s="646"/>
      <c r="HP43" s="646"/>
    </row>
    <row r="44" spans="1:224" s="274" customFormat="1" ht="15.75" customHeight="1">
      <c r="A44" s="34"/>
      <c r="B44" s="34"/>
      <c r="C44" s="34"/>
      <c r="D44" s="34"/>
      <c r="E44" s="848" t="s">
        <v>19</v>
      </c>
      <c r="F44" s="827"/>
      <c r="G44" s="827"/>
      <c r="H44" s="827"/>
      <c r="I44" s="827"/>
      <c r="J44" s="827"/>
      <c r="K44" s="827"/>
      <c r="L44" s="827"/>
      <c r="M44" s="827"/>
      <c r="N44" s="827"/>
      <c r="O44" s="827"/>
      <c r="P44" s="827"/>
      <c r="Q44" s="827"/>
      <c r="R44" s="827"/>
      <c r="S44" s="827"/>
      <c r="T44" s="827"/>
      <c r="U44" s="827"/>
      <c r="V44" s="827"/>
      <c r="W44" s="827"/>
      <c r="X44" s="827"/>
      <c r="Y44" s="827"/>
      <c r="Z44" s="827"/>
      <c r="AA44" s="827"/>
      <c r="AB44" s="827"/>
      <c r="AC44" s="827"/>
      <c r="AD44" s="373"/>
      <c r="AE44" s="373"/>
      <c r="AF44" s="373"/>
      <c r="AG44" s="796"/>
      <c r="AH44" s="796"/>
      <c r="AI44" s="796"/>
      <c r="AJ44" s="796"/>
      <c r="AK44" s="796"/>
      <c r="AL44" s="796"/>
      <c r="AM44" s="797"/>
      <c r="AN44" s="797"/>
      <c r="AO44" s="797"/>
      <c r="AP44" s="34"/>
      <c r="AQ44" s="34"/>
      <c r="AR44" s="34"/>
      <c r="AS44" s="847" t="str">
        <f ca="1">'Настройки УИК'!$I$28</f>
        <v/>
      </c>
      <c r="AT44" s="836"/>
      <c r="AU44" s="836"/>
      <c r="AV44" s="836"/>
      <c r="AW44" s="836"/>
      <c r="AX44" s="836"/>
      <c r="AY44" s="836"/>
      <c r="AZ44" s="836"/>
      <c r="BA44" s="836"/>
      <c r="BB44" s="836"/>
      <c r="BC44" s="836"/>
      <c r="BD44" s="836"/>
      <c r="BE44" s="836"/>
      <c r="BF44" s="836"/>
      <c r="BG44" s="836"/>
      <c r="BH44" s="836"/>
      <c r="BI44" s="836"/>
      <c r="BJ44" s="836"/>
      <c r="BK44" s="836"/>
      <c r="BL44" s="836"/>
      <c r="BM44" s="836"/>
      <c r="BN44" s="836"/>
      <c r="BO44" s="836"/>
      <c r="BP44" s="836"/>
      <c r="BQ44" s="836"/>
      <c r="DJ44" s="646"/>
      <c r="DK44" s="646"/>
      <c r="DL44" s="646"/>
      <c r="DM44" s="646"/>
      <c r="DN44" s="646"/>
      <c r="DO44" s="646"/>
      <c r="DP44" s="646"/>
      <c r="DQ44" s="646"/>
      <c r="DR44" s="646"/>
      <c r="DS44" s="646"/>
      <c r="DT44" s="646"/>
      <c r="DU44" s="646"/>
      <c r="DV44" s="646"/>
      <c r="DW44" s="646"/>
      <c r="DX44" s="646"/>
      <c r="DY44" s="646"/>
      <c r="DZ44" s="646"/>
      <c r="EA44" s="646"/>
      <c r="EB44" s="646"/>
      <c r="EC44" s="646"/>
      <c r="ED44" s="646"/>
      <c r="EE44" s="646"/>
      <c r="EF44" s="646"/>
      <c r="EG44" s="646"/>
      <c r="EH44" s="646"/>
      <c r="EI44" s="646"/>
      <c r="EJ44" s="646"/>
      <c r="EK44" s="646"/>
      <c r="EL44" s="646"/>
      <c r="EM44" s="646"/>
      <c r="EN44" s="646"/>
      <c r="EO44" s="646"/>
      <c r="EP44" s="646"/>
      <c r="EQ44" s="646"/>
      <c r="ER44" s="646"/>
      <c r="ES44" s="646"/>
      <c r="ET44" s="646"/>
      <c r="EU44" s="646"/>
      <c r="EV44" s="646"/>
      <c r="EW44" s="646"/>
      <c r="EX44" s="646"/>
      <c r="EY44" s="646"/>
      <c r="EZ44" s="646"/>
      <c r="FA44" s="646"/>
      <c r="FB44" s="646"/>
      <c r="FC44" s="646"/>
      <c r="FD44" s="646"/>
      <c r="FE44" s="646"/>
      <c r="FF44" s="646"/>
      <c r="FG44" s="646"/>
      <c r="FH44" s="646"/>
      <c r="FI44" s="646"/>
      <c r="FJ44" s="646"/>
      <c r="FK44" s="646"/>
      <c r="FL44" s="646"/>
      <c r="FM44" s="646"/>
      <c r="FN44" s="646"/>
      <c r="FO44" s="646"/>
      <c r="FP44" s="646"/>
      <c r="FQ44" s="646"/>
      <c r="FR44" s="646"/>
      <c r="FS44" s="646"/>
      <c r="FT44" s="646"/>
      <c r="FU44" s="646"/>
      <c r="FV44" s="646"/>
      <c r="FW44" s="646"/>
      <c r="FX44" s="646"/>
      <c r="FY44" s="646"/>
      <c r="FZ44" s="646"/>
      <c r="GA44" s="646"/>
      <c r="GB44" s="646"/>
      <c r="GC44" s="646"/>
      <c r="GD44" s="646"/>
      <c r="GE44" s="646"/>
      <c r="GF44" s="646"/>
      <c r="GG44" s="646"/>
      <c r="GH44" s="646"/>
      <c r="GI44" s="646"/>
      <c r="GJ44" s="646"/>
      <c r="GK44" s="646"/>
      <c r="GL44" s="646"/>
      <c r="GM44" s="646"/>
      <c r="GN44" s="646"/>
      <c r="GO44" s="646"/>
      <c r="GP44" s="646"/>
      <c r="GQ44" s="646"/>
      <c r="GR44" s="646"/>
      <c r="GS44" s="646"/>
      <c r="GT44" s="646"/>
      <c r="GU44" s="646"/>
      <c r="GV44" s="646"/>
      <c r="GW44" s="646"/>
      <c r="GX44" s="646"/>
      <c r="GY44" s="646"/>
      <c r="GZ44" s="646"/>
      <c r="HA44" s="646"/>
      <c r="HB44" s="646"/>
      <c r="HC44" s="646"/>
      <c r="HD44" s="646"/>
      <c r="HE44" s="646"/>
      <c r="HF44" s="646"/>
      <c r="HG44" s="646"/>
      <c r="HH44" s="646"/>
      <c r="HI44" s="646"/>
      <c r="HJ44" s="646"/>
      <c r="HK44" s="646"/>
      <c r="HL44" s="646"/>
      <c r="HM44" s="646"/>
      <c r="HN44" s="646"/>
      <c r="HO44" s="646"/>
      <c r="HP44" s="646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7" t="s">
        <v>5</v>
      </c>
      <c r="AH45" s="707"/>
      <c r="AI45" s="707"/>
      <c r="AJ45" s="707"/>
      <c r="AK45" s="707"/>
      <c r="AL45" s="707"/>
      <c r="AM45" s="798"/>
      <c r="AN45" s="798"/>
      <c r="AO45" s="798"/>
      <c r="AP45" s="34"/>
      <c r="AQ45" s="34"/>
      <c r="AR45" s="34"/>
      <c r="AS45" s="707" t="s">
        <v>6</v>
      </c>
      <c r="AT45" s="707"/>
      <c r="AU45" s="707"/>
      <c r="AV45" s="707"/>
      <c r="AW45" s="707"/>
      <c r="AX45" s="707"/>
      <c r="AY45" s="707"/>
      <c r="AZ45" s="707"/>
      <c r="BA45" s="707"/>
      <c r="BB45" s="707"/>
      <c r="BC45" s="707"/>
      <c r="BD45" s="707"/>
      <c r="BE45" s="707"/>
      <c r="BF45" s="707"/>
      <c r="BG45" s="707"/>
      <c r="BH45" s="707"/>
      <c r="BI45" s="707"/>
      <c r="BJ45" s="707"/>
      <c r="BK45" s="707"/>
      <c r="BL45" s="707"/>
      <c r="BM45" s="707"/>
      <c r="BN45" s="707"/>
      <c r="BO45" s="707"/>
      <c r="BP45" s="707"/>
      <c r="BQ45" s="707"/>
      <c r="DJ45" s="646"/>
      <c r="DK45" s="646"/>
      <c r="DL45" s="646"/>
      <c r="DM45" s="646"/>
      <c r="DN45" s="646"/>
      <c r="DO45" s="646"/>
      <c r="DP45" s="646"/>
      <c r="DQ45" s="646"/>
      <c r="DR45" s="646"/>
      <c r="DS45" s="646"/>
      <c r="DT45" s="646"/>
      <c r="DU45" s="646"/>
      <c r="DV45" s="646"/>
      <c r="DW45" s="646"/>
      <c r="DX45" s="646"/>
      <c r="DY45" s="646"/>
      <c r="DZ45" s="646"/>
      <c r="EA45" s="646"/>
      <c r="EB45" s="646"/>
      <c r="EC45" s="646"/>
      <c r="ED45" s="646"/>
      <c r="EE45" s="646"/>
      <c r="EF45" s="646"/>
      <c r="EG45" s="646"/>
      <c r="EH45" s="646"/>
      <c r="EI45" s="646"/>
      <c r="EJ45" s="646"/>
      <c r="EK45" s="646"/>
      <c r="EL45" s="646"/>
      <c r="EM45" s="646"/>
      <c r="EN45" s="646"/>
      <c r="EO45" s="646"/>
      <c r="EP45" s="646"/>
      <c r="EQ45" s="646"/>
      <c r="ER45" s="646"/>
      <c r="ES45" s="646"/>
      <c r="ET45" s="646"/>
      <c r="EU45" s="646"/>
      <c r="EV45" s="646"/>
      <c r="EW45" s="646"/>
      <c r="EX45" s="646"/>
      <c r="EY45" s="646"/>
      <c r="EZ45" s="646"/>
      <c r="FA45" s="646"/>
      <c r="FB45" s="646"/>
      <c r="FC45" s="646"/>
      <c r="FD45" s="646"/>
      <c r="FE45" s="646"/>
      <c r="FF45" s="646"/>
      <c r="FG45" s="646"/>
      <c r="FH45" s="646"/>
      <c r="FI45" s="646"/>
      <c r="FJ45" s="646"/>
      <c r="FK45" s="646"/>
      <c r="FL45" s="646"/>
      <c r="FM45" s="646"/>
      <c r="FN45" s="646"/>
      <c r="FO45" s="646"/>
      <c r="FP45" s="646"/>
      <c r="FQ45" s="646"/>
      <c r="FR45" s="646"/>
      <c r="FS45" s="646"/>
      <c r="FT45" s="646"/>
      <c r="FU45" s="646"/>
      <c r="FV45" s="646"/>
      <c r="FW45" s="646"/>
      <c r="FX45" s="646"/>
      <c r="FY45" s="646"/>
      <c r="FZ45" s="646"/>
      <c r="GA45" s="646"/>
      <c r="GB45" s="646"/>
      <c r="GC45" s="646"/>
      <c r="GD45" s="646"/>
      <c r="GE45" s="646"/>
      <c r="GF45" s="646"/>
      <c r="GG45" s="646"/>
      <c r="GH45" s="646"/>
      <c r="GI45" s="646"/>
      <c r="GJ45" s="646"/>
      <c r="GK45" s="646"/>
      <c r="GL45" s="646"/>
      <c r="GM45" s="646"/>
      <c r="GN45" s="646"/>
      <c r="GO45" s="646"/>
      <c r="GP45" s="646"/>
      <c r="GQ45" s="646"/>
      <c r="GR45" s="646"/>
      <c r="GS45" s="646"/>
      <c r="GT45" s="646"/>
      <c r="GU45" s="646"/>
      <c r="GV45" s="646"/>
      <c r="GW45" s="646"/>
      <c r="GX45" s="646"/>
      <c r="GY45" s="646"/>
      <c r="GZ45" s="646"/>
      <c r="HA45" s="646"/>
      <c r="HB45" s="646"/>
      <c r="HC45" s="646"/>
      <c r="HD45" s="646"/>
      <c r="HE45" s="646"/>
      <c r="HF45" s="646"/>
      <c r="HG45" s="646"/>
      <c r="HH45" s="646"/>
      <c r="HI45" s="646"/>
      <c r="HJ45" s="646"/>
      <c r="HK45" s="646"/>
      <c r="HL45" s="646"/>
      <c r="HM45" s="646"/>
      <c r="HN45" s="646"/>
      <c r="HO45" s="646"/>
      <c r="HP45" s="646"/>
    </row>
    <row r="46" spans="1:224" ht="10.5" customHeight="1">
      <c r="DJ46" s="528"/>
      <c r="DK46" s="528"/>
      <c r="DL46" s="528"/>
      <c r="DM46" s="528"/>
      <c r="DN46" s="528"/>
      <c r="DO46" s="528"/>
      <c r="DP46" s="528"/>
      <c r="DQ46" s="528"/>
      <c r="DR46" s="528"/>
      <c r="DS46" s="528"/>
      <c r="DT46" s="528"/>
      <c r="DU46" s="528"/>
      <c r="DV46" s="528"/>
      <c r="DW46" s="528"/>
      <c r="DX46" s="528"/>
      <c r="DY46" s="528"/>
      <c r="DZ46" s="528"/>
      <c r="EA46" s="528"/>
      <c r="EB46" s="528"/>
      <c r="EC46" s="528"/>
      <c r="ED46" s="528"/>
      <c r="EE46" s="528"/>
      <c r="EF46" s="528"/>
      <c r="EG46" s="528"/>
      <c r="EH46" s="528"/>
      <c r="EI46" s="528"/>
      <c r="EJ46" s="528"/>
      <c r="EK46" s="528"/>
      <c r="EL46" s="528"/>
      <c r="EM46" s="528"/>
      <c r="EN46" s="528"/>
      <c r="EO46" s="528"/>
      <c r="EP46" s="528"/>
      <c r="EQ46" s="528"/>
      <c r="ER46" s="528"/>
      <c r="ES46" s="528"/>
      <c r="ET46" s="528"/>
      <c r="EU46" s="528"/>
      <c r="EV46" s="528"/>
      <c r="EW46" s="528"/>
      <c r="EX46" s="528"/>
      <c r="EY46" s="528"/>
      <c r="EZ46" s="528"/>
      <c r="FA46" s="528"/>
      <c r="FB46" s="528"/>
      <c r="FC46" s="528"/>
      <c r="FD46" s="528"/>
      <c r="FE46" s="528"/>
      <c r="FF46" s="528"/>
      <c r="FG46" s="528"/>
      <c r="FH46" s="528"/>
      <c r="FI46" s="528"/>
      <c r="FJ46" s="528"/>
      <c r="FK46" s="528"/>
      <c r="FL46" s="528"/>
      <c r="FM46" s="528"/>
      <c r="FN46" s="528"/>
      <c r="FO46" s="528"/>
      <c r="FP46" s="528"/>
      <c r="FQ46" s="528"/>
      <c r="FR46" s="528"/>
      <c r="FS46" s="528"/>
      <c r="FT46" s="528"/>
      <c r="FU46" s="528"/>
      <c r="FV46" s="528"/>
      <c r="FW46" s="528"/>
      <c r="FX46" s="528"/>
      <c r="FY46" s="528"/>
      <c r="FZ46" s="528"/>
      <c r="GA46" s="528"/>
      <c r="GB46" s="528"/>
      <c r="GC46" s="528"/>
      <c r="GD46" s="528"/>
      <c r="GE46" s="528"/>
      <c r="GF46" s="528"/>
      <c r="GG46" s="528"/>
      <c r="GH46" s="528"/>
      <c r="GI46" s="528"/>
      <c r="GJ46" s="528"/>
      <c r="GK46" s="528"/>
      <c r="GL46" s="528"/>
      <c r="GM46" s="528"/>
      <c r="GN46" s="528"/>
      <c r="GO46" s="528"/>
      <c r="GP46" s="528"/>
      <c r="GQ46" s="528"/>
      <c r="GR46" s="528"/>
      <c r="GS46" s="528"/>
      <c r="GT46" s="528"/>
      <c r="GU46" s="528"/>
      <c r="GV46" s="528"/>
      <c r="GW46" s="528"/>
      <c r="GX46" s="528"/>
      <c r="GY46" s="528"/>
      <c r="GZ46" s="528"/>
      <c r="HA46" s="528"/>
      <c r="HB46" s="528"/>
      <c r="HC46" s="528"/>
      <c r="HD46" s="528"/>
      <c r="HE46" s="528"/>
      <c r="HF46" s="528"/>
      <c r="HG46" s="528"/>
      <c r="HH46" s="528"/>
      <c r="HI46" s="528"/>
      <c r="HJ46" s="528"/>
      <c r="HK46" s="528"/>
      <c r="HL46" s="528"/>
      <c r="HM46" s="528"/>
      <c r="HN46" s="528"/>
      <c r="HO46" s="528"/>
      <c r="HP46" s="528"/>
    </row>
    <row r="47" spans="1:224">
      <c r="E47" s="286" t="s">
        <v>21</v>
      </c>
      <c r="I47" s="795" t="s">
        <v>22</v>
      </c>
      <c r="J47" s="795"/>
      <c r="K47" s="795"/>
      <c r="L47" s="795"/>
      <c r="M47" s="795"/>
      <c r="N47" s="795"/>
      <c r="O47" s="795"/>
      <c r="P47" s="795"/>
      <c r="Q47" s="795"/>
      <c r="U47" s="794" t="s">
        <v>23</v>
      </c>
      <c r="V47" s="794"/>
      <c r="W47" s="794"/>
      <c r="X47" s="794"/>
      <c r="Y47" s="794"/>
      <c r="Z47" s="794"/>
      <c r="AA47" s="794"/>
      <c r="AB47" s="388"/>
      <c r="DJ47" s="528"/>
      <c r="DK47" s="528"/>
      <c r="DL47" s="528"/>
      <c r="DM47" s="528"/>
      <c r="DN47" s="528"/>
      <c r="DO47" s="528"/>
      <c r="DP47" s="528"/>
      <c r="DQ47" s="528"/>
      <c r="DR47" s="528"/>
      <c r="DS47" s="528"/>
      <c r="DT47" s="528"/>
      <c r="DU47" s="528"/>
      <c r="DV47" s="528"/>
      <c r="DW47" s="528"/>
      <c r="DX47" s="528"/>
      <c r="DY47" s="528"/>
      <c r="DZ47" s="528"/>
      <c r="EA47" s="528"/>
      <c r="EB47" s="528"/>
      <c r="EC47" s="528"/>
      <c r="ED47" s="528"/>
      <c r="EE47" s="528"/>
      <c r="EF47" s="528"/>
      <c r="EG47" s="528"/>
      <c r="EH47" s="528"/>
      <c r="EI47" s="528"/>
      <c r="EJ47" s="528"/>
      <c r="EK47" s="528"/>
      <c r="EL47" s="528"/>
      <c r="EM47" s="528"/>
      <c r="EN47" s="528"/>
      <c r="EO47" s="528"/>
      <c r="EP47" s="528"/>
      <c r="EQ47" s="528"/>
      <c r="ER47" s="528"/>
      <c r="ES47" s="528"/>
      <c r="ET47" s="528"/>
      <c r="EU47" s="528"/>
      <c r="EV47" s="528"/>
      <c r="EW47" s="528"/>
      <c r="EX47" s="528"/>
      <c r="EY47" s="528"/>
      <c r="EZ47" s="528"/>
      <c r="FA47" s="528"/>
      <c r="FB47" s="528"/>
      <c r="FC47" s="528"/>
      <c r="FD47" s="528"/>
      <c r="FE47" s="528"/>
      <c r="FF47" s="528"/>
      <c r="FG47" s="528"/>
      <c r="FH47" s="528"/>
      <c r="FI47" s="528"/>
      <c r="FJ47" s="528"/>
      <c r="FK47" s="528"/>
      <c r="FL47" s="528"/>
      <c r="FM47" s="528"/>
      <c r="FN47" s="528"/>
      <c r="FO47" s="528"/>
      <c r="FP47" s="528"/>
      <c r="FQ47" s="528"/>
      <c r="FR47" s="528"/>
      <c r="FS47" s="528"/>
      <c r="FT47" s="528"/>
      <c r="FU47" s="528"/>
      <c r="FV47" s="528"/>
      <c r="FW47" s="528"/>
      <c r="FX47" s="528"/>
      <c r="FY47" s="528"/>
      <c r="FZ47" s="528"/>
      <c r="GA47" s="528"/>
      <c r="GB47" s="528"/>
      <c r="GC47" s="528"/>
      <c r="GD47" s="528"/>
      <c r="GE47" s="528"/>
      <c r="GF47" s="528"/>
      <c r="GG47" s="528"/>
      <c r="GH47" s="528"/>
      <c r="GI47" s="528"/>
      <c r="GJ47" s="528"/>
      <c r="GK47" s="528"/>
      <c r="GL47" s="528"/>
      <c r="GM47" s="528"/>
      <c r="GN47" s="528"/>
      <c r="GO47" s="528"/>
      <c r="GP47" s="528"/>
      <c r="GQ47" s="528"/>
      <c r="GR47" s="528"/>
      <c r="GS47" s="528"/>
      <c r="GT47" s="528"/>
      <c r="GU47" s="528"/>
      <c r="GV47" s="528"/>
      <c r="GW47" s="528"/>
      <c r="GX47" s="528"/>
      <c r="GY47" s="528"/>
      <c r="GZ47" s="528"/>
      <c r="HA47" s="528"/>
      <c r="HB47" s="528"/>
      <c r="HC47" s="528"/>
      <c r="HD47" s="528"/>
      <c r="HE47" s="528"/>
      <c r="HF47" s="528"/>
      <c r="HG47" s="528"/>
      <c r="HH47" s="528"/>
      <c r="HI47" s="528"/>
      <c r="HJ47" s="528"/>
      <c r="HK47" s="528"/>
      <c r="HL47" s="528"/>
      <c r="HM47" s="528"/>
      <c r="HN47" s="528"/>
      <c r="HO47" s="528"/>
      <c r="HP47" s="528"/>
    </row>
    <row r="48" spans="1:224" ht="12" customHeight="1">
      <c r="DJ48" s="528"/>
      <c r="DK48" s="528"/>
      <c r="DL48" s="528"/>
      <c r="DM48" s="528"/>
      <c r="DN48" s="528"/>
      <c r="DO48" s="528"/>
      <c r="DP48" s="528"/>
      <c r="DQ48" s="528"/>
      <c r="DR48" s="528"/>
      <c r="DS48" s="528"/>
      <c r="DT48" s="528"/>
      <c r="DU48" s="528"/>
      <c r="DV48" s="528"/>
      <c r="DW48" s="528"/>
      <c r="DX48" s="528"/>
      <c r="DY48" s="528"/>
      <c r="DZ48" s="528"/>
      <c r="EA48" s="528"/>
      <c r="EB48" s="528"/>
      <c r="EC48" s="528"/>
      <c r="ED48" s="528"/>
      <c r="EE48" s="528"/>
      <c r="EF48" s="528"/>
      <c r="EG48" s="528"/>
      <c r="EH48" s="528"/>
      <c r="EI48" s="528"/>
      <c r="EJ48" s="528"/>
      <c r="EK48" s="528"/>
      <c r="EL48" s="528"/>
      <c r="EM48" s="528"/>
      <c r="EN48" s="528"/>
      <c r="EO48" s="528"/>
      <c r="EP48" s="528"/>
      <c r="EQ48" s="528"/>
      <c r="ER48" s="528"/>
      <c r="ES48" s="528"/>
      <c r="ET48" s="528"/>
      <c r="EU48" s="528"/>
      <c r="EV48" s="528"/>
      <c r="EW48" s="528"/>
      <c r="EX48" s="528"/>
      <c r="EY48" s="528"/>
      <c r="EZ48" s="528"/>
      <c r="FA48" s="528"/>
      <c r="FB48" s="528"/>
      <c r="FC48" s="528"/>
      <c r="FD48" s="528"/>
      <c r="FE48" s="528"/>
      <c r="FF48" s="528"/>
      <c r="FG48" s="528"/>
      <c r="FH48" s="528"/>
      <c r="FI48" s="528"/>
      <c r="FJ48" s="528"/>
      <c r="FK48" s="528"/>
      <c r="FL48" s="528"/>
      <c r="FM48" s="528"/>
      <c r="FN48" s="528"/>
      <c r="FO48" s="528"/>
      <c r="FP48" s="528"/>
      <c r="FQ48" s="528"/>
      <c r="FR48" s="528"/>
      <c r="FS48" s="528"/>
      <c r="FT48" s="528"/>
      <c r="FU48" s="528"/>
      <c r="FV48" s="528"/>
      <c r="FW48" s="528"/>
      <c r="FX48" s="528"/>
      <c r="FY48" s="528"/>
      <c r="FZ48" s="528"/>
      <c r="GA48" s="528"/>
      <c r="GB48" s="528"/>
      <c r="GC48" s="528"/>
      <c r="GD48" s="528"/>
      <c r="GE48" s="528"/>
      <c r="GF48" s="528"/>
      <c r="GG48" s="528"/>
      <c r="GH48" s="528"/>
      <c r="GI48" s="528"/>
      <c r="GJ48" s="528"/>
      <c r="GK48" s="528"/>
      <c r="GL48" s="528"/>
      <c r="GM48" s="528"/>
      <c r="GN48" s="528"/>
      <c r="GO48" s="528"/>
      <c r="GP48" s="528"/>
      <c r="GQ48" s="528"/>
      <c r="GR48" s="528"/>
      <c r="GS48" s="528"/>
      <c r="GT48" s="528"/>
      <c r="GU48" s="528"/>
      <c r="GV48" s="528"/>
      <c r="GW48" s="528"/>
      <c r="GX48" s="528"/>
      <c r="GY48" s="528"/>
      <c r="GZ48" s="528"/>
      <c r="HA48" s="528"/>
      <c r="HB48" s="528"/>
      <c r="HC48" s="528"/>
      <c r="HD48" s="528"/>
      <c r="HE48" s="528"/>
      <c r="HF48" s="528"/>
      <c r="HG48" s="528"/>
      <c r="HH48" s="528"/>
      <c r="HI48" s="528"/>
      <c r="HJ48" s="528"/>
      <c r="HK48" s="528"/>
      <c r="HL48" s="528"/>
      <c r="HM48" s="528"/>
      <c r="HN48" s="528"/>
      <c r="HO48" s="528"/>
      <c r="HP48" s="528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8"/>
      <c r="DK49" s="528"/>
      <c r="DL49" s="528"/>
      <c r="DM49" s="528"/>
      <c r="DN49" s="528"/>
      <c r="DO49" s="528"/>
      <c r="DP49" s="528"/>
      <c r="DQ49" s="528"/>
      <c r="DR49" s="528"/>
      <c r="DS49" s="528"/>
      <c r="DT49" s="528"/>
      <c r="DU49" s="528"/>
      <c r="DV49" s="528"/>
      <c r="DW49" s="528"/>
      <c r="DX49" s="528"/>
      <c r="DY49" s="528"/>
      <c r="DZ49" s="528"/>
      <c r="EA49" s="528"/>
      <c r="EB49" s="528"/>
      <c r="EC49" s="528"/>
      <c r="ED49" s="528"/>
      <c r="EE49" s="528"/>
      <c r="EF49" s="528"/>
      <c r="EG49" s="528"/>
      <c r="EH49" s="528"/>
      <c r="EI49" s="528"/>
      <c r="EJ49" s="528"/>
      <c r="EK49" s="528"/>
      <c r="EL49" s="528"/>
      <c r="EM49" s="528"/>
      <c r="EN49" s="528"/>
      <c r="EO49" s="528"/>
      <c r="EP49" s="528"/>
      <c r="EQ49" s="528"/>
      <c r="ER49" s="528"/>
      <c r="ES49" s="528"/>
      <c r="ET49" s="528"/>
      <c r="EU49" s="528"/>
      <c r="EV49" s="528"/>
      <c r="EW49" s="528"/>
      <c r="EX49" s="528"/>
      <c r="EY49" s="528"/>
      <c r="EZ49" s="528"/>
      <c r="FA49" s="528"/>
      <c r="FB49" s="528"/>
      <c r="FC49" s="528"/>
      <c r="FD49" s="528"/>
      <c r="FE49" s="528"/>
      <c r="FF49" s="528"/>
      <c r="FG49" s="528"/>
      <c r="FH49" s="528"/>
      <c r="FI49" s="528"/>
      <c r="FJ49" s="528"/>
      <c r="FK49" s="528"/>
      <c r="FL49" s="528"/>
      <c r="FM49" s="528"/>
      <c r="FN49" s="528"/>
      <c r="FO49" s="528"/>
      <c r="FP49" s="528"/>
      <c r="FQ49" s="528"/>
      <c r="FR49" s="528"/>
      <c r="FS49" s="528"/>
      <c r="FT49" s="528"/>
      <c r="FU49" s="528"/>
      <c r="FV49" s="528"/>
      <c r="FW49" s="528"/>
      <c r="FX49" s="528"/>
      <c r="FY49" s="528"/>
      <c r="FZ49" s="528"/>
      <c r="GA49" s="528"/>
      <c r="GB49" s="528"/>
      <c r="GC49" s="528"/>
      <c r="GD49" s="528"/>
      <c r="GE49" s="528"/>
      <c r="GF49" s="528"/>
      <c r="GG49" s="528"/>
      <c r="GH49" s="528"/>
      <c r="GI49" s="528"/>
      <c r="GJ49" s="528"/>
      <c r="GK49" s="528"/>
      <c r="GL49" s="528"/>
      <c r="GM49" s="528"/>
      <c r="GN49" s="528"/>
      <c r="GO49" s="528"/>
      <c r="GP49" s="528"/>
      <c r="GQ49" s="528"/>
      <c r="GR49" s="528"/>
      <c r="GS49" s="528"/>
      <c r="GT49" s="528"/>
      <c r="GU49" s="528"/>
      <c r="GV49" s="528"/>
      <c r="GW49" s="528"/>
      <c r="GX49" s="528"/>
      <c r="GY49" s="528"/>
      <c r="GZ49" s="528"/>
      <c r="HA49" s="528"/>
      <c r="HB49" s="528"/>
      <c r="HC49" s="528"/>
      <c r="HD49" s="528"/>
      <c r="HE49" s="528"/>
      <c r="HF49" s="528"/>
      <c r="HG49" s="528"/>
      <c r="HH49" s="528"/>
      <c r="HI49" s="528"/>
      <c r="HJ49" s="528"/>
      <c r="HK49" s="528"/>
      <c r="HL49" s="528"/>
      <c r="HM49" s="528"/>
      <c r="HN49" s="528"/>
      <c r="HO49" s="528"/>
      <c r="HP49" s="528"/>
    </row>
    <row r="50" spans="1:224" ht="15.75" customHeight="1">
      <c r="E50" s="787" t="s">
        <v>25</v>
      </c>
      <c r="F50" s="787"/>
      <c r="G50" s="787"/>
      <c r="H50" s="787"/>
      <c r="I50" s="787"/>
      <c r="J50" s="787"/>
      <c r="K50" s="787"/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  <c r="AF50" s="787"/>
      <c r="AG50" s="787"/>
      <c r="AH50" s="787"/>
      <c r="AI50" s="787"/>
      <c r="AJ50" s="787"/>
      <c r="AK50" s="787"/>
      <c r="AL50" s="787"/>
      <c r="AM50" s="787"/>
      <c r="AN50" s="787"/>
      <c r="AO50" s="787"/>
      <c r="AP50" s="787"/>
      <c r="AQ50" s="787"/>
      <c r="AR50" s="787"/>
      <c r="AS50" s="787"/>
      <c r="AT50" s="787"/>
      <c r="AU50" s="787"/>
      <c r="AV50" s="787"/>
      <c r="AW50" s="787"/>
      <c r="AX50" s="787"/>
      <c r="AY50" s="787"/>
      <c r="AZ50" s="787"/>
      <c r="BA50" s="787"/>
      <c r="BB50" s="787"/>
      <c r="BC50" s="787"/>
      <c r="BD50" s="787"/>
      <c r="BE50" s="787"/>
      <c r="BF50" s="787"/>
      <c r="BG50" s="787"/>
      <c r="BH50" s="787"/>
      <c r="BI50" s="787"/>
      <c r="BJ50" s="787"/>
      <c r="BK50" s="787"/>
      <c r="BL50" s="787"/>
      <c r="BM50" s="787"/>
      <c r="BN50" s="787"/>
      <c r="BO50" s="787"/>
      <c r="BP50" s="787"/>
      <c r="BQ50" s="787"/>
      <c r="BR50" s="787"/>
      <c r="BS50" s="787"/>
      <c r="BT50" s="787"/>
      <c r="BU50" s="787"/>
      <c r="BV50" s="787"/>
      <c r="BW50" s="787"/>
      <c r="BX50" s="787"/>
      <c r="BY50" s="787"/>
      <c r="BZ50" s="787"/>
      <c r="CA50" s="787"/>
      <c r="CB50" s="787"/>
      <c r="CC50" s="787"/>
      <c r="CD50" s="787"/>
      <c r="CE50" s="787"/>
      <c r="CF50" s="787"/>
      <c r="CG50" s="787"/>
      <c r="CH50" s="787"/>
      <c r="CI50" s="787"/>
      <c r="CJ50" s="787"/>
      <c r="CK50" s="787"/>
      <c r="CL50" s="787"/>
      <c r="CM50" s="787"/>
      <c r="CN50" s="787"/>
      <c r="CO50" s="787"/>
      <c r="CP50" s="787"/>
      <c r="CQ50" s="787"/>
      <c r="CR50" s="787"/>
      <c r="CS50" s="787"/>
      <c r="CT50" s="787"/>
      <c r="CU50" s="787"/>
      <c r="CV50" s="787"/>
      <c r="CW50" s="787"/>
      <c r="CX50" s="787"/>
      <c r="CY50" s="787"/>
      <c r="CZ50" s="787"/>
      <c r="DA50" s="787"/>
      <c r="DB50" s="787"/>
      <c r="DC50" s="787"/>
      <c r="DD50" s="787"/>
      <c r="DE50" s="787"/>
      <c r="DF50" s="787"/>
      <c r="DG50" s="787"/>
      <c r="DH50" s="389"/>
      <c r="DI50" s="290"/>
      <c r="DJ50" s="647"/>
      <c r="DK50" s="647"/>
      <c r="DL50" s="647"/>
      <c r="DM50" s="647"/>
      <c r="DN50" s="647"/>
      <c r="DO50" s="647"/>
      <c r="DP50" s="647"/>
      <c r="DQ50" s="647"/>
      <c r="DR50" s="647"/>
      <c r="DS50" s="647"/>
      <c r="DT50" s="647"/>
      <c r="DU50" s="528"/>
      <c r="DV50" s="528"/>
      <c r="DW50" s="528"/>
      <c r="DX50" s="528"/>
      <c r="DY50" s="528"/>
      <c r="DZ50" s="528"/>
      <c r="EA50" s="528"/>
      <c r="EB50" s="528"/>
      <c r="EC50" s="528"/>
      <c r="ED50" s="528"/>
      <c r="EE50" s="528"/>
      <c r="EF50" s="528"/>
      <c r="EG50" s="528"/>
      <c r="EH50" s="528"/>
      <c r="EI50" s="528"/>
      <c r="EJ50" s="528"/>
      <c r="EK50" s="528"/>
      <c r="EL50" s="528"/>
      <c r="EM50" s="528"/>
      <c r="EN50" s="528"/>
      <c r="EO50" s="528"/>
      <c r="EP50" s="528"/>
      <c r="EQ50" s="528"/>
      <c r="ER50" s="528"/>
      <c r="ES50" s="528"/>
      <c r="ET50" s="528"/>
      <c r="EU50" s="528"/>
      <c r="EV50" s="528"/>
      <c r="EW50" s="528"/>
      <c r="EX50" s="528"/>
      <c r="EY50" s="528"/>
      <c r="EZ50" s="528"/>
      <c r="FA50" s="528"/>
      <c r="FB50" s="528"/>
      <c r="FC50" s="528"/>
      <c r="FD50" s="528"/>
      <c r="FE50" s="528"/>
      <c r="FF50" s="528"/>
      <c r="FG50" s="528"/>
      <c r="FH50" s="528"/>
      <c r="FI50" s="528"/>
      <c r="FJ50" s="528"/>
      <c r="FK50" s="528"/>
      <c r="FL50" s="528"/>
      <c r="FM50" s="528"/>
      <c r="FN50" s="528"/>
      <c r="FO50" s="528"/>
      <c r="FP50" s="528"/>
      <c r="FQ50" s="528"/>
      <c r="FR50" s="528"/>
      <c r="FS50" s="528"/>
      <c r="FT50" s="528"/>
      <c r="FU50" s="528"/>
      <c r="FV50" s="528"/>
      <c r="FW50" s="528"/>
      <c r="FX50" s="528"/>
      <c r="FY50" s="528"/>
      <c r="FZ50" s="528"/>
      <c r="GA50" s="528"/>
      <c r="GB50" s="528"/>
      <c r="GC50" s="528"/>
      <c r="GD50" s="528"/>
      <c r="GE50" s="528"/>
      <c r="GF50" s="528"/>
      <c r="GG50" s="528"/>
      <c r="GH50" s="528"/>
      <c r="GI50" s="528"/>
      <c r="GJ50" s="528"/>
      <c r="GK50" s="528"/>
      <c r="GL50" s="528"/>
      <c r="GM50" s="528"/>
      <c r="GN50" s="528"/>
      <c r="GO50" s="528"/>
      <c r="GP50" s="528"/>
      <c r="GQ50" s="528"/>
      <c r="GR50" s="528"/>
      <c r="GS50" s="528"/>
      <c r="GT50" s="528"/>
      <c r="GU50" s="528"/>
      <c r="GV50" s="528"/>
      <c r="GW50" s="528"/>
      <c r="GX50" s="528"/>
      <c r="GY50" s="528"/>
      <c r="GZ50" s="528"/>
      <c r="HA50" s="528"/>
      <c r="HB50" s="528"/>
      <c r="HC50" s="528"/>
      <c r="HD50" s="528"/>
      <c r="HE50" s="528"/>
      <c r="HF50" s="528"/>
      <c r="HG50" s="528"/>
      <c r="HH50" s="528"/>
      <c r="HI50" s="528"/>
      <c r="HJ50" s="528"/>
      <c r="HK50" s="528"/>
      <c r="HL50" s="528"/>
      <c r="HM50" s="528"/>
      <c r="HN50" s="528"/>
      <c r="HO50" s="528"/>
      <c r="HP50" s="528"/>
    </row>
    <row r="51" spans="1:224" ht="15.75" customHeight="1">
      <c r="E51" s="787" t="s">
        <v>36</v>
      </c>
      <c r="F51" s="787"/>
      <c r="G51" s="787"/>
      <c r="H51" s="787"/>
      <c r="I51" s="787"/>
      <c r="J51" s="787"/>
      <c r="K51" s="787"/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  <c r="AF51" s="787"/>
      <c r="AG51" s="787"/>
      <c r="AH51" s="787"/>
      <c r="AI51" s="787"/>
      <c r="AJ51" s="787"/>
      <c r="AK51" s="787"/>
      <c r="AL51" s="787"/>
      <c r="AM51" s="787"/>
      <c r="AN51" s="787"/>
      <c r="AO51" s="787"/>
      <c r="AP51" s="787"/>
      <c r="AQ51" s="787"/>
      <c r="AR51" s="787"/>
      <c r="AS51" s="787"/>
      <c r="AT51" s="787"/>
      <c r="AU51" s="787"/>
      <c r="AV51" s="787"/>
      <c r="AW51" s="787"/>
      <c r="AX51" s="787"/>
      <c r="AY51" s="787"/>
      <c r="AZ51" s="787"/>
      <c r="BA51" s="787"/>
      <c r="BB51" s="787"/>
      <c r="BC51" s="787"/>
      <c r="BD51" s="787"/>
      <c r="BE51" s="787"/>
      <c r="BF51" s="787"/>
      <c r="BG51" s="787"/>
      <c r="BH51" s="787"/>
      <c r="BI51" s="787"/>
      <c r="BJ51" s="787"/>
      <c r="BK51" s="787"/>
      <c r="BL51" s="787"/>
      <c r="BM51" s="787"/>
      <c r="BN51" s="787"/>
      <c r="BO51" s="787"/>
      <c r="BP51" s="787"/>
      <c r="BQ51" s="787"/>
      <c r="BR51" s="787"/>
      <c r="BS51" s="787"/>
      <c r="BT51" s="787"/>
      <c r="BU51" s="787"/>
      <c r="BV51" s="787"/>
      <c r="BW51" s="787"/>
      <c r="BX51" s="787"/>
      <c r="BY51" s="787"/>
      <c r="BZ51" s="787"/>
      <c r="CA51" s="787"/>
      <c r="CB51" s="787"/>
      <c r="CC51" s="787"/>
      <c r="CD51" s="787"/>
      <c r="CE51" s="787"/>
      <c r="CF51" s="787"/>
      <c r="CG51" s="787"/>
      <c r="CH51" s="787"/>
      <c r="CI51" s="787"/>
      <c r="CJ51" s="787"/>
      <c r="CK51" s="787"/>
      <c r="CL51" s="787"/>
      <c r="CM51" s="787"/>
      <c r="CN51" s="787"/>
      <c r="CO51" s="787"/>
      <c r="CP51" s="787"/>
      <c r="CQ51" s="787"/>
      <c r="CR51" s="787"/>
      <c r="CS51" s="787"/>
      <c r="CT51" s="787"/>
      <c r="CU51" s="787"/>
      <c r="CV51" s="787"/>
      <c r="CW51" s="787"/>
      <c r="CX51" s="787"/>
      <c r="CY51" s="787"/>
      <c r="CZ51" s="787"/>
      <c r="DA51" s="787"/>
      <c r="DB51" s="787"/>
      <c r="DC51" s="787"/>
      <c r="DD51" s="787"/>
      <c r="DE51" s="787"/>
      <c r="DF51" s="787"/>
      <c r="DG51" s="787"/>
      <c r="DH51" s="389"/>
      <c r="DI51" s="290"/>
      <c r="DJ51" s="647"/>
      <c r="DK51" s="647"/>
      <c r="DL51" s="647"/>
      <c r="DM51" s="647"/>
      <c r="DN51" s="647"/>
      <c r="DO51" s="647"/>
      <c r="DP51" s="647"/>
      <c r="DQ51" s="647"/>
      <c r="DR51" s="647"/>
      <c r="DS51" s="647"/>
      <c r="DT51" s="647"/>
      <c r="DU51" s="528"/>
      <c r="DV51" s="528"/>
      <c r="DW51" s="528"/>
      <c r="DX51" s="528"/>
      <c r="DY51" s="528"/>
      <c r="DZ51" s="528"/>
      <c r="EA51" s="528"/>
      <c r="EB51" s="528"/>
      <c r="EC51" s="528"/>
      <c r="ED51" s="528"/>
      <c r="EE51" s="528"/>
      <c r="EF51" s="528"/>
      <c r="EG51" s="528"/>
      <c r="EH51" s="528"/>
      <c r="EI51" s="528"/>
      <c r="EJ51" s="528"/>
      <c r="EK51" s="528"/>
      <c r="EL51" s="528"/>
      <c r="EM51" s="528"/>
      <c r="EN51" s="528"/>
      <c r="EO51" s="528"/>
      <c r="EP51" s="528"/>
      <c r="EQ51" s="528"/>
      <c r="ER51" s="528"/>
      <c r="ES51" s="528"/>
      <c r="ET51" s="528"/>
      <c r="EU51" s="528"/>
      <c r="EV51" s="528"/>
      <c r="EW51" s="528"/>
      <c r="EX51" s="528"/>
      <c r="EY51" s="528"/>
      <c r="EZ51" s="528"/>
      <c r="FA51" s="528"/>
      <c r="FB51" s="528"/>
      <c r="FC51" s="528"/>
      <c r="FD51" s="528"/>
      <c r="FE51" s="528"/>
      <c r="FF51" s="528"/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  <c r="FW51" s="528"/>
      <c r="FX51" s="528"/>
      <c r="FY51" s="528"/>
      <c r="FZ51" s="528"/>
      <c r="GA51" s="528"/>
      <c r="GB51" s="528"/>
      <c r="GC51" s="528"/>
      <c r="GD51" s="528"/>
      <c r="GE51" s="528"/>
      <c r="GF51" s="528"/>
      <c r="GG51" s="528"/>
      <c r="GH51" s="528"/>
      <c r="GI51" s="528"/>
      <c r="GJ51" s="528"/>
      <c r="GK51" s="528"/>
      <c r="GL51" s="528"/>
      <c r="GM51" s="528"/>
      <c r="GN51" s="528"/>
      <c r="GO51" s="528"/>
      <c r="GP51" s="528"/>
      <c r="GQ51" s="528"/>
      <c r="GR51" s="528"/>
      <c r="GS51" s="528"/>
      <c r="GT51" s="528"/>
      <c r="GU51" s="528"/>
      <c r="GV51" s="528"/>
      <c r="GW51" s="528"/>
      <c r="GX51" s="528"/>
      <c r="GY51" s="528"/>
      <c r="GZ51" s="528"/>
      <c r="HA51" s="528"/>
      <c r="HB51" s="528"/>
      <c r="HC51" s="528"/>
      <c r="HD51" s="528"/>
      <c r="HE51" s="528"/>
      <c r="HF51" s="528"/>
      <c r="HG51" s="528"/>
      <c r="HH51" s="528"/>
      <c r="HI51" s="528"/>
      <c r="HJ51" s="528"/>
      <c r="HK51" s="528"/>
      <c r="HL51" s="528"/>
      <c r="HM51" s="528"/>
      <c r="HN51" s="528"/>
      <c r="HO51" s="528"/>
      <c r="HP51" s="528"/>
    </row>
    <row r="52" spans="1:224" ht="15.75" customHeight="1">
      <c r="E52" s="787" t="s">
        <v>421</v>
      </c>
      <c r="F52" s="787"/>
      <c r="G52" s="787"/>
      <c r="H52" s="787"/>
      <c r="I52" s="787"/>
      <c r="J52" s="787"/>
      <c r="K52" s="787"/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  <c r="AF52" s="787"/>
      <c r="AG52" s="787"/>
      <c r="AH52" s="787"/>
      <c r="AI52" s="787"/>
      <c r="AJ52" s="787"/>
      <c r="AK52" s="787"/>
      <c r="AL52" s="787"/>
      <c r="AM52" s="787"/>
      <c r="AN52" s="787"/>
      <c r="AO52" s="787"/>
      <c r="AP52" s="787"/>
      <c r="AQ52" s="787"/>
      <c r="AR52" s="787"/>
      <c r="AS52" s="787"/>
      <c r="AT52" s="787"/>
      <c r="AU52" s="787"/>
      <c r="AV52" s="787"/>
      <c r="AW52" s="787"/>
      <c r="AX52" s="787"/>
      <c r="AY52" s="787"/>
      <c r="AZ52" s="787"/>
      <c r="BA52" s="787"/>
      <c r="BB52" s="787"/>
      <c r="BC52" s="787"/>
      <c r="BD52" s="787"/>
      <c r="BE52" s="787"/>
      <c r="BF52" s="787"/>
      <c r="BG52" s="787"/>
      <c r="BH52" s="787"/>
      <c r="BI52" s="787"/>
      <c r="BJ52" s="787"/>
      <c r="BK52" s="787"/>
      <c r="BL52" s="787"/>
      <c r="BM52" s="787"/>
      <c r="BN52" s="787"/>
      <c r="BO52" s="787"/>
      <c r="BP52" s="787"/>
      <c r="BQ52" s="787"/>
      <c r="BR52" s="787"/>
      <c r="BS52" s="787"/>
      <c r="BT52" s="787"/>
      <c r="BU52" s="787"/>
      <c r="BV52" s="787"/>
      <c r="BW52" s="787"/>
      <c r="BX52" s="787"/>
      <c r="BY52" s="787"/>
      <c r="BZ52" s="787"/>
      <c r="CA52" s="787"/>
      <c r="CB52" s="787"/>
      <c r="CC52" s="787"/>
      <c r="CD52" s="787"/>
      <c r="CE52" s="787"/>
      <c r="CF52" s="787"/>
      <c r="CG52" s="787"/>
      <c r="CH52" s="787"/>
      <c r="CI52" s="787"/>
      <c r="CJ52" s="787"/>
      <c r="CK52" s="787"/>
      <c r="CL52" s="787"/>
      <c r="CM52" s="787"/>
      <c r="CN52" s="787"/>
      <c r="CO52" s="787"/>
      <c r="CP52" s="787"/>
      <c r="CQ52" s="787"/>
      <c r="CR52" s="787"/>
      <c r="CS52" s="787"/>
      <c r="CT52" s="787"/>
      <c r="CU52" s="787"/>
      <c r="CV52" s="787"/>
      <c r="CW52" s="787"/>
      <c r="CX52" s="787"/>
      <c r="CY52" s="787"/>
      <c r="CZ52" s="787"/>
      <c r="DA52" s="787"/>
      <c r="DB52" s="787"/>
      <c r="DC52" s="787"/>
      <c r="DD52" s="787"/>
      <c r="DE52" s="787"/>
      <c r="DF52" s="787"/>
      <c r="DG52" s="787"/>
      <c r="DH52" s="389"/>
      <c r="DI52" s="290"/>
      <c r="DJ52" s="647"/>
      <c r="DK52" s="647"/>
      <c r="DL52" s="647"/>
      <c r="DM52" s="647"/>
      <c r="DN52" s="647"/>
      <c r="DO52" s="647"/>
      <c r="DP52" s="647"/>
      <c r="DQ52" s="647"/>
      <c r="DR52" s="647"/>
      <c r="DS52" s="647"/>
      <c r="DT52" s="647"/>
      <c r="DU52" s="528"/>
      <c r="DV52" s="528"/>
      <c r="DW52" s="528"/>
      <c r="DX52" s="528"/>
      <c r="DY52" s="528"/>
      <c r="DZ52" s="528"/>
      <c r="EA52" s="528"/>
      <c r="EB52" s="528"/>
      <c r="EC52" s="528"/>
      <c r="ED52" s="528"/>
      <c r="EE52" s="528"/>
      <c r="EF52" s="528"/>
      <c r="EG52" s="528"/>
      <c r="EH52" s="528"/>
      <c r="EI52" s="528"/>
      <c r="EJ52" s="528"/>
      <c r="EK52" s="528"/>
      <c r="EL52" s="528"/>
      <c r="EM52" s="528"/>
      <c r="EN52" s="528"/>
      <c r="EO52" s="528"/>
      <c r="EP52" s="528"/>
      <c r="EQ52" s="528"/>
      <c r="ER52" s="528"/>
      <c r="ES52" s="528"/>
      <c r="ET52" s="528"/>
      <c r="EU52" s="528"/>
      <c r="EV52" s="528"/>
      <c r="EW52" s="528"/>
      <c r="EX52" s="528"/>
      <c r="EY52" s="528"/>
      <c r="EZ52" s="528"/>
      <c r="FA52" s="528"/>
      <c r="FB52" s="528"/>
      <c r="FC52" s="528"/>
      <c r="FD52" s="528"/>
      <c r="FE52" s="528"/>
      <c r="FF52" s="528"/>
      <c r="FG52" s="528"/>
      <c r="FH52" s="528"/>
      <c r="FI52" s="528"/>
      <c r="FJ52" s="528"/>
      <c r="FK52" s="528"/>
      <c r="FL52" s="528"/>
      <c r="FM52" s="528"/>
      <c r="FN52" s="528"/>
      <c r="FO52" s="528"/>
      <c r="FP52" s="528"/>
      <c r="FQ52" s="528"/>
      <c r="FR52" s="528"/>
      <c r="FS52" s="528"/>
      <c r="FT52" s="528"/>
      <c r="FU52" s="528"/>
      <c r="FV52" s="528"/>
      <c r="FW52" s="528"/>
      <c r="FX52" s="528"/>
      <c r="FY52" s="528"/>
      <c r="FZ52" s="528"/>
      <c r="GA52" s="528"/>
      <c r="GB52" s="528"/>
      <c r="GC52" s="528"/>
      <c r="GD52" s="528"/>
      <c r="GE52" s="528"/>
      <c r="GF52" s="528"/>
      <c r="GG52" s="528"/>
      <c r="GH52" s="528"/>
      <c r="GI52" s="528"/>
      <c r="GJ52" s="528"/>
      <c r="GK52" s="528"/>
      <c r="GL52" s="528"/>
      <c r="GM52" s="528"/>
      <c r="GN52" s="528"/>
      <c r="GO52" s="528"/>
      <c r="GP52" s="528"/>
      <c r="GQ52" s="528"/>
      <c r="GR52" s="528"/>
      <c r="GS52" s="528"/>
      <c r="GT52" s="528"/>
      <c r="GU52" s="528"/>
      <c r="GV52" s="528"/>
      <c r="GW52" s="528"/>
      <c r="GX52" s="528"/>
      <c r="GY52" s="528"/>
      <c r="GZ52" s="528"/>
      <c r="HA52" s="528"/>
      <c r="HB52" s="528"/>
      <c r="HC52" s="528"/>
      <c r="HD52" s="528"/>
      <c r="HE52" s="528"/>
      <c r="HF52" s="528"/>
      <c r="HG52" s="528"/>
      <c r="HH52" s="528"/>
      <c r="HI52" s="528"/>
      <c r="HJ52" s="528"/>
      <c r="HK52" s="528"/>
      <c r="HL52" s="528"/>
      <c r="HM52" s="528"/>
      <c r="HN52" s="528"/>
      <c r="HO52" s="528"/>
      <c r="HP52" s="528"/>
    </row>
    <row r="53" spans="1:224" ht="15.75" customHeight="1">
      <c r="E53" s="787" t="s">
        <v>40</v>
      </c>
      <c r="F53" s="787"/>
      <c r="G53" s="787"/>
      <c r="H53" s="787"/>
      <c r="I53" s="787"/>
      <c r="J53" s="787"/>
      <c r="K53" s="787"/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  <c r="AF53" s="787"/>
      <c r="AG53" s="787"/>
      <c r="AH53" s="787"/>
      <c r="AI53" s="787"/>
      <c r="AJ53" s="787"/>
      <c r="AK53" s="787"/>
      <c r="AL53" s="787"/>
      <c r="AM53" s="787"/>
      <c r="AN53" s="787"/>
      <c r="AO53" s="787"/>
      <c r="AP53" s="787"/>
      <c r="AQ53" s="787"/>
      <c r="AR53" s="787"/>
      <c r="AS53" s="787"/>
      <c r="AT53" s="787"/>
      <c r="AU53" s="787"/>
      <c r="AV53" s="787"/>
      <c r="AW53" s="787"/>
      <c r="AX53" s="787"/>
      <c r="AY53" s="787"/>
      <c r="AZ53" s="787"/>
      <c r="BA53" s="787"/>
      <c r="BB53" s="787"/>
      <c r="BC53" s="787"/>
      <c r="BD53" s="787"/>
      <c r="BE53" s="787"/>
      <c r="BF53" s="787"/>
      <c r="BG53" s="787"/>
      <c r="BH53" s="787"/>
      <c r="BI53" s="787"/>
      <c r="BJ53" s="787"/>
      <c r="BK53" s="787"/>
      <c r="BL53" s="787"/>
      <c r="BM53" s="787"/>
      <c r="BN53" s="787"/>
      <c r="BO53" s="787"/>
      <c r="BP53" s="787"/>
      <c r="BQ53" s="787"/>
      <c r="BR53" s="787"/>
      <c r="BS53" s="787"/>
      <c r="BT53" s="787"/>
      <c r="BU53" s="787"/>
      <c r="BV53" s="787"/>
      <c r="BW53" s="787"/>
      <c r="BX53" s="787"/>
      <c r="BY53" s="787"/>
      <c r="BZ53" s="787"/>
      <c r="CA53" s="787"/>
      <c r="CB53" s="787"/>
      <c r="CC53" s="787"/>
      <c r="CD53" s="787"/>
      <c r="CE53" s="787"/>
      <c r="CF53" s="787"/>
      <c r="CG53" s="787"/>
      <c r="CH53" s="787"/>
      <c r="CI53" s="787"/>
      <c r="CJ53" s="787"/>
      <c r="CK53" s="787"/>
      <c r="CL53" s="787"/>
      <c r="CM53" s="787"/>
      <c r="CN53" s="787"/>
      <c r="CO53" s="787"/>
      <c r="CP53" s="787"/>
      <c r="CQ53" s="787"/>
      <c r="CR53" s="787"/>
      <c r="CS53" s="787"/>
      <c r="CT53" s="787"/>
      <c r="CU53" s="787"/>
      <c r="CV53" s="787"/>
      <c r="CW53" s="787"/>
      <c r="CX53" s="787"/>
      <c r="CY53" s="787"/>
      <c r="CZ53" s="787"/>
      <c r="DA53" s="787"/>
      <c r="DB53" s="787"/>
      <c r="DC53" s="787"/>
      <c r="DD53" s="787"/>
      <c r="DE53" s="787"/>
      <c r="DF53" s="787"/>
      <c r="DG53" s="787"/>
      <c r="DH53" s="389"/>
      <c r="DI53" s="290"/>
      <c r="DJ53" s="647"/>
      <c r="DK53" s="647"/>
      <c r="DL53" s="647"/>
      <c r="DM53" s="647"/>
      <c r="DN53" s="647"/>
      <c r="DO53" s="647"/>
      <c r="DP53" s="647"/>
      <c r="DQ53" s="647"/>
      <c r="DR53" s="647"/>
      <c r="DS53" s="647"/>
      <c r="DT53" s="647"/>
      <c r="DU53" s="528"/>
      <c r="DV53" s="528"/>
      <c r="DW53" s="528"/>
      <c r="DX53" s="528"/>
      <c r="DY53" s="528"/>
      <c r="DZ53" s="528"/>
      <c r="EA53" s="528"/>
      <c r="EB53" s="528"/>
      <c r="EC53" s="528"/>
      <c r="ED53" s="528"/>
      <c r="EE53" s="528"/>
      <c r="EF53" s="528"/>
      <c r="EG53" s="528"/>
      <c r="EH53" s="528"/>
      <c r="EI53" s="528"/>
      <c r="EJ53" s="528"/>
      <c r="EK53" s="528"/>
      <c r="EL53" s="528"/>
      <c r="EM53" s="528"/>
      <c r="EN53" s="528"/>
      <c r="EO53" s="528"/>
      <c r="EP53" s="528"/>
      <c r="EQ53" s="528"/>
      <c r="ER53" s="528"/>
      <c r="ES53" s="528"/>
      <c r="ET53" s="528"/>
      <c r="EU53" s="528"/>
      <c r="EV53" s="528"/>
      <c r="EW53" s="528"/>
      <c r="EX53" s="528"/>
      <c r="EY53" s="528"/>
      <c r="EZ53" s="528"/>
      <c r="FA53" s="528"/>
      <c r="FB53" s="528"/>
      <c r="FC53" s="528"/>
      <c r="FD53" s="528"/>
      <c r="FE53" s="528"/>
      <c r="FF53" s="528"/>
      <c r="FG53" s="528"/>
      <c r="FH53" s="528"/>
      <c r="FI53" s="528"/>
      <c r="FJ53" s="528"/>
      <c r="FK53" s="528"/>
      <c r="FL53" s="528"/>
      <c r="FM53" s="528"/>
      <c r="FN53" s="528"/>
      <c r="FO53" s="528"/>
      <c r="FP53" s="528"/>
      <c r="FQ53" s="528"/>
      <c r="FR53" s="528"/>
      <c r="FS53" s="528"/>
      <c r="FT53" s="528"/>
      <c r="FU53" s="528"/>
      <c r="FV53" s="528"/>
      <c r="FW53" s="528"/>
      <c r="FX53" s="528"/>
      <c r="FY53" s="528"/>
      <c r="FZ53" s="528"/>
      <c r="GA53" s="528"/>
      <c r="GB53" s="528"/>
      <c r="GC53" s="528"/>
      <c r="GD53" s="528"/>
      <c r="GE53" s="528"/>
      <c r="GF53" s="528"/>
      <c r="GG53" s="528"/>
      <c r="GH53" s="528"/>
      <c r="GI53" s="528"/>
      <c r="GJ53" s="528"/>
      <c r="GK53" s="528"/>
      <c r="GL53" s="528"/>
      <c r="GM53" s="528"/>
      <c r="GN53" s="528"/>
      <c r="GO53" s="528"/>
      <c r="GP53" s="528"/>
      <c r="GQ53" s="528"/>
      <c r="GR53" s="528"/>
      <c r="GS53" s="528"/>
      <c r="GT53" s="528"/>
      <c r="GU53" s="528"/>
      <c r="GV53" s="528"/>
      <c r="GW53" s="528"/>
      <c r="GX53" s="528"/>
      <c r="GY53" s="528"/>
      <c r="GZ53" s="528"/>
      <c r="HA53" s="528"/>
      <c r="HB53" s="528"/>
      <c r="HC53" s="528"/>
      <c r="HD53" s="528"/>
      <c r="HE53" s="528"/>
      <c r="HF53" s="528"/>
      <c r="HG53" s="528"/>
      <c r="HH53" s="528"/>
      <c r="HI53" s="528"/>
      <c r="HJ53" s="528"/>
      <c r="HK53" s="528"/>
      <c r="HL53" s="528"/>
      <c r="HM53" s="528"/>
      <c r="HN53" s="528"/>
      <c r="HO53" s="528"/>
      <c r="HP53" s="528"/>
    </row>
    <row r="54" spans="1:224" s="275" customFormat="1">
      <c r="E54" s="76" t="s">
        <v>34</v>
      </c>
      <c r="F54" s="76"/>
      <c r="G54" s="76"/>
      <c r="H54" s="76"/>
      <c r="I54" s="801" t="s">
        <v>33</v>
      </c>
      <c r="J54" s="801"/>
      <c r="K54" s="801"/>
      <c r="L54" s="801"/>
      <c r="M54" s="801"/>
      <c r="N54" s="801"/>
      <c r="O54" s="801"/>
      <c r="P54" s="801"/>
      <c r="Q54" s="801"/>
      <c r="R54" s="801"/>
      <c r="S54" s="801"/>
      <c r="T54" s="801"/>
      <c r="U54" s="801"/>
      <c r="V54" s="801"/>
      <c r="W54" s="801"/>
      <c r="X54" s="801"/>
      <c r="Y54" s="801"/>
      <c r="Z54" s="801"/>
      <c r="AA54" s="801"/>
      <c r="AB54" s="801"/>
      <c r="AC54" s="801"/>
      <c r="AD54" s="801"/>
      <c r="AE54" s="801"/>
      <c r="AF54" s="801"/>
      <c r="AG54" s="801"/>
      <c r="AH54" s="801"/>
      <c r="AI54" s="801"/>
      <c r="AJ54" s="801"/>
      <c r="AK54" s="801"/>
      <c r="AL54" s="801"/>
      <c r="AM54" s="801"/>
      <c r="AN54" s="801"/>
      <c r="AO54" s="801"/>
      <c r="AP54" s="801"/>
      <c r="AQ54" s="801"/>
      <c r="AR54" s="801"/>
      <c r="AS54" s="801"/>
      <c r="AT54" s="801"/>
      <c r="AU54" s="801"/>
      <c r="AV54" s="801"/>
      <c r="AW54" s="801"/>
      <c r="AX54" s="801"/>
      <c r="AY54" s="801"/>
      <c r="AZ54" s="801"/>
      <c r="BA54" s="801"/>
      <c r="BB54" s="801"/>
      <c r="BC54" s="801"/>
      <c r="BD54" s="801"/>
      <c r="BE54" s="801"/>
      <c r="BF54" s="801"/>
      <c r="BG54" s="801"/>
      <c r="BH54" s="801"/>
      <c r="BI54" s="801"/>
      <c r="BJ54" s="801"/>
      <c r="BK54" s="801"/>
      <c r="BL54" s="801"/>
      <c r="BM54" s="801"/>
      <c r="BN54" s="801"/>
      <c r="BO54" s="801"/>
      <c r="BP54" s="801"/>
      <c r="BQ54" s="801"/>
      <c r="BR54" s="801"/>
      <c r="BS54" s="801"/>
      <c r="BT54" s="801"/>
      <c r="BU54" s="801"/>
      <c r="BV54" s="801"/>
      <c r="BW54" s="801"/>
      <c r="BX54" s="801"/>
      <c r="BY54" s="802"/>
      <c r="BZ54" s="802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8"/>
      <c r="DK54" s="648"/>
      <c r="DL54" s="648"/>
      <c r="DM54" s="649"/>
      <c r="DN54" s="649"/>
      <c r="DO54" s="649"/>
      <c r="DP54" s="649"/>
      <c r="DQ54" s="649"/>
      <c r="DR54" s="649"/>
      <c r="DS54" s="649"/>
      <c r="DT54" s="649"/>
      <c r="DU54" s="649"/>
      <c r="DV54" s="649"/>
      <c r="DW54" s="649"/>
      <c r="DX54" s="649"/>
      <c r="DY54" s="649"/>
      <c r="DZ54" s="649"/>
      <c r="EA54" s="649"/>
      <c r="EB54" s="649"/>
      <c r="EC54" s="649"/>
      <c r="ED54" s="649"/>
      <c r="EE54" s="649"/>
      <c r="EF54" s="649"/>
      <c r="EG54" s="649"/>
      <c r="EH54" s="649"/>
      <c r="EI54" s="649"/>
      <c r="EJ54" s="649"/>
      <c r="EK54" s="649"/>
      <c r="EL54" s="649"/>
      <c r="EM54" s="649"/>
      <c r="EN54" s="649"/>
      <c r="EO54" s="649"/>
      <c r="EP54" s="649"/>
      <c r="EQ54" s="649"/>
      <c r="ER54" s="649"/>
      <c r="ES54" s="649"/>
      <c r="ET54" s="649"/>
      <c r="EU54" s="649"/>
      <c r="EV54" s="649"/>
      <c r="EW54" s="649"/>
      <c r="EX54" s="649"/>
      <c r="EY54" s="649"/>
      <c r="EZ54" s="649"/>
      <c r="FA54" s="649"/>
      <c r="FB54" s="649"/>
      <c r="FC54" s="649"/>
      <c r="FD54" s="649"/>
      <c r="FE54" s="649"/>
      <c r="FF54" s="649"/>
      <c r="FG54" s="649"/>
      <c r="FH54" s="649"/>
      <c r="FI54" s="649"/>
      <c r="FJ54" s="649"/>
      <c r="FK54" s="649"/>
      <c r="FL54" s="649"/>
      <c r="FM54" s="649"/>
      <c r="FN54" s="649"/>
      <c r="FO54" s="649"/>
      <c r="FP54" s="649"/>
      <c r="FQ54" s="649"/>
      <c r="FR54" s="649"/>
      <c r="FS54" s="649"/>
      <c r="FT54" s="649"/>
      <c r="FU54" s="649"/>
      <c r="FV54" s="649"/>
      <c r="FW54" s="649"/>
      <c r="FX54" s="649"/>
      <c r="FY54" s="649"/>
      <c r="FZ54" s="649"/>
      <c r="GA54" s="649"/>
      <c r="GB54" s="649"/>
      <c r="GC54" s="649"/>
      <c r="GD54" s="649"/>
      <c r="GE54" s="649"/>
      <c r="GF54" s="649"/>
      <c r="GG54" s="649"/>
      <c r="GH54" s="649"/>
      <c r="GI54" s="649"/>
      <c r="GJ54" s="649"/>
      <c r="GK54" s="649"/>
      <c r="GL54" s="649"/>
      <c r="GM54" s="649"/>
      <c r="GN54" s="649"/>
      <c r="GO54" s="649"/>
      <c r="GP54" s="649"/>
      <c r="GQ54" s="649"/>
      <c r="GR54" s="649"/>
      <c r="GS54" s="649"/>
      <c r="GT54" s="649"/>
      <c r="GU54" s="649"/>
      <c r="GV54" s="649"/>
      <c r="GW54" s="649"/>
      <c r="GX54" s="649"/>
      <c r="GY54" s="649"/>
      <c r="GZ54" s="649"/>
      <c r="HA54" s="649"/>
      <c r="HB54" s="649"/>
      <c r="HC54" s="649"/>
      <c r="HD54" s="649"/>
      <c r="HE54" s="649"/>
      <c r="HF54" s="649"/>
      <c r="HG54" s="649"/>
      <c r="HH54" s="649"/>
      <c r="HI54" s="649"/>
      <c r="HJ54" s="649"/>
      <c r="HK54" s="649"/>
      <c r="HL54" s="649"/>
      <c r="HM54" s="649"/>
      <c r="HN54" s="649"/>
      <c r="HO54" s="649"/>
      <c r="HP54" s="649"/>
    </row>
    <row r="55" spans="1:224" s="275" customFormat="1">
      <c r="E55" s="76" t="s">
        <v>35</v>
      </c>
      <c r="F55" s="76"/>
      <c r="G55" s="76"/>
      <c r="H55" s="76"/>
      <c r="I55" s="801" t="s">
        <v>41</v>
      </c>
      <c r="J55" s="801"/>
      <c r="K55" s="801"/>
      <c r="L55" s="801"/>
      <c r="M55" s="801"/>
      <c r="N55" s="801"/>
      <c r="O55" s="801"/>
      <c r="P55" s="801"/>
      <c r="Q55" s="801"/>
      <c r="R55" s="801"/>
      <c r="S55" s="801"/>
      <c r="T55" s="801"/>
      <c r="U55" s="801"/>
      <c r="V55" s="801"/>
      <c r="W55" s="801"/>
      <c r="X55" s="801"/>
      <c r="Y55" s="801"/>
      <c r="Z55" s="801"/>
      <c r="AA55" s="801"/>
      <c r="AB55" s="801"/>
      <c r="AC55" s="801"/>
      <c r="AD55" s="801"/>
      <c r="AE55" s="801"/>
      <c r="AF55" s="801"/>
      <c r="AG55" s="801"/>
      <c r="AH55" s="801"/>
      <c r="AI55" s="801"/>
      <c r="AJ55" s="801"/>
      <c r="AK55" s="801"/>
      <c r="AL55" s="801"/>
      <c r="AM55" s="801"/>
      <c r="AN55" s="801"/>
      <c r="AO55" s="801"/>
      <c r="AP55" s="801"/>
      <c r="AQ55" s="801"/>
      <c r="AR55" s="801"/>
      <c r="AS55" s="801"/>
      <c r="AT55" s="801"/>
      <c r="AU55" s="801"/>
      <c r="AV55" s="801"/>
      <c r="AW55" s="801"/>
      <c r="AX55" s="801"/>
      <c r="AY55" s="801"/>
      <c r="AZ55" s="801"/>
      <c r="BA55" s="801"/>
      <c r="BB55" s="801"/>
      <c r="BC55" s="801"/>
      <c r="BD55" s="801"/>
      <c r="BE55" s="801"/>
      <c r="BF55" s="801"/>
      <c r="BG55" s="801"/>
      <c r="BH55" s="801"/>
      <c r="BI55" s="801"/>
      <c r="BJ55" s="801"/>
      <c r="BK55" s="801"/>
      <c r="BL55" s="801"/>
      <c r="BM55" s="801"/>
      <c r="BN55" s="801"/>
      <c r="BO55" s="801"/>
      <c r="BP55" s="801"/>
      <c r="BQ55" s="801"/>
      <c r="BR55" s="801"/>
      <c r="BS55" s="801"/>
      <c r="BT55" s="801"/>
      <c r="BU55" s="801"/>
      <c r="BV55" s="801"/>
      <c r="BW55" s="801"/>
      <c r="BX55" s="801"/>
      <c r="BY55" s="802"/>
      <c r="BZ55" s="802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8"/>
      <c r="DK55" s="648"/>
      <c r="DL55" s="648"/>
      <c r="DM55" s="649"/>
      <c r="DN55" s="649"/>
      <c r="DO55" s="649"/>
      <c r="DP55" s="649"/>
      <c r="DQ55" s="649"/>
      <c r="DR55" s="649"/>
      <c r="DS55" s="649"/>
      <c r="DT55" s="649"/>
      <c r="DU55" s="649"/>
      <c r="DV55" s="649"/>
      <c r="DW55" s="649"/>
      <c r="DX55" s="649"/>
      <c r="DY55" s="649"/>
      <c r="DZ55" s="649"/>
      <c r="EA55" s="649"/>
      <c r="EB55" s="649"/>
      <c r="EC55" s="649"/>
      <c r="ED55" s="649"/>
      <c r="EE55" s="649"/>
      <c r="EF55" s="649"/>
      <c r="EG55" s="649"/>
      <c r="EH55" s="649"/>
      <c r="EI55" s="649"/>
      <c r="EJ55" s="649"/>
      <c r="EK55" s="649"/>
      <c r="EL55" s="649"/>
      <c r="EM55" s="649"/>
      <c r="EN55" s="649"/>
      <c r="EO55" s="649"/>
      <c r="EP55" s="649"/>
      <c r="EQ55" s="649"/>
      <c r="ER55" s="649"/>
      <c r="ES55" s="649"/>
      <c r="ET55" s="649"/>
      <c r="EU55" s="649"/>
      <c r="EV55" s="649"/>
      <c r="EW55" s="649"/>
      <c r="EX55" s="649"/>
      <c r="EY55" s="649"/>
      <c r="EZ55" s="649"/>
      <c r="FA55" s="649"/>
      <c r="FB55" s="649"/>
      <c r="FC55" s="649"/>
      <c r="FD55" s="649"/>
      <c r="FE55" s="649"/>
      <c r="FF55" s="649"/>
      <c r="FG55" s="649"/>
      <c r="FH55" s="649"/>
      <c r="FI55" s="649"/>
      <c r="FJ55" s="649"/>
      <c r="FK55" s="649"/>
      <c r="FL55" s="649"/>
      <c r="FM55" s="649"/>
      <c r="FN55" s="649"/>
      <c r="FO55" s="649"/>
      <c r="FP55" s="649"/>
      <c r="FQ55" s="649"/>
      <c r="FR55" s="649"/>
      <c r="FS55" s="649"/>
      <c r="FT55" s="649"/>
      <c r="FU55" s="649"/>
      <c r="FV55" s="649"/>
      <c r="FW55" s="649"/>
      <c r="FX55" s="649"/>
      <c r="FY55" s="649"/>
      <c r="FZ55" s="649"/>
      <c r="GA55" s="649"/>
      <c r="GB55" s="649"/>
      <c r="GC55" s="649"/>
      <c r="GD55" s="649"/>
      <c r="GE55" s="649"/>
      <c r="GF55" s="649"/>
      <c r="GG55" s="649"/>
      <c r="GH55" s="649"/>
      <c r="GI55" s="649"/>
      <c r="GJ55" s="649"/>
      <c r="GK55" s="649"/>
      <c r="GL55" s="649"/>
      <c r="GM55" s="649"/>
      <c r="GN55" s="649"/>
      <c r="GO55" s="649"/>
      <c r="GP55" s="649"/>
      <c r="GQ55" s="649"/>
      <c r="GR55" s="649"/>
      <c r="GS55" s="649"/>
      <c r="GT55" s="649"/>
      <c r="GU55" s="649"/>
      <c r="GV55" s="649"/>
      <c r="GW55" s="649"/>
      <c r="GX55" s="649"/>
      <c r="GY55" s="649"/>
      <c r="GZ55" s="649"/>
      <c r="HA55" s="649"/>
      <c r="HB55" s="649"/>
      <c r="HC55" s="649"/>
      <c r="HD55" s="649"/>
      <c r="HE55" s="649"/>
      <c r="HF55" s="649"/>
      <c r="HG55" s="649"/>
      <c r="HH55" s="649"/>
      <c r="HI55" s="649"/>
      <c r="HJ55" s="649"/>
      <c r="HK55" s="649"/>
      <c r="HL55" s="649"/>
      <c r="HM55" s="649"/>
      <c r="HN55" s="649"/>
      <c r="HO55" s="649"/>
      <c r="HP55" s="649"/>
    </row>
    <row r="56" spans="1:224">
      <c r="A56" s="291"/>
      <c r="B56" s="291"/>
      <c r="C56" s="291"/>
      <c r="D56" s="291"/>
      <c r="E56" s="799" t="s">
        <v>32</v>
      </c>
      <c r="F56" s="799"/>
      <c r="G56" s="799"/>
      <c r="H56" s="799"/>
      <c r="I56" s="799"/>
      <c r="J56" s="799"/>
      <c r="K56" s="799"/>
      <c r="L56" s="799"/>
      <c r="M56" s="799"/>
      <c r="N56" s="799"/>
      <c r="O56" s="799"/>
      <c r="P56" s="799"/>
      <c r="Q56" s="800"/>
      <c r="R56" s="800"/>
      <c r="S56" s="800"/>
      <c r="T56" s="800"/>
      <c r="U56" s="800"/>
      <c r="V56" s="800"/>
      <c r="W56" s="800"/>
      <c r="X56" s="800"/>
      <c r="Y56" s="800"/>
      <c r="Z56" s="800"/>
      <c r="AA56" s="800"/>
      <c r="AB56" s="800"/>
      <c r="AC56" s="800"/>
      <c r="AD56" s="800"/>
      <c r="AE56" s="800"/>
      <c r="AF56" s="800"/>
      <c r="AG56" s="800"/>
      <c r="AH56" s="800"/>
      <c r="AI56" s="800"/>
      <c r="AJ56" s="800"/>
      <c r="AK56" s="800"/>
      <c r="AL56" s="800"/>
      <c r="AM56" s="800"/>
      <c r="AN56" s="800"/>
      <c r="AO56" s="800"/>
      <c r="AP56" s="800"/>
      <c r="AQ56" s="800"/>
      <c r="AR56" s="800"/>
      <c r="AS56" s="800"/>
      <c r="AT56" s="800"/>
      <c r="AU56" s="800"/>
      <c r="AV56" s="800"/>
      <c r="AW56" s="800"/>
      <c r="AX56" s="800"/>
      <c r="AY56" s="800"/>
      <c r="AZ56" s="800"/>
      <c r="BA56" s="800"/>
      <c r="BB56" s="800"/>
      <c r="BC56" s="800"/>
      <c r="BD56" s="800"/>
      <c r="BE56" s="800"/>
      <c r="BF56" s="800"/>
      <c r="BG56" s="800"/>
      <c r="BH56" s="800"/>
      <c r="BI56" s="800"/>
      <c r="BJ56" s="800"/>
      <c r="BK56" s="800"/>
      <c r="BL56" s="800"/>
      <c r="BM56" s="800"/>
      <c r="BN56" s="800"/>
      <c r="BO56" s="800"/>
      <c r="BP56" s="800"/>
      <c r="BQ56" s="800"/>
      <c r="BR56" s="800"/>
      <c r="BS56" s="800"/>
      <c r="BT56" s="800"/>
      <c r="BU56" s="800"/>
      <c r="BV56" s="800"/>
      <c r="BW56" s="800"/>
      <c r="BX56" s="800"/>
      <c r="BY56" s="800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0"/>
      <c r="DK56" s="650"/>
      <c r="DL56" s="650"/>
      <c r="DM56" s="650"/>
      <c r="DN56" s="650"/>
      <c r="DO56" s="650"/>
      <c r="DP56" s="650"/>
      <c r="DQ56" s="650"/>
      <c r="DR56" s="650"/>
      <c r="DS56" s="650"/>
      <c r="DT56" s="650"/>
      <c r="DU56" s="650"/>
      <c r="DV56" s="650"/>
      <c r="DW56" s="650"/>
      <c r="DX56" s="528"/>
      <c r="DY56" s="528"/>
      <c r="DZ56" s="528"/>
      <c r="EA56" s="528"/>
      <c r="EB56" s="528"/>
      <c r="EC56" s="528"/>
      <c r="ED56" s="528"/>
      <c r="EE56" s="528"/>
      <c r="EF56" s="528"/>
      <c r="EG56" s="528"/>
      <c r="EH56" s="528"/>
      <c r="EI56" s="528"/>
      <c r="EJ56" s="528"/>
      <c r="EK56" s="528"/>
      <c r="EL56" s="528"/>
      <c r="EM56" s="528"/>
      <c r="EN56" s="528"/>
      <c r="EO56" s="528"/>
      <c r="EP56" s="528"/>
      <c r="EQ56" s="528"/>
      <c r="ER56" s="528"/>
      <c r="ES56" s="528"/>
      <c r="ET56" s="528"/>
      <c r="EU56" s="528"/>
      <c r="EV56" s="528"/>
      <c r="EW56" s="528"/>
      <c r="EX56" s="528"/>
      <c r="EY56" s="528"/>
      <c r="EZ56" s="528"/>
      <c r="FA56" s="528"/>
      <c r="FB56" s="528"/>
      <c r="FC56" s="528"/>
      <c r="FD56" s="528"/>
      <c r="FE56" s="528"/>
      <c r="FF56" s="528"/>
      <c r="FG56" s="528"/>
      <c r="FH56" s="528"/>
      <c r="FI56" s="528"/>
      <c r="FJ56" s="528"/>
      <c r="FK56" s="528"/>
      <c r="FL56" s="528"/>
      <c r="FM56" s="528"/>
      <c r="FN56" s="528"/>
      <c r="FO56" s="528"/>
      <c r="FP56" s="528"/>
      <c r="FQ56" s="528"/>
      <c r="FR56" s="528"/>
      <c r="FS56" s="528"/>
      <c r="FT56" s="528"/>
      <c r="FU56" s="528"/>
      <c r="FV56" s="528"/>
      <c r="FW56" s="528"/>
      <c r="FX56" s="528"/>
      <c r="FY56" s="528"/>
      <c r="FZ56" s="528"/>
      <c r="GA56" s="528"/>
      <c r="GB56" s="528"/>
      <c r="GC56" s="528"/>
      <c r="GD56" s="528"/>
      <c r="GE56" s="528"/>
      <c r="GF56" s="528"/>
      <c r="GG56" s="528"/>
      <c r="GH56" s="528"/>
      <c r="GI56" s="528"/>
      <c r="GJ56" s="528"/>
      <c r="GK56" s="528"/>
      <c r="GL56" s="528"/>
      <c r="GM56" s="528"/>
      <c r="GN56" s="528"/>
      <c r="GO56" s="528"/>
      <c r="GP56" s="528"/>
      <c r="GQ56" s="528"/>
      <c r="GR56" s="528"/>
      <c r="GS56" s="528"/>
      <c r="GT56" s="528"/>
      <c r="GU56" s="528"/>
      <c r="GV56" s="528"/>
      <c r="GW56" s="528"/>
      <c r="GX56" s="528"/>
      <c r="GY56" s="528"/>
      <c r="GZ56" s="528"/>
      <c r="HA56" s="528"/>
      <c r="HB56" s="528"/>
      <c r="HC56" s="528"/>
      <c r="HD56" s="528"/>
      <c r="HE56" s="528"/>
      <c r="HF56" s="528"/>
      <c r="HG56" s="528"/>
      <c r="HH56" s="528"/>
      <c r="HI56" s="528"/>
      <c r="HJ56" s="528"/>
      <c r="HK56" s="528"/>
      <c r="HL56" s="528"/>
      <c r="HM56" s="528"/>
      <c r="HN56" s="528"/>
      <c r="HO56" s="528"/>
      <c r="HP56" s="528"/>
    </row>
    <row r="57" spans="1:224">
      <c r="E57" s="76" t="s">
        <v>26</v>
      </c>
      <c r="F57" s="76"/>
      <c r="G57" s="76"/>
      <c r="H57" s="76"/>
      <c r="I57" s="782" t="s">
        <v>27</v>
      </c>
      <c r="J57" s="782"/>
      <c r="K57" s="782"/>
      <c r="L57" s="782"/>
      <c r="M57" s="782"/>
      <c r="N57" s="782"/>
      <c r="O57" s="782"/>
      <c r="P57" s="782"/>
      <c r="Q57" s="782"/>
      <c r="R57" s="782"/>
      <c r="S57" s="782"/>
      <c r="T57" s="782"/>
      <c r="U57" s="782"/>
      <c r="V57" s="782"/>
      <c r="W57" s="782"/>
      <c r="X57" s="782"/>
      <c r="Y57" s="782"/>
      <c r="Z57" s="782"/>
      <c r="AA57" s="782"/>
      <c r="AB57" s="782"/>
      <c r="AC57" s="782"/>
      <c r="AD57" s="782"/>
      <c r="AE57" s="782"/>
      <c r="AF57" s="782"/>
      <c r="AG57" s="782"/>
      <c r="DJ57" s="528"/>
      <c r="DK57" s="528"/>
      <c r="DL57" s="528"/>
      <c r="DM57" s="528"/>
      <c r="DN57" s="528"/>
      <c r="DO57" s="528"/>
      <c r="DP57" s="528"/>
      <c r="DQ57" s="528"/>
      <c r="DR57" s="528"/>
      <c r="DS57" s="528"/>
      <c r="DT57" s="528"/>
      <c r="DU57" s="528"/>
      <c r="DV57" s="528"/>
      <c r="DW57" s="528"/>
      <c r="DX57" s="528"/>
      <c r="DY57" s="528"/>
      <c r="DZ57" s="528"/>
      <c r="EA57" s="528"/>
      <c r="EB57" s="528"/>
      <c r="EC57" s="528"/>
      <c r="ED57" s="528"/>
      <c r="EE57" s="528"/>
      <c r="EF57" s="528"/>
      <c r="EG57" s="528"/>
      <c r="EH57" s="528"/>
      <c r="EI57" s="528"/>
      <c r="EJ57" s="528"/>
      <c r="EK57" s="528"/>
      <c r="EL57" s="528"/>
      <c r="EM57" s="528"/>
      <c r="EN57" s="528"/>
      <c r="EO57" s="528"/>
      <c r="EP57" s="528"/>
      <c r="EQ57" s="528"/>
      <c r="ER57" s="528"/>
      <c r="ES57" s="528"/>
      <c r="ET57" s="528"/>
      <c r="EU57" s="528"/>
      <c r="EV57" s="528"/>
      <c r="EW57" s="528"/>
      <c r="EX57" s="528"/>
      <c r="EY57" s="528"/>
      <c r="EZ57" s="528"/>
      <c r="FA57" s="528"/>
      <c r="FB57" s="528"/>
      <c r="FC57" s="528"/>
      <c r="FD57" s="528"/>
      <c r="FE57" s="528"/>
      <c r="FF57" s="528"/>
      <c r="FG57" s="528"/>
      <c r="FH57" s="528"/>
      <c r="FI57" s="528"/>
      <c r="FJ57" s="528"/>
      <c r="FK57" s="528"/>
      <c r="FL57" s="528"/>
      <c r="FM57" s="528"/>
      <c r="FN57" s="528"/>
      <c r="FO57" s="528"/>
      <c r="FP57" s="528"/>
      <c r="FQ57" s="528"/>
      <c r="FR57" s="528"/>
      <c r="FS57" s="528"/>
      <c r="FT57" s="528"/>
      <c r="FU57" s="528"/>
      <c r="FV57" s="528"/>
      <c r="FW57" s="528"/>
      <c r="FX57" s="528"/>
      <c r="FY57" s="528"/>
      <c r="FZ57" s="528"/>
      <c r="GA57" s="528"/>
      <c r="GB57" s="528"/>
      <c r="GC57" s="528"/>
      <c r="GD57" s="528"/>
      <c r="GE57" s="528"/>
      <c r="GF57" s="528"/>
      <c r="GG57" s="528"/>
      <c r="GH57" s="528"/>
      <c r="GI57" s="528"/>
      <c r="GJ57" s="528"/>
      <c r="GK57" s="528"/>
      <c r="GL57" s="528"/>
      <c r="GM57" s="528"/>
      <c r="GN57" s="528"/>
      <c r="GO57" s="528"/>
      <c r="GP57" s="528"/>
      <c r="GQ57" s="528"/>
      <c r="GR57" s="528"/>
      <c r="GS57" s="528"/>
      <c r="GT57" s="528"/>
      <c r="GU57" s="528"/>
      <c r="GV57" s="528"/>
      <c r="GW57" s="528"/>
      <c r="GX57" s="528"/>
      <c r="GY57" s="528"/>
      <c r="GZ57" s="528"/>
      <c r="HA57" s="528"/>
      <c r="HB57" s="528"/>
      <c r="HC57" s="528"/>
      <c r="HD57" s="528"/>
      <c r="HE57" s="528"/>
      <c r="HF57" s="528"/>
      <c r="HG57" s="528"/>
      <c r="HH57" s="528"/>
      <c r="HI57" s="528"/>
      <c r="HJ57" s="528"/>
      <c r="HK57" s="528"/>
      <c r="HL57" s="528"/>
      <c r="HM57" s="528"/>
      <c r="HN57" s="528"/>
      <c r="HO57" s="528"/>
      <c r="HP57" s="528"/>
    </row>
    <row r="58" spans="1:224">
      <c r="E58" s="76" t="s">
        <v>28</v>
      </c>
      <c r="F58" s="76"/>
      <c r="G58" s="76"/>
      <c r="H58" s="76"/>
      <c r="I58" s="782" t="s">
        <v>29</v>
      </c>
      <c r="J58" s="782"/>
      <c r="K58" s="782"/>
      <c r="L58" s="782"/>
      <c r="M58" s="782"/>
      <c r="N58" s="782"/>
      <c r="O58" s="782"/>
      <c r="P58" s="782"/>
      <c r="Q58" s="782"/>
      <c r="R58" s="782"/>
      <c r="S58" s="782"/>
      <c r="T58" s="782"/>
      <c r="U58" s="782"/>
      <c r="V58" s="782"/>
      <c r="W58" s="782"/>
      <c r="X58" s="782"/>
      <c r="Y58" s="782"/>
      <c r="Z58" s="782"/>
      <c r="AA58" s="782"/>
      <c r="AB58" s="782"/>
      <c r="AC58" s="782"/>
      <c r="AD58" s="782"/>
      <c r="AE58" s="782"/>
      <c r="AF58" s="782"/>
      <c r="AG58" s="782"/>
      <c r="DJ58" s="528"/>
      <c r="DK58" s="528"/>
      <c r="DL58" s="528"/>
      <c r="DM58" s="528"/>
      <c r="DN58" s="528"/>
      <c r="DO58" s="528"/>
      <c r="DP58" s="528"/>
      <c r="DQ58" s="528"/>
      <c r="DR58" s="528"/>
      <c r="DS58" s="528"/>
      <c r="DT58" s="528"/>
      <c r="DU58" s="528"/>
      <c r="DV58" s="528"/>
      <c r="DW58" s="528"/>
      <c r="DX58" s="528"/>
      <c r="DY58" s="528"/>
      <c r="DZ58" s="528"/>
      <c r="EA58" s="528"/>
      <c r="EB58" s="528"/>
      <c r="EC58" s="528"/>
      <c r="ED58" s="528"/>
      <c r="EE58" s="528"/>
      <c r="EF58" s="528"/>
      <c r="EG58" s="528"/>
      <c r="EH58" s="528"/>
      <c r="EI58" s="528"/>
      <c r="EJ58" s="528"/>
      <c r="EK58" s="528"/>
      <c r="EL58" s="528"/>
      <c r="EM58" s="528"/>
      <c r="EN58" s="528"/>
      <c r="EO58" s="528"/>
      <c r="EP58" s="528"/>
      <c r="EQ58" s="528"/>
      <c r="ER58" s="528"/>
      <c r="ES58" s="528"/>
      <c r="ET58" s="528"/>
      <c r="EU58" s="528"/>
      <c r="EV58" s="528"/>
      <c r="EW58" s="528"/>
      <c r="EX58" s="528"/>
      <c r="EY58" s="528"/>
      <c r="EZ58" s="528"/>
      <c r="FA58" s="528"/>
      <c r="FB58" s="528"/>
      <c r="FC58" s="528"/>
      <c r="FD58" s="528"/>
      <c r="FE58" s="528"/>
      <c r="FF58" s="528"/>
      <c r="FG58" s="528"/>
      <c r="FH58" s="528"/>
      <c r="FI58" s="528"/>
      <c r="FJ58" s="528"/>
      <c r="FK58" s="528"/>
      <c r="FL58" s="528"/>
      <c r="FM58" s="528"/>
      <c r="FN58" s="528"/>
      <c r="FO58" s="528"/>
      <c r="FP58" s="528"/>
      <c r="FQ58" s="528"/>
      <c r="FR58" s="528"/>
      <c r="FS58" s="528"/>
      <c r="FT58" s="528"/>
      <c r="FU58" s="528"/>
      <c r="FV58" s="528"/>
      <c r="FW58" s="528"/>
      <c r="FX58" s="528"/>
      <c r="FY58" s="528"/>
      <c r="FZ58" s="528"/>
      <c r="GA58" s="528"/>
      <c r="GB58" s="528"/>
      <c r="GC58" s="528"/>
      <c r="GD58" s="528"/>
      <c r="GE58" s="528"/>
      <c r="GF58" s="528"/>
      <c r="GG58" s="528"/>
      <c r="GH58" s="528"/>
      <c r="GI58" s="528"/>
      <c r="GJ58" s="528"/>
      <c r="GK58" s="528"/>
      <c r="GL58" s="528"/>
      <c r="GM58" s="528"/>
      <c r="GN58" s="528"/>
      <c r="GO58" s="528"/>
      <c r="GP58" s="528"/>
      <c r="GQ58" s="528"/>
      <c r="GR58" s="528"/>
      <c r="GS58" s="528"/>
      <c r="GT58" s="528"/>
      <c r="GU58" s="528"/>
      <c r="GV58" s="528"/>
      <c r="GW58" s="528"/>
      <c r="GX58" s="528"/>
      <c r="GY58" s="528"/>
      <c r="GZ58" s="528"/>
      <c r="HA58" s="528"/>
      <c r="HB58" s="528"/>
      <c r="HC58" s="528"/>
      <c r="HD58" s="528"/>
      <c r="HE58" s="528"/>
      <c r="HF58" s="528"/>
      <c r="HG58" s="528"/>
      <c r="HH58" s="528"/>
      <c r="HI58" s="528"/>
      <c r="HJ58" s="528"/>
      <c r="HK58" s="528"/>
      <c r="HL58" s="528"/>
      <c r="HM58" s="528"/>
      <c r="HN58" s="528"/>
      <c r="HO58" s="528"/>
      <c r="HP58" s="528"/>
    </row>
    <row r="59" spans="1:224">
      <c r="E59" s="76" t="s">
        <v>30</v>
      </c>
      <c r="F59" s="76"/>
      <c r="G59" s="76"/>
      <c r="H59" s="76"/>
      <c r="I59" s="782" t="s">
        <v>31</v>
      </c>
      <c r="J59" s="782"/>
      <c r="K59" s="782"/>
      <c r="L59" s="782"/>
      <c r="M59" s="782"/>
      <c r="N59" s="782"/>
      <c r="O59" s="782"/>
      <c r="P59" s="782"/>
      <c r="Q59" s="782"/>
      <c r="R59" s="782"/>
      <c r="S59" s="782"/>
      <c r="T59" s="782"/>
      <c r="U59" s="782"/>
      <c r="V59" s="782"/>
      <c r="W59" s="782"/>
      <c r="X59" s="782"/>
      <c r="Y59" s="782"/>
      <c r="Z59" s="782"/>
      <c r="AA59" s="782"/>
      <c r="AB59" s="782"/>
      <c r="AC59" s="782"/>
      <c r="AD59" s="782"/>
      <c r="AE59" s="782"/>
      <c r="AF59" s="782"/>
      <c r="AG59" s="782"/>
      <c r="DJ59" s="528"/>
      <c r="DK59" s="528"/>
      <c r="DL59" s="528"/>
      <c r="DM59" s="528"/>
      <c r="DN59" s="528"/>
      <c r="DO59" s="528"/>
      <c r="DP59" s="528"/>
      <c r="DQ59" s="528"/>
      <c r="DR59" s="528"/>
      <c r="DS59" s="528"/>
      <c r="DT59" s="528"/>
      <c r="DU59" s="528"/>
      <c r="DV59" s="528"/>
      <c r="DW59" s="528"/>
      <c r="DX59" s="528"/>
      <c r="DY59" s="528"/>
      <c r="DZ59" s="528"/>
      <c r="EA59" s="528"/>
      <c r="EB59" s="528"/>
      <c r="EC59" s="528"/>
      <c r="ED59" s="528"/>
      <c r="EE59" s="528"/>
      <c r="EF59" s="528"/>
      <c r="EG59" s="528"/>
      <c r="EH59" s="528"/>
      <c r="EI59" s="528"/>
      <c r="EJ59" s="528"/>
      <c r="EK59" s="528"/>
      <c r="EL59" s="528"/>
      <c r="EM59" s="528"/>
      <c r="EN59" s="528"/>
      <c r="EO59" s="528"/>
      <c r="EP59" s="528"/>
      <c r="EQ59" s="528"/>
      <c r="ER59" s="528"/>
      <c r="ES59" s="528"/>
      <c r="ET59" s="528"/>
      <c r="EU59" s="528"/>
      <c r="EV59" s="528"/>
      <c r="EW59" s="528"/>
      <c r="EX59" s="528"/>
      <c r="EY59" s="528"/>
      <c r="EZ59" s="528"/>
      <c r="FA59" s="528"/>
      <c r="FB59" s="528"/>
      <c r="FC59" s="528"/>
      <c r="FD59" s="528"/>
      <c r="FE59" s="528"/>
      <c r="FF59" s="528"/>
      <c r="FG59" s="528"/>
      <c r="FH59" s="528"/>
      <c r="FI59" s="528"/>
      <c r="FJ59" s="528"/>
      <c r="FK59" s="528"/>
      <c r="FL59" s="528"/>
      <c r="FM59" s="528"/>
      <c r="FN59" s="528"/>
      <c r="FO59" s="528"/>
      <c r="FP59" s="528"/>
      <c r="FQ59" s="528"/>
      <c r="FR59" s="528"/>
      <c r="FS59" s="528"/>
      <c r="FT59" s="528"/>
      <c r="FU59" s="528"/>
      <c r="FV59" s="528"/>
      <c r="FW59" s="528"/>
      <c r="FX59" s="528"/>
      <c r="FY59" s="528"/>
      <c r="FZ59" s="528"/>
      <c r="GA59" s="528"/>
      <c r="GB59" s="528"/>
      <c r="GC59" s="528"/>
      <c r="GD59" s="528"/>
      <c r="GE59" s="528"/>
      <c r="GF59" s="528"/>
      <c r="GG59" s="528"/>
      <c r="GH59" s="528"/>
      <c r="GI59" s="528"/>
      <c r="GJ59" s="528"/>
      <c r="GK59" s="528"/>
      <c r="GL59" s="528"/>
      <c r="GM59" s="528"/>
      <c r="GN59" s="528"/>
      <c r="GO59" s="528"/>
      <c r="GP59" s="528"/>
      <c r="GQ59" s="528"/>
      <c r="GR59" s="528"/>
      <c r="GS59" s="528"/>
      <c r="GT59" s="528"/>
      <c r="GU59" s="528"/>
      <c r="GV59" s="528"/>
      <c r="GW59" s="528"/>
      <c r="GX59" s="528"/>
      <c r="GY59" s="528"/>
      <c r="GZ59" s="528"/>
      <c r="HA59" s="528"/>
      <c r="HB59" s="528"/>
      <c r="HC59" s="528"/>
      <c r="HD59" s="528"/>
      <c r="HE59" s="528"/>
      <c r="HF59" s="528"/>
      <c r="HG59" s="528"/>
      <c r="HH59" s="528"/>
      <c r="HI59" s="528"/>
      <c r="HJ59" s="528"/>
      <c r="HK59" s="528"/>
      <c r="HL59" s="528"/>
      <c r="HM59" s="528"/>
      <c r="HN59" s="528"/>
      <c r="HO59" s="528"/>
      <c r="HP59" s="528"/>
    </row>
    <row r="60" spans="1:224">
      <c r="DJ60" s="528"/>
      <c r="DK60" s="528"/>
      <c r="DL60" s="528"/>
      <c r="DM60" s="528"/>
      <c r="DN60" s="528"/>
      <c r="DO60" s="528"/>
      <c r="DP60" s="528"/>
      <c r="DQ60" s="528"/>
      <c r="DR60" s="528"/>
      <c r="DS60" s="528"/>
      <c r="DT60" s="528"/>
      <c r="DU60" s="528"/>
      <c r="DV60" s="528"/>
      <c r="DW60" s="528"/>
      <c r="DX60" s="528"/>
      <c r="DY60" s="528"/>
      <c r="DZ60" s="528"/>
      <c r="EA60" s="528"/>
      <c r="EB60" s="528"/>
      <c r="EC60" s="528"/>
      <c r="ED60" s="528"/>
      <c r="EE60" s="528"/>
      <c r="EF60" s="528"/>
      <c r="EG60" s="528"/>
      <c r="EH60" s="528"/>
      <c r="EI60" s="528"/>
      <c r="EJ60" s="528"/>
      <c r="EK60" s="528"/>
      <c r="EL60" s="528"/>
      <c r="EM60" s="528"/>
      <c r="EN60" s="528"/>
      <c r="EO60" s="528"/>
      <c r="EP60" s="528"/>
      <c r="EQ60" s="528"/>
      <c r="ER60" s="528"/>
      <c r="ES60" s="528"/>
      <c r="ET60" s="528"/>
      <c r="EU60" s="528"/>
      <c r="EV60" s="528"/>
      <c r="EW60" s="528"/>
      <c r="EX60" s="528"/>
      <c r="EY60" s="528"/>
      <c r="EZ60" s="528"/>
      <c r="FA60" s="528"/>
      <c r="FB60" s="528"/>
      <c r="FC60" s="528"/>
      <c r="FD60" s="528"/>
      <c r="FE60" s="528"/>
      <c r="FF60" s="528"/>
      <c r="FG60" s="528"/>
      <c r="FH60" s="528"/>
      <c r="FI60" s="528"/>
      <c r="FJ60" s="528"/>
      <c r="FK60" s="528"/>
      <c r="FL60" s="528"/>
      <c r="FM60" s="528"/>
      <c r="FN60" s="528"/>
      <c r="FO60" s="528"/>
      <c r="FP60" s="528"/>
      <c r="FQ60" s="528"/>
      <c r="FR60" s="528"/>
      <c r="FS60" s="528"/>
      <c r="FT60" s="528"/>
      <c r="FU60" s="528"/>
      <c r="FV60" s="528"/>
      <c r="FW60" s="528"/>
      <c r="FX60" s="528"/>
      <c r="FY60" s="528"/>
      <c r="FZ60" s="528"/>
      <c r="GA60" s="528"/>
      <c r="GB60" s="528"/>
      <c r="GC60" s="528"/>
      <c r="GD60" s="528"/>
      <c r="GE60" s="528"/>
      <c r="GF60" s="528"/>
      <c r="GG60" s="528"/>
      <c r="GH60" s="528"/>
      <c r="GI60" s="528"/>
      <c r="GJ60" s="528"/>
      <c r="GK60" s="528"/>
      <c r="GL60" s="528"/>
      <c r="GM60" s="528"/>
      <c r="GN60" s="528"/>
      <c r="GO60" s="528"/>
      <c r="GP60" s="528"/>
      <c r="GQ60" s="528"/>
      <c r="GR60" s="528"/>
      <c r="GS60" s="528"/>
      <c r="GT60" s="528"/>
      <c r="GU60" s="528"/>
      <c r="GV60" s="528"/>
      <c r="GW60" s="528"/>
      <c r="GX60" s="528"/>
      <c r="GY60" s="528"/>
      <c r="GZ60" s="528"/>
      <c r="HA60" s="528"/>
      <c r="HB60" s="528"/>
      <c r="HC60" s="528"/>
      <c r="HD60" s="528"/>
      <c r="HE60" s="528"/>
      <c r="HF60" s="528"/>
      <c r="HG60" s="528"/>
      <c r="HH60" s="528"/>
      <c r="HI60" s="528"/>
      <c r="HJ60" s="528"/>
      <c r="HK60" s="528"/>
      <c r="HL60" s="528"/>
      <c r="HM60" s="528"/>
      <c r="HN60" s="528"/>
      <c r="HO60" s="528"/>
      <c r="HP60" s="528"/>
    </row>
    <row r="61" spans="1:224" ht="60" customHeight="1">
      <c r="A61" s="845" t="s">
        <v>163</v>
      </c>
      <c r="B61" s="846"/>
      <c r="C61" s="786" t="s">
        <v>426</v>
      </c>
      <c r="D61" s="786"/>
      <c r="E61" s="786"/>
      <c r="F61" s="786"/>
      <c r="G61" s="786"/>
      <c r="H61" s="786"/>
      <c r="I61" s="786"/>
      <c r="J61" s="786"/>
      <c r="K61" s="786"/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  <c r="AF61" s="786"/>
      <c r="AG61" s="786"/>
      <c r="AH61" s="786"/>
      <c r="AI61" s="786"/>
      <c r="AJ61" s="786"/>
      <c r="AK61" s="786"/>
      <c r="AL61" s="786"/>
      <c r="AM61" s="786"/>
      <c r="AN61" s="786"/>
      <c r="AO61" s="786"/>
      <c r="AP61" s="786"/>
      <c r="AQ61" s="786"/>
      <c r="AR61" s="786"/>
      <c r="AS61" s="786"/>
      <c r="AT61" s="786"/>
      <c r="AU61" s="786"/>
      <c r="AV61" s="786"/>
      <c r="AW61" s="786"/>
      <c r="AX61" s="786"/>
      <c r="AY61" s="786"/>
      <c r="AZ61" s="786"/>
      <c r="BA61" s="786"/>
      <c r="BB61" s="786"/>
      <c r="BC61" s="786"/>
      <c r="BD61" s="786"/>
      <c r="BE61" s="786"/>
      <c r="BF61" s="786"/>
      <c r="BG61" s="786"/>
      <c r="BH61" s="786"/>
      <c r="BI61" s="786"/>
      <c r="BJ61" s="786"/>
      <c r="BK61" s="786"/>
      <c r="BL61" s="786"/>
      <c r="BM61" s="786"/>
      <c r="BN61" s="786"/>
      <c r="BO61" s="786"/>
      <c r="BP61" s="786"/>
      <c r="BQ61" s="786"/>
      <c r="BR61" s="786"/>
      <c r="BS61" s="786"/>
      <c r="BT61" s="786"/>
      <c r="BU61" s="786"/>
      <c r="BV61" s="786"/>
      <c r="BW61" s="786"/>
      <c r="BX61" s="786"/>
      <c r="BY61" s="786"/>
      <c r="BZ61" s="786"/>
      <c r="CA61" s="786"/>
      <c r="CB61" s="786"/>
      <c r="CC61" s="786"/>
      <c r="CD61" s="786"/>
      <c r="CE61" s="786"/>
      <c r="CF61" s="786"/>
      <c r="CG61" s="786"/>
      <c r="CH61" s="786"/>
      <c r="CI61" s="786"/>
      <c r="CJ61" s="786"/>
      <c r="CK61" s="786"/>
      <c r="CL61" s="786"/>
      <c r="CM61" s="786"/>
      <c r="CN61" s="786"/>
      <c r="CO61" s="786"/>
      <c r="CP61" s="786"/>
      <c r="CQ61" s="786"/>
      <c r="CR61" s="786"/>
      <c r="CS61" s="786"/>
      <c r="CT61" s="786"/>
      <c r="CU61" s="786"/>
      <c r="CV61" s="786"/>
      <c r="CW61" s="786"/>
      <c r="CX61" s="786"/>
      <c r="CY61" s="786"/>
      <c r="CZ61" s="786"/>
      <c r="DA61" s="786"/>
      <c r="DB61" s="786"/>
      <c r="DC61" s="786"/>
      <c r="DD61" s="786"/>
      <c r="DE61" s="786"/>
      <c r="DF61" s="786"/>
      <c r="DG61" s="786"/>
      <c r="DH61" s="143"/>
      <c r="DI61" s="143"/>
      <c r="DJ61" s="651"/>
      <c r="DK61" s="651"/>
      <c r="DL61" s="651"/>
      <c r="DM61" s="651"/>
      <c r="DN61" s="651"/>
      <c r="DO61" s="651"/>
      <c r="DP61" s="651"/>
      <c r="DQ61" s="651"/>
      <c r="DR61" s="651"/>
      <c r="DS61" s="651"/>
      <c r="DT61" s="651"/>
      <c r="DU61" s="652"/>
      <c r="DV61" s="652"/>
      <c r="DW61" s="652"/>
      <c r="DX61" s="652"/>
      <c r="DY61" s="652"/>
      <c r="DZ61" s="652"/>
      <c r="EA61" s="652"/>
      <c r="EB61" s="652"/>
      <c r="EC61" s="652"/>
      <c r="ED61" s="528"/>
      <c r="EE61" s="528"/>
      <c r="EF61" s="528"/>
      <c r="EG61" s="528"/>
      <c r="EH61" s="528"/>
      <c r="EI61" s="528"/>
      <c r="EJ61" s="528"/>
      <c r="EK61" s="528"/>
      <c r="EL61" s="528"/>
      <c r="EM61" s="528"/>
      <c r="EN61" s="528"/>
      <c r="EO61" s="528"/>
      <c r="EP61" s="528"/>
      <c r="EQ61" s="528"/>
      <c r="ER61" s="528"/>
      <c r="ES61" s="528"/>
      <c r="ET61" s="528"/>
      <c r="EU61" s="528"/>
      <c r="EV61" s="528"/>
      <c r="EW61" s="528"/>
      <c r="EX61" s="528"/>
      <c r="EY61" s="528"/>
      <c r="EZ61" s="528"/>
      <c r="FA61" s="528"/>
      <c r="FB61" s="528"/>
      <c r="FC61" s="528"/>
      <c r="FD61" s="528"/>
      <c r="FE61" s="528"/>
      <c r="FF61" s="528"/>
      <c r="FG61" s="528"/>
      <c r="FH61" s="528"/>
      <c r="FI61" s="528"/>
      <c r="FJ61" s="528"/>
      <c r="FK61" s="528"/>
      <c r="FL61" s="528"/>
      <c r="FM61" s="528"/>
      <c r="FN61" s="528"/>
      <c r="FO61" s="528"/>
      <c r="FP61" s="528"/>
      <c r="FQ61" s="528"/>
      <c r="FR61" s="528"/>
      <c r="FS61" s="528"/>
      <c r="FT61" s="528"/>
      <c r="FU61" s="528"/>
      <c r="FV61" s="528"/>
      <c r="FW61" s="528"/>
      <c r="FX61" s="528"/>
      <c r="FY61" s="528"/>
      <c r="FZ61" s="528"/>
      <c r="GA61" s="528"/>
      <c r="GB61" s="528"/>
      <c r="GC61" s="528"/>
      <c r="GD61" s="528"/>
      <c r="GE61" s="528"/>
      <c r="GF61" s="528"/>
      <c r="GG61" s="528"/>
      <c r="GH61" s="528"/>
      <c r="GI61" s="528"/>
      <c r="GJ61" s="528"/>
      <c r="GK61" s="528"/>
      <c r="GL61" s="528"/>
      <c r="GM61" s="528"/>
      <c r="GN61" s="528"/>
      <c r="GO61" s="528"/>
      <c r="GP61" s="528"/>
      <c r="GQ61" s="528"/>
      <c r="GR61" s="528"/>
      <c r="GS61" s="528"/>
      <c r="GT61" s="528"/>
      <c r="GU61" s="528"/>
      <c r="GV61" s="528"/>
      <c r="GW61" s="528"/>
      <c r="GX61" s="528"/>
      <c r="GY61" s="528"/>
      <c r="GZ61" s="528"/>
      <c r="HA61" s="528"/>
      <c r="HB61" s="528"/>
      <c r="HC61" s="528"/>
      <c r="HD61" s="528"/>
      <c r="HE61" s="528"/>
      <c r="HF61" s="528"/>
      <c r="HG61" s="528"/>
      <c r="HH61" s="528"/>
      <c r="HI61" s="528"/>
      <c r="HJ61" s="528"/>
      <c r="HK61" s="528"/>
      <c r="HL61" s="528"/>
      <c r="HM61" s="528"/>
      <c r="HN61" s="528"/>
      <c r="HO61" s="528"/>
      <c r="HP61" s="528"/>
    </row>
    <row r="62" spans="1:224">
      <c r="DJ62" s="528"/>
      <c r="DK62" s="528"/>
      <c r="DL62" s="528"/>
      <c r="DM62" s="528"/>
      <c r="DN62" s="528"/>
      <c r="DO62" s="528"/>
      <c r="DP62" s="528"/>
      <c r="DQ62" s="528"/>
      <c r="DR62" s="528"/>
      <c r="DS62" s="528"/>
      <c r="DT62" s="528"/>
      <c r="DU62" s="528"/>
      <c r="DV62" s="528"/>
      <c r="DW62" s="528"/>
      <c r="DX62" s="528"/>
      <c r="DY62" s="528"/>
      <c r="DZ62" s="528"/>
      <c r="EA62" s="528"/>
      <c r="EB62" s="528"/>
      <c r="EC62" s="528"/>
      <c r="ED62" s="528"/>
      <c r="EE62" s="528"/>
      <c r="EF62" s="528"/>
      <c r="EG62" s="528"/>
      <c r="EH62" s="528"/>
      <c r="EI62" s="528"/>
      <c r="EJ62" s="528"/>
      <c r="EK62" s="528"/>
      <c r="EL62" s="528"/>
      <c r="EM62" s="528"/>
      <c r="EN62" s="528"/>
      <c r="EO62" s="528"/>
      <c r="EP62" s="528"/>
      <c r="EQ62" s="528"/>
      <c r="ER62" s="528"/>
      <c r="ES62" s="528"/>
      <c r="ET62" s="528"/>
      <c r="EU62" s="528"/>
      <c r="EV62" s="528"/>
      <c r="EW62" s="528"/>
      <c r="EX62" s="528"/>
      <c r="EY62" s="528"/>
      <c r="EZ62" s="528"/>
      <c r="FA62" s="528"/>
      <c r="FB62" s="528"/>
      <c r="FC62" s="528"/>
      <c r="FD62" s="528"/>
      <c r="FE62" s="528"/>
      <c r="FF62" s="528"/>
      <c r="FG62" s="528"/>
      <c r="FH62" s="528"/>
      <c r="FI62" s="528"/>
      <c r="FJ62" s="528"/>
      <c r="FK62" s="528"/>
      <c r="FL62" s="528"/>
      <c r="FM62" s="528"/>
      <c r="FN62" s="528"/>
      <c r="FO62" s="528"/>
      <c r="FP62" s="528"/>
      <c r="FQ62" s="528"/>
      <c r="FR62" s="528"/>
      <c r="FS62" s="528"/>
      <c r="FT62" s="528"/>
      <c r="FU62" s="528"/>
      <c r="FV62" s="528"/>
      <c r="FW62" s="528"/>
      <c r="FX62" s="528"/>
      <c r="FY62" s="528"/>
      <c r="FZ62" s="528"/>
      <c r="GA62" s="528"/>
      <c r="GB62" s="528"/>
      <c r="GC62" s="528"/>
      <c r="GD62" s="528"/>
      <c r="GE62" s="528"/>
      <c r="GF62" s="528"/>
      <c r="GG62" s="528"/>
      <c r="GH62" s="528"/>
      <c r="GI62" s="528"/>
      <c r="GJ62" s="528"/>
      <c r="GK62" s="528"/>
      <c r="GL62" s="528"/>
      <c r="GM62" s="528"/>
      <c r="GN62" s="528"/>
      <c r="GO62" s="528"/>
      <c r="GP62" s="528"/>
      <c r="GQ62" s="528"/>
      <c r="GR62" s="528"/>
      <c r="GS62" s="528"/>
      <c r="GT62" s="528"/>
      <c r="GU62" s="528"/>
      <c r="GV62" s="528"/>
      <c r="GW62" s="528"/>
      <c r="GX62" s="528"/>
      <c r="GY62" s="528"/>
      <c r="GZ62" s="528"/>
      <c r="HA62" s="528"/>
      <c r="HB62" s="528"/>
      <c r="HC62" s="528"/>
      <c r="HD62" s="528"/>
      <c r="HE62" s="528"/>
      <c r="HF62" s="528"/>
      <c r="HG62" s="528"/>
      <c r="HH62" s="528"/>
      <c r="HI62" s="528"/>
      <c r="HJ62" s="528"/>
      <c r="HK62" s="528"/>
      <c r="HL62" s="528"/>
      <c r="HM62" s="528"/>
      <c r="HN62" s="528"/>
      <c r="HO62" s="528"/>
      <c r="HP62" s="528"/>
    </row>
    <row r="63" spans="1:224" ht="39" customHeight="1">
      <c r="A63" s="779" t="s">
        <v>494</v>
      </c>
      <c r="B63" s="780"/>
      <c r="C63" s="145"/>
      <c r="D63" s="145"/>
      <c r="E63" s="781" t="s">
        <v>495</v>
      </c>
      <c r="F63" s="781"/>
      <c r="G63" s="781"/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  <c r="AF63" s="781"/>
      <c r="AG63" s="781"/>
      <c r="AH63" s="781"/>
      <c r="AI63" s="781"/>
      <c r="AJ63" s="781"/>
      <c r="AK63" s="781"/>
      <c r="AL63" s="781"/>
      <c r="AM63" s="781"/>
      <c r="AN63" s="781"/>
      <c r="AO63" s="781"/>
      <c r="AP63" s="781"/>
      <c r="AQ63" s="781"/>
      <c r="AR63" s="781"/>
      <c r="AS63" s="781"/>
      <c r="AT63" s="781"/>
      <c r="AU63" s="781"/>
      <c r="AV63" s="781"/>
      <c r="AW63" s="781"/>
      <c r="AX63" s="781"/>
      <c r="AY63" s="781"/>
      <c r="AZ63" s="781"/>
      <c r="BA63" s="781"/>
      <c r="BB63" s="781"/>
      <c r="BC63" s="781"/>
      <c r="BD63" s="781"/>
      <c r="BE63" s="781"/>
      <c r="BF63" s="781"/>
      <c r="BG63" s="781"/>
      <c r="BH63" s="781"/>
      <c r="BI63" s="781"/>
      <c r="BJ63" s="781"/>
      <c r="BK63" s="781"/>
      <c r="BL63" s="781"/>
      <c r="BM63" s="781"/>
      <c r="BN63" s="781"/>
      <c r="BO63" s="781"/>
      <c r="BP63" s="781"/>
      <c r="BQ63" s="781"/>
      <c r="BR63" s="781"/>
      <c r="BS63" s="781"/>
      <c r="BT63" s="781"/>
      <c r="BU63" s="781"/>
      <c r="BV63" s="781"/>
      <c r="BW63" s="781"/>
      <c r="BX63" s="781"/>
      <c r="BY63" s="781"/>
      <c r="BZ63" s="781"/>
      <c r="CA63" s="781"/>
      <c r="CB63" s="781"/>
      <c r="CC63" s="781"/>
      <c r="CD63" s="781"/>
      <c r="CE63" s="781"/>
      <c r="CF63" s="781"/>
      <c r="CG63" s="781"/>
      <c r="CH63" s="781"/>
      <c r="CI63" s="781"/>
      <c r="CJ63" s="781"/>
      <c r="CK63" s="781"/>
      <c r="CL63" s="781"/>
      <c r="CM63" s="781"/>
      <c r="CN63" s="781"/>
      <c r="CO63" s="781"/>
      <c r="CP63" s="781"/>
      <c r="CQ63" s="781"/>
      <c r="CR63" s="781"/>
      <c r="CS63" s="781"/>
      <c r="CT63" s="781"/>
      <c r="CU63" s="781"/>
      <c r="CV63" s="781"/>
      <c r="CW63" s="781"/>
      <c r="CX63" s="781"/>
      <c r="CY63" s="781"/>
      <c r="CZ63" s="781"/>
      <c r="DA63" s="781"/>
      <c r="DB63" s="781"/>
      <c r="DC63" s="781"/>
      <c r="DD63" s="781"/>
      <c r="DE63" s="781"/>
      <c r="DF63" s="781"/>
      <c r="DG63" s="781"/>
      <c r="DH63" s="781"/>
      <c r="DI63" s="781"/>
      <c r="DJ63" s="528"/>
      <c r="DK63" s="528"/>
      <c r="DL63" s="528"/>
      <c r="DM63" s="528"/>
      <c r="DN63" s="528"/>
      <c r="DO63" s="528"/>
      <c r="DP63" s="528"/>
      <c r="DQ63" s="528"/>
      <c r="DR63" s="528"/>
      <c r="DS63" s="528"/>
      <c r="DT63" s="528"/>
      <c r="DU63" s="528"/>
      <c r="DV63" s="528"/>
      <c r="DW63" s="528"/>
      <c r="DX63" s="528"/>
      <c r="DY63" s="528"/>
      <c r="DZ63" s="528"/>
      <c r="EA63" s="528"/>
      <c r="EB63" s="528"/>
      <c r="EC63" s="528"/>
      <c r="ED63" s="528"/>
      <c r="EE63" s="528"/>
      <c r="EF63" s="528"/>
      <c r="EG63" s="528"/>
      <c r="EH63" s="528"/>
      <c r="EI63" s="528"/>
      <c r="EJ63" s="528"/>
      <c r="EK63" s="528"/>
      <c r="EL63" s="528"/>
      <c r="EM63" s="528"/>
      <c r="EN63" s="528"/>
      <c r="EO63" s="528"/>
      <c r="EP63" s="528"/>
      <c r="EQ63" s="528"/>
      <c r="ER63" s="528"/>
      <c r="ES63" s="528"/>
      <c r="ET63" s="528"/>
      <c r="EU63" s="528"/>
      <c r="EV63" s="528"/>
      <c r="EW63" s="528"/>
      <c r="EX63" s="528"/>
      <c r="EY63" s="528"/>
      <c r="EZ63" s="528"/>
      <c r="FA63" s="528"/>
      <c r="FB63" s="528"/>
      <c r="FC63" s="528"/>
      <c r="FD63" s="528"/>
      <c r="FE63" s="528"/>
      <c r="FF63" s="528"/>
      <c r="FG63" s="528"/>
      <c r="FH63" s="528"/>
      <c r="FI63" s="528"/>
      <c r="FJ63" s="528"/>
      <c r="FK63" s="528"/>
      <c r="FL63" s="528"/>
      <c r="FM63" s="528"/>
      <c r="FN63" s="528"/>
      <c r="FO63" s="528"/>
      <c r="FP63" s="528"/>
      <c r="FQ63" s="528"/>
      <c r="FR63" s="528"/>
      <c r="FS63" s="528"/>
      <c r="FT63" s="528"/>
      <c r="FU63" s="528"/>
      <c r="FV63" s="528"/>
      <c r="FW63" s="528"/>
      <c r="FX63" s="528"/>
      <c r="FY63" s="528"/>
      <c r="FZ63" s="528"/>
      <c r="GA63" s="528"/>
      <c r="GB63" s="528"/>
      <c r="GC63" s="528"/>
      <c r="GD63" s="528"/>
      <c r="GE63" s="528"/>
      <c r="GF63" s="528"/>
      <c r="GG63" s="528"/>
      <c r="GH63" s="528"/>
      <c r="GI63" s="528"/>
      <c r="GJ63" s="528"/>
      <c r="GK63" s="528"/>
      <c r="GL63" s="528"/>
      <c r="GM63" s="528"/>
      <c r="GN63" s="528"/>
      <c r="GO63" s="528"/>
      <c r="GP63" s="528"/>
      <c r="GQ63" s="528"/>
      <c r="GR63" s="528"/>
      <c r="GS63" s="528"/>
      <c r="GT63" s="528"/>
      <c r="GU63" s="528"/>
      <c r="GV63" s="528"/>
      <c r="GW63" s="528"/>
      <c r="GX63" s="528"/>
      <c r="GY63" s="528"/>
      <c r="GZ63" s="528"/>
      <c r="HA63" s="528"/>
      <c r="HB63" s="528"/>
      <c r="HC63" s="528"/>
      <c r="HD63" s="528"/>
      <c r="HE63" s="528"/>
      <c r="HF63" s="528"/>
      <c r="HG63" s="528"/>
      <c r="HH63" s="528"/>
      <c r="HI63" s="528"/>
      <c r="HJ63" s="528"/>
      <c r="HK63" s="528"/>
      <c r="HL63" s="528"/>
      <c r="HM63" s="528"/>
      <c r="HN63" s="528">
        <v>1</v>
      </c>
      <c r="HO63" s="528"/>
      <c r="HP63" s="379" t="s">
        <v>399</v>
      </c>
    </row>
  </sheetData>
  <sheetProtection password="C09F" sheet="1" objects="1" scenarios="1"/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I29 U29 AG29 AS29 BE29 BQ29 CC29 CO29 DA29 DM29 DY29 EK29 EW29 FI29 FU29 GG29 GS29 HE29">
    <cfRule type="expression" dxfId="7" priority="3763" stopIfTrue="1">
      <formula>IF(AND(O29="К",I29&lt;&gt;8),TRUE,FALSE)</formula>
    </cfRule>
  </conditionalFormatting>
  <conditionalFormatting sqref="E29:E109 Q29:Q109 AC29:AC109 AO29:AO109 BA29:BA109 BM29:BM109 BY29:BY109 CK29:CK109 CW29:CW109 DI29:DI109 DU29:DU109 EG29:EG109 ES29:ES109 FE29:FE109 FQ29:FQ109 GC29:GC109 GO29:GO109 HA29:HA109">
    <cfRule type="expression" dxfId="6" priority="7417" stopIfTrue="1">
      <formula>IF(AND(O29="К",$B29&lt;&gt;"П",$B29&lt;&gt;"С",$A29&lt;&gt;"",$B29&lt;&gt;"В",OR(E29&gt;1400,E29&lt;600)),TRUE,FALSE)</formula>
    </cfRule>
    <cfRule type="expression" dxfId="5" priority="7416" stopIfTrue="1">
      <formula>IF(AND(E29="",F29&lt;&gt;"",O29&lt;&gt;"",$A29&lt;&gt;""),TRUE,FALSE)</formula>
    </cfRule>
  </conditionalFormatting>
  <conditionalFormatting sqref="F29:F109 R29:R109 AD29:AD109 AP29:AP109 BB29:BB109 BN29:BN109 BZ29:BZ109 CL29:CL109 CX29:CX109 DJ29:DJ109 DV29:DV109 EH29:EH109 ET29:ET109 FF29:FF109 FR29:FR109 GD29:GD109 GP29:GP109 HB29:HB109">
    <cfRule type="expression" dxfId="4" priority="2706" stopIfTrue="1">
      <formula>IF(AND(E29&lt;&gt;"",F29="",O29="",$A29&lt;&gt;""),TRUE,FALSE)</formula>
    </cfRule>
    <cfRule type="expression" dxfId="3" priority="2705" stopIfTrue="1">
      <formula>IF(AND(O29="К",$B29&lt;&gt;"П",$B29&lt;&gt;"С",$A29&lt;&gt;"",$B29&lt;&gt;"В",OR(F29&gt;2200,F29&lt;1400)),TRUE,FALSE)</formula>
    </cfRule>
  </conditionalFormatting>
  <conditionalFormatting sqref="O29:O109 AA29:AA109 AM29:AM109 AY29:AY109 BK29:BK109 BW29:BW109 CI29:CI109 CU29:CU109 DG29:DG109 DS29:DS109 EE29:EE109 EQ29:EQ109 FC29:FC109 FO29:FO109 GA29:GA109 GM29:GM109 GY29:GY109 HK29:HK109">
    <cfRule type="expression" dxfId="2" priority="4273" stopIfTrue="1">
      <formula>IF(AND(O29="К",I29&lt;&gt;8,$A29&lt;&gt;""),TRUE,FALSE)</formula>
    </cfRule>
    <cfRule type="expression" dxfId="1" priority="4274" stopIfTrue="1">
      <formula>IF(AND(E29&lt;&gt;"",F29&lt;&gt;"",O29="",$A29&lt;&gt;""),TRUE,FALSE)</formula>
    </cfRule>
    <cfRule type="expression" dxfId="0" priority="4275" stopIfTrue="1">
      <formula>IF(AND(OR(E29&lt;&gt;"",F29&lt;&gt;""),O29="",$A29&lt;&gt;""),TRUE,FALSE)</formula>
    </cfRule>
  </conditionalFormatting>
  <dataValidations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805" t="s">
        <v>400</v>
      </c>
      <c r="C4" s="806"/>
      <c r="D4" s="806"/>
      <c r="E4" s="806"/>
      <c r="F4" s="806"/>
      <c r="G4" s="806"/>
      <c r="H4" s="806"/>
      <c r="I4" s="806"/>
      <c r="J4" s="806"/>
      <c r="K4" s="806"/>
      <c r="L4" s="807"/>
      <c r="M4" s="482"/>
      <c r="N4" s="805" t="s">
        <v>401</v>
      </c>
      <c r="O4" s="806"/>
      <c r="P4" s="806"/>
      <c r="Q4" s="806"/>
      <c r="R4" s="806"/>
      <c r="S4" s="806"/>
      <c r="T4" s="806"/>
      <c r="U4" s="806"/>
      <c r="V4" s="806"/>
      <c r="W4" s="806"/>
      <c r="X4" s="807"/>
      <c r="Y4" s="482"/>
      <c r="Z4" s="805" t="s">
        <v>402</v>
      </c>
      <c r="AA4" s="806"/>
      <c r="AB4" s="806"/>
      <c r="AC4" s="806"/>
      <c r="AD4" s="806"/>
      <c r="AE4" s="806"/>
      <c r="AF4" s="806"/>
      <c r="AG4" s="806"/>
      <c r="AH4" s="806"/>
      <c r="AI4" s="806"/>
      <c r="AJ4" s="807"/>
      <c r="AK4" s="482"/>
      <c r="AL4" s="805" t="s">
        <v>403</v>
      </c>
      <c r="AM4" s="806"/>
      <c r="AN4" s="806"/>
      <c r="AO4" s="806"/>
      <c r="AP4" s="806"/>
      <c r="AQ4" s="806"/>
      <c r="AR4" s="806"/>
      <c r="AS4" s="806"/>
      <c r="AT4" s="806"/>
      <c r="AU4" s="806"/>
      <c r="AV4" s="807"/>
      <c r="AW4" s="482"/>
      <c r="AX4" s="805" t="s">
        <v>404</v>
      </c>
      <c r="AY4" s="806"/>
      <c r="AZ4" s="806"/>
      <c r="BA4" s="806"/>
      <c r="BB4" s="806"/>
      <c r="BC4" s="806"/>
      <c r="BD4" s="806"/>
      <c r="BE4" s="806"/>
      <c r="BF4" s="806"/>
      <c r="BG4" s="806"/>
      <c r="BH4" s="807"/>
      <c r="BI4" s="482"/>
      <c r="BJ4" s="805" t="s">
        <v>405</v>
      </c>
      <c r="BK4" s="806"/>
      <c r="BL4" s="806"/>
      <c r="BM4" s="806"/>
      <c r="BN4" s="806"/>
      <c r="BO4" s="806"/>
      <c r="BP4" s="806"/>
      <c r="BQ4" s="806"/>
      <c r="BR4" s="806"/>
      <c r="BS4" s="806"/>
      <c r="BT4" s="807"/>
      <c r="BU4" s="482"/>
      <c r="BV4" s="805" t="s">
        <v>406</v>
      </c>
      <c r="BW4" s="806"/>
      <c r="BX4" s="806"/>
      <c r="BY4" s="806"/>
      <c r="BZ4" s="806"/>
      <c r="CA4" s="806"/>
      <c r="CB4" s="806"/>
      <c r="CC4" s="806"/>
      <c r="CD4" s="806"/>
      <c r="CE4" s="806"/>
      <c r="CF4" s="807"/>
      <c r="CG4" s="482"/>
      <c r="CH4" s="805" t="s">
        <v>407</v>
      </c>
      <c r="CI4" s="806"/>
      <c r="CJ4" s="806"/>
      <c r="CK4" s="806"/>
      <c r="CL4" s="806"/>
      <c r="CM4" s="806"/>
      <c r="CN4" s="806"/>
      <c r="CO4" s="806"/>
      <c r="CP4" s="806"/>
      <c r="CQ4" s="806"/>
      <c r="CR4" s="807"/>
      <c r="CS4" s="482"/>
      <c r="CT4" s="805" t="s">
        <v>408</v>
      </c>
      <c r="CU4" s="806"/>
      <c r="CV4" s="806"/>
      <c r="CW4" s="806"/>
      <c r="CX4" s="806"/>
      <c r="CY4" s="806"/>
      <c r="CZ4" s="806"/>
      <c r="DA4" s="806"/>
      <c r="DB4" s="806"/>
      <c r="DC4" s="806"/>
      <c r="DD4" s="807"/>
      <c r="DE4" s="482"/>
      <c r="DF4" s="805" t="s">
        <v>409</v>
      </c>
      <c r="DG4" s="806"/>
      <c r="DH4" s="806"/>
      <c r="DI4" s="806"/>
      <c r="DJ4" s="806"/>
      <c r="DK4" s="806"/>
      <c r="DL4" s="806"/>
      <c r="DM4" s="806"/>
      <c r="DN4" s="806"/>
      <c r="DO4" s="806"/>
      <c r="DP4" s="807"/>
      <c r="DQ4" s="482"/>
      <c r="DR4" s="805" t="s">
        <v>410</v>
      </c>
      <c r="DS4" s="806"/>
      <c r="DT4" s="806"/>
      <c r="DU4" s="806"/>
      <c r="DV4" s="806"/>
      <c r="DW4" s="806"/>
      <c r="DX4" s="806"/>
      <c r="DY4" s="806"/>
      <c r="DZ4" s="806"/>
      <c r="EA4" s="806"/>
      <c r="EB4" s="807"/>
      <c r="EC4" s="482"/>
      <c r="ED4" s="805" t="s">
        <v>411</v>
      </c>
      <c r="EE4" s="806"/>
      <c r="EF4" s="806"/>
      <c r="EG4" s="806"/>
      <c r="EH4" s="806"/>
      <c r="EI4" s="806"/>
      <c r="EJ4" s="806"/>
      <c r="EK4" s="806"/>
      <c r="EL4" s="806"/>
      <c r="EM4" s="806"/>
      <c r="EN4" s="807"/>
      <c r="EO4" s="482"/>
      <c r="EP4" s="805" t="s">
        <v>412</v>
      </c>
      <c r="EQ4" s="806"/>
      <c r="ER4" s="806"/>
      <c r="ES4" s="806"/>
      <c r="ET4" s="806"/>
      <c r="EU4" s="806"/>
      <c r="EV4" s="806"/>
      <c r="EW4" s="806"/>
      <c r="EX4" s="806"/>
      <c r="EY4" s="806"/>
      <c r="EZ4" s="807"/>
      <c r="FA4" s="482"/>
      <c r="FB4" s="805" t="s">
        <v>413</v>
      </c>
      <c r="FC4" s="806"/>
      <c r="FD4" s="806"/>
      <c r="FE4" s="806"/>
      <c r="FF4" s="806"/>
      <c r="FG4" s="806"/>
      <c r="FH4" s="806"/>
      <c r="FI4" s="806"/>
      <c r="FJ4" s="806"/>
      <c r="FK4" s="806"/>
      <c r="FL4" s="807"/>
      <c r="FM4" s="482"/>
      <c r="FN4" s="805" t="s">
        <v>414</v>
      </c>
      <c r="FO4" s="806"/>
      <c r="FP4" s="806"/>
      <c r="FQ4" s="806"/>
      <c r="FR4" s="806"/>
      <c r="FS4" s="806"/>
      <c r="FT4" s="806"/>
      <c r="FU4" s="806"/>
      <c r="FV4" s="806"/>
      <c r="FW4" s="806"/>
      <c r="FX4" s="807"/>
      <c r="FY4" s="482"/>
      <c r="FZ4" s="805" t="s">
        <v>415</v>
      </c>
      <c r="GA4" s="806"/>
      <c r="GB4" s="806"/>
      <c r="GC4" s="806"/>
      <c r="GD4" s="806"/>
      <c r="GE4" s="806"/>
      <c r="GF4" s="806"/>
      <c r="GG4" s="806"/>
      <c r="GH4" s="806"/>
      <c r="GI4" s="806"/>
      <c r="GJ4" s="807"/>
      <c r="GK4" s="482"/>
      <c r="GL4" s="805" t="s">
        <v>416</v>
      </c>
      <c r="GM4" s="806"/>
      <c r="GN4" s="806"/>
      <c r="GO4" s="806"/>
      <c r="GP4" s="806"/>
      <c r="GQ4" s="806"/>
      <c r="GR4" s="806"/>
      <c r="GS4" s="806"/>
      <c r="GT4" s="806"/>
      <c r="GU4" s="806"/>
      <c r="GV4" s="807"/>
      <c r="GW4" s="482"/>
      <c r="GX4" s="805" t="s">
        <v>906</v>
      </c>
      <c r="GY4" s="806"/>
      <c r="GZ4" s="806"/>
      <c r="HA4" s="806"/>
      <c r="HB4" s="806"/>
      <c r="HC4" s="806"/>
      <c r="HD4" s="806"/>
      <c r="HE4" s="806"/>
      <c r="HF4" s="806"/>
      <c r="HG4" s="806"/>
      <c r="HH4" s="807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5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63"/>
  <sheetViews>
    <sheetView zoomScale="60" zoomScaleNormal="60" zoomScaleSheetLayoutView="70" workbookViewId="0">
      <selection activeCell="T1" sqref="T1:Y1048576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5"/>
      <c r="B1" s="675"/>
      <c r="C1" s="675"/>
      <c r="D1" s="675"/>
      <c r="E1" s="675"/>
      <c r="F1" s="675"/>
      <c r="G1" s="675"/>
      <c r="H1" s="675"/>
      <c r="I1" s="675"/>
      <c r="J1" s="675"/>
      <c r="K1" s="675"/>
      <c r="L1" s="675"/>
      <c r="M1" s="675"/>
      <c r="N1" s="675"/>
      <c r="O1" s="675"/>
      <c r="P1" s="675"/>
      <c r="Q1" s="675"/>
      <c r="R1" s="675"/>
      <c r="S1" s="675"/>
      <c r="T1" s="675"/>
    </row>
    <row r="2" spans="1:21" ht="23.25">
      <c r="A2" s="675"/>
      <c r="B2" s="675"/>
      <c r="C2" s="857" t="s">
        <v>2</v>
      </c>
      <c r="D2" s="857"/>
      <c r="E2" s="857"/>
      <c r="F2" s="857"/>
      <c r="G2" s="857"/>
      <c r="H2" s="857"/>
      <c r="I2" s="857"/>
      <c r="J2" s="676"/>
      <c r="K2" s="676"/>
      <c r="L2" s="676"/>
      <c r="M2" s="676"/>
      <c r="N2" s="676"/>
      <c r="O2" s="676"/>
      <c r="P2" s="676"/>
      <c r="Q2" s="677"/>
      <c r="R2" s="675"/>
      <c r="S2" s="675"/>
      <c r="T2" s="675"/>
    </row>
    <row r="3" spans="1:21" ht="23.25">
      <c r="A3" s="678"/>
      <c r="B3" s="675"/>
      <c r="C3" s="857" t="s">
        <v>3</v>
      </c>
      <c r="D3" s="857"/>
      <c r="E3" s="857"/>
      <c r="F3" s="857"/>
      <c r="G3" s="857"/>
      <c r="H3" s="857"/>
      <c r="I3" s="857"/>
      <c r="J3" s="676"/>
      <c r="K3" s="676"/>
      <c r="L3" s="676"/>
      <c r="M3" s="676"/>
      <c r="N3" s="676"/>
      <c r="O3" s="676"/>
      <c r="P3" s="676"/>
      <c r="Q3" s="677"/>
      <c r="R3" s="675"/>
      <c r="S3" s="675"/>
      <c r="T3" s="675"/>
    </row>
    <row r="4" spans="1:21" ht="23.25">
      <c r="A4" s="675"/>
      <c r="B4" s="675"/>
      <c r="C4" s="858">
        <f>'Настройки УИК'!$C$26</f>
        <v>0</v>
      </c>
      <c r="D4" s="859"/>
      <c r="E4" s="859"/>
      <c r="F4" s="859"/>
      <c r="G4" s="859"/>
      <c r="H4" s="859"/>
      <c r="I4" s="859"/>
      <c r="J4" s="679"/>
      <c r="K4" s="860"/>
      <c r="L4" s="860"/>
      <c r="M4" s="680"/>
      <c r="N4" s="863">
        <f>'Настройки УИК'!$I$43</f>
        <v>0</v>
      </c>
      <c r="O4" s="863"/>
      <c r="P4" s="863"/>
      <c r="Q4" s="863"/>
      <c r="R4" s="863"/>
      <c r="S4" s="675"/>
      <c r="T4" s="675"/>
      <c r="U4" s="440">
        <f>'Настройки ТИК'!$H$17</f>
        <v>0</v>
      </c>
    </row>
    <row r="5" spans="1:21" ht="18.75" customHeight="1">
      <c r="A5" s="675"/>
      <c r="B5" s="675"/>
      <c r="C5" s="861" t="s">
        <v>4</v>
      </c>
      <c r="D5" s="861"/>
      <c r="E5" s="861"/>
      <c r="F5" s="861"/>
      <c r="G5" s="861"/>
      <c r="H5" s="861"/>
      <c r="I5" s="861"/>
      <c r="J5" s="681"/>
      <c r="K5" s="862" t="s">
        <v>5</v>
      </c>
      <c r="L5" s="862"/>
      <c r="M5" s="681"/>
      <c r="N5" s="862" t="s">
        <v>6</v>
      </c>
      <c r="O5" s="862"/>
      <c r="P5" s="862"/>
      <c r="Q5" s="862"/>
      <c r="R5" s="862"/>
      <c r="S5" s="675"/>
      <c r="T5" s="675"/>
    </row>
    <row r="6" spans="1:21" ht="12.75" customHeight="1">
      <c r="A6" s="675"/>
      <c r="B6" s="675"/>
      <c r="C6" s="677"/>
      <c r="D6" s="677"/>
      <c r="E6" s="677"/>
      <c r="F6" s="677"/>
      <c r="G6" s="677"/>
      <c r="H6" s="677"/>
      <c r="I6" s="677"/>
      <c r="J6" s="677"/>
      <c r="K6" s="677"/>
      <c r="L6" s="677"/>
      <c r="M6" s="677"/>
      <c r="N6" s="677"/>
      <c r="O6" s="677"/>
      <c r="P6" s="677"/>
      <c r="Q6" s="677"/>
      <c r="R6" s="675"/>
      <c r="S6" s="675"/>
      <c r="T6" s="675"/>
    </row>
    <row r="7" spans="1:21" ht="23.25">
      <c r="A7" s="675"/>
      <c r="B7" s="675"/>
      <c r="C7" s="857" t="s">
        <v>7</v>
      </c>
      <c r="D7" s="857"/>
      <c r="E7" s="857"/>
      <c r="F7" s="857"/>
      <c r="G7" s="857"/>
      <c r="H7" s="857"/>
      <c r="I7" s="857"/>
      <c r="J7" s="857"/>
      <c r="K7" s="857"/>
      <c r="L7" s="857"/>
      <c r="M7" s="857"/>
      <c r="N7" s="857"/>
      <c r="O7" s="857"/>
      <c r="P7" s="857"/>
      <c r="Q7" s="857"/>
      <c r="R7" s="675"/>
      <c r="S7" s="675"/>
      <c r="T7" s="675"/>
    </row>
    <row r="8" spans="1:21" ht="23.25">
      <c r="A8" s="675"/>
      <c r="B8" s="675"/>
      <c r="C8" s="857" t="s">
        <v>8</v>
      </c>
      <c r="D8" s="857"/>
      <c r="E8" s="857"/>
      <c r="F8" s="857"/>
      <c r="G8" s="857"/>
      <c r="H8" s="857"/>
      <c r="I8" s="857"/>
      <c r="J8" s="857"/>
      <c r="K8" s="857"/>
      <c r="L8" s="857"/>
      <c r="M8" s="857"/>
      <c r="N8" s="857"/>
      <c r="O8" s="857"/>
      <c r="P8" s="857"/>
      <c r="Q8" s="857"/>
      <c r="R8" s="675"/>
      <c r="S8" s="675"/>
      <c r="T8" s="675"/>
    </row>
    <row r="9" spans="1:21" ht="23.25">
      <c r="A9" s="675"/>
      <c r="B9" s="859">
        <f>'Настройки УИК'!$C$26</f>
        <v>0</v>
      </c>
      <c r="C9" s="859"/>
      <c r="D9" s="859"/>
      <c r="E9" s="859"/>
      <c r="F9" s="859"/>
      <c r="G9" s="859"/>
      <c r="H9" s="859"/>
      <c r="I9" s="859"/>
      <c r="J9" s="859"/>
      <c r="K9" s="859"/>
      <c r="L9" s="859"/>
      <c r="M9" s="859"/>
      <c r="N9" s="859"/>
      <c r="O9" s="859"/>
      <c r="P9" s="859"/>
      <c r="Q9" s="859"/>
      <c r="R9" s="859"/>
      <c r="S9" s="675"/>
      <c r="T9" s="675"/>
    </row>
    <row r="10" spans="1:21" ht="18.75">
      <c r="A10" s="675"/>
      <c r="B10" s="861" t="s">
        <v>4</v>
      </c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675"/>
      <c r="T10" s="675"/>
    </row>
    <row r="11" spans="1:21" ht="6" customHeight="1">
      <c r="A11" s="675"/>
      <c r="B11" s="675"/>
      <c r="C11" s="677"/>
      <c r="D11" s="677"/>
      <c r="E11" s="677"/>
      <c r="F11" s="677"/>
      <c r="G11" s="677"/>
      <c r="H11" s="677"/>
      <c r="I11" s="677"/>
      <c r="J11" s="677"/>
      <c r="K11" s="677"/>
      <c r="L11" s="677"/>
      <c r="M11" s="677"/>
      <c r="N11" s="677"/>
      <c r="O11" s="677"/>
      <c r="P11" s="677"/>
      <c r="Q11" s="677"/>
      <c r="R11" s="675"/>
      <c r="S11" s="675"/>
      <c r="T11" s="675"/>
    </row>
    <row r="12" spans="1:21" ht="23.25">
      <c r="A12" s="675"/>
      <c r="B12" s="857" t="s">
        <v>9</v>
      </c>
      <c r="C12" s="857"/>
      <c r="D12" s="857"/>
      <c r="E12" s="857"/>
      <c r="F12" s="857"/>
      <c r="G12" s="857"/>
      <c r="H12" s="857"/>
      <c r="I12" s="857"/>
      <c r="J12" s="857"/>
      <c r="K12" s="857"/>
      <c r="L12" s="857"/>
      <c r="M12" s="857"/>
      <c r="N12" s="857"/>
      <c r="O12" s="857"/>
      <c r="P12" s="857"/>
      <c r="Q12" s="857"/>
      <c r="R12" s="857"/>
      <c r="S12" s="675"/>
      <c r="T12" s="675"/>
    </row>
    <row r="13" spans="1:21" ht="61.5" customHeight="1">
      <c r="A13" s="675"/>
      <c r="B13" s="859">
        <f>'Настройки ТИК'!$B$9:$C$9</f>
        <v>0</v>
      </c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675"/>
      <c r="T13" s="675"/>
    </row>
    <row r="14" spans="1:21" ht="6" customHeight="1">
      <c r="A14" s="675"/>
      <c r="B14" s="675"/>
      <c r="C14" s="677"/>
      <c r="D14" s="677"/>
      <c r="E14" s="677"/>
      <c r="F14" s="677"/>
      <c r="G14" s="677"/>
      <c r="H14" s="677"/>
      <c r="I14" s="677"/>
      <c r="J14" s="677"/>
      <c r="K14" s="677"/>
      <c r="L14" s="677"/>
      <c r="M14" s="677"/>
      <c r="N14" s="677"/>
      <c r="O14" s="677"/>
      <c r="P14" s="677"/>
      <c r="Q14" s="677"/>
      <c r="R14" s="675"/>
      <c r="S14" s="675"/>
      <c r="T14" s="675"/>
    </row>
    <row r="15" spans="1:21" ht="23.25">
      <c r="A15" s="675"/>
      <c r="B15" s="859" t="str">
        <f>IF('Сведения ФОВ'!$E$14="","",('Сведения ФОВ'!$E$14))</f>
        <v/>
      </c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675"/>
      <c r="T15" s="675"/>
    </row>
    <row r="16" spans="1:21" ht="18.75">
      <c r="A16" s="675"/>
      <c r="B16" s="675"/>
      <c r="C16" s="861" t="s">
        <v>10</v>
      </c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675"/>
      <c r="S16" s="675"/>
      <c r="T16" s="675"/>
    </row>
    <row r="17" spans="1:21" ht="11.25" customHeight="1">
      <c r="A17" s="675"/>
      <c r="B17" s="675"/>
      <c r="C17" s="681"/>
      <c r="D17" s="681"/>
      <c r="E17" s="681"/>
      <c r="F17" s="681"/>
      <c r="G17" s="681"/>
      <c r="H17" s="681"/>
      <c r="I17" s="681"/>
      <c r="J17" s="681"/>
      <c r="K17" s="681"/>
      <c r="L17" s="681"/>
      <c r="M17" s="681"/>
      <c r="N17" s="681"/>
      <c r="O17" s="681"/>
      <c r="P17" s="681"/>
      <c r="Q17" s="681"/>
      <c r="R17" s="675"/>
      <c r="S17" s="675"/>
      <c r="T17" s="675"/>
    </row>
    <row r="18" spans="1:21" ht="23.25" customHeight="1">
      <c r="A18" s="675"/>
      <c r="B18" s="675"/>
      <c r="C18" s="678"/>
      <c r="D18" s="678"/>
      <c r="E18" s="681"/>
      <c r="F18" s="681"/>
      <c r="G18" s="681"/>
      <c r="H18" s="682" t="s">
        <v>11</v>
      </c>
      <c r="I18" s="859" t="e">
        <f ca="1">IF('Настройки ТИК'!$I$17='Настройки ТИК'!$J$17,'Настройки ТИК'!$I$17,'Настройки ТИК'!$I$17&amp;"-"&amp;'Настройки ТИК'!$J$17)</f>
        <v>#VALUE!</v>
      </c>
      <c r="J18" s="859"/>
      <c r="K18" s="859"/>
      <c r="L18" s="683" t="str">
        <f>'Настройки ТИК'!$I$15</f>
        <v/>
      </c>
      <c r="M18" s="684" t="s">
        <v>152</v>
      </c>
      <c r="N18" s="681"/>
      <c r="O18" s="681"/>
      <c r="P18" s="681"/>
      <c r="Q18" s="681"/>
      <c r="R18" s="675"/>
      <c r="S18" s="675"/>
      <c r="T18" s="675"/>
      <c r="U18" s="527" t="str">
        <f>TEXT('Настройки ТИК'!C17,"ММММ")</f>
        <v>Январь</v>
      </c>
    </row>
    <row r="19" spans="1:21" ht="18.75">
      <c r="A19" s="675"/>
      <c r="B19" s="675"/>
      <c r="C19" s="681"/>
      <c r="D19" s="681"/>
      <c r="E19" s="681"/>
      <c r="F19" s="681"/>
      <c r="G19" s="681"/>
      <c r="H19" s="681"/>
      <c r="I19" s="862" t="s">
        <v>149</v>
      </c>
      <c r="J19" s="862"/>
      <c r="K19" s="862"/>
      <c r="L19" s="681"/>
      <c r="M19" s="681"/>
      <c r="N19" s="681"/>
      <c r="O19" s="681"/>
      <c r="P19" s="681"/>
      <c r="Q19" s="681"/>
      <c r="R19" s="675"/>
      <c r="S19" s="675"/>
      <c r="T19" s="675"/>
      <c r="U19" s="527" t="str">
        <f>TEXT('Настройки ТИК'!D17,"ММММ")</f>
        <v>Январь</v>
      </c>
    </row>
    <row r="20" spans="1:21" ht="6.75" customHeight="1">
      <c r="A20" s="675"/>
      <c r="B20" s="675"/>
      <c r="C20" s="675"/>
      <c r="D20" s="675"/>
      <c r="E20" s="675"/>
      <c r="F20" s="675"/>
      <c r="G20" s="675"/>
      <c r="H20" s="675"/>
      <c r="I20" s="675"/>
      <c r="J20" s="675"/>
      <c r="K20" s="675"/>
      <c r="L20" s="675"/>
      <c r="M20" s="675"/>
      <c r="N20" s="675"/>
      <c r="O20" s="675"/>
      <c r="P20" s="675"/>
      <c r="Q20" s="675"/>
      <c r="R20" s="675"/>
      <c r="S20" s="675"/>
      <c r="T20" s="675"/>
    </row>
    <row r="21" spans="1:21" ht="18.75">
      <c r="A21" s="868" t="s">
        <v>0</v>
      </c>
      <c r="B21" s="869"/>
      <c r="C21" s="872" t="s">
        <v>1</v>
      </c>
      <c r="D21" s="872"/>
      <c r="E21" s="872"/>
      <c r="F21" s="872"/>
      <c r="G21" s="872"/>
      <c r="H21" s="872"/>
      <c r="I21" s="872"/>
      <c r="J21" s="872"/>
      <c r="K21" s="872"/>
      <c r="L21" s="872"/>
      <c r="M21" s="872"/>
      <c r="N21" s="872"/>
      <c r="O21" s="872"/>
      <c r="P21" s="872"/>
      <c r="Q21" s="872"/>
      <c r="R21" s="872"/>
      <c r="S21" s="872"/>
      <c r="T21" s="872"/>
    </row>
    <row r="22" spans="1:21" ht="76.5" customHeight="1">
      <c r="A22" s="870"/>
      <c r="B22" s="871"/>
      <c r="C22" s="685" t="str">
        <f ca="1">'Сведения ФОВ'!E20</f>
        <v/>
      </c>
      <c r="D22" s="685" t="str">
        <f ca="1">'Сведения ФОВ'!Q20</f>
        <v/>
      </c>
      <c r="E22" s="685" t="str">
        <f ca="1">'Сведения ФОВ'!AC20</f>
        <v>Склонение по падежам УИК</v>
      </c>
      <c r="F22" s="685" t="str">
        <f ca="1">'Сведения ФОВ'!AO20</f>
        <v>для печати документов</v>
      </c>
      <c r="G22" s="685" t="str">
        <f ca="1">'Сведения ФОВ'!BA20</f>
        <v xml:space="preserve">Родительный </v>
      </c>
      <c r="H22" s="685" t="str">
        <f ca="1">'Сведения ФОВ'!BM20</f>
        <v xml:space="preserve">Дательный </v>
      </c>
      <c r="I22" s="685" t="str">
        <f ca="1">'Сведения ФОВ'!BY20</f>
        <v>Творительный</v>
      </c>
      <c r="J22" s="685" t="str">
        <f ca="1">'Сведения ФОВ'!CK20</f>
        <v>Винительный</v>
      </c>
      <c r="K22" s="685" t="str">
        <f ca="1">'Сведения ФОВ'!CW20</f>
        <v/>
      </c>
      <c r="L22" s="685" t="str">
        <f ca="1">'Сведения ФОВ'!DI20</f>
        <v/>
      </c>
      <c r="M22" s="685" t="str">
        <f ca="1">'Сведения ФОВ'!DU20</f>
        <v/>
      </c>
      <c r="N22" s="685" t="str">
        <f ca="1">'Сведения ФОВ'!EG20</f>
        <v>Должности</v>
      </c>
      <c r="O22" s="685" t="str">
        <f ca="1">'Сведения ФОВ'!ES20</f>
        <v/>
      </c>
      <c r="P22" s="685" t="str">
        <f ca="1">'Сведения ФОВ'!FE20</f>
        <v>Председатель</v>
      </c>
      <c r="Q22" s="685" t="str">
        <f ca="1">'Сведения ФОВ'!FQ20</f>
        <v/>
      </c>
      <c r="R22" s="685" t="str">
        <f ca="1">'Сведения ФОВ'!GC20</f>
        <v/>
      </c>
      <c r="S22" s="685" t="str">
        <f ca="1">'Сведения ФОВ'!GO20</f>
        <v/>
      </c>
      <c r="T22" s="685" t="str">
        <f ca="1">'Сведения ФОВ'!HA20</f>
        <v/>
      </c>
    </row>
    <row r="23" spans="1:21" ht="18.75">
      <c r="A23" s="873" t="s">
        <v>399</v>
      </c>
      <c r="B23" s="874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87.75" customHeight="1">
      <c r="A24" s="407"/>
      <c r="B24" s="408"/>
      <c r="C24" s="160" t="str">
        <f ca="1">IF(INDIRECT("'Сведения ФОВ'!$I"&amp;28+U24)=0,"",(INDIRECT("'Сведения ФОВ'!$I"&amp;28+U24)&amp;CHAR(10)&amp;INDIRECT("'Сведения ФОВ'!$G"&amp;28+U24)&amp;"-"&amp;INDIRECT("'Сведения ФОВ'!$H"&amp;28+U24)&amp;CHAR(10)&amp;INDIRECT("'Сведения ФОВ'!$O"&amp;28+U24)))</f>
        <v/>
      </c>
      <c r="D24" s="160" t="str">
        <f ca="1">IF(INDIRECT("'Сведения ФОВ'!U"&amp;28+U24)=0,"",(INDIRECT("'Сведения ФОВ'!U"&amp;28+U24)&amp;CHAR(10)&amp;INDIRECT("'Сведения ФОВ'!S"&amp;28+U24)&amp;"-"&amp;INDIRECT("'Сведения ФОВ'!T"&amp;28+U24)&amp;CHAR(10)&amp;INDIRECT("'Сведения ФОВ'!AA"&amp;28+U24)))</f>
        <v/>
      </c>
      <c r="E24" s="160" t="str">
        <f ca="1">IF(INDIRECT("'Сведения ФОВ'!AG"&amp;28+U24)=0,"",(INDIRECT("'Сведения ФОВ'!AG"&amp;28+U24)&amp;CHAR(10)&amp;INDIRECT("'Сведения ФОВ'!AE"&amp;28+U24)&amp;"-"&amp;INDIRECT("'Сведения ФОВ'!AF"&amp;28+U24)&amp;CHAR(10)&amp;INDIRECT("'Сведения ФОВ'!AM"&amp;28+U24)))</f>
        <v/>
      </c>
      <c r="F24" s="160" t="str">
        <f ca="1">IF(INDIRECT("'Сведения ФОВ'!AS"&amp;28+U24)=0,"",(INDIRECT("'Сведения ФОВ'!AS"&amp;28+U24)&amp;CHAR(10)&amp;INDIRECT("'Сведения ФОВ'!AQ"&amp;28+U24)&amp;"-"&amp;INDIRECT("'Сведения ФОВ'!AR"&amp;28+U24)&amp;CHAR(10)&amp;INDIRECT("'Сведения ФОВ'!AY"&amp;28+U24)))</f>
        <v/>
      </c>
      <c r="G24" s="160" t="str">
        <f ca="1">IF(INDIRECT("'Сведения ФОВ'!BE"&amp;28+U24)=0,"",(INDIRECT("'Сведения ФОВ'!BE"&amp;28+U24)&amp;CHAR(10)&amp;INDIRECT("'Сведения ФОВ'!BC"&amp;28+U24)&amp;"-"&amp;INDIRECT("'Сведения ФОВ'!BD"&amp;28+U24)&amp;CHAR(10)&amp;INDIRECT("'Сведения ФОВ'!BK"&amp;28+U24)))</f>
        <v/>
      </c>
      <c r="H24" s="160" t="str">
        <f ca="1">IF(INDIRECT("'Сведения ФОВ'!BQ"&amp;28+U24)=0,"",(INDIRECT("'Сведения ФОВ'!BQ"&amp;28+U24)&amp;CHAR(10)&amp;INDIRECT("'Сведения ФОВ'!BO"&amp;28+U24)&amp;"-"&amp;INDIRECT("'Сведения ФОВ'!BP"&amp;28+U24)&amp;CHAR(10)&amp;INDIRECT("'Сведения ФОВ'!BW"&amp;28+U24)))</f>
        <v/>
      </c>
      <c r="I24" s="160" t="str">
        <f ca="1">IF(INDIRECT("'Сведения ФОВ'!CC"&amp;28+U24)=0,"",(INDIRECT("'Сведения ФОВ'!CC"&amp;28+U24)&amp;CHAR(10)&amp;INDIRECT("'Сведения ФОВ'!CA"&amp;28+U24)&amp;"-"&amp;INDIRECT("'Сведения ФОВ'!CB"&amp;28+U24)&amp;CHAR(10)&amp;INDIRECT("'Сведения ФОВ'!CI"&amp;28+U24)))</f>
        <v/>
      </c>
      <c r="J24" s="160" t="str">
        <f ca="1">IF(INDIRECT("'Сведения ФОВ'!CO"&amp;28+U24)=0,"",(INDIRECT("'Сведения ФОВ'!CO"&amp;28+U24)&amp;CHAR(10)&amp;INDIRECT("'Сведения ФОВ'!CM"&amp;28+U24)&amp;"-"&amp;INDIRECT("'Сведения ФОВ'!CN"&amp;28+U24)&amp;CHAR(10)&amp;INDIRECT("'Сведения ФОВ'!CU"&amp;28+U24)))</f>
        <v/>
      </c>
      <c r="K24" s="160" t="str">
        <f ca="1">IF(INDIRECT("'Сведения ФОВ'!DA"&amp;28+U24)=0,"",(INDIRECT("'Сведения ФОВ'!DA"&amp;28+U24)&amp;CHAR(10)&amp;INDIRECT("'Сведения ФОВ'!CY"&amp;28+U24)&amp;"-"&amp;INDIRECT("'Сведения ФОВ'!CZ"&amp;28+U24)&amp;CHAR(10)&amp;INDIRECT("'Сведения ФОВ'!DG"&amp;28+U24)))</f>
        <v/>
      </c>
      <c r="L24" s="160" t="str">
        <f ca="1">IF(INDIRECT("'Сведения ФОВ'!DM"&amp;28+U24)=0,"",(INDIRECT("'Сведения ФОВ'!DM"&amp;28+U24)&amp;CHAR(10)&amp;INDIRECT("'Сведения ФОВ'!DK"&amp;28+U24)&amp;"-"&amp;INDIRECT("'Сведения ФОВ'!DL"&amp;28+U24)&amp;CHAR(10)&amp;INDIRECT("'Сведения ФОВ'!DS"&amp;28+U24)))</f>
        <v/>
      </c>
      <c r="M24" s="160" t="str">
        <f ca="1">IF(INDIRECT("'Сведения ФОВ'!DY"&amp;28+U24)=0,"",(INDIRECT("'Сведения ФОВ'!DY"&amp;28+U24)&amp;CHAR(10)&amp;INDIRECT("'Сведения ФОВ'!DW"&amp;28+U24)&amp;"-"&amp;INDIRECT("'Сведения ФОВ'!DX"&amp;28+U24)&amp;CHAR(10)&amp;INDIRECT("'Сведения ФОВ'!EE"&amp;28+U24)))</f>
        <v/>
      </c>
      <c r="N24" s="160" t="str">
        <f ca="1">IF(INDIRECT("'Сведения ФОВ'!EK"&amp;28+U24)=0,"",(INDIRECT("'Сведения ФОВ'!EK"&amp;28+U24)&amp;CHAR(10)&amp;INDIRECT("'Сведения ФОВ'!EI"&amp;28+U24)&amp;"-"&amp;INDIRECT("'Сведения ФОВ'!EJ"&amp;28+U24)&amp;CHAR(10)&amp;INDIRECT("'Сведения ФОВ'!EQ"&amp;28+U24)))</f>
        <v/>
      </c>
      <c r="O24" s="160" t="str">
        <f ca="1">IF(INDIRECT("'Сведения ФОВ'!EW"&amp;28+U24)=0,"",(INDIRECT("'Сведения ФОВ'!EW"&amp;28+U24)&amp;CHAR(10)&amp;INDIRECT("'Сведения ФОВ'!EU"&amp;28+U24)&amp;"-"&amp;INDIRECT("'Сведения ФОВ'!EV"&amp;28+U24)&amp;CHAR(10)&amp;INDIRECT("'Сведения ФОВ'!FC"&amp;28+U24)))</f>
        <v/>
      </c>
      <c r="P24" s="160" t="str">
        <f ca="1">IF(INDIRECT("'Сведения ФОВ'!FI"&amp;28+U24)=0,"",(INDIRECT("'Сведения ФОВ'!FI"&amp;28+U24)&amp;CHAR(10)&amp;INDIRECT("'Сведения ФОВ'!FG"&amp;28+U24)&amp;"-"&amp;INDIRECT("'Сведения ФОВ'!FH"&amp;28+U24)&amp;CHAR(10)&amp;INDIRECT("'Сведения ФОВ'!FO"&amp;28+U24)))</f>
        <v/>
      </c>
      <c r="Q24" s="160" t="str">
        <f ca="1">IF(INDIRECT("'Сведения ФОВ'!FU"&amp;28+U24)=0,"",(INDIRECT("'Сведения ФОВ'!FU"&amp;28+U24)&amp;CHAR(10)&amp;INDIRECT("'Сведения ФОВ'!FS"&amp;28+U24)&amp;"-"&amp;INDIRECT("'Сведения ФОВ'!FT"&amp;28+U24)&amp;CHAR(10)&amp;INDIRECT("'Сведения ФОВ'!GA"&amp;28+U24)))</f>
        <v/>
      </c>
      <c r="R24" s="160" t="str">
        <f ca="1">IF(INDIRECT("'Сведения ФОВ'!GG"&amp;28+U24)=0,"",(INDIRECT("'Сведения ФОВ'!GG"&amp;28+U24)&amp;CHAR(10)&amp;INDIRECT("'Сведения ФОВ'!GE"&amp;28+U24)&amp;"-"&amp;INDIRECT("'Сведения ФОВ'!GF"&amp;28+U24)&amp;CHAR(10)&amp;INDIRECT("'Сведения ФОВ'!GM"&amp;28+U24)))</f>
        <v/>
      </c>
      <c r="S24" s="160" t="str">
        <f ca="1">IF(INDIRECT("'Сведения ФОВ'!GS"&amp;28+U24)=0,"",(INDIRECT("'Сведения ФОВ'!GS"&amp;28+U24)&amp;CHAR(10)&amp;INDIRECT("'Сведения ФОВ'!GQ"&amp;28+U24)&amp;"-"&amp;INDIRECT("'Сведения ФОВ'!GR"&amp;28+U24)&amp;CHAR(10)&amp;INDIRECT("'Сведения ФОВ'!GY"&amp;28+U24)))</f>
        <v/>
      </c>
      <c r="T24" s="160" t="str">
        <f ca="1">IF(INDIRECT("'Сведения ФОВ'!HE"&amp;28+U24)=0,"",(INDIRECT("'Сведения ФОВ'!HE"&amp;28+U24)&amp;CHAR(10)&amp;INDIRECT("'Сведения ФОВ'!HC"&amp;28+U24)&amp;"-"&amp;INDIRECT("'Сведения ФОВ'!HD"&amp;28+U24)&amp;CHAR(10)&amp;INDIRECT("'Сведения ФОВ'!HK"&amp;28+U24)))</f>
        <v/>
      </c>
    </row>
    <row r="25" spans="1:21" ht="30.75" customHeight="1">
      <c r="A25" s="864" t="s">
        <v>12</v>
      </c>
      <c r="B25" s="865"/>
      <c r="C25" s="281">
        <f ca="1">INDIRECT("'Сведения ФОВ'!E"&amp;MROUND(N($U$4),1)+30)</f>
        <v>0</v>
      </c>
      <c r="D25" s="281">
        <f ca="1">INDIRECT("'Сведения ФОВ'!Q"&amp;MROUND(N($U$4),1)+30)</f>
        <v>0</v>
      </c>
      <c r="E25" s="281">
        <f ca="1">INDIRECT("'Сведения ФОВ'!AC"&amp;MROUND(N($U$4),1)+30)</f>
        <v>0</v>
      </c>
      <c r="F25" s="281">
        <f ca="1">INDIRECT("'Сведения ФОВ'!AO"&amp;MROUND(N($U$4),1)+30)</f>
        <v>0</v>
      </c>
      <c r="G25" s="281">
        <f ca="1">INDIRECT("'Сведения ФОВ'!BA"&amp;MROUND(N($U$4),1)+30)</f>
        <v>0</v>
      </c>
      <c r="H25" s="281">
        <f ca="1">INDIRECT("'Сведения ФОВ'!BM"&amp;MROUND(N($U$4),1)+30)</f>
        <v>0</v>
      </c>
      <c r="I25" s="281">
        <f ca="1">INDIRECT("'Сведения ФОВ'!BY"&amp;MROUND(N($U$4),1)+30)</f>
        <v>0</v>
      </c>
      <c r="J25" s="281">
        <f ca="1">INDIRECT("'Сведения ФОВ'!CK"&amp;MROUND(N($U$4),1)+30)</f>
        <v>0</v>
      </c>
      <c r="K25" s="281">
        <f ca="1">INDIRECT("'Сведения ФОВ'!CW"&amp;MROUND(N($U$4),1)+30)</f>
        <v>0</v>
      </c>
      <c r="L25" s="281">
        <f ca="1">INDIRECT("'Сведения ФОВ'!DI"&amp;MROUND(N($U$4),1)+30)</f>
        <v>0</v>
      </c>
      <c r="M25" s="281">
        <f ca="1">INDIRECT("'Сведения ФОВ'!DU"&amp;MROUND(N($U$4),1)+30)</f>
        <v>0</v>
      </c>
      <c r="N25" s="281">
        <f ca="1">INDIRECT("'Сведения ФОВ'!EG"&amp;MROUND(N($U$4),1)+30)</f>
        <v>0</v>
      </c>
      <c r="O25" s="281">
        <f ca="1">INDIRECT("'Сведения ФОВ'!ES"&amp;MROUND(N($U$4),1)+30)</f>
        <v>0</v>
      </c>
      <c r="P25" s="281">
        <f ca="1">INDIRECT("'Сведения ФОВ'!FE"&amp;MROUND(N($U$4),1)+30)</f>
        <v>0</v>
      </c>
      <c r="Q25" s="281">
        <f ca="1">INDIRECT("'Сведения ФОВ'!FQ"&amp;MROUND(N($U$4),1)+30)</f>
        <v>0</v>
      </c>
      <c r="R25" s="281">
        <f ca="1">INDIRECT("'Сведения ФОВ'!GC"&amp;MROUND(N($U$4),1)+30)</f>
        <v>0</v>
      </c>
      <c r="S25" s="281">
        <f ca="1">INDIRECT("'Сведения ФОВ'!GO"&amp;MROUND(N($U$4),1)+30)</f>
        <v>0</v>
      </c>
      <c r="T25" s="281">
        <f ca="1">INDIRECT("'Сведения ФОВ'!HA"&amp;MROUND(N($U$4),1)+30)</f>
        <v>0</v>
      </c>
    </row>
    <row r="26" spans="1:21" ht="52.5" customHeight="1">
      <c r="A26" s="864" t="s">
        <v>496</v>
      </c>
      <c r="B26" s="865"/>
      <c r="C26" s="281">
        <f ca="1">INDIRECT("'Сведения ФОВ'!E"&amp;MROUND(N($U$4),1)+31)</f>
        <v>0</v>
      </c>
      <c r="D26" s="281">
        <f ca="1">INDIRECT("'Сведения ФОВ'!Q"&amp;MROUND(N($U$4),1)+31)</f>
        <v>0</v>
      </c>
      <c r="E26" s="281">
        <f ca="1">INDIRECT("'Сведения ФОВ'!AC"&amp;MROUND(N($U$4),1)+31)</f>
        <v>0</v>
      </c>
      <c r="F26" s="281">
        <f ca="1">INDIRECT("'Сведения ФОВ'!AO"&amp;MROUND(N($U$4),1)+31)</f>
        <v>0</v>
      </c>
      <c r="G26" s="281">
        <f ca="1">INDIRECT("'Сведения ФОВ'!BA"&amp;MROUND(N($U$4),1)+31)</f>
        <v>0</v>
      </c>
      <c r="H26" s="281">
        <f ca="1">INDIRECT("'Сведения ФОВ'!BM"&amp;MROUND(N($U$4),1)+31)</f>
        <v>0</v>
      </c>
      <c r="I26" s="281">
        <f ca="1">INDIRECT("'Сведения ФОВ'!BY"&amp;MROUND(N($U$4),1)+31)</f>
        <v>0</v>
      </c>
      <c r="J26" s="281">
        <f ca="1">INDIRECT("'Сведения ФОВ'!CK"&amp;MROUND(N($U$4),1)+31)</f>
        <v>0</v>
      </c>
      <c r="K26" s="281">
        <f ca="1">INDIRECT("'Сведения ФОВ'!CW"&amp;MROUND(N($U$4),1)+31)</f>
        <v>0</v>
      </c>
      <c r="L26" s="281">
        <f ca="1">INDIRECT("'Сведения ФОВ'!DI"&amp;MROUND(N($U$4),1)+31)</f>
        <v>0</v>
      </c>
      <c r="M26" s="281">
        <f ca="1">INDIRECT("'Сведения ФОВ'!DU"&amp;MROUND(N($U$4),1)+31)</f>
        <v>0</v>
      </c>
      <c r="N26" s="281">
        <f ca="1">INDIRECT("'Сведения ФОВ'!EG"&amp;MROUND(N($U$4),1)+31)</f>
        <v>0</v>
      </c>
      <c r="O26" s="281">
        <f ca="1">INDIRECT("'Сведения ФОВ'!ES"&amp;MROUND(N($U$4),1)+31)</f>
        <v>0</v>
      </c>
      <c r="P26" s="281">
        <f ca="1">INDIRECT("'Сведения ФОВ'!FE"&amp;MROUND(N($U$4),1)+31)</f>
        <v>0</v>
      </c>
      <c r="Q26" s="281">
        <f ca="1">INDIRECT("'Сведения ФОВ'!FQ"&amp;MROUND(N($U$4),1)+31)</f>
        <v>0</v>
      </c>
      <c r="R26" s="281">
        <f ca="1">INDIRECT("'Сведения ФОВ'!GC"&amp;MROUND(N($U$4),1)+31)</f>
        <v>0</v>
      </c>
      <c r="S26" s="281">
        <f ca="1">INDIRECT("'Сведения ФОВ'!GO"&amp;MROUND(N($U$4),1)+31)</f>
        <v>0</v>
      </c>
      <c r="T26" s="281">
        <f ca="1">INDIRECT("'Сведения ФОВ'!HA"&amp;MROUND(N($U$4),1)+31)</f>
        <v>0</v>
      </c>
    </row>
    <row r="27" spans="1:21" ht="82.5" customHeight="1">
      <c r="A27" s="866" t="s">
        <v>13</v>
      </c>
      <c r="B27" s="867"/>
      <c r="C27" s="281">
        <f ca="1">INDIRECT("'Сведения ФОВ'!E"&amp;MROUND(N($U$4),1)+32)</f>
        <v>0</v>
      </c>
      <c r="D27" s="281">
        <f ca="1">INDIRECT("'Сведения ФОВ'!Q"&amp;MROUND(N($U$4),1)+32)</f>
        <v>0</v>
      </c>
      <c r="E27" s="281">
        <f ca="1">INDIRECT("'Сведения ФОВ'!AC"&amp;MROUND(N($U$4),1)+32)</f>
        <v>0</v>
      </c>
      <c r="F27" s="281">
        <f ca="1">INDIRECT("'Сведения ФОВ'!AO"&amp;MROUND(N($U$4),1)+32)</f>
        <v>0</v>
      </c>
      <c r="G27" s="281">
        <f ca="1">INDIRECT("'Сведения ФОВ'!BA"&amp;MROUND(N($U$4),1)+32)</f>
        <v>0</v>
      </c>
      <c r="H27" s="281">
        <f ca="1">INDIRECT("'Сведения ФОВ'!BM"&amp;MROUND(N($U$4),1)+32)</f>
        <v>0</v>
      </c>
      <c r="I27" s="281">
        <f ca="1">INDIRECT("'Сведения ФОВ'!BY"&amp;MROUND(N($U$4),1)+32)</f>
        <v>0</v>
      </c>
      <c r="J27" s="281">
        <f ca="1">INDIRECT("'Сведения ФОВ'!CK"&amp;MROUND(N($U$4),1)+32)</f>
        <v>0</v>
      </c>
      <c r="K27" s="281">
        <f ca="1">INDIRECT("'Сведения ФОВ'!CW"&amp;MROUND(N($U$4),1)+32)</f>
        <v>0</v>
      </c>
      <c r="L27" s="281">
        <f ca="1">INDIRECT("'Сведения ФОВ'!DI"&amp;MROUND(N($U$4),1)+32)</f>
        <v>0</v>
      </c>
      <c r="M27" s="281">
        <f ca="1">INDIRECT("'Сведения ФОВ'!DU"&amp;MROUND(N($U$4),1)+32)</f>
        <v>0</v>
      </c>
      <c r="N27" s="281">
        <f ca="1">INDIRECT("'Сведения ФОВ'!EG"&amp;MROUND(N($U$4),1)+32)</f>
        <v>0</v>
      </c>
      <c r="O27" s="281">
        <f ca="1">INDIRECT("'Сведения ФОВ'!ES"&amp;MROUND(N($U$4),1)+32)</f>
        <v>0</v>
      </c>
      <c r="P27" s="281">
        <f ca="1">INDIRECT("'Сведения ФОВ'!FE"&amp;MROUND(N($U$4),1)+32)</f>
        <v>0</v>
      </c>
      <c r="Q27" s="281">
        <f ca="1">INDIRECT("'Сведения ФОВ'!FQ"&amp;MROUND(N($U$4),1)+32)</f>
        <v>0</v>
      </c>
      <c r="R27" s="281">
        <f ca="1">INDIRECT("'Сведения ФОВ'!GC"&amp;MROUND(N($U$4),1)+32)</f>
        <v>0</v>
      </c>
      <c r="S27" s="281">
        <f ca="1">INDIRECT("'Сведения ФОВ'!GO"&amp;MROUND(N($U$4),1)+32)</f>
        <v>0</v>
      </c>
      <c r="T27" s="281">
        <f ca="1">INDIRECT("'Сведения ФОВ'!HA"&amp;MROUND(N($U$4),1)+32)</f>
        <v>0</v>
      </c>
    </row>
    <row r="28" spans="1:21" ht="33" customHeight="1">
      <c r="A28" s="866" t="s">
        <v>497</v>
      </c>
      <c r="B28" s="867"/>
      <c r="C28" s="281">
        <f ca="1">INDIRECT("'Сведения ФОВ'!E"&amp;MROUND(N($U$4),1)+33)</f>
        <v>0</v>
      </c>
      <c r="D28" s="281">
        <f ca="1">INDIRECT("'Сведения ФОВ'!Q"&amp;MROUND(N($U$4),1)+33)</f>
        <v>0</v>
      </c>
      <c r="E28" s="281">
        <f ca="1">INDIRECT("'Сведения ФОВ'!AC"&amp;MROUND(N($U$4),1)+33)</f>
        <v>0</v>
      </c>
      <c r="F28" s="281">
        <f ca="1">INDIRECT("'Сведения ФОВ'!AO"&amp;MROUND(N($U$4),1)+33)</f>
        <v>0</v>
      </c>
      <c r="G28" s="281">
        <f ca="1">INDIRECT("'Сведения ФОВ'!BA"&amp;MROUND(N($U$4),1)+33)</f>
        <v>0</v>
      </c>
      <c r="H28" s="281">
        <f ca="1">INDIRECT("'Сведения ФОВ'!BM"&amp;MROUND(N($U$4),1)+33)</f>
        <v>0</v>
      </c>
      <c r="I28" s="281">
        <f ca="1">INDIRECT("'Сведения ФОВ'!BY"&amp;MROUND(N($U$4),1)+33)</f>
        <v>0</v>
      </c>
      <c r="J28" s="281">
        <f ca="1">INDIRECT("'Сведения ФОВ'!CK"&amp;MROUND(N($U$4),1)+33)</f>
        <v>0</v>
      </c>
      <c r="K28" s="281">
        <f ca="1">INDIRECT("'Сведения ФОВ'!CW"&amp;MROUND(N($U$4),1)+33)</f>
        <v>0</v>
      </c>
      <c r="L28" s="281">
        <f ca="1">INDIRECT("'Сведения ФОВ'!DI"&amp;MROUND(N($U$4),1)+33)</f>
        <v>0</v>
      </c>
      <c r="M28" s="281">
        <f ca="1">INDIRECT("'Сведения ФОВ'!DU"&amp;MROUND(N($U$4),1)+33)</f>
        <v>0</v>
      </c>
      <c r="N28" s="281">
        <f ca="1">INDIRECT("'Сведения ФОВ'!EG"&amp;MROUND(N($U$4),1)+33)</f>
        <v>0</v>
      </c>
      <c r="O28" s="281">
        <f ca="1">INDIRECT("'Сведения ФОВ'!ES"&amp;MROUND(N($U$4),1)+33)</f>
        <v>0</v>
      </c>
      <c r="P28" s="281">
        <f ca="1">INDIRECT("'Сведения ФОВ'!FE"&amp;MROUND(N($U$4),1)+33)</f>
        <v>0</v>
      </c>
      <c r="Q28" s="281">
        <f ca="1">INDIRECT("'Сведения ФОВ'!FQ"&amp;MROUND(N($U$4),1)+33)</f>
        <v>0</v>
      </c>
      <c r="R28" s="281">
        <f ca="1">INDIRECT("'Сведения ФОВ'!GC"&amp;MROUND(N($U$4),1)+33)</f>
        <v>0</v>
      </c>
      <c r="S28" s="281">
        <f ca="1">INDIRECT("'Сведения ФОВ'!GO"&amp;MROUND(N($U$4),1)+33)</f>
        <v>0</v>
      </c>
      <c r="T28" s="281">
        <f ca="1">INDIRECT("'Сведения ФОВ'!HA"&amp;MROUND(N($U$4),1)+33)</f>
        <v>0</v>
      </c>
    </row>
    <row r="29" spans="1:21" ht="65.25" customHeight="1">
      <c r="A29" s="864" t="s">
        <v>16</v>
      </c>
      <c r="B29" s="865"/>
      <c r="C29" s="281">
        <f ca="1">INDIRECT("'Сведения ФОВ'!E"&amp;MROUND(N($U$4),1)+34)</f>
        <v>0</v>
      </c>
      <c r="D29" s="281">
        <f ca="1">INDIRECT("'Сведения ФОВ'!Q"&amp;MROUND(N($U$4),1)+34)</f>
        <v>0</v>
      </c>
      <c r="E29" s="281">
        <f ca="1">INDIRECT("'Сведения ФОВ'!AC"&amp;MROUND(N($U$4),1)+34)</f>
        <v>0</v>
      </c>
      <c r="F29" s="281">
        <f ca="1">INDIRECT("'Сведения ФОВ'!AO"&amp;MROUND(N($U$4),1)+34)</f>
        <v>0</v>
      </c>
      <c r="G29" s="281">
        <f ca="1">INDIRECT("'Сведения ФОВ'!BA"&amp;MROUND(N($U$4),1)+34)</f>
        <v>0</v>
      </c>
      <c r="H29" s="281">
        <f ca="1">INDIRECT("'Сведения ФОВ'!BM"&amp;MROUND(N($U$4),1)+34)</f>
        <v>0</v>
      </c>
      <c r="I29" s="281">
        <f ca="1">INDIRECT("'Сведения ФОВ'!BY"&amp;MROUND(N($U$4),1)+34)</f>
        <v>0</v>
      </c>
      <c r="J29" s="281">
        <f ca="1">INDIRECT("'Сведения ФОВ'!CK"&amp;MROUND(N($U$4),1)+34)</f>
        <v>0</v>
      </c>
      <c r="K29" s="281">
        <f ca="1">INDIRECT("'Сведения ФОВ'!CW"&amp;MROUND(N($U$4),1)+34)</f>
        <v>0</v>
      </c>
      <c r="L29" s="281">
        <f ca="1">INDIRECT("'Сведения ФОВ'!DI"&amp;MROUND(N($U$4),1)+34)</f>
        <v>0</v>
      </c>
      <c r="M29" s="281">
        <f ca="1">INDIRECT("'Сведения ФОВ'!DU"&amp;MROUND(N($U$4),1)+34)</f>
        <v>0</v>
      </c>
      <c r="N29" s="281">
        <f ca="1">INDIRECT("'Сведения ФОВ'!EG"&amp;MROUND(N($U$4),1)+34)</f>
        <v>0</v>
      </c>
      <c r="O29" s="281">
        <f ca="1">INDIRECT("'Сведения ФОВ'!ES"&amp;MROUND(N($U$4),1)+34)</f>
        <v>0</v>
      </c>
      <c r="P29" s="281">
        <f ca="1">INDIRECT("'Сведения ФОВ'!FE"&amp;MROUND(N($U$4),1)+34)</f>
        <v>0</v>
      </c>
      <c r="Q29" s="281">
        <f ca="1">INDIRECT("'Сведения ФОВ'!FQ"&amp;MROUND(N($U$4),1)+34)</f>
        <v>0</v>
      </c>
      <c r="R29" s="281">
        <f ca="1">INDIRECT("'Сведения ФОВ'!GC"&amp;MROUND(N($U$4),1)+34)</f>
        <v>0</v>
      </c>
      <c r="S29" s="281">
        <f ca="1">INDIRECT("'Сведения ФОВ'!GO"&amp;MROUND(N($U$4),1)+34)</f>
        <v>0</v>
      </c>
      <c r="T29" s="281">
        <f ca="1">INDIRECT("'Сведения ФОВ'!HA"&amp;MROUND(N($U$4),1)+34)</f>
        <v>0</v>
      </c>
    </row>
    <row r="30" spans="1:21" ht="65.25" customHeight="1">
      <c r="A30" s="864" t="s">
        <v>420</v>
      </c>
      <c r="B30" s="865"/>
      <c r="C30" s="281">
        <f ca="1">INDIRECT("'Сведения ФОВ'!E"&amp;MROUND(N($U$4),1)+35)</f>
        <v>0</v>
      </c>
      <c r="D30" s="281">
        <f ca="1">INDIRECT("'Сведения ФОВ'!Q"&amp;MROUND(N($U$4),1)+35)</f>
        <v>0</v>
      </c>
      <c r="E30" s="281">
        <f ca="1">INDIRECT("'Сведения ФОВ'!AC"&amp;MROUND(N($U$4),1)+35)</f>
        <v>0</v>
      </c>
      <c r="F30" s="281">
        <f ca="1">INDIRECT("'Сведения ФОВ'!AO"&amp;MROUND(N($U$4),1)+35)</f>
        <v>0</v>
      </c>
      <c r="G30" s="281">
        <f ca="1">INDIRECT("'Сведения ФОВ'!BA"&amp;MROUND(N($U$4),1)+35)</f>
        <v>0</v>
      </c>
      <c r="H30" s="281">
        <f ca="1">INDIRECT("'Сведения ФОВ'!BM"&amp;MROUND(N($U$4),1)+35)</f>
        <v>0</v>
      </c>
      <c r="I30" s="281">
        <f ca="1">INDIRECT("'Сведения ФОВ'!BY"&amp;MROUND(N($U$4),1)+35)</f>
        <v>0</v>
      </c>
      <c r="J30" s="281">
        <f ca="1">INDIRECT("'Сведения ФОВ'!CK"&amp;MROUND(N($U$4),1)+35)</f>
        <v>0</v>
      </c>
      <c r="K30" s="281">
        <f ca="1">INDIRECT("'Сведения ФОВ'!CW"&amp;MROUND(N($U$4),1)+35)</f>
        <v>0</v>
      </c>
      <c r="L30" s="281">
        <f ca="1">INDIRECT("'Сведения ФОВ'!DI"&amp;MROUND(N($U$4),1)+35)</f>
        <v>0</v>
      </c>
      <c r="M30" s="281">
        <f ca="1">INDIRECT("'Сведения ФОВ'!DU"&amp;MROUND(N($U$4),1)+35)</f>
        <v>0</v>
      </c>
      <c r="N30" s="281">
        <f ca="1">INDIRECT("'Сведения ФОВ'!EG"&amp;MROUND(N($U$4),1)+35)</f>
        <v>0</v>
      </c>
      <c r="O30" s="281">
        <f ca="1">INDIRECT("'Сведения ФОВ'!ES"&amp;MROUND(N($U$4),1)+35)</f>
        <v>0</v>
      </c>
      <c r="P30" s="281">
        <f ca="1">INDIRECT("'Сведения ФОВ'!FE"&amp;MROUND(N($U$4),1)+35)</f>
        <v>0</v>
      </c>
      <c r="Q30" s="281">
        <f ca="1">INDIRECT("'Сведения ФОВ'!FQ"&amp;MROUND(N($U$4),1)+35)</f>
        <v>0</v>
      </c>
      <c r="R30" s="281">
        <f ca="1">INDIRECT("'Сведения ФОВ'!GC"&amp;MROUND(N($U$4),1)+35)</f>
        <v>0</v>
      </c>
      <c r="S30" s="281">
        <f ca="1">INDIRECT("'Сведения ФОВ'!GO"&amp;MROUND(N($U$4),1)+35)</f>
        <v>0</v>
      </c>
      <c r="T30" s="281">
        <f ca="1">INDIRECT("'Сведения ФОВ'!HA"&amp;MROUND(N($U$4),1)+35)</f>
        <v>0</v>
      </c>
    </row>
    <row r="31" spans="1:21" ht="49.5" customHeight="1">
      <c r="A31" s="864" t="s">
        <v>17</v>
      </c>
      <c r="B31" s="865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>
      <c r="A33" s="876" t="s">
        <v>18</v>
      </c>
      <c r="B33" s="876"/>
      <c r="C33" s="876"/>
      <c r="D33" s="876"/>
      <c r="E33" s="876"/>
      <c r="F33" s="876"/>
      <c r="G33" s="876"/>
      <c r="H33" s="876"/>
      <c r="I33" s="877"/>
      <c r="J33" s="878"/>
      <c r="K33" s="158"/>
      <c r="L33" s="879" t="str">
        <f ca="1">'Настройки УИК'!$I$27</f>
        <v/>
      </c>
      <c r="M33" s="879"/>
      <c r="N33" s="879"/>
      <c r="O33" s="879"/>
      <c r="P33" s="879"/>
      <c r="Q33" s="156"/>
      <c r="R33" s="156"/>
      <c r="S33" s="156"/>
      <c r="T33" s="156"/>
    </row>
    <row r="34" spans="1:20" ht="18.75" customHeight="1">
      <c r="A34" s="156"/>
      <c r="B34" s="156"/>
      <c r="C34" s="163"/>
      <c r="D34" s="163"/>
      <c r="E34" s="163"/>
      <c r="F34" s="163"/>
      <c r="G34" s="163"/>
      <c r="H34" s="163"/>
      <c r="I34" s="875" t="s">
        <v>5</v>
      </c>
      <c r="J34" s="875"/>
      <c r="K34" s="164"/>
      <c r="L34" s="875" t="s">
        <v>6</v>
      </c>
      <c r="M34" s="875"/>
      <c r="N34" s="875"/>
      <c r="O34" s="875"/>
      <c r="P34" s="875"/>
      <c r="Q34" s="156"/>
      <c r="R34" s="156"/>
      <c r="S34" s="156"/>
      <c r="T34" s="156"/>
    </row>
    <row r="35" spans="1:20" ht="18.75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>
      <c r="A36" s="156"/>
      <c r="B36" s="156"/>
      <c r="C36" s="876" t="s">
        <v>19</v>
      </c>
      <c r="D36" s="876"/>
      <c r="E36" s="876"/>
      <c r="F36" s="876"/>
      <c r="G36" s="876"/>
      <c r="H36" s="876"/>
      <c r="I36" s="877"/>
      <c r="J36" s="878"/>
      <c r="K36" s="158"/>
      <c r="L36" s="879" t="str">
        <f ca="1">'Настройки УИК'!$I$28</f>
        <v/>
      </c>
      <c r="M36" s="879"/>
      <c r="N36" s="879"/>
      <c r="O36" s="879"/>
      <c r="P36" s="879"/>
      <c r="Q36" s="156"/>
      <c r="R36" s="156"/>
      <c r="S36" s="156"/>
      <c r="T36" s="156"/>
    </row>
    <row r="37" spans="1:20" ht="18.75" customHeight="1">
      <c r="A37" s="156"/>
      <c r="B37" s="156"/>
      <c r="C37" s="163"/>
      <c r="D37" s="163"/>
      <c r="E37" s="163"/>
      <c r="F37" s="163"/>
      <c r="G37" s="163"/>
      <c r="H37" s="163"/>
      <c r="I37" s="875" t="s">
        <v>5</v>
      </c>
      <c r="J37" s="875"/>
      <c r="K37" s="164"/>
      <c r="L37" s="880" t="s">
        <v>6</v>
      </c>
      <c r="M37" s="880"/>
      <c r="N37" s="880"/>
      <c r="O37" s="880"/>
      <c r="P37" s="880"/>
      <c r="Q37" s="156"/>
      <c r="R37" s="156"/>
      <c r="S37" s="156"/>
      <c r="T37" s="156"/>
    </row>
    <row r="38" spans="1:20" ht="9" customHeight="1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>
      <c r="A40" s="156"/>
      <c r="B40" s="156"/>
      <c r="C40" s="882" t="s">
        <v>25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2"/>
      <c r="Q40" s="882"/>
      <c r="R40" s="882"/>
      <c r="S40" s="882"/>
      <c r="T40" s="167"/>
    </row>
    <row r="41" spans="1:20" ht="18.75">
      <c r="A41" s="156"/>
      <c r="B41" s="156"/>
      <c r="C41" s="882" t="s">
        <v>36</v>
      </c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2"/>
      <c r="Q41" s="882"/>
      <c r="R41" s="882"/>
      <c r="S41" s="882"/>
      <c r="T41" s="167"/>
    </row>
    <row r="42" spans="1:20" ht="18.75">
      <c r="A42" s="156"/>
      <c r="B42" s="156"/>
      <c r="C42" s="882" t="s">
        <v>421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2"/>
      <c r="Q42" s="882"/>
      <c r="R42" s="882"/>
      <c r="S42" s="882"/>
      <c r="T42" s="167"/>
    </row>
    <row r="43" spans="1:20" ht="18.75">
      <c r="A43" s="156"/>
      <c r="B43" s="156"/>
      <c r="C43" s="882" t="s">
        <v>40</v>
      </c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2"/>
      <c r="Q43" s="882"/>
      <c r="R43" s="882"/>
      <c r="S43" s="882"/>
      <c r="T43" s="167"/>
    </row>
    <row r="44" spans="1:20" ht="18.75">
      <c r="A44" s="156"/>
      <c r="B44" s="156"/>
      <c r="C44" s="168" t="s">
        <v>34</v>
      </c>
      <c r="D44" s="883" t="s">
        <v>33</v>
      </c>
      <c r="E44" s="883"/>
      <c r="F44" s="883"/>
      <c r="G44" s="883"/>
      <c r="H44" s="883"/>
      <c r="I44" s="883"/>
      <c r="J44" s="883"/>
      <c r="K44" s="883"/>
      <c r="L44" s="883"/>
      <c r="M44" s="883"/>
      <c r="N44" s="883"/>
      <c r="O44" s="883"/>
      <c r="P44" s="883"/>
      <c r="Q44" s="883"/>
      <c r="R44" s="883"/>
      <c r="S44" s="883"/>
      <c r="T44" s="49"/>
    </row>
    <row r="45" spans="1:20" ht="18.75">
      <c r="A45" s="156"/>
      <c r="B45" s="156"/>
      <c r="C45" s="168" t="s">
        <v>35</v>
      </c>
      <c r="D45" s="883" t="s">
        <v>41</v>
      </c>
      <c r="E45" s="883"/>
      <c r="F45" s="883"/>
      <c r="G45" s="883"/>
      <c r="H45" s="883"/>
      <c r="I45" s="883"/>
      <c r="J45" s="883"/>
      <c r="K45" s="883"/>
      <c r="L45" s="883"/>
      <c r="M45" s="883"/>
      <c r="N45" s="883"/>
      <c r="O45" s="883"/>
      <c r="P45" s="883"/>
      <c r="Q45" s="883"/>
      <c r="R45" s="883"/>
      <c r="S45" s="883"/>
      <c r="T45" s="49"/>
    </row>
    <row r="46" spans="1:20" ht="18.75">
      <c r="A46" s="156"/>
      <c r="B46" s="156"/>
      <c r="C46" s="882" t="s">
        <v>32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2"/>
      <c r="Q46" s="882"/>
      <c r="R46" s="882"/>
      <c r="S46" s="882"/>
      <c r="T46" s="141"/>
    </row>
    <row r="47" spans="1:20" ht="18.75">
      <c r="A47" s="156"/>
      <c r="B47" s="156"/>
      <c r="C47" s="168" t="s">
        <v>26</v>
      </c>
      <c r="D47" s="881" t="s">
        <v>27</v>
      </c>
      <c r="E47" s="881"/>
      <c r="F47" s="881"/>
      <c r="G47" s="881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>
      <c r="A48" s="156"/>
      <c r="B48" s="156"/>
      <c r="C48" s="168" t="s">
        <v>28</v>
      </c>
      <c r="D48" s="881" t="s">
        <v>29</v>
      </c>
      <c r="E48" s="881"/>
      <c r="F48" s="881"/>
      <c r="G48" s="881"/>
      <c r="H48" s="881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>
      <c r="A49" s="156"/>
      <c r="B49" s="156"/>
      <c r="C49" s="168" t="s">
        <v>30</v>
      </c>
      <c r="D49" s="881" t="s">
        <v>31</v>
      </c>
      <c r="E49" s="881"/>
      <c r="F49" s="881"/>
      <c r="G49" s="881"/>
      <c r="H49" s="881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>
      <c r="U50" s="495"/>
    </row>
    <row r="63" spans="1:224">
      <c r="HP63" s="495"/>
    </row>
  </sheetData>
  <sheetProtection password="C09F" sheet="1" objects="1" scenarios="1"/>
  <mergeCells count="48">
    <mergeCell ref="D48:H48"/>
    <mergeCell ref="D49:H49"/>
    <mergeCell ref="C41:S41"/>
    <mergeCell ref="C42:S42"/>
    <mergeCell ref="C43:S43"/>
    <mergeCell ref="D44:S44"/>
    <mergeCell ref="D45:S45"/>
    <mergeCell ref="C46:S46"/>
    <mergeCell ref="I37:J37"/>
    <mergeCell ref="L37:P37"/>
    <mergeCell ref="D47:G47"/>
    <mergeCell ref="C40:S40"/>
    <mergeCell ref="L36:P36"/>
    <mergeCell ref="I34:J34"/>
    <mergeCell ref="A33:H33"/>
    <mergeCell ref="I33:J33"/>
    <mergeCell ref="L34:P34"/>
    <mergeCell ref="C36:H36"/>
    <mergeCell ref="I36:J36"/>
    <mergeCell ref="L33:P33"/>
    <mergeCell ref="C21:T21"/>
    <mergeCell ref="A23:B23"/>
    <mergeCell ref="A25:B25"/>
    <mergeCell ref="A26:B26"/>
    <mergeCell ref="A27:B27"/>
    <mergeCell ref="A31:B31"/>
    <mergeCell ref="A28:B28"/>
    <mergeCell ref="A29:B29"/>
    <mergeCell ref="A30:B30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3" zoomScale="70" zoomScaleNormal="70" zoomScaleSheetLayoutView="70" workbookViewId="0">
      <selection activeCell="H22" sqref="H22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0" width="11" style="49" hidden="1" customWidth="1"/>
    <col min="31" max="31" width="11" style="49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2"/>
      <c r="B1" s="662"/>
      <c r="C1" s="662"/>
      <c r="D1" s="662"/>
      <c r="E1" s="662"/>
      <c r="F1" s="662"/>
      <c r="G1" s="662"/>
      <c r="H1" s="662"/>
      <c r="I1" s="662"/>
      <c r="J1" s="662"/>
      <c r="K1" s="662"/>
      <c r="L1" s="662"/>
      <c r="M1" s="662"/>
      <c r="N1" s="662"/>
      <c r="O1" s="662"/>
      <c r="P1" s="665"/>
      <c r="Q1" s="665"/>
      <c r="R1" s="665"/>
      <c r="S1" s="885" t="s">
        <v>167</v>
      </c>
      <c r="T1" s="885"/>
      <c r="U1" s="885"/>
      <c r="W1" s="617">
        <f>'Настройки ТИК'!C55</f>
        <v>0</v>
      </c>
      <c r="X1" s="617"/>
      <c r="Y1" s="617"/>
    </row>
    <row r="2" spans="1:76" ht="22.5" customHeight="1">
      <c r="A2" s="662"/>
      <c r="B2" s="662"/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</row>
    <row r="3" spans="1:76" ht="34.5" customHeight="1">
      <c r="A3" s="662"/>
      <c r="B3" s="886">
        <f>'Настройки ТИК'!B2</f>
        <v>0</v>
      </c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W3" s="441">
        <f>'Настройки ТИК'!$H$17</f>
        <v>0</v>
      </c>
    </row>
    <row r="4" spans="1:76" ht="19.5" customHeight="1">
      <c r="A4" s="662"/>
      <c r="B4" s="889" t="s">
        <v>55</v>
      </c>
      <c r="C4" s="889"/>
      <c r="D4" s="889"/>
      <c r="E4" s="889"/>
      <c r="F4" s="889"/>
      <c r="G4" s="889"/>
      <c r="H4" s="889"/>
      <c r="I4" s="889"/>
      <c r="J4" s="889"/>
      <c r="K4" s="889"/>
      <c r="L4" s="889"/>
      <c r="M4" s="889"/>
      <c r="N4" s="889"/>
      <c r="O4" s="890"/>
      <c r="P4" s="890"/>
      <c r="Q4" s="890"/>
      <c r="R4" s="890"/>
      <c r="S4" s="890"/>
      <c r="T4" s="890"/>
      <c r="U4" s="890"/>
      <c r="W4" s="376">
        <f>'Настройки ТИК'!$C$14</f>
        <v>0</v>
      </c>
    </row>
    <row r="5" spans="1:76" ht="66" customHeight="1">
      <c r="A5" s="662"/>
      <c r="B5" s="886">
        <f>'Настройки ТИК'!$B$4</f>
        <v>0</v>
      </c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W5" s="441" t="str">
        <f>TEXT('Настройки ТИК'!C17,"ММММ")</f>
        <v>Январь</v>
      </c>
    </row>
    <row r="6" spans="1:76" ht="15" customHeight="1">
      <c r="A6" s="662"/>
      <c r="B6" s="889" t="s">
        <v>54</v>
      </c>
      <c r="C6" s="889"/>
      <c r="D6" s="889"/>
      <c r="E6" s="889"/>
      <c r="F6" s="889"/>
      <c r="G6" s="889"/>
      <c r="H6" s="889"/>
      <c r="I6" s="889"/>
      <c r="J6" s="889"/>
      <c r="K6" s="889"/>
      <c r="L6" s="889"/>
      <c r="M6" s="889"/>
      <c r="N6" s="889"/>
      <c r="O6" s="890"/>
      <c r="P6" s="890"/>
      <c r="Q6" s="890"/>
      <c r="R6" s="890"/>
      <c r="S6" s="890"/>
      <c r="T6" s="890"/>
      <c r="U6" s="890"/>
      <c r="W6" s="441" t="str">
        <f>TEXT('Настройки ТИК'!D17,"ММММ")</f>
        <v>Январь</v>
      </c>
    </row>
    <row r="7" spans="1:76" ht="20.25" customHeight="1">
      <c r="A7" s="662"/>
      <c r="B7" s="43"/>
      <c r="C7" s="666"/>
      <c r="D7" s="666"/>
      <c r="E7" s="666"/>
      <c r="F7" s="662"/>
      <c r="G7" s="662"/>
      <c r="H7" s="662"/>
      <c r="I7" s="662"/>
      <c r="J7" s="662"/>
      <c r="K7" s="662"/>
      <c r="L7" s="662"/>
      <c r="M7" s="662"/>
      <c r="N7" s="662"/>
      <c r="O7" s="662"/>
      <c r="P7" s="662"/>
      <c r="Q7" s="662"/>
      <c r="R7" s="662"/>
      <c r="S7" s="662"/>
      <c r="T7" s="662"/>
      <c r="U7" s="662"/>
    </row>
    <row r="8" spans="1:76" ht="21.75" customHeight="1">
      <c r="A8" s="662"/>
      <c r="B8" s="887" t="s">
        <v>53</v>
      </c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</row>
    <row r="9" spans="1:76" ht="33.75" customHeight="1">
      <c r="A9" s="662"/>
      <c r="B9" s="888" t="s">
        <v>436</v>
      </c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8"/>
      <c r="T9" s="888"/>
      <c r="U9" s="888"/>
    </row>
    <row r="10" spans="1:76" ht="15.75" customHeight="1">
      <c r="A10" s="662"/>
      <c r="B10" s="667"/>
      <c r="C10" s="888" t="s">
        <v>437</v>
      </c>
      <c r="D10" s="888"/>
      <c r="E10" s="888"/>
      <c r="F10" s="888"/>
      <c r="G10" s="888"/>
      <c r="H10" s="888"/>
      <c r="I10" s="888"/>
      <c r="J10" s="888"/>
      <c r="K10" s="888"/>
      <c r="L10" s="888"/>
      <c r="M10" s="888"/>
      <c r="N10" s="888"/>
      <c r="O10" s="888"/>
      <c r="P10" s="668">
        <f>'Настройки УИК'!J5</f>
        <v>0</v>
      </c>
      <c r="Q10" s="669" t="s">
        <v>52</v>
      </c>
      <c r="R10" s="662"/>
      <c r="S10" s="662"/>
      <c r="T10" s="662"/>
      <c r="U10" s="662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2"/>
      <c r="B11" s="667"/>
      <c r="C11" s="670"/>
      <c r="D11" s="670"/>
      <c r="E11" s="670"/>
      <c r="F11" s="670"/>
      <c r="G11" s="670"/>
      <c r="H11" s="670"/>
      <c r="I11" s="670"/>
      <c r="J11" s="670"/>
      <c r="K11" s="670"/>
      <c r="L11" s="670"/>
      <c r="M11" s="670"/>
      <c r="N11" s="670"/>
      <c r="O11" s="670"/>
      <c r="P11" s="671"/>
      <c r="Q11" s="669"/>
      <c r="R11" s="662"/>
      <c r="S11" s="662"/>
      <c r="T11" s="662"/>
      <c r="U11" s="662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2"/>
      <c r="B12" s="886">
        <f>'Настройки ТИК'!B9:C9</f>
        <v>0</v>
      </c>
      <c r="C12" s="886"/>
      <c r="D12" s="886"/>
      <c r="E12" s="886"/>
      <c r="F12" s="886"/>
      <c r="G12" s="886"/>
      <c r="H12" s="886"/>
      <c r="I12" s="886"/>
      <c r="J12" s="891"/>
      <c r="K12" s="891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AC12" s="444"/>
    </row>
    <row r="13" spans="1:76" ht="18.75" customHeight="1">
      <c r="A13" s="662"/>
      <c r="B13" s="671"/>
      <c r="C13" s="671"/>
      <c r="D13" s="671"/>
      <c r="E13" s="671"/>
      <c r="F13" s="671"/>
      <c r="G13" s="671"/>
      <c r="H13" s="671"/>
      <c r="I13" s="671"/>
      <c r="J13" s="672"/>
      <c r="K13" s="672"/>
      <c r="L13" s="671"/>
      <c r="M13" s="671"/>
      <c r="N13" s="671"/>
      <c r="O13" s="671"/>
      <c r="P13" s="671"/>
      <c r="Q13" s="671"/>
      <c r="R13" s="671"/>
      <c r="S13" s="671"/>
      <c r="T13" s="671"/>
      <c r="U13" s="671"/>
    </row>
    <row r="14" spans="1:76" ht="21" customHeight="1">
      <c r="A14" s="662"/>
      <c r="B14" s="662"/>
      <c r="C14" s="662"/>
      <c r="D14" s="662"/>
      <c r="E14" s="673"/>
      <c r="F14" s="662"/>
      <c r="G14" s="662"/>
      <c r="H14" s="662"/>
      <c r="I14" s="673" t="s">
        <v>11</v>
      </c>
      <c r="J14" s="892" t="e">
        <f ca="1">IF('Настройки ТИК'!$I$17='Настройки ТИК'!$J$17,'Настройки ТИК'!$I$17,'Настройки ТИК'!$I$17&amp;"-"&amp;'Настройки ТИК'!$J$17)</f>
        <v>#VALUE!</v>
      </c>
      <c r="K14" s="892"/>
      <c r="L14" s="668" t="str">
        <f>'Настройки ТИК'!$I$15</f>
        <v/>
      </c>
      <c r="M14" s="674" t="s">
        <v>153</v>
      </c>
      <c r="N14" s="662"/>
      <c r="O14" s="662"/>
      <c r="P14" s="662"/>
      <c r="Q14" s="662"/>
      <c r="R14" s="662"/>
      <c r="S14" s="662"/>
      <c r="T14" s="662"/>
      <c r="U14" s="662"/>
      <c r="V14" s="49"/>
    </row>
    <row r="15" spans="1:76" ht="25.5" customHeight="1">
      <c r="A15" s="662"/>
      <c r="B15" s="662"/>
      <c r="C15" s="662"/>
      <c r="D15" s="662"/>
      <c r="E15" s="660"/>
      <c r="F15" s="662"/>
      <c r="G15" s="662"/>
      <c r="H15" s="662"/>
      <c r="I15" s="660"/>
      <c r="J15" s="895" t="s">
        <v>149</v>
      </c>
      <c r="K15" s="895"/>
      <c r="L15" s="660"/>
      <c r="M15" s="660"/>
      <c r="N15" s="662"/>
      <c r="O15" s="662"/>
      <c r="P15" s="662"/>
      <c r="Q15" s="662"/>
      <c r="R15" s="662"/>
      <c r="S15" s="662"/>
      <c r="T15" s="662"/>
      <c r="U15" s="662"/>
    </row>
    <row r="16" spans="1:76">
      <c r="A16" s="662"/>
      <c r="B16" s="662"/>
      <c r="C16" s="662"/>
      <c r="D16" s="662"/>
      <c r="E16" s="662"/>
      <c r="F16" s="662"/>
      <c r="G16" s="662"/>
      <c r="H16" s="662"/>
      <c r="I16" s="662"/>
      <c r="J16" s="662"/>
      <c r="K16" s="662"/>
      <c r="L16" s="662"/>
      <c r="M16" s="662"/>
      <c r="N16" s="662"/>
      <c r="O16" s="662"/>
      <c r="P16" s="662"/>
      <c r="Q16" s="662"/>
      <c r="R16" s="662"/>
      <c r="S16" s="662"/>
      <c r="T16" s="662"/>
      <c r="U16" s="662"/>
    </row>
    <row r="17" spans="1:30" ht="78" customHeight="1">
      <c r="A17" s="771" t="s">
        <v>43</v>
      </c>
      <c r="B17" s="771" t="s">
        <v>44</v>
      </c>
      <c r="C17" s="771" t="s">
        <v>45</v>
      </c>
      <c r="D17" s="900" t="s">
        <v>168</v>
      </c>
      <c r="E17" s="773"/>
      <c r="F17" s="900" t="s">
        <v>46</v>
      </c>
      <c r="G17" s="773"/>
      <c r="H17" s="900" t="s">
        <v>47</v>
      </c>
      <c r="I17" s="773"/>
      <c r="J17" s="900" t="s">
        <v>48</v>
      </c>
      <c r="K17" s="901"/>
      <c r="L17" s="902"/>
      <c r="M17" s="771" t="s">
        <v>49</v>
      </c>
      <c r="N17" s="771" t="s">
        <v>165</v>
      </c>
      <c r="O17" s="900" t="s">
        <v>12</v>
      </c>
      <c r="P17" s="773"/>
      <c r="Q17" s="771" t="s">
        <v>166</v>
      </c>
      <c r="R17" s="771" t="s">
        <v>440</v>
      </c>
      <c r="S17" s="771"/>
      <c r="T17" s="893" t="s">
        <v>441</v>
      </c>
      <c r="U17" s="893" t="s">
        <v>443</v>
      </c>
    </row>
    <row r="18" spans="1:30" ht="132" customHeight="1">
      <c r="A18" s="771"/>
      <c r="B18" s="771"/>
      <c r="C18" s="771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1"/>
      <c r="N18" s="771"/>
      <c r="O18" s="124" t="s">
        <v>449</v>
      </c>
      <c r="P18" s="124" t="s">
        <v>439</v>
      </c>
      <c r="Q18" s="771"/>
      <c r="R18" s="298" t="s">
        <v>50</v>
      </c>
      <c r="S18" s="124" t="s">
        <v>442</v>
      </c>
      <c r="T18" s="894"/>
      <c r="U18" s="899"/>
    </row>
    <row r="19" spans="1:30">
      <c r="A19" s="418" t="s">
        <v>399</v>
      </c>
      <c r="B19" s="418" t="s">
        <v>400</v>
      </c>
      <c r="C19" s="418" t="s">
        <v>401</v>
      </c>
      <c r="D19" s="900" t="s">
        <v>171</v>
      </c>
      <c r="E19" s="902"/>
      <c r="F19" s="772" t="s">
        <v>402</v>
      </c>
      <c r="G19" s="902"/>
      <c r="H19" s="772" t="s">
        <v>403</v>
      </c>
      <c r="I19" s="902"/>
      <c r="J19" s="772" t="s">
        <v>404</v>
      </c>
      <c r="K19" s="903"/>
      <c r="L19" s="902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6" t="e">
        <f ca="1">IF(INDIRECT("'Настройки УИК'!$I$22")=0," ",INDIRECT("'Настройки УИК'!$I$22"))</f>
        <v>#DIV/0!</v>
      </c>
      <c r="G20" s="656" t="e">
        <f ca="1">IF(INDIRECT("'Настройки УИК'!$J$22")=0," ",INDIRECT("'Настройки УИК'!$J$22"))</f>
        <v>#DIV/0!</v>
      </c>
      <c r="H20" s="284" t="e">
        <f ca="1">ROUND(SUM(INDIRECT("'Сведения ФОВ'!$J$29:$J$"&amp;MROUND(N($W$3),1)+28))/8,2)</f>
        <v>#VALUE!</v>
      </c>
      <c r="I20" s="284" t="e">
        <f ca="1">ROUND(SUM(INDIRECT("'Сведения ФОВ'!$K$29:$K$"&amp;MROUND(N($W$3),1)+28))/8,2)</f>
        <v>#VALUE!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0">INDIRECT("'Сведения ФОВ'!"&amp;$V20&amp;MROUND(N($W$3),1)+34)</f>
        <v>0</v>
      </c>
      <c r="P20" s="281">
        <f t="shared" ref="P20:P37" ca="1" si="1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2">IF(AND(AA20*SUMIF($B$20:$B$37,B20,$L$20:$L$37)&gt;0),1,0)</f>
        <v>0</v>
      </c>
      <c r="X20" s="531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3">IF(Y20*Z20&gt;0,1,0)</f>
        <v>0</v>
      </c>
      <c r="AC20" s="176">
        <f>'Настройки УИК'!$R22</f>
        <v>0</v>
      </c>
      <c r="AD20" s="550">
        <f>'Настройки ТИК'!$C$55</f>
        <v>0</v>
      </c>
    </row>
    <row r="21" spans="1:30" ht="48" customHeight="1">
      <c r="A21" s="419" t="s">
        <v>400</v>
      </c>
      <c r="B21" s="656" t="str">
        <f ca="1">IF(INDIRECT("'Настройки УИК'!$B$23")=0," ",INDIRECT("'Настройки УИК'!$B$23"))</f>
        <v xml:space="preserve"> </v>
      </c>
      <c r="C21" s="656" t="str">
        <f ca="1">IF(INDIRECT("'Настройки УИК'!$C$23")=0," ",INDIRECT("'Настройки УИК'!$C$23"))</f>
        <v xml:space="preserve"> </v>
      </c>
      <c r="D21" s="657" t="e">
        <f>LOOKUP($B$3,'Настройки ТИК'!$AG$32:$AG$117,'Настройки ТИК'!$AI$32:$AI$117)</f>
        <v>#N/A</v>
      </c>
      <c r="E21" s="657" t="e">
        <f>LOOKUP($B$3,'Настройки ТИК'!$AG$32:$AG$117,'Настройки ТИК'!$AJ$32:$AJ$117)</f>
        <v>#N/A</v>
      </c>
      <c r="F21" s="656" t="str">
        <f ca="1">IF(INDIRECT("'Настройки УИК'!$I$23")=0," ",INDIRECT("'Настройки УИК'!$I$23"))</f>
        <v xml:space="preserve"> </v>
      </c>
      <c r="G21" s="656" t="str">
        <f ca="1">IF(INDIRECT("'Настройки УИК'!$J$23")=0," ",INDIRECT("'Настройки УИК'!$J$23"))</f>
        <v xml:space="preserve"> </v>
      </c>
      <c r="H21" s="658" t="e">
        <f ca="1">ROUND(SUM(INDIRECT("'Сведения ФОВ'!$V$29:$V$"&amp;MROUND(N($W$3),1)+28))/8,2)</f>
        <v>#VALUE!</v>
      </c>
      <c r="I21" s="658" t="e">
        <f ca="1">ROUND(SUM(INDIRECT("'Сведения ФОВ'!$W$29:$W$"&amp;MROUND(N($W$3),1)+28))/8,2)</f>
        <v>#VALUE!</v>
      </c>
      <c r="J21" s="653">
        <f t="shared" ref="J21:J37" ca="1" si="4">IF(ISERROR(ROUND(F21*H21,2)),0,ROUND(F21*H21,2))</f>
        <v>0</v>
      </c>
      <c r="K21" s="653">
        <f t="shared" ref="K21:K37" ca="1" si="5">IF(ISERROR(ROUND(G21*I21,2)),0,ROUND(G21*I21,2))</f>
        <v>0</v>
      </c>
      <c r="L21" s="653">
        <f t="shared" ref="L21:L37" ca="1" si="6">J21+K21</f>
        <v>0</v>
      </c>
      <c r="M21" s="653">
        <f ca="1">INDIRECT("'Настройки УИК'!$K$23")</f>
        <v>0</v>
      </c>
      <c r="N21" s="655">
        <f>'Настройки ТИК'!$C$32</f>
        <v>0</v>
      </c>
      <c r="O21" s="655">
        <f t="shared" ca="1" si="0"/>
        <v>0</v>
      </c>
      <c r="P21" s="655">
        <f t="shared" ca="1" si="1"/>
        <v>0</v>
      </c>
      <c r="Q21" s="653">
        <f t="shared" ref="Q21:Q37" ca="1" si="7">ROUND(M21*N21*O21,2)+ROUND(M21*N21*P21*2,2)</f>
        <v>0</v>
      </c>
      <c r="R21" s="659"/>
      <c r="S21" s="653">
        <f t="shared" ref="S21:S37" ca="1" si="8">ROUND(Q21*R21,2)</f>
        <v>0</v>
      </c>
      <c r="T21" s="653">
        <f t="shared" ref="T21:T37" ca="1" si="9">Q21+S21</f>
        <v>0</v>
      </c>
      <c r="U21" s="653">
        <f t="shared" ref="U21:U37" ca="1" si="10">ROUND(L21+Q21+S21,2)</f>
        <v>0</v>
      </c>
      <c r="V21" s="49" t="s">
        <v>910</v>
      </c>
      <c r="W21" s="235">
        <f t="shared" ca="1" si="2"/>
        <v>0</v>
      </c>
      <c r="X21" s="531">
        <f ca="1">COUNTIF($B$20:B20,B21)</f>
        <v>1</v>
      </c>
      <c r="Y21" s="235">
        <f ca="1">IF(X21&gt;0,0,1)</f>
        <v>0</v>
      </c>
      <c r="Z21" s="235">
        <f t="shared" ref="Z21:Z37" ca="1" si="11">SUMIF($B$20:$B$37,B21,$U$20:$U$37)</f>
        <v>0</v>
      </c>
      <c r="AA21" s="235">
        <f t="shared" ca="1" si="3"/>
        <v>0</v>
      </c>
      <c r="AC21" s="176">
        <f>'Настройки УИК'!$R23</f>
        <v>0</v>
      </c>
      <c r="AD21" s="550">
        <f>'Настройки ТИК'!$C$55</f>
        <v>0</v>
      </c>
    </row>
    <row r="22" spans="1:30" ht="48" customHeight="1">
      <c r="A22" s="419" t="s">
        <v>401</v>
      </c>
      <c r="B22" s="656" t="str">
        <f ca="1">IF(INDIRECT("'Настройки УИК'!$B$24")=0," ",INDIRECT("'Настройки УИК'!$B$24"))</f>
        <v>Склонение по падежам УИК</v>
      </c>
      <c r="C22" s="656" t="str">
        <f ca="1">IF(INDIRECT("'Настройки УИК'!$C$24")=0," ",INDIRECT("'Настройки УИК'!$C$24"))</f>
        <v xml:space="preserve"> </v>
      </c>
      <c r="D22" s="657" t="e">
        <f>LOOKUP($B$3,'Настройки ТИК'!$AG$32:$AG$117,'Настройки ТИК'!$AI$32:$AI$117)</f>
        <v>#N/A</v>
      </c>
      <c r="E22" s="657" t="e">
        <f>LOOKUP($B$3,'Настройки ТИК'!$AG$32:$AG$117,'Настройки ТИК'!$AJ$32:$AJ$117)</f>
        <v>#N/A</v>
      </c>
      <c r="F22" s="656" t="str">
        <f ca="1">IF(INDIRECT("'Настройки УИК'!$I$24")=0," ",INDIRECT("'Настройки УИК'!$I$24"))</f>
        <v xml:space="preserve"> </v>
      </c>
      <c r="G22" s="656" t="str">
        <f ca="1">IF(INDIRECT("'Настройки УИК'!$J$24")=0," ",INDIRECT("'Настройки УИК'!$J$24"))</f>
        <v xml:space="preserve"> </v>
      </c>
      <c r="H22" s="658" t="e">
        <f ca="1">ROUND(SUM(INDIRECT("'Сведения ФОВ'!$AH$29:$AH$"&amp;MROUND(N($W$3),1)+28))/8,2)</f>
        <v>#VALUE!</v>
      </c>
      <c r="I22" s="658" t="e">
        <f ca="1">ROUND(SUM(INDIRECT("'Сведения ФОВ'!$AI$29:$AI$"&amp;MROUND(N($W$3),1)+28))/8,2)</f>
        <v>#VALUE!</v>
      </c>
      <c r="J22" s="653">
        <f t="shared" ca="1" si="4"/>
        <v>0</v>
      </c>
      <c r="K22" s="653">
        <f t="shared" ca="1" si="5"/>
        <v>0</v>
      </c>
      <c r="L22" s="653">
        <f t="shared" ca="1" si="6"/>
        <v>0</v>
      </c>
      <c r="M22" s="653">
        <f ca="1">INDIRECT("'Настройки УИК'!$K$24")</f>
        <v>0</v>
      </c>
      <c r="N22" s="655">
        <f>'Настройки ТИК'!$C$32</f>
        <v>0</v>
      </c>
      <c r="O22" s="655">
        <f t="shared" ca="1" si="0"/>
        <v>0</v>
      </c>
      <c r="P22" s="655">
        <f t="shared" ca="1" si="1"/>
        <v>0</v>
      </c>
      <c r="Q22" s="653">
        <f t="shared" ca="1" si="7"/>
        <v>0</v>
      </c>
      <c r="R22" s="659"/>
      <c r="S22" s="653">
        <f t="shared" ca="1" si="8"/>
        <v>0</v>
      </c>
      <c r="T22" s="653">
        <f t="shared" ca="1" si="9"/>
        <v>0</v>
      </c>
      <c r="U22" s="653">
        <f t="shared" ca="1" si="10"/>
        <v>0</v>
      </c>
      <c r="V22" s="49" t="s">
        <v>911</v>
      </c>
      <c r="W22" s="235">
        <f t="shared" ca="1" si="2"/>
        <v>0</v>
      </c>
      <c r="X22" s="531">
        <f ca="1">COUNTIF($B$20:B21,B22)</f>
        <v>0</v>
      </c>
      <c r="Y22" s="235">
        <f ca="1">IF(X22&gt;0,0,1)</f>
        <v>1</v>
      </c>
      <c r="Z22" s="235">
        <f t="shared" ca="1" si="11"/>
        <v>0</v>
      </c>
      <c r="AA22" s="235">
        <f t="shared" ca="1" si="3"/>
        <v>0</v>
      </c>
      <c r="AC22" s="176">
        <f>'Настройки УИК'!$R24</f>
        <v>0</v>
      </c>
      <c r="AD22" s="550">
        <f>'Настройки ТИК'!$C$55</f>
        <v>0</v>
      </c>
    </row>
    <row r="23" spans="1:30" ht="48" customHeight="1">
      <c r="A23" s="419" t="s">
        <v>402</v>
      </c>
      <c r="B23" s="656" t="str">
        <f ca="1">IF(INDIRECT("'Настройки УИК'!$B$25")=0," ",INDIRECT("'Настройки УИК'!$B$25"))</f>
        <v>для печати документов</v>
      </c>
      <c r="C23" s="656" t="str">
        <f ca="1">IF(INDIRECT("'Настройки УИК'!$C$25")=0," ",INDIRECT("'Настройки УИК'!$C$25"))</f>
        <v xml:space="preserve"> </v>
      </c>
      <c r="D23" s="657" t="e">
        <f>LOOKUP($B$3,'Настройки ТИК'!$AG$32:$AG$117,'Настройки ТИК'!$AI$32:$AI$117)</f>
        <v>#N/A</v>
      </c>
      <c r="E23" s="657" t="e">
        <f>LOOKUP($B$3,'Настройки ТИК'!$AG$32:$AG$117,'Настройки ТИК'!$AJ$32:$AJ$117)</f>
        <v>#N/A</v>
      </c>
      <c r="F23" s="656" t="str">
        <f ca="1">IF(INDIRECT("'Настройки УИК'!$I$25")=0," ",INDIRECT("'Настройки УИК'!$I$25"))</f>
        <v xml:space="preserve"> </v>
      </c>
      <c r="G23" s="656" t="str">
        <f ca="1">IF(INDIRECT("'Настройки УИК'!$J$25")=0," ",INDIRECT("'Настройки УИК'!$J$25"))</f>
        <v xml:space="preserve"> </v>
      </c>
      <c r="H23" s="687" t="e">
        <f ca="1">ROUND(SUM(INDIRECT("'Сведения ФОВ'!$AT$29:$AT$"&amp;MROUND(N($W$3),1)+28))/8,2)</f>
        <v>#VALUE!</v>
      </c>
      <c r="I23" s="687" t="e">
        <f ca="1">ROUND(SUM(INDIRECT("'Сведения ФОВ'!$AU$29:$AU$"&amp;MROUND(N($W$3),1)+28))/8,2)</f>
        <v>#VALUE!</v>
      </c>
      <c r="J23" s="653">
        <f t="shared" ca="1" si="4"/>
        <v>0</v>
      </c>
      <c r="K23" s="653">
        <f t="shared" ca="1" si="5"/>
        <v>0</v>
      </c>
      <c r="L23" s="653">
        <f t="shared" ca="1" si="6"/>
        <v>0</v>
      </c>
      <c r="M23" s="653">
        <f ca="1">INDIRECT("'Настройки УИК'!$K$25")</f>
        <v>0</v>
      </c>
      <c r="N23" s="655">
        <f>'Настройки ТИК'!$C$32</f>
        <v>0</v>
      </c>
      <c r="O23" s="655">
        <f t="shared" ca="1" si="0"/>
        <v>0</v>
      </c>
      <c r="P23" s="655">
        <f t="shared" ca="1" si="1"/>
        <v>0</v>
      </c>
      <c r="Q23" s="653">
        <f t="shared" ca="1" si="7"/>
        <v>0</v>
      </c>
      <c r="R23" s="659"/>
      <c r="S23" s="653">
        <f t="shared" ca="1" si="8"/>
        <v>0</v>
      </c>
      <c r="T23" s="653">
        <f t="shared" ca="1" si="9"/>
        <v>0</v>
      </c>
      <c r="U23" s="653">
        <f t="shared" ca="1" si="10"/>
        <v>0</v>
      </c>
      <c r="V23" s="49" t="s">
        <v>912</v>
      </c>
      <c r="W23" s="235">
        <f t="shared" ca="1" si="2"/>
        <v>0</v>
      </c>
      <c r="X23" s="531">
        <f ca="1">COUNTIF($B$20:B22,B23)</f>
        <v>0</v>
      </c>
      <c r="Y23" s="235">
        <f t="shared" ref="Y23:Y37" ca="1" si="12">IF(X23&gt;0,0,1)</f>
        <v>1</v>
      </c>
      <c r="Z23" s="235">
        <f t="shared" ca="1" si="11"/>
        <v>0</v>
      </c>
      <c r="AA23" s="235">
        <f t="shared" ca="1" si="3"/>
        <v>0</v>
      </c>
      <c r="AC23" s="176">
        <f>'Настройки УИК'!$R25</f>
        <v>0</v>
      </c>
      <c r="AD23" s="550">
        <f>'Настройки ТИК'!$C$55</f>
        <v>0</v>
      </c>
    </row>
    <row r="24" spans="1:30" ht="48" customHeight="1">
      <c r="A24" s="419" t="s">
        <v>403</v>
      </c>
      <c r="B24" s="656" t="str">
        <f ca="1">IF(INDIRECT("'Настройки УИК'!$B$26")=0," ",INDIRECT("'Настройки УИК'!$B$26"))</f>
        <v xml:space="preserve">Родительный </v>
      </c>
      <c r="C24" s="656" t="str">
        <f ca="1">IF(INDIRECT("'Настройки УИК'!$C$26")=0," ",INDIRECT("'Настройки УИК'!$C$26"))</f>
        <v xml:space="preserve"> </v>
      </c>
      <c r="D24" s="657" t="e">
        <f>LOOKUP($B$3,'Настройки ТИК'!$AG$32:$AG$117,'Настройки ТИК'!$AI$32:$AI$117)</f>
        <v>#N/A</v>
      </c>
      <c r="E24" s="657" t="e">
        <f>LOOKUP($B$3,'Настройки ТИК'!$AG$32:$AG$117,'Настройки ТИК'!$AJ$32:$AJ$117)</f>
        <v>#N/A</v>
      </c>
      <c r="F24" s="656">
        <f ca="1">IF(INDIRECT("'Настройки УИК'!$I$26")=0," ",INDIRECT("'Настройки УИК'!$I$43"))</f>
        <v>0</v>
      </c>
      <c r="G24" s="656" t="str">
        <f ca="1">IF(INDIRECT("'Настройки УИК'!$J$26")=0," ",INDIRECT("'Настройки УИК'!$J$26"))</f>
        <v xml:space="preserve"> </v>
      </c>
      <c r="H24" s="687" t="e">
        <f ca="1">ROUND(SUM(INDIRECT("'Сведения ФОВ'!$BF$29:$BF$"&amp;MROUND(N($W$3),1)+28))/8,2)</f>
        <v>#VALUE!</v>
      </c>
      <c r="I24" s="687" t="e">
        <f ca="1">ROUND(SUM(INDIRECT("'Сведения ФОВ'!$BG$29:$BG$"&amp;MROUND(N($W$3),1)+28))/8,2)</f>
        <v>#VALUE!</v>
      </c>
      <c r="J24" s="653">
        <f t="shared" ca="1" si="4"/>
        <v>0</v>
      </c>
      <c r="K24" s="653">
        <f t="shared" ca="1" si="5"/>
        <v>0</v>
      </c>
      <c r="L24" s="653">
        <f t="shared" ca="1" si="6"/>
        <v>0</v>
      </c>
      <c r="M24" s="653">
        <f ca="1">INDIRECT("'Настройки УИК'!$K$26")</f>
        <v>0</v>
      </c>
      <c r="N24" s="655">
        <f>'Настройки ТИК'!$C$32</f>
        <v>0</v>
      </c>
      <c r="O24" s="655">
        <f t="shared" ca="1" si="0"/>
        <v>0</v>
      </c>
      <c r="P24" s="655">
        <f t="shared" ca="1" si="1"/>
        <v>0</v>
      </c>
      <c r="Q24" s="653">
        <f t="shared" ca="1" si="7"/>
        <v>0</v>
      </c>
      <c r="R24" s="659"/>
      <c r="S24" s="653">
        <f t="shared" ca="1" si="8"/>
        <v>0</v>
      </c>
      <c r="T24" s="653">
        <f t="shared" ca="1" si="9"/>
        <v>0</v>
      </c>
      <c r="U24" s="653">
        <f t="shared" ca="1" si="10"/>
        <v>0</v>
      </c>
      <c r="V24" s="49" t="s">
        <v>913</v>
      </c>
      <c r="W24" s="235">
        <f t="shared" ca="1" si="2"/>
        <v>0</v>
      </c>
      <c r="X24" s="531">
        <f ca="1">COUNTIF($B$20:B23,B24)</f>
        <v>0</v>
      </c>
      <c r="Y24" s="235">
        <f t="shared" ca="1" si="12"/>
        <v>1</v>
      </c>
      <c r="Z24" s="235">
        <f t="shared" ca="1" si="11"/>
        <v>0</v>
      </c>
      <c r="AA24" s="235">
        <f t="shared" ca="1" si="3"/>
        <v>0</v>
      </c>
      <c r="AC24" s="176">
        <f>'Настройки УИК'!$R26</f>
        <v>0</v>
      </c>
      <c r="AD24" s="550">
        <f>'Настройки ТИК'!$C$55</f>
        <v>0</v>
      </c>
    </row>
    <row r="25" spans="1:30" ht="48" customHeight="1">
      <c r="A25" s="419" t="s">
        <v>404</v>
      </c>
      <c r="B25" s="656" t="str">
        <f ca="1">IF(INDIRECT("'Настройки УИК'!$B$27")=0," ",INDIRECT("'Настройки УИК'!$B$27"))</f>
        <v xml:space="preserve">Дательный </v>
      </c>
      <c r="C25" s="656" t="str">
        <f ca="1">IF(INDIRECT("'Настройки УИК'!$C$27")=0," ",INDIRECT("'Настройки УИК'!$C$27"))</f>
        <v xml:space="preserve"> </v>
      </c>
      <c r="D25" s="657" t="e">
        <f>LOOKUP($B$3,'Настройки ТИК'!$AG$32:$AG$117,'Настройки ТИК'!$AI$32:$AI$117)</f>
        <v>#N/A</v>
      </c>
      <c r="E25" s="657" t="e">
        <f>LOOKUP($B$3,'Настройки ТИК'!$AG$32:$AG$117,'Настройки ТИК'!$AJ$32:$AJ$117)</f>
        <v>#N/A</v>
      </c>
      <c r="F25" s="656" t="str">
        <f ca="1">IF(INDIRECT("'Настройки УИК'!$I$27")=0," ",INDIRECT("'Настройки УИК'!$I$27"))</f>
        <v/>
      </c>
      <c r="G25" s="656" t="str">
        <f ca="1">IF(INDIRECT("'Настройки УИК'!$J$27")=0," ",INDIRECT("'Настройки УИК'!$J$27"))</f>
        <v xml:space="preserve"> </v>
      </c>
      <c r="H25" s="687" t="e">
        <f ca="1">ROUND(SUM(INDIRECT("'Сведения ФОВ'!$BR$29:$BR$"&amp;MROUND(N($W$3),1)+28))/8,2)</f>
        <v>#VALUE!</v>
      </c>
      <c r="I25" s="687" t="e">
        <f ca="1">ROUND(SUM(INDIRECT("'Сведения ФОВ'!$BS$29:$BS$"&amp;MROUND(N($W$3),1)+28))/8,2)</f>
        <v>#VALUE!</v>
      </c>
      <c r="J25" s="653">
        <f t="shared" ca="1" si="4"/>
        <v>0</v>
      </c>
      <c r="K25" s="653">
        <f t="shared" ca="1" si="5"/>
        <v>0</v>
      </c>
      <c r="L25" s="653">
        <f t="shared" ca="1" si="6"/>
        <v>0</v>
      </c>
      <c r="M25" s="653">
        <f ca="1">INDIRECT("'Настройки УИК'!$K$27")</f>
        <v>0</v>
      </c>
      <c r="N25" s="655">
        <f>'Настройки ТИК'!$C$32</f>
        <v>0</v>
      </c>
      <c r="O25" s="655">
        <f t="shared" ca="1" si="0"/>
        <v>0</v>
      </c>
      <c r="P25" s="655">
        <f t="shared" ca="1" si="1"/>
        <v>0</v>
      </c>
      <c r="Q25" s="653">
        <f t="shared" ca="1" si="7"/>
        <v>0</v>
      </c>
      <c r="R25" s="659"/>
      <c r="S25" s="653">
        <f t="shared" ca="1" si="8"/>
        <v>0</v>
      </c>
      <c r="T25" s="653">
        <f t="shared" ca="1" si="9"/>
        <v>0</v>
      </c>
      <c r="U25" s="653">
        <f t="shared" ca="1" si="10"/>
        <v>0</v>
      </c>
      <c r="V25" s="49" t="s">
        <v>914</v>
      </c>
      <c r="W25" s="235">
        <f t="shared" ca="1" si="2"/>
        <v>0</v>
      </c>
      <c r="X25" s="531">
        <f ca="1">COUNTIF($B$20:B24,B25)</f>
        <v>0</v>
      </c>
      <c r="Y25" s="235">
        <f t="shared" ca="1" si="12"/>
        <v>1</v>
      </c>
      <c r="Z25" s="235">
        <f t="shared" ca="1" si="11"/>
        <v>0</v>
      </c>
      <c r="AA25" s="235">
        <f t="shared" ca="1" si="3"/>
        <v>0</v>
      </c>
      <c r="AC25" s="176">
        <f>'Настройки УИК'!$R27</f>
        <v>0</v>
      </c>
      <c r="AD25" s="550">
        <f>'Настройки ТИК'!$C$55</f>
        <v>0</v>
      </c>
    </row>
    <row r="26" spans="1:30" ht="48" customHeight="1">
      <c r="A26" s="419" t="s">
        <v>405</v>
      </c>
      <c r="B26" s="656" t="str">
        <f ca="1">IF(INDIRECT("'Настройки УИК'!$B$28")=0," ",INDIRECT("'Настройки УИК'!$B$28"))</f>
        <v>Творительный</v>
      </c>
      <c r="C26" s="656" t="str">
        <f ca="1">IF(INDIRECT("'Настройки УИК'!$C$28")=0," ",INDIRECT("'Настройки УИК'!$C$28"))</f>
        <v xml:space="preserve"> </v>
      </c>
      <c r="D26" s="657" t="e">
        <f>LOOKUP($B$3,'Настройки ТИК'!$AG$32:$AG$117,'Настройки ТИК'!$AI$32:$AI$117)</f>
        <v>#N/A</v>
      </c>
      <c r="E26" s="657" t="e">
        <f>LOOKUP($B$3,'Настройки ТИК'!$AG$32:$AG$117,'Настройки ТИК'!$AJ$32:$AJ$117)</f>
        <v>#N/A</v>
      </c>
      <c r="F26" s="656" t="str">
        <f ca="1">IF(INDIRECT("'Настройки УИК'!$I$28")=0," ",INDIRECT("'Настройки УИК'!$I$28"))</f>
        <v/>
      </c>
      <c r="G26" s="656" t="str">
        <f ca="1">IF(INDIRECT("'Настройки УИК'!$J$28")=0," ",INDIRECT("'Настройки УИК'!$J$28"))</f>
        <v xml:space="preserve"> </v>
      </c>
      <c r="H26" s="687" t="e">
        <f ca="1">ROUND(SUM(INDIRECT("'Сведения ФОВ'!$CD$29:$CD$"&amp;MROUND(N($W$3),1)+28))/8,2)</f>
        <v>#VALUE!</v>
      </c>
      <c r="I26" s="687" t="e">
        <f ca="1">ROUND(SUM(INDIRECT("'Сведения ФОВ'!$CE$29:$CE$"&amp;MROUND(N($W$3),1)+28))/8,2)</f>
        <v>#VALUE!</v>
      </c>
      <c r="J26" s="653">
        <f t="shared" ca="1" si="4"/>
        <v>0</v>
      </c>
      <c r="K26" s="653">
        <f t="shared" ca="1" si="5"/>
        <v>0</v>
      </c>
      <c r="L26" s="653">
        <f t="shared" ca="1" si="6"/>
        <v>0</v>
      </c>
      <c r="M26" s="653">
        <f ca="1">INDIRECT("'Настройки УИК'!$K$28")</f>
        <v>0</v>
      </c>
      <c r="N26" s="655">
        <f>'Настройки ТИК'!$C$32</f>
        <v>0</v>
      </c>
      <c r="O26" s="655">
        <f t="shared" ca="1" si="0"/>
        <v>0</v>
      </c>
      <c r="P26" s="655">
        <f t="shared" ca="1" si="1"/>
        <v>0</v>
      </c>
      <c r="Q26" s="653">
        <f t="shared" ca="1" si="7"/>
        <v>0</v>
      </c>
      <c r="R26" s="659"/>
      <c r="S26" s="653">
        <f t="shared" ca="1" si="8"/>
        <v>0</v>
      </c>
      <c r="T26" s="653">
        <f t="shared" ca="1" si="9"/>
        <v>0</v>
      </c>
      <c r="U26" s="653">
        <f t="shared" ca="1" si="10"/>
        <v>0</v>
      </c>
      <c r="V26" s="49" t="s">
        <v>915</v>
      </c>
      <c r="W26" s="235">
        <f t="shared" ca="1" si="2"/>
        <v>0</v>
      </c>
      <c r="X26" s="531">
        <f ca="1">COUNTIF($B$20:B25,B26)</f>
        <v>0</v>
      </c>
      <c r="Y26" s="235">
        <f t="shared" ca="1" si="12"/>
        <v>1</v>
      </c>
      <c r="Z26" s="235">
        <f t="shared" ca="1" si="11"/>
        <v>0</v>
      </c>
      <c r="AA26" s="235">
        <f t="shared" ca="1" si="3"/>
        <v>0</v>
      </c>
      <c r="AC26" s="176">
        <f>'Настройки УИК'!$R28</f>
        <v>0</v>
      </c>
      <c r="AD26" s="550">
        <f>'Настройки ТИК'!$C$55</f>
        <v>0</v>
      </c>
    </row>
    <row r="27" spans="1:30" ht="48" customHeight="1">
      <c r="A27" s="419" t="s">
        <v>406</v>
      </c>
      <c r="B27" s="656" t="str">
        <f ca="1">IF(INDIRECT("'Настройки УИК'!$B$29")=0," ",INDIRECT("'Настройки УИК'!$B$29"))</f>
        <v>Винительный</v>
      </c>
      <c r="C27" s="656" t="str">
        <f ca="1">IF(INDIRECT("'Настройки УИК'!$C$29")=0," ",INDIRECT("'Настройки УИК'!$C$29"))</f>
        <v xml:space="preserve"> </v>
      </c>
      <c r="D27" s="657" t="e">
        <f>LOOKUP($B$3,'Настройки ТИК'!$AG$32:$AG$117,'Настройки ТИК'!$AI$32:$AI$117)</f>
        <v>#N/A</v>
      </c>
      <c r="E27" s="657" t="e">
        <f>LOOKUP($B$3,'Настройки ТИК'!$AG$32:$AG$117,'Настройки ТИК'!$AJ$32:$AJ$117)</f>
        <v>#N/A</v>
      </c>
      <c r="F27" s="656" t="str">
        <f ca="1">IF(INDIRECT("'Настройки УИК'!$I$29")=0," ",INDIRECT("'Настройки УИК'!$I$29"))</f>
        <v xml:space="preserve"> </v>
      </c>
      <c r="G27" s="656" t="str">
        <f ca="1">IF(INDIRECT("'Настройки УИК'!$J$29")=0," ",INDIRECT("'Настройки УИК'!$J$29"))</f>
        <v xml:space="preserve"> </v>
      </c>
      <c r="H27" s="687" t="e">
        <f ca="1">ROUND(SUM(INDIRECT("'Сведения ФОВ'!$CP$29:$CP$"&amp;MROUND(N($W$3),1)+28))/8,2)</f>
        <v>#VALUE!</v>
      </c>
      <c r="I27" s="687" t="e">
        <f ca="1">ROUND(SUM(INDIRECT("'Сведения ФОВ'!$CQ$29:$CQ$"&amp;MROUND(N($W$3),1)+28))/8,2)</f>
        <v>#VALUE!</v>
      </c>
      <c r="J27" s="653">
        <f t="shared" ca="1" si="4"/>
        <v>0</v>
      </c>
      <c r="K27" s="653">
        <f t="shared" ca="1" si="5"/>
        <v>0</v>
      </c>
      <c r="L27" s="653">
        <f t="shared" ca="1" si="6"/>
        <v>0</v>
      </c>
      <c r="M27" s="653">
        <f ca="1">INDIRECT("'Настройки УИК'!$K$29")</f>
        <v>0</v>
      </c>
      <c r="N27" s="655">
        <f>'Настройки ТИК'!$C$32</f>
        <v>0</v>
      </c>
      <c r="O27" s="655">
        <f t="shared" ca="1" si="0"/>
        <v>0</v>
      </c>
      <c r="P27" s="655">
        <f t="shared" ca="1" si="1"/>
        <v>0</v>
      </c>
      <c r="Q27" s="653">
        <f t="shared" ca="1" si="7"/>
        <v>0</v>
      </c>
      <c r="R27" s="659"/>
      <c r="S27" s="653">
        <f t="shared" ca="1" si="8"/>
        <v>0</v>
      </c>
      <c r="T27" s="653">
        <f t="shared" ca="1" si="9"/>
        <v>0</v>
      </c>
      <c r="U27" s="653">
        <f t="shared" ca="1" si="10"/>
        <v>0</v>
      </c>
      <c r="V27" s="49" t="s">
        <v>916</v>
      </c>
      <c r="W27" s="235">
        <f t="shared" ca="1" si="2"/>
        <v>0</v>
      </c>
      <c r="X27" s="531">
        <f ca="1">COUNTIF($B$20:B26,B27)</f>
        <v>0</v>
      </c>
      <c r="Y27" s="235">
        <f t="shared" ca="1" si="12"/>
        <v>1</v>
      </c>
      <c r="Z27" s="235">
        <f t="shared" ca="1" si="11"/>
        <v>0</v>
      </c>
      <c r="AA27" s="235">
        <f t="shared" ca="1" si="3"/>
        <v>0</v>
      </c>
      <c r="AC27" s="176">
        <f>'Настройки УИК'!$R29</f>
        <v>0</v>
      </c>
      <c r="AD27" s="550">
        <f>'Настройки ТИК'!$C$55</f>
        <v>0</v>
      </c>
    </row>
    <row r="28" spans="1:30" ht="48" customHeight="1">
      <c r="A28" s="419" t="s">
        <v>407</v>
      </c>
      <c r="B28" s="656" t="str">
        <f ca="1">IF(INDIRECT("'Настройки УИК'!$B$30")=0," ",INDIRECT("'Настройки УИК'!$B$30"))</f>
        <v xml:space="preserve"> </v>
      </c>
      <c r="C28" s="656" t="str">
        <f ca="1">IF(INDIRECT("'Настройки УИК'!$C$30")=0," ",INDIRECT("'Настройки УИК'!$C$30"))</f>
        <v xml:space="preserve"> </v>
      </c>
      <c r="D28" s="657" t="e">
        <f>LOOKUP($B$3,'Настройки ТИК'!$AG$32:$AG$117,'Настройки ТИК'!$AI$32:$AI$117)</f>
        <v>#N/A</v>
      </c>
      <c r="E28" s="657" t="e">
        <f>LOOKUP($B$3,'Настройки ТИК'!$AG$32:$AG$117,'Настройки ТИК'!$AJ$32:$AJ$117)</f>
        <v>#N/A</v>
      </c>
      <c r="F28" s="656" t="str">
        <f ca="1">IF(INDIRECT("'Настройки УИК'!$I$30")=0," ",INDIRECT("'Настройки УИК'!$I$30"))</f>
        <v xml:space="preserve"> </v>
      </c>
      <c r="G28" s="656" t="str">
        <f ca="1">IF(INDIRECT("'Настройки УИК'!$J$30")=0," ",INDIRECT("'Настройки УИК'!$J$30"))</f>
        <v xml:space="preserve"> </v>
      </c>
      <c r="H28" s="687" t="e">
        <f ca="1">ROUND(SUM(INDIRECT("'Сведения ФОВ'!$DB$29:$DB$"&amp;MROUND(N($W$3),1)+28))/8,2)</f>
        <v>#VALUE!</v>
      </c>
      <c r="I28" s="687" t="e">
        <f ca="1">ROUND(SUM(INDIRECT("'Сведения ФОВ'!$DC$29:$DC$"&amp;MROUND(N($W$3),1)+28))/8,2)</f>
        <v>#VALUE!</v>
      </c>
      <c r="J28" s="653">
        <f t="shared" ca="1" si="4"/>
        <v>0</v>
      </c>
      <c r="K28" s="653">
        <f t="shared" ca="1" si="5"/>
        <v>0</v>
      </c>
      <c r="L28" s="653">
        <f t="shared" ca="1" si="6"/>
        <v>0</v>
      </c>
      <c r="M28" s="653">
        <f ca="1">INDIRECT("'Настройки УИК'!$K$30")</f>
        <v>0</v>
      </c>
      <c r="N28" s="655">
        <f>'Настройки ТИК'!$C$32</f>
        <v>0</v>
      </c>
      <c r="O28" s="655">
        <f t="shared" ca="1" si="0"/>
        <v>0</v>
      </c>
      <c r="P28" s="655">
        <f t="shared" ca="1" si="1"/>
        <v>0</v>
      </c>
      <c r="Q28" s="653">
        <f t="shared" ca="1" si="7"/>
        <v>0</v>
      </c>
      <c r="R28" s="659"/>
      <c r="S28" s="653">
        <f t="shared" ca="1" si="8"/>
        <v>0</v>
      </c>
      <c r="T28" s="653">
        <f t="shared" ca="1" si="9"/>
        <v>0</v>
      </c>
      <c r="U28" s="653">
        <f t="shared" ca="1" si="10"/>
        <v>0</v>
      </c>
      <c r="V28" s="49" t="s">
        <v>917</v>
      </c>
      <c r="W28" s="235">
        <f t="shared" ca="1" si="2"/>
        <v>0</v>
      </c>
      <c r="X28" s="531">
        <f ca="1">COUNTIF($B$20:B27,B28)</f>
        <v>2</v>
      </c>
      <c r="Y28" s="235">
        <f t="shared" ca="1" si="12"/>
        <v>0</v>
      </c>
      <c r="Z28" s="235">
        <f t="shared" ca="1" si="11"/>
        <v>0</v>
      </c>
      <c r="AA28" s="235">
        <f t="shared" ca="1" si="3"/>
        <v>0</v>
      </c>
      <c r="AC28" s="176">
        <f>'Настройки УИК'!$R30</f>
        <v>0</v>
      </c>
      <c r="AD28" s="550">
        <f>'Настройки ТИК'!$C$55</f>
        <v>0</v>
      </c>
    </row>
    <row r="29" spans="1:30" ht="48" customHeight="1">
      <c r="A29" s="419" t="s">
        <v>408</v>
      </c>
      <c r="B29" s="656" t="str">
        <f ca="1">IF(INDIRECT("'Настройки УИК'!$B$31")=0," ",INDIRECT("'Настройки УИК'!$B$31"))</f>
        <v xml:space="preserve"> </v>
      </c>
      <c r="C29" s="656" t="str">
        <f ca="1">IF(INDIRECT("'Настройки УИК'!$C$31")=0," ",INDIRECT("'Настройки УИК'!$C$31"))</f>
        <v xml:space="preserve"> </v>
      </c>
      <c r="D29" s="657" t="e">
        <f>LOOKUP($B$3,'Настройки ТИК'!$AG$32:$AG$117,'Настройки ТИК'!$AI$32:$AI$117)</f>
        <v>#N/A</v>
      </c>
      <c r="E29" s="657" t="e">
        <f>LOOKUP($B$3,'Настройки ТИК'!$AG$32:$AG$117,'Настройки ТИК'!$AJ$32:$AJ$117)</f>
        <v>#N/A</v>
      </c>
      <c r="F29" s="656" t="str">
        <f ca="1">IF(INDIRECT("'Настройки УИК'!$I$31")=0," ",INDIRECT("'Настройки УИК'!$I$31"))</f>
        <v xml:space="preserve"> </v>
      </c>
      <c r="G29" s="656" t="str">
        <f ca="1">IF(INDIRECT("'Настройки УИК'!$J$31")=0," ",INDIRECT("'Настройки УИК'!$J$31"))</f>
        <v xml:space="preserve"> </v>
      </c>
      <c r="H29" s="687" t="e">
        <f ca="1">ROUND(SUM(INDIRECT("'Сведения ФОВ'!$DN$29:$DN$"&amp;MROUND(N($W$3),1)+28))/8,2)</f>
        <v>#VALUE!</v>
      </c>
      <c r="I29" s="687" t="e">
        <f ca="1">ROUND(SUM(INDIRECT("'Сведения ФОВ'!$DO$29:$DO$"&amp;MROUND(N($W$3),1)+28))/8,2)</f>
        <v>#VALUE!</v>
      </c>
      <c r="J29" s="653">
        <f t="shared" ca="1" si="4"/>
        <v>0</v>
      </c>
      <c r="K29" s="653">
        <f t="shared" ca="1" si="5"/>
        <v>0</v>
      </c>
      <c r="L29" s="653">
        <f t="shared" ca="1" si="6"/>
        <v>0</v>
      </c>
      <c r="M29" s="653">
        <f ca="1">INDIRECT("'Настройки УИК'!$K$31")</f>
        <v>0</v>
      </c>
      <c r="N29" s="655">
        <f>'Настройки ТИК'!$C$32</f>
        <v>0</v>
      </c>
      <c r="O29" s="655">
        <f t="shared" ca="1" si="0"/>
        <v>0</v>
      </c>
      <c r="P29" s="655">
        <f t="shared" ca="1" si="1"/>
        <v>0</v>
      </c>
      <c r="Q29" s="653">
        <f t="shared" ca="1" si="7"/>
        <v>0</v>
      </c>
      <c r="R29" s="659"/>
      <c r="S29" s="653">
        <f t="shared" ca="1" si="8"/>
        <v>0</v>
      </c>
      <c r="T29" s="653">
        <f t="shared" ca="1" si="9"/>
        <v>0</v>
      </c>
      <c r="U29" s="653">
        <f t="shared" ca="1" si="10"/>
        <v>0</v>
      </c>
      <c r="V29" s="49" t="s">
        <v>918</v>
      </c>
      <c r="W29" s="235">
        <f t="shared" ca="1" si="2"/>
        <v>0</v>
      </c>
      <c r="X29" s="531">
        <f ca="1">COUNTIF($B$20:B28,B29)</f>
        <v>3</v>
      </c>
      <c r="Y29" s="235">
        <f t="shared" ca="1" si="12"/>
        <v>0</v>
      </c>
      <c r="Z29" s="235">
        <f t="shared" ca="1" si="11"/>
        <v>0</v>
      </c>
      <c r="AA29" s="235">
        <f t="shared" ca="1" si="3"/>
        <v>0</v>
      </c>
      <c r="AC29" s="176">
        <f>'Настройки УИК'!$R31</f>
        <v>0</v>
      </c>
      <c r="AD29" s="550">
        <f>'Настройки ТИК'!$C$55</f>
        <v>0</v>
      </c>
    </row>
    <row r="30" spans="1:30" ht="48" customHeight="1">
      <c r="A30" s="419" t="s">
        <v>409</v>
      </c>
      <c r="B30" s="656" t="str">
        <f ca="1">IF(INDIRECT("'Настройки УИК'!$B$32")=0," ",INDIRECT("'Настройки УИК'!$B$32"))</f>
        <v xml:space="preserve"> </v>
      </c>
      <c r="C30" s="656" t="str">
        <f ca="1">IF(INDIRECT("'Настройки УИК'!$C$32")=0," ",INDIRECT("'Настройки УИК'!$C$32"))</f>
        <v xml:space="preserve"> </v>
      </c>
      <c r="D30" s="657" t="e">
        <f>LOOKUP($B$3,'Настройки ТИК'!$AG$32:$AG$117,'Настройки ТИК'!$AI$32:$AI$117)</f>
        <v>#N/A</v>
      </c>
      <c r="E30" s="657" t="e">
        <f>LOOKUP($B$3,'Настройки ТИК'!$AG$32:$AG$117,'Настройки ТИК'!$AJ$32:$AJ$117)</f>
        <v>#N/A</v>
      </c>
      <c r="F30" s="656" t="str">
        <f ca="1">IF(INDIRECT("'Настройки УИК'!$I$32")=0," ",INDIRECT("'Настройки УИК'!$I$32"))</f>
        <v xml:space="preserve"> </v>
      </c>
      <c r="G30" s="656" t="str">
        <f ca="1">IF(INDIRECT("'Настройки УИК'!$J$32")=0," ",INDIRECT("'Настройки УИК'!$J$32"))</f>
        <v xml:space="preserve"> </v>
      </c>
      <c r="H30" s="687" t="e">
        <f ca="1">ROUND(SUM(INDIRECT("'Сведения ФОВ'!$DZ$29:$DZ$"&amp;MROUND(N($W$3),1)+28))/8,2)</f>
        <v>#VALUE!</v>
      </c>
      <c r="I30" s="687" t="e">
        <f ca="1">ROUND(SUM(INDIRECT("'Сведения ФОВ'!$EA$29:$EA$"&amp;MROUND(N($W$3),1)+28))/8,2)</f>
        <v>#VALUE!</v>
      </c>
      <c r="J30" s="653">
        <f t="shared" ca="1" si="4"/>
        <v>0</v>
      </c>
      <c r="K30" s="653">
        <f t="shared" ca="1" si="5"/>
        <v>0</v>
      </c>
      <c r="L30" s="653">
        <f t="shared" ca="1" si="6"/>
        <v>0</v>
      </c>
      <c r="M30" s="653">
        <f ca="1">INDIRECT("'Настройки УИК'!$K$32")</f>
        <v>0</v>
      </c>
      <c r="N30" s="655">
        <f>'Настройки ТИК'!$C$32</f>
        <v>0</v>
      </c>
      <c r="O30" s="655">
        <f t="shared" ca="1" si="0"/>
        <v>0</v>
      </c>
      <c r="P30" s="655">
        <f t="shared" ca="1" si="1"/>
        <v>0</v>
      </c>
      <c r="Q30" s="653">
        <f t="shared" ca="1" si="7"/>
        <v>0</v>
      </c>
      <c r="R30" s="659"/>
      <c r="S30" s="653">
        <f t="shared" ca="1" si="8"/>
        <v>0</v>
      </c>
      <c r="T30" s="653">
        <f t="shared" ca="1" si="9"/>
        <v>0</v>
      </c>
      <c r="U30" s="653">
        <f t="shared" ca="1" si="10"/>
        <v>0</v>
      </c>
      <c r="V30" s="49" t="s">
        <v>919</v>
      </c>
      <c r="W30" s="235">
        <f t="shared" ca="1" si="2"/>
        <v>0</v>
      </c>
      <c r="X30" s="531">
        <f ca="1">COUNTIF($B$20:B29,B30)</f>
        <v>4</v>
      </c>
      <c r="Y30" s="235">
        <f t="shared" ca="1" si="12"/>
        <v>0</v>
      </c>
      <c r="Z30" s="235">
        <f t="shared" ca="1" si="11"/>
        <v>0</v>
      </c>
      <c r="AA30" s="235">
        <f t="shared" ca="1" si="3"/>
        <v>0</v>
      </c>
      <c r="AC30" s="176">
        <f>'Настройки УИК'!$R32</f>
        <v>0</v>
      </c>
      <c r="AD30" s="550">
        <f>'Настройки ТИК'!$C$55</f>
        <v>0</v>
      </c>
    </row>
    <row r="31" spans="1:30" ht="48" customHeight="1">
      <c r="A31" s="419" t="s">
        <v>410</v>
      </c>
      <c r="B31" s="656" t="str">
        <f ca="1">IF(INDIRECT("'Настройки УИК'!$B$33")=0," ",INDIRECT("'Настройки УИК'!$B$33"))</f>
        <v>Должности</v>
      </c>
      <c r="C31" s="656" t="str">
        <f ca="1">IF(INDIRECT("'Настройки УИК'!$C$33")=0," ",INDIRECT("'Настройки УИК'!$C$33"))</f>
        <v xml:space="preserve"> </v>
      </c>
      <c r="D31" s="657" t="e">
        <f>LOOKUP($B$3,'Настройки ТИК'!$AG$32:$AG$117,'Настройки ТИК'!$AI$32:$AI$117)</f>
        <v>#N/A</v>
      </c>
      <c r="E31" s="657" t="e">
        <f>LOOKUP($B$3,'Настройки ТИК'!$AG$32:$AG$117,'Настройки ТИК'!$AJ$32:$AJ$117)</f>
        <v>#N/A</v>
      </c>
      <c r="F31" s="656" t="str">
        <f ca="1">IF(INDIRECT("'Настройки УИК'!$I$33")=0," ",INDIRECT("'Настройки УИК'!$I$33"))</f>
        <v xml:space="preserve"> </v>
      </c>
      <c r="G31" s="656" t="str">
        <f ca="1">IF(INDIRECT("'Настройки УИК'!$J$33")=0," ",INDIRECT("'Настройки УИК'!$J$33"))</f>
        <v xml:space="preserve"> </v>
      </c>
      <c r="H31" s="687" t="e">
        <f ca="1">ROUND(SUM(INDIRECT("'Сведения ФОВ'!$EL$29:$EL$"&amp;MROUND(N($W$3),1)+28))/8,2)</f>
        <v>#VALUE!</v>
      </c>
      <c r="I31" s="687" t="e">
        <f ca="1">ROUND(SUM(INDIRECT("'Сведения ФОВ'!$EM$29:$EM$"&amp;MROUND(N($W$3),1)+28))/8,2)</f>
        <v>#VALUE!</v>
      </c>
      <c r="J31" s="653">
        <f t="shared" ca="1" si="4"/>
        <v>0</v>
      </c>
      <c r="K31" s="653">
        <f t="shared" ca="1" si="5"/>
        <v>0</v>
      </c>
      <c r="L31" s="653">
        <f t="shared" ca="1" si="6"/>
        <v>0</v>
      </c>
      <c r="M31" s="653">
        <f ca="1">INDIRECT("'Настройки УИК'!$K$33")</f>
        <v>0</v>
      </c>
      <c r="N31" s="655">
        <f>'Настройки ТИК'!$C$32</f>
        <v>0</v>
      </c>
      <c r="O31" s="655">
        <f t="shared" ca="1" si="0"/>
        <v>0</v>
      </c>
      <c r="P31" s="655">
        <f t="shared" ca="1" si="1"/>
        <v>0</v>
      </c>
      <c r="Q31" s="653">
        <f t="shared" ca="1" si="7"/>
        <v>0</v>
      </c>
      <c r="R31" s="659"/>
      <c r="S31" s="653">
        <f t="shared" ca="1" si="8"/>
        <v>0</v>
      </c>
      <c r="T31" s="653">
        <f t="shared" ca="1" si="9"/>
        <v>0</v>
      </c>
      <c r="U31" s="653">
        <f t="shared" ca="1" si="10"/>
        <v>0</v>
      </c>
      <c r="V31" s="49" t="s">
        <v>920</v>
      </c>
      <c r="W31" s="235">
        <f t="shared" ca="1" si="2"/>
        <v>0</v>
      </c>
      <c r="X31" s="531">
        <f ca="1">COUNTIF($B$20:B30,B31)</f>
        <v>0</v>
      </c>
      <c r="Y31" s="235">
        <f t="shared" ca="1" si="12"/>
        <v>1</v>
      </c>
      <c r="Z31" s="235">
        <f t="shared" ca="1" si="11"/>
        <v>0</v>
      </c>
      <c r="AA31" s="235">
        <f t="shared" ca="1" si="3"/>
        <v>0</v>
      </c>
      <c r="AC31" s="176">
        <f>'Настройки УИК'!$R33</f>
        <v>0</v>
      </c>
      <c r="AD31" s="550">
        <f>'Настройки ТИК'!$C$55</f>
        <v>0</v>
      </c>
    </row>
    <row r="32" spans="1:30" ht="48" customHeight="1">
      <c r="A32" s="419" t="s">
        <v>411</v>
      </c>
      <c r="B32" s="656" t="str">
        <f ca="1">IF(INDIRECT("'Настройки УИК'!$B$34")=0," ",INDIRECT("'Настройки УИК'!$B$34"))</f>
        <v xml:space="preserve"> </v>
      </c>
      <c r="C32" s="656" t="str">
        <f ca="1">IF(INDIRECT("'Настройки УИК'!$C$34")=0," ",INDIRECT("'Настройки УИК'!$C$34"))</f>
        <v xml:space="preserve"> </v>
      </c>
      <c r="D32" s="657" t="e">
        <f>LOOKUP($B$3,'Настройки ТИК'!$AG$32:$AG$117,'Настройки ТИК'!$AI$32:$AI$117)</f>
        <v>#N/A</v>
      </c>
      <c r="E32" s="657" t="e">
        <f>LOOKUP($B$3,'Настройки ТИК'!$AG$32:$AG$117,'Настройки ТИК'!$AJ$32:$AJ$117)</f>
        <v>#N/A</v>
      </c>
      <c r="F32" s="656" t="str">
        <f ca="1">IF(INDIRECT("'Настройки УИК'!$I$34")=0," ",INDIRECT("'Настройки УИК'!$I$34"))</f>
        <v xml:space="preserve"> </v>
      </c>
      <c r="G32" s="656" t="str">
        <f ca="1">IF(INDIRECT("'Настройки УИК'!$J$34")=0," ",INDIRECT("'Настройки УИК'!$J$34"))</f>
        <v xml:space="preserve"> </v>
      </c>
      <c r="H32" s="687" t="e">
        <f ca="1">ROUND(SUM(INDIRECT("'Сведения ФОВ'!$EX$29:$EX$"&amp;MROUND(N($W$3),1)+28))/8,2)</f>
        <v>#VALUE!</v>
      </c>
      <c r="I32" s="687" t="e">
        <f ca="1">ROUND(SUM(INDIRECT("'Сведения ФОВ'!$EY$29:$EY$"&amp;MROUND(N($W$3),1)+28))/8,2)</f>
        <v>#VALUE!</v>
      </c>
      <c r="J32" s="653">
        <f t="shared" ca="1" si="4"/>
        <v>0</v>
      </c>
      <c r="K32" s="653">
        <f t="shared" ca="1" si="5"/>
        <v>0</v>
      </c>
      <c r="L32" s="653">
        <f t="shared" ca="1" si="6"/>
        <v>0</v>
      </c>
      <c r="M32" s="653">
        <f ca="1">INDIRECT("'Настройки УИК'!$K$34")</f>
        <v>0</v>
      </c>
      <c r="N32" s="655">
        <f>'Настройки ТИК'!$C$32</f>
        <v>0</v>
      </c>
      <c r="O32" s="655">
        <f t="shared" ca="1" si="0"/>
        <v>0</v>
      </c>
      <c r="P32" s="655">
        <f t="shared" ca="1" si="1"/>
        <v>0</v>
      </c>
      <c r="Q32" s="653">
        <f t="shared" ca="1" si="7"/>
        <v>0</v>
      </c>
      <c r="R32" s="659"/>
      <c r="S32" s="653">
        <f t="shared" ca="1" si="8"/>
        <v>0</v>
      </c>
      <c r="T32" s="653">
        <f t="shared" ca="1" si="9"/>
        <v>0</v>
      </c>
      <c r="U32" s="653">
        <f t="shared" ca="1" si="10"/>
        <v>0</v>
      </c>
      <c r="V32" s="49" t="s">
        <v>921</v>
      </c>
      <c r="W32" s="235">
        <f t="shared" ca="1" si="2"/>
        <v>0</v>
      </c>
      <c r="X32" s="531">
        <f ca="1">COUNTIF($B$20:B31,B32)</f>
        <v>5</v>
      </c>
      <c r="Y32" s="235">
        <f t="shared" ca="1" si="12"/>
        <v>0</v>
      </c>
      <c r="Z32" s="235">
        <f t="shared" ca="1" si="11"/>
        <v>0</v>
      </c>
      <c r="AA32" s="235">
        <f t="shared" ca="1" si="3"/>
        <v>0</v>
      </c>
      <c r="AC32" s="176">
        <f>'Настройки УИК'!$R34</f>
        <v>0</v>
      </c>
      <c r="AD32" s="550">
        <f>'Настройки ТИК'!$C$55</f>
        <v>0</v>
      </c>
    </row>
    <row r="33" spans="1:30" ht="48" customHeight="1">
      <c r="A33" s="419" t="s">
        <v>412</v>
      </c>
      <c r="B33" s="656" t="str">
        <f ca="1">IF(INDIRECT("'Настройки УИК'!$B$35")=0," ",INDIRECT("'Настройки УИК'!$B$35"))</f>
        <v>Председатель</v>
      </c>
      <c r="C33" s="656" t="str">
        <f ca="1">IF(INDIRECT("'Настройки УИК'!$C$35")=0," ",INDIRECT("'Настройки УИК'!$C$35"))</f>
        <v>Заместитель председателя</v>
      </c>
      <c r="D33" s="657" t="e">
        <f>LOOKUP($B$3,'Настройки ТИК'!$AG$32:$AG$117,'Настройки ТИК'!$AI$32:$AI$117)</f>
        <v>#N/A</v>
      </c>
      <c r="E33" s="657" t="e">
        <f>LOOKUP($B$3,'Настройки ТИК'!$AG$32:$AG$117,'Настройки ТИК'!$AJ$32:$AJ$117)</f>
        <v>#N/A</v>
      </c>
      <c r="F33" s="656" t="str">
        <f ca="1">IF(INDIRECT("'Настройки УИК'!$I$35")=0," ",INDIRECT("'Настройки УИК'!$I$35"))</f>
        <v xml:space="preserve"> </v>
      </c>
      <c r="G33" s="656" t="str">
        <f ca="1">IF(INDIRECT("'Настройки УИК'!$J$35")=0," ",INDIRECT("'Настройки УИК'!$J$35"))</f>
        <v xml:space="preserve"> </v>
      </c>
      <c r="H33" s="687" t="e">
        <f ca="1">ROUND(SUM(INDIRECT("'Сведения ФОВ'!$FJ$29:$FJ$"&amp;MROUND(N($W$3),1)+28))/8,2)</f>
        <v>#VALUE!</v>
      </c>
      <c r="I33" s="687" t="e">
        <f ca="1">ROUND(SUM(INDIRECT("'Сведения ФОВ'!$FK$29:$FK$"&amp;MROUND(N($W$3),1)+28))/8,2)</f>
        <v>#VALUE!</v>
      </c>
      <c r="J33" s="653">
        <f t="shared" ca="1" si="4"/>
        <v>0</v>
      </c>
      <c r="K33" s="653">
        <f t="shared" ca="1" si="5"/>
        <v>0</v>
      </c>
      <c r="L33" s="653">
        <f t="shared" ca="1" si="6"/>
        <v>0</v>
      </c>
      <c r="M33" s="653">
        <f ca="1">INDIRECT("'Настройки УИК'!$K$35")</f>
        <v>0</v>
      </c>
      <c r="N33" s="655">
        <f>'Настройки ТИК'!$C$32</f>
        <v>0</v>
      </c>
      <c r="O33" s="655">
        <f t="shared" ca="1" si="0"/>
        <v>0</v>
      </c>
      <c r="P33" s="655">
        <f t="shared" ca="1" si="1"/>
        <v>0</v>
      </c>
      <c r="Q33" s="653">
        <f t="shared" ca="1" si="7"/>
        <v>0</v>
      </c>
      <c r="R33" s="659"/>
      <c r="S33" s="653">
        <f t="shared" ca="1" si="8"/>
        <v>0</v>
      </c>
      <c r="T33" s="653">
        <f t="shared" ca="1" si="9"/>
        <v>0</v>
      </c>
      <c r="U33" s="653">
        <f t="shared" ca="1" si="10"/>
        <v>0</v>
      </c>
      <c r="V33" s="49" t="s">
        <v>922</v>
      </c>
      <c r="W33" s="235">
        <f t="shared" ca="1" si="2"/>
        <v>0</v>
      </c>
      <c r="X33" s="531">
        <f ca="1">COUNTIF($B$20:B32,B33)</f>
        <v>0</v>
      </c>
      <c r="Y33" s="235">
        <f t="shared" ca="1" si="12"/>
        <v>1</v>
      </c>
      <c r="Z33" s="235">
        <f t="shared" ca="1" si="11"/>
        <v>0</v>
      </c>
      <c r="AA33" s="235">
        <f t="shared" ca="1" si="3"/>
        <v>0</v>
      </c>
      <c r="AC33" s="176">
        <f>'Настройки УИК'!$R35</f>
        <v>0</v>
      </c>
      <c r="AD33" s="550">
        <f>'Настройки ТИК'!$C$55</f>
        <v>0</v>
      </c>
    </row>
    <row r="34" spans="1:30" ht="48" customHeight="1">
      <c r="A34" s="419" t="s">
        <v>413</v>
      </c>
      <c r="B34" s="656" t="str">
        <f ca="1">IF(INDIRECT("'Настройки УИК'!$B$36")=0," ",INDIRECT("'Настройки УИК'!$B$36"))</f>
        <v xml:space="preserve"> </v>
      </c>
      <c r="C34" s="656" t="str">
        <f ca="1">IF(INDIRECT("'Настройки УИК'!$C$36")=0," ",INDIRECT("'Настройки УИК'!$C$36"))</f>
        <v xml:space="preserve"> </v>
      </c>
      <c r="D34" s="657" t="e">
        <f>LOOKUP($B$3,'Настройки ТИК'!$AG$32:$AG$117,'Настройки ТИК'!$AI$32:$AI$117)</f>
        <v>#N/A</v>
      </c>
      <c r="E34" s="657" t="e">
        <f>LOOKUP($B$3,'Настройки ТИК'!$AG$32:$AG$117,'Настройки ТИК'!$AJ$32:$AJ$117)</f>
        <v>#N/A</v>
      </c>
      <c r="F34" s="656" t="str">
        <f ca="1">IF(INDIRECT("'Настройки УИК'!$I$36")=0," ",INDIRECT("'Настройки УИК'!$I$36"))</f>
        <v xml:space="preserve"> </v>
      </c>
      <c r="G34" s="656" t="str">
        <f ca="1">IF(INDIRECT("'Настройки УИК'!$J$36")=0," ",INDIRECT("'Настройки УИК'!$J$36"))</f>
        <v xml:space="preserve"> </v>
      </c>
      <c r="H34" s="687" t="e">
        <f ca="1">ROUND(SUM(INDIRECT("'Сведения ФОВ'!$FV$29:$FV$"&amp;MROUND(N($W$3),1)+28))/8,2)</f>
        <v>#VALUE!</v>
      </c>
      <c r="I34" s="687" t="e">
        <f ca="1">ROUND(SUM(INDIRECT("'Сведения ФОВ'!$FW$29:$FW$"&amp;MROUND(N($W$3),1)+28))/8,2)</f>
        <v>#VALUE!</v>
      </c>
      <c r="J34" s="653">
        <f t="shared" ca="1" si="4"/>
        <v>0</v>
      </c>
      <c r="K34" s="653">
        <f t="shared" ca="1" si="5"/>
        <v>0</v>
      </c>
      <c r="L34" s="653">
        <f t="shared" ca="1" si="6"/>
        <v>0</v>
      </c>
      <c r="M34" s="653">
        <f ca="1">INDIRECT("'Настройки УИК'!$K$36")</f>
        <v>0</v>
      </c>
      <c r="N34" s="655">
        <f>'Настройки ТИК'!$C$32</f>
        <v>0</v>
      </c>
      <c r="O34" s="655">
        <f t="shared" ca="1" si="0"/>
        <v>0</v>
      </c>
      <c r="P34" s="655">
        <f t="shared" ca="1" si="1"/>
        <v>0</v>
      </c>
      <c r="Q34" s="653">
        <f t="shared" ca="1" si="7"/>
        <v>0</v>
      </c>
      <c r="R34" s="659"/>
      <c r="S34" s="653">
        <f t="shared" ca="1" si="8"/>
        <v>0</v>
      </c>
      <c r="T34" s="653">
        <f t="shared" ca="1" si="9"/>
        <v>0</v>
      </c>
      <c r="U34" s="653">
        <f t="shared" ca="1" si="10"/>
        <v>0</v>
      </c>
      <c r="V34" s="49" t="s">
        <v>923</v>
      </c>
      <c r="W34" s="235">
        <f t="shared" ca="1" si="2"/>
        <v>0</v>
      </c>
      <c r="X34" s="531">
        <f ca="1">COUNTIF($B$20:B33,B34)</f>
        <v>6</v>
      </c>
      <c r="Y34" s="235">
        <f t="shared" ca="1" si="12"/>
        <v>0</v>
      </c>
      <c r="Z34" s="235">
        <f t="shared" ca="1" si="11"/>
        <v>0</v>
      </c>
      <c r="AA34" s="235">
        <f t="shared" ca="1" si="3"/>
        <v>0</v>
      </c>
      <c r="AC34" s="176">
        <f>'Настройки УИК'!$R36</f>
        <v>0</v>
      </c>
      <c r="AD34" s="550">
        <f>'Настройки ТИК'!$C$55</f>
        <v>0</v>
      </c>
    </row>
    <row r="35" spans="1:30" ht="48" customHeight="1">
      <c r="A35" s="419" t="s">
        <v>414</v>
      </c>
      <c r="B35" s="656" t="str">
        <f ca="1">IF(INDIRECT("'Настройки УИК'!$B$37")=0," ",INDIRECT("'Настройки УИК'!$B$37"))</f>
        <v xml:space="preserve"> </v>
      </c>
      <c r="C35" s="656" t="str">
        <f ca="1">IF(INDIRECT("'Настройки УИК'!$C$37")=0," ",INDIRECT("'Настройки УИК'!$C$37"))</f>
        <v xml:space="preserve"> </v>
      </c>
      <c r="D35" s="657" t="e">
        <f>LOOKUP($B$3,'Настройки ТИК'!$AG$32:$AG$117,'Настройки ТИК'!$AI$32:$AI$117)</f>
        <v>#N/A</v>
      </c>
      <c r="E35" s="657" t="e">
        <f>LOOKUP($B$3,'Настройки ТИК'!$AG$32:$AG$117,'Настройки ТИК'!$AJ$32:$AJ$117)</f>
        <v>#N/A</v>
      </c>
      <c r="F35" s="656" t="str">
        <f ca="1">IF(INDIRECT("'Настройки УИК'!$I$37")=0," ",INDIRECT("'Настройки УИК'!$I$37"))</f>
        <v xml:space="preserve"> </v>
      </c>
      <c r="G35" s="656" t="str">
        <f ca="1">IF(INDIRECT("'Настройки УИК'!$J$37")=0," ",INDIRECT("'Настройки УИК'!$J$37"))</f>
        <v xml:space="preserve"> </v>
      </c>
      <c r="H35" s="687" t="e">
        <f ca="1">ROUND(SUM(INDIRECT("'Сведения ФОВ'!$GH$29:$GH$"&amp;MROUND(N($W$3),1)+28))/8,2)</f>
        <v>#VALUE!</v>
      </c>
      <c r="I35" s="687" t="e">
        <f ca="1">ROUND(SUM(INDIRECT("'Сведения ФОВ'!$GI$29:$GI$"&amp;MROUND(N($W$3),1)+28))/8,2)</f>
        <v>#VALUE!</v>
      </c>
      <c r="J35" s="653">
        <f t="shared" ca="1" si="4"/>
        <v>0</v>
      </c>
      <c r="K35" s="653">
        <f t="shared" ca="1" si="5"/>
        <v>0</v>
      </c>
      <c r="L35" s="653">
        <f t="shared" ca="1" si="6"/>
        <v>0</v>
      </c>
      <c r="M35" s="653">
        <f ca="1">INDIRECT("'Настройки УИК'!$K$37")</f>
        <v>0</v>
      </c>
      <c r="N35" s="655">
        <f>'Настройки ТИК'!$C$32</f>
        <v>0</v>
      </c>
      <c r="O35" s="655">
        <f t="shared" ca="1" si="0"/>
        <v>0</v>
      </c>
      <c r="P35" s="655">
        <f t="shared" ca="1" si="1"/>
        <v>0</v>
      </c>
      <c r="Q35" s="653">
        <f t="shared" ca="1" si="7"/>
        <v>0</v>
      </c>
      <c r="R35" s="659"/>
      <c r="S35" s="653">
        <f t="shared" ca="1" si="8"/>
        <v>0</v>
      </c>
      <c r="T35" s="653">
        <f t="shared" ca="1" si="9"/>
        <v>0</v>
      </c>
      <c r="U35" s="653">
        <f t="shared" ca="1" si="10"/>
        <v>0</v>
      </c>
      <c r="V35" s="49" t="s">
        <v>924</v>
      </c>
      <c r="W35" s="235">
        <f t="shared" ca="1" si="2"/>
        <v>0</v>
      </c>
      <c r="X35" s="531">
        <f ca="1">COUNTIF($B$20:B34,B35)</f>
        <v>7</v>
      </c>
      <c r="Y35" s="235">
        <f t="shared" ca="1" si="12"/>
        <v>0</v>
      </c>
      <c r="Z35" s="235">
        <f t="shared" ca="1" si="11"/>
        <v>0</v>
      </c>
      <c r="AA35" s="235">
        <f t="shared" ca="1" si="3"/>
        <v>0</v>
      </c>
      <c r="AC35" s="176">
        <f>'Настройки УИК'!$R37</f>
        <v>0</v>
      </c>
      <c r="AD35" s="550">
        <f>'Настройки ТИК'!$C$55</f>
        <v>0</v>
      </c>
    </row>
    <row r="36" spans="1:30" ht="48" customHeight="1">
      <c r="A36" s="419" t="s">
        <v>415</v>
      </c>
      <c r="B36" s="656" t="str">
        <f ca="1">IF(INDIRECT("'Настройки УИК'!$B$38")=0," ",INDIRECT("'Настройки УИК'!$B$38"))</f>
        <v xml:space="preserve"> </v>
      </c>
      <c r="C36" s="656" t="str">
        <f ca="1">IF(INDIRECT("'Настройки УИК'!$C$38")=0," ",INDIRECT("'Настройки УИК'!$C$38"))</f>
        <v xml:space="preserve"> </v>
      </c>
      <c r="D36" s="657" t="e">
        <f>LOOKUP($B$3,'Настройки ТИК'!$AG$32:$AG$117,'Настройки ТИК'!$AI$32:$AI$117)</f>
        <v>#N/A</v>
      </c>
      <c r="E36" s="657" t="e">
        <f>LOOKUP($B$3,'Настройки ТИК'!$AG$32:$AG$117,'Настройки ТИК'!$AJ$32:$AJ$117)</f>
        <v>#N/A</v>
      </c>
      <c r="F36" s="656" t="str">
        <f ca="1">IF(INDIRECT("'Настройки УИК'!$I$38")=0," ",INDIRECT("'Настройки УИК'!$I$38"))</f>
        <v xml:space="preserve"> </v>
      </c>
      <c r="G36" s="656" t="str">
        <f ca="1">IF(INDIRECT("'Настройки УИК'!$J$38")=0," ",INDIRECT("'Настройки УИК'!$J$38"))</f>
        <v xml:space="preserve"> </v>
      </c>
      <c r="H36" s="687" t="e">
        <f ca="1">ROUND(SUM(INDIRECT("'Сведения ФОВ'!$GT$29:$GT$"&amp;MROUND(N($W$3),1)+28))/8,2)</f>
        <v>#VALUE!</v>
      </c>
      <c r="I36" s="687" t="e">
        <f ca="1">ROUND(SUM(INDIRECT("'Сведения ФОВ'!$GU$29:$GU$"&amp;MROUND(N($W$3),1)+28))/8,2)</f>
        <v>#VALUE!</v>
      </c>
      <c r="J36" s="653">
        <f t="shared" ca="1" si="4"/>
        <v>0</v>
      </c>
      <c r="K36" s="653">
        <f t="shared" ca="1" si="5"/>
        <v>0</v>
      </c>
      <c r="L36" s="653">
        <f t="shared" ca="1" si="6"/>
        <v>0</v>
      </c>
      <c r="M36" s="653">
        <f ca="1">INDIRECT("'Настройки УИК'!$K$38")</f>
        <v>0</v>
      </c>
      <c r="N36" s="655">
        <f>'Настройки ТИК'!$C$32</f>
        <v>0</v>
      </c>
      <c r="O36" s="655">
        <f t="shared" ca="1" si="0"/>
        <v>0</v>
      </c>
      <c r="P36" s="655">
        <f t="shared" ca="1" si="1"/>
        <v>0</v>
      </c>
      <c r="Q36" s="653">
        <f t="shared" ca="1" si="7"/>
        <v>0</v>
      </c>
      <c r="R36" s="659"/>
      <c r="S36" s="653">
        <f t="shared" ca="1" si="8"/>
        <v>0</v>
      </c>
      <c r="T36" s="653">
        <f t="shared" ca="1" si="9"/>
        <v>0</v>
      </c>
      <c r="U36" s="653">
        <f t="shared" ca="1" si="10"/>
        <v>0</v>
      </c>
      <c r="V36" s="49" t="s">
        <v>925</v>
      </c>
      <c r="W36" s="235">
        <f t="shared" ca="1" si="2"/>
        <v>0</v>
      </c>
      <c r="X36" s="531">
        <f ca="1">COUNTIF($B$20:B35,B36)</f>
        <v>8</v>
      </c>
      <c r="Y36" s="235">
        <f t="shared" ca="1" si="12"/>
        <v>0</v>
      </c>
      <c r="Z36" s="235">
        <f t="shared" ca="1" si="11"/>
        <v>0</v>
      </c>
      <c r="AA36" s="235">
        <f t="shared" ca="1" si="3"/>
        <v>0</v>
      </c>
      <c r="AC36" s="176">
        <f>'Настройки УИК'!$R38</f>
        <v>0</v>
      </c>
      <c r="AD36" s="550">
        <f>'Настройки ТИК'!$C$55</f>
        <v>0</v>
      </c>
    </row>
    <row r="37" spans="1:30" ht="48" customHeight="1">
      <c r="A37" s="419" t="s">
        <v>416</v>
      </c>
      <c r="B37" s="656" t="str">
        <f ca="1">IF(INDIRECT("'Настройки УИК'!$B$39")=0," ",INDIRECT("'Настройки УИК'!$B$39"))</f>
        <v xml:space="preserve"> </v>
      </c>
      <c r="C37" s="656" t="str">
        <f ca="1">IF(INDIRECT("'Настройки УИК'!$C$39")=0," ",INDIRECT("'Настройки УИК'!$C$39"))</f>
        <v xml:space="preserve"> </v>
      </c>
      <c r="D37" s="657" t="e">
        <f>LOOKUP($B$3,'Настройки ТИК'!$AG$32:$AG$117,'Настройки ТИК'!$AI$32:$AI$117)</f>
        <v>#N/A</v>
      </c>
      <c r="E37" s="657" t="e">
        <f>LOOKUP($B$3,'Настройки ТИК'!$AG$32:$AG$117,'Настройки ТИК'!$AJ$32:$AJ$117)</f>
        <v>#N/A</v>
      </c>
      <c r="F37" s="656" t="str">
        <f ca="1">IF(INDIRECT("'Настройки УИК'!$I$39")=0," ",INDIRECT("'Настройки УИК'!$I$39"))</f>
        <v xml:space="preserve"> </v>
      </c>
      <c r="G37" s="656" t="str">
        <f ca="1">IF(INDIRECT("'Настройки УИК'!$J$39")=0," ",INDIRECT("'Настройки УИК'!$J$39"))</f>
        <v xml:space="preserve"> </v>
      </c>
      <c r="H37" s="687" t="e">
        <f ca="1">ROUND(SUM(INDIRECT("'Сведения ФОВ'!$HF$29:$HF$"&amp;MROUND(N($W$3),1)+28))/8,2)</f>
        <v>#VALUE!</v>
      </c>
      <c r="I37" s="687" t="e">
        <f ca="1">ROUND(SUM(INDIRECT("'Сведения ФОВ'!$HG$29:$HG$"&amp;MROUND(N($W$3),1)+28))/8,2)</f>
        <v>#VALUE!</v>
      </c>
      <c r="J37" s="653">
        <f t="shared" ca="1" si="4"/>
        <v>0</v>
      </c>
      <c r="K37" s="653">
        <f t="shared" ca="1" si="5"/>
        <v>0</v>
      </c>
      <c r="L37" s="653">
        <f t="shared" ca="1" si="6"/>
        <v>0</v>
      </c>
      <c r="M37" s="653">
        <f ca="1">INDIRECT("'Настройки УИК'!$K$39")</f>
        <v>0</v>
      </c>
      <c r="N37" s="655">
        <f>'Настройки ТИК'!$C$32</f>
        <v>0</v>
      </c>
      <c r="O37" s="655">
        <f t="shared" ca="1" si="0"/>
        <v>0</v>
      </c>
      <c r="P37" s="655">
        <f t="shared" ca="1" si="1"/>
        <v>0</v>
      </c>
      <c r="Q37" s="653">
        <f t="shared" ca="1" si="7"/>
        <v>0</v>
      </c>
      <c r="R37" s="659"/>
      <c r="S37" s="653">
        <f t="shared" ca="1" si="8"/>
        <v>0</v>
      </c>
      <c r="T37" s="653">
        <f t="shared" ca="1" si="9"/>
        <v>0</v>
      </c>
      <c r="U37" s="653">
        <f t="shared" ca="1" si="10"/>
        <v>0</v>
      </c>
      <c r="V37" s="49" t="s">
        <v>926</v>
      </c>
      <c r="W37" s="235">
        <f t="shared" ca="1" si="2"/>
        <v>0</v>
      </c>
      <c r="X37" s="531">
        <f ca="1">COUNTIF($B$20:B36,B37)</f>
        <v>9</v>
      </c>
      <c r="Y37" s="235">
        <f t="shared" ca="1" si="12"/>
        <v>0</v>
      </c>
      <c r="Z37" s="235">
        <f t="shared" ca="1" si="11"/>
        <v>0</v>
      </c>
      <c r="AA37" s="235">
        <f t="shared" ca="1" si="3"/>
        <v>0</v>
      </c>
      <c r="AC37" s="176">
        <f>'Настройки УИК'!$R39</f>
        <v>0</v>
      </c>
      <c r="AD37" s="550">
        <f>'Настройки ТИК'!$C$55</f>
        <v>0</v>
      </c>
    </row>
    <row r="38" spans="1:30" s="36" customFormat="1" ht="43.5" customHeight="1">
      <c r="A38" s="896" t="s">
        <v>51</v>
      </c>
      <c r="B38" s="897"/>
      <c r="C38" s="898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3">Q38+S38</f>
        <v>0</v>
      </c>
      <c r="U38" s="285">
        <f ca="1">SUM(U20:U37)</f>
        <v>0</v>
      </c>
      <c r="V38" s="279"/>
      <c r="W38" s="884" t="s">
        <v>846</v>
      </c>
      <c r="X38" s="884"/>
      <c r="Y38" s="884"/>
      <c r="Z38" s="884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884" t="s">
        <v>957</v>
      </c>
      <c r="X39" s="884"/>
      <c r="Y39" s="884"/>
      <c r="Z39" s="884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49" t="s">
        <v>150</v>
      </c>
      <c r="C44" s="749"/>
      <c r="F44" s="294"/>
      <c r="G44" s="907"/>
      <c r="H44" s="908"/>
      <c r="J44" s="294"/>
      <c r="K44" s="294"/>
      <c r="L44" s="907"/>
      <c r="M44" s="908"/>
      <c r="S44" s="243"/>
      <c r="T44" s="243"/>
      <c r="U44" s="243"/>
      <c r="V44" s="243"/>
      <c r="W44" s="235"/>
    </row>
    <row r="45" spans="1:30">
      <c r="G45" s="906" t="s">
        <v>142</v>
      </c>
      <c r="H45" s="906"/>
      <c r="J45" s="78" t="s">
        <v>5</v>
      </c>
      <c r="L45" s="906" t="s">
        <v>6</v>
      </c>
      <c r="M45" s="761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49" t="s">
        <v>151</v>
      </c>
      <c r="C47" s="749"/>
      <c r="I47" s="910" t="e">
        <f ca="1">INDEX(INDIRECT("'Настройки УИК'!$B$22"):B22,19-MATCH('Настройки ТИК'!B39,'Настройки УИК'!M22:M22,0),1)</f>
        <v>#VALUE!</v>
      </c>
      <c r="J47" s="910"/>
      <c r="K47" s="910"/>
      <c r="L47" s="910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906" t="s">
        <v>6</v>
      </c>
      <c r="J48" s="906"/>
      <c r="K48" s="906"/>
      <c r="L48" s="906"/>
      <c r="R48" s="243"/>
      <c r="T48" s="243"/>
      <c r="U48" s="243"/>
      <c r="V48" s="243"/>
      <c r="X48" s="516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5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904" t="s">
        <v>949</v>
      </c>
      <c r="D51" s="904"/>
      <c r="E51" s="904"/>
      <c r="F51" s="904"/>
      <c r="G51" s="904"/>
      <c r="H51" s="904"/>
      <c r="I51" s="904"/>
      <c r="J51" s="904"/>
      <c r="K51" s="904"/>
      <c r="L51" s="904"/>
      <c r="M51" s="904"/>
      <c r="N51" s="904"/>
      <c r="O51" s="904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905" t="str">
        <f ca="1">IF($Y$50&lt;0,"ВНИМАНИЕ! Превышена сумма, выделенная на выплату компенсации на "&amp;X50&amp;" руб.","")</f>
        <v/>
      </c>
      <c r="G53" s="905"/>
      <c r="H53" s="905"/>
      <c r="I53" s="905"/>
      <c r="J53" s="905"/>
      <c r="K53" s="905"/>
      <c r="L53" s="905"/>
      <c r="O53" s="909" t="str">
        <f ca="1">IF($X$49&lt;0,"ВНИМАНИЕ! Превышена сумма, выделенная на выплату дополнительной оплаты труда на "&amp;X48&amp;" руб.","")</f>
        <v/>
      </c>
      <c r="P53" s="909"/>
      <c r="Q53" s="909"/>
      <c r="R53" s="909"/>
      <c r="S53" s="909"/>
      <c r="T53" s="909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sheetProtection password="C09F" sheet="1" objects="1" scenarios="1"/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16" priority="416" stopIfTrue="1">
      <formula>IF($X$49&lt;0,"ИСТИНА","ЛОЖЬ")</formula>
    </cfRule>
  </conditionalFormatting>
  <conditionalFormatting sqref="L38">
    <cfRule type="expression" dxfId="15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E21" sqref="E21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0"/>
    <col min="8" max="8" width="24.7109375" style="640" customWidth="1"/>
    <col min="9" max="10" width="9.140625" style="640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3" t="str">
        <f ca="1">'Расчётная Ведомость'!B20</f>
        <v xml:space="preserve"> </v>
      </c>
      <c r="C4" s="513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IF(OR(A4=0,AND(C4="Председатель",NOT('Настройки ТИК'!$C$4="ТИК"))),0,ROW(E4))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3" t="str">
        <f ca="1">'Расчётная Ведомость'!B21</f>
        <v xml:space="preserve"> </v>
      </c>
      <c r="C5" s="513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IF(OR(A5=0,AND(C5="Председатель",NOT('Настройки ТИК'!$C$4="ТИК"))),0,ROW(E5))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3" t="str">
        <f ca="1">'Расчётная Ведомость'!B22</f>
        <v>Склонение по падежам УИК</v>
      </c>
      <c r="C6" s="513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IF(OR(A6=0,AND(C6="Председатель",NOT('Настройки ТИК'!$C$4="ТИК"))),0,ROW(E6))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3" t="str">
        <f ca="1">'Расчётная Ведомость'!B23</f>
        <v>для печати документов</v>
      </c>
      <c r="C7" s="513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IF(OR(A7=0,AND(C7="Председатель",NOT('Настройки ТИК'!$C$4="ТИК"))),0,ROW(E7))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3" t="str">
        <f ca="1">'Расчётная Ведомость'!B24</f>
        <v xml:space="preserve">Родительный </v>
      </c>
      <c r="C8" s="513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IF(OR(A8=0,AND(C8="Председатель",NOT('Настройки ТИК'!$C$4="ТИК"))),0,ROW(E8))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3" t="str">
        <f ca="1">'Расчётная Ведомость'!B25</f>
        <v xml:space="preserve">Дательный </v>
      </c>
      <c r="C9" s="513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IF(OR(A9=0,AND(C9="Председатель",NOT('Настройки ТИК'!$C$4="ТИК"))),0,ROW(E9))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3" t="str">
        <f ca="1">'Расчётная Ведомость'!B26</f>
        <v>Творительный</v>
      </c>
      <c r="C10" s="513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IF(OR(A10=0,AND(C10="Председатель",NOT('Настройки ТИК'!$C$4="ТИК"))),0,ROW(E10))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3" t="str">
        <f ca="1">'Расчётная Ведомость'!B27</f>
        <v>Винительный</v>
      </c>
      <c r="C11" s="513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IF(OR(A11=0,AND(C11="Председатель",NOT('Настройки ТИК'!$C$4="ТИК"))),0,ROW(E11))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3" t="str">
        <f ca="1">'Расчётная Ведомость'!B28</f>
        <v xml:space="preserve"> </v>
      </c>
      <c r="C12" s="513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IF(OR(A12=0,AND(C12="Председатель",NOT('Настройки ТИК'!$C$4="ТИК"))),0,ROW(E12))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3" t="str">
        <f ca="1">'Расчётная Ведомость'!B29</f>
        <v xml:space="preserve"> </v>
      </c>
      <c r="C13" s="513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IF(OR(A13=0,AND(C13="Председатель",NOT('Настройки ТИК'!$C$4="ТИК"))),0,ROW(E13))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3" t="str">
        <f ca="1">'Расчётная Ведомость'!B30</f>
        <v xml:space="preserve"> </v>
      </c>
      <c r="C14" s="513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IF(OR(A14=0,AND(C14="Председатель",NOT('Настройки ТИК'!$C$4="ТИК"))),0,ROW(E14))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3" t="str">
        <f ca="1">'Расчётная Ведомость'!B31</f>
        <v>Должности</v>
      </c>
      <c r="C15" s="513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IF(OR(A15=0,AND(C15="Председатель",NOT('Настройки ТИК'!$C$4="ТИК"))),0,ROW(E15))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3" t="str">
        <f ca="1">'Расчётная Ведомость'!B32</f>
        <v xml:space="preserve"> </v>
      </c>
      <c r="C16" s="513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IF(OR(A16=0,AND(C16="Председатель",NOT('Настройки ТИК'!$C$4="ТИК"))),0,ROW(E16))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3" t="str">
        <f ca="1">'Расчётная Ведомость'!B33</f>
        <v>Председатель</v>
      </c>
      <c r="C17" s="513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IF(OR(A17=0,AND(C17="Председатель",NOT('Настройки ТИК'!$C$4="ТИК"))),0,ROW(E17))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3" t="str">
        <f ca="1">'Расчётная Ведомость'!B34</f>
        <v xml:space="preserve"> </v>
      </c>
      <c r="C18" s="513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IF(OR(A18=0,AND(C18="Председатель",NOT('Настройки ТИК'!$C$4="ТИК"))),0,ROW(E18))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3" t="str">
        <f ca="1">'Расчётная Ведомость'!B35</f>
        <v xml:space="preserve"> </v>
      </c>
      <c r="C19" s="513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IF(OR(A19=0,AND(C19="Председатель",NOT('Настройки ТИК'!$C$4="ТИК"))),0,ROW(E19))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3" t="str">
        <f ca="1">'Расчётная Ведомость'!B36</f>
        <v xml:space="preserve"> </v>
      </c>
      <c r="C20" s="513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IF(OR(A20=0,AND(C20="Председатель",NOT('Настройки ТИК'!$C$4="ТИК"))),0,ROW(E20))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>
      <c r="A21" s="327">
        <f ca="1">'Расчётная Ведомость'!Q37</f>
        <v>0</v>
      </c>
      <c r="B21" s="513" t="str">
        <f ca="1">'Расчётная Ведомость'!B37</f>
        <v xml:space="preserve"> </v>
      </c>
      <c r="C21" s="513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IF(OR(A21=0,AND(C21="Председатель",NOT('Настройки ТИК'!$C$4="ТИК"))),0,ROW(E21))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5"/>
    </row>
  </sheetData>
  <sheetProtection password="C09F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T28" sqref="T28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16" t="s">
        <v>509</v>
      </c>
      <c r="H2" s="916"/>
      <c r="I2" s="916"/>
      <c r="J2" s="916"/>
      <c r="K2" s="916"/>
    </row>
    <row r="3" spans="1:12" ht="15.75">
      <c r="A3" s="178"/>
      <c r="B3" s="178"/>
      <c r="C3" s="178"/>
      <c r="D3" s="178"/>
      <c r="E3" s="178"/>
      <c r="F3" s="178"/>
      <c r="G3" s="916" t="s">
        <v>510</v>
      </c>
      <c r="H3" s="916"/>
      <c r="I3" s="916"/>
      <c r="J3" s="916"/>
      <c r="K3" s="916"/>
    </row>
    <row r="4" spans="1:12" ht="18.75">
      <c r="A4" s="178"/>
      <c r="B4" s="178"/>
      <c r="C4" s="178"/>
      <c r="D4" s="178"/>
      <c r="E4" s="178"/>
      <c r="F4" s="178"/>
      <c r="G4" s="916" t="s">
        <v>511</v>
      </c>
      <c r="H4" s="916"/>
      <c r="I4" s="916"/>
      <c r="J4" s="916"/>
      <c r="K4" s="518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58" t="s">
        <v>512</v>
      </c>
      <c r="H5" s="758"/>
      <c r="I5" s="758"/>
      <c r="J5" s="758"/>
      <c r="K5" s="517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7" t="s">
        <v>885</v>
      </c>
      <c r="C8" s="917"/>
      <c r="D8" s="917"/>
      <c r="E8" s="917"/>
      <c r="F8" s="917"/>
      <c r="G8" s="917"/>
      <c r="H8" s="917"/>
      <c r="I8" s="917"/>
      <c r="J8" s="917"/>
      <c r="K8" s="917"/>
    </row>
    <row r="9" spans="1:12" s="234" customFormat="1" ht="77.25" customHeight="1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>
      <c r="A10" s="178"/>
      <c r="B10" s="911" t="s">
        <v>250</v>
      </c>
      <c r="C10" s="911"/>
      <c r="D10" s="911"/>
      <c r="E10" s="911"/>
      <c r="F10" s="911"/>
      <c r="G10" s="911"/>
      <c r="H10" s="911"/>
      <c r="I10" s="911"/>
      <c r="J10" s="911"/>
      <c r="K10" s="911"/>
    </row>
    <row r="11" spans="1:12" s="234" customFormat="1" ht="15.75" customHeight="1">
      <c r="A11" s="178"/>
      <c r="B11" s="917" t="s">
        <v>884</v>
      </c>
      <c r="C11" s="917"/>
      <c r="D11" s="917"/>
      <c r="E11" s="917"/>
      <c r="F11" s="917"/>
      <c r="G11" s="917"/>
      <c r="H11" s="917"/>
      <c r="I11" s="917"/>
      <c r="J11" s="917"/>
      <c r="K11" s="917"/>
    </row>
    <row r="12" spans="1:12" ht="15.75" customHeight="1">
      <c r="A12" s="178"/>
      <c r="B12" s="913" t="str">
        <f>IF('Сведения ФОВ'!$E$14="","",('Сведения ФОВ'!$E$14))</f>
        <v/>
      </c>
      <c r="C12" s="913"/>
      <c r="D12" s="913"/>
      <c r="E12" s="913"/>
      <c r="F12" s="913"/>
      <c r="G12" s="913"/>
      <c r="H12" s="913"/>
      <c r="I12" s="913"/>
      <c r="J12" s="913"/>
      <c r="K12" s="913"/>
    </row>
    <row r="13" spans="1:12" ht="15" customHeight="1">
      <c r="A13" s="178"/>
      <c r="B13" s="911" t="s">
        <v>513</v>
      </c>
      <c r="C13" s="911"/>
      <c r="D13" s="911"/>
      <c r="E13" s="911"/>
      <c r="F13" s="911"/>
      <c r="G13" s="911"/>
      <c r="H13" s="911"/>
      <c r="I13" s="911"/>
      <c r="J13" s="911"/>
      <c r="K13" s="911"/>
    </row>
    <row r="14" spans="1:12" ht="18.75" customHeight="1">
      <c r="A14" s="179"/>
      <c r="B14" s="914" t="s">
        <v>514</v>
      </c>
      <c r="C14" s="914"/>
      <c r="D14" s="914"/>
      <c r="E14" s="914"/>
      <c r="F14" s="914"/>
      <c r="G14" s="914"/>
      <c r="H14" s="914"/>
      <c r="I14" s="914"/>
      <c r="J14" s="914"/>
      <c r="K14" s="914"/>
    </row>
    <row r="15" spans="1:12" ht="18.75" customHeight="1">
      <c r="A15" s="179"/>
      <c r="B15" s="179"/>
      <c r="C15" s="914" t="s">
        <v>515</v>
      </c>
      <c r="D15" s="914"/>
      <c r="E15" s="914"/>
      <c r="F15" s="914"/>
      <c r="G15" s="914"/>
      <c r="H15" s="914"/>
      <c r="I15" s="914"/>
      <c r="J15" s="914"/>
      <c r="K15" s="518">
        <f>'Настройки УИК'!J5</f>
        <v>0</v>
      </c>
      <c r="L15" s="234"/>
    </row>
    <row r="16" spans="1:12" ht="18.75" customHeight="1">
      <c r="A16" s="178"/>
      <c r="B16" s="914" t="s">
        <v>516</v>
      </c>
      <c r="C16" s="914"/>
      <c r="D16" s="914"/>
      <c r="E16" s="914"/>
      <c r="F16" s="914"/>
      <c r="G16" s="914"/>
      <c r="H16" s="914"/>
      <c r="I16" s="914"/>
      <c r="J16" s="914"/>
      <c r="K16" s="914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22" t="s">
        <v>517</v>
      </c>
      <c r="C18" s="922"/>
      <c r="D18" s="922"/>
      <c r="E18" s="922"/>
      <c r="F18" s="922" t="s">
        <v>892</v>
      </c>
      <c r="G18" s="922"/>
      <c r="H18" s="922"/>
      <c r="I18" s="922"/>
      <c r="J18" s="922" t="s">
        <v>518</v>
      </c>
      <c r="K18" s="922"/>
    </row>
    <row r="19" spans="1:11" ht="18.75" customHeight="1">
      <c r="A19" s="178"/>
      <c r="B19" s="919" t="str">
        <f ca="1">'К решению'!B26</f>
        <v/>
      </c>
      <c r="C19" s="920"/>
      <c r="D19" s="920"/>
      <c r="E19" s="921"/>
      <c r="F19" s="919" t="str">
        <f ca="1">'К решению'!C26</f>
        <v/>
      </c>
      <c r="G19" s="920"/>
      <c r="H19" s="920"/>
      <c r="I19" s="921"/>
      <c r="J19" s="912" t="str">
        <f ca="1">'К решению'!D26</f>
        <v/>
      </c>
      <c r="K19" s="912"/>
    </row>
    <row r="20" spans="1:11" ht="18.75" customHeight="1">
      <c r="A20" s="178"/>
      <c r="B20" s="915" t="str">
        <f ca="1">'К решению'!B27</f>
        <v/>
      </c>
      <c r="C20" s="915"/>
      <c r="D20" s="915"/>
      <c r="E20" s="915"/>
      <c r="F20" s="919" t="str">
        <f ca="1">'К решению'!C27</f>
        <v/>
      </c>
      <c r="G20" s="920"/>
      <c r="H20" s="920"/>
      <c r="I20" s="921"/>
      <c r="J20" s="912" t="str">
        <f ca="1">'К решению'!D27</f>
        <v/>
      </c>
      <c r="K20" s="912"/>
    </row>
    <row r="21" spans="1:11" ht="18.75" customHeight="1">
      <c r="A21" s="178"/>
      <c r="B21" s="915" t="str">
        <f ca="1">'К решению'!B28</f>
        <v/>
      </c>
      <c r="C21" s="915"/>
      <c r="D21" s="915"/>
      <c r="E21" s="915"/>
      <c r="F21" s="919" t="str">
        <f ca="1">'К решению'!C28</f>
        <v/>
      </c>
      <c r="G21" s="920"/>
      <c r="H21" s="920"/>
      <c r="I21" s="921"/>
      <c r="J21" s="912" t="str">
        <f ca="1">'К решению'!D28</f>
        <v/>
      </c>
      <c r="K21" s="912"/>
    </row>
    <row r="22" spans="1:11" ht="18.75" customHeight="1">
      <c r="A22" s="178"/>
      <c r="B22" s="915" t="str">
        <f ca="1">'К решению'!B29</f>
        <v/>
      </c>
      <c r="C22" s="915"/>
      <c r="D22" s="915"/>
      <c r="E22" s="915"/>
      <c r="F22" s="919" t="str">
        <f ca="1">'К решению'!C29</f>
        <v/>
      </c>
      <c r="G22" s="920"/>
      <c r="H22" s="920"/>
      <c r="I22" s="921"/>
      <c r="J22" s="912" t="str">
        <f ca="1">'К решению'!D29</f>
        <v/>
      </c>
      <c r="K22" s="912"/>
    </row>
    <row r="23" spans="1:11" ht="18.75" customHeight="1">
      <c r="A23" s="178"/>
      <c r="B23" s="915" t="str">
        <f ca="1">'К решению'!B30</f>
        <v/>
      </c>
      <c r="C23" s="915"/>
      <c r="D23" s="915"/>
      <c r="E23" s="915"/>
      <c r="F23" s="919" t="str">
        <f ca="1">'К решению'!C30</f>
        <v/>
      </c>
      <c r="G23" s="920"/>
      <c r="H23" s="920"/>
      <c r="I23" s="921"/>
      <c r="J23" s="912" t="str">
        <f ca="1">'К решению'!D30</f>
        <v/>
      </c>
      <c r="K23" s="912"/>
    </row>
    <row r="24" spans="1:11" ht="18.75" customHeight="1">
      <c r="A24" s="178"/>
      <c r="B24" s="915" t="str">
        <f ca="1">'К решению'!B31</f>
        <v/>
      </c>
      <c r="C24" s="915"/>
      <c r="D24" s="915"/>
      <c r="E24" s="915"/>
      <c r="F24" s="919" t="str">
        <f ca="1">'К решению'!C31</f>
        <v/>
      </c>
      <c r="G24" s="920"/>
      <c r="H24" s="920"/>
      <c r="I24" s="921"/>
      <c r="J24" s="912" t="str">
        <f ca="1">'К решению'!D31</f>
        <v/>
      </c>
      <c r="K24" s="912"/>
    </row>
    <row r="25" spans="1:11" ht="18.75" customHeight="1">
      <c r="A25" s="178"/>
      <c r="B25" s="915" t="str">
        <f ca="1">'К решению'!B32</f>
        <v/>
      </c>
      <c r="C25" s="915"/>
      <c r="D25" s="915"/>
      <c r="E25" s="915"/>
      <c r="F25" s="919" t="str">
        <f ca="1">'К решению'!C32</f>
        <v/>
      </c>
      <c r="G25" s="920"/>
      <c r="H25" s="920"/>
      <c r="I25" s="921"/>
      <c r="J25" s="912" t="str">
        <f ca="1">'К решению'!D32</f>
        <v/>
      </c>
      <c r="K25" s="912"/>
    </row>
    <row r="26" spans="1:11" ht="18.75">
      <c r="A26" s="178"/>
      <c r="B26" s="915" t="str">
        <f ca="1">'К решению'!B33</f>
        <v/>
      </c>
      <c r="C26" s="915"/>
      <c r="D26" s="915"/>
      <c r="E26" s="915"/>
      <c r="F26" s="919" t="str">
        <f ca="1">'К решению'!C33</f>
        <v/>
      </c>
      <c r="G26" s="920"/>
      <c r="H26" s="920"/>
      <c r="I26" s="921"/>
      <c r="J26" s="912" t="str">
        <f ca="1">'К решению'!D33</f>
        <v/>
      </c>
      <c r="K26" s="912"/>
    </row>
    <row r="27" spans="1:11" ht="18.75">
      <c r="A27" s="178"/>
      <c r="B27" s="915" t="str">
        <f ca="1">'К решению'!B34</f>
        <v/>
      </c>
      <c r="C27" s="915"/>
      <c r="D27" s="915"/>
      <c r="E27" s="915"/>
      <c r="F27" s="919" t="str">
        <f ca="1">'К решению'!C34</f>
        <v/>
      </c>
      <c r="G27" s="920"/>
      <c r="H27" s="920"/>
      <c r="I27" s="921"/>
      <c r="J27" s="912" t="str">
        <f ca="1">'К решению'!D34</f>
        <v/>
      </c>
      <c r="K27" s="912"/>
    </row>
    <row r="28" spans="1:11" ht="18.75">
      <c r="A28" s="178"/>
      <c r="B28" s="915" t="str">
        <f ca="1">'К решению'!B35</f>
        <v/>
      </c>
      <c r="C28" s="915"/>
      <c r="D28" s="915"/>
      <c r="E28" s="915"/>
      <c r="F28" s="919" t="str">
        <f ca="1">'К решению'!C35</f>
        <v/>
      </c>
      <c r="G28" s="920"/>
      <c r="H28" s="920"/>
      <c r="I28" s="921"/>
      <c r="J28" s="912" t="str">
        <f ca="1">'К решению'!D35</f>
        <v/>
      </c>
      <c r="K28" s="912"/>
    </row>
    <row r="29" spans="1:11" ht="18.75">
      <c r="A29" s="178"/>
      <c r="B29" s="915" t="str">
        <f ca="1">'К решению'!B36</f>
        <v/>
      </c>
      <c r="C29" s="915"/>
      <c r="D29" s="915"/>
      <c r="E29" s="915"/>
      <c r="F29" s="919" t="str">
        <f ca="1">'К решению'!C36</f>
        <v/>
      </c>
      <c r="G29" s="920"/>
      <c r="H29" s="920"/>
      <c r="I29" s="921"/>
      <c r="J29" s="912" t="str">
        <f ca="1">'К решению'!D36</f>
        <v/>
      </c>
      <c r="K29" s="912"/>
    </row>
    <row r="30" spans="1:11" ht="18.75">
      <c r="A30" s="178"/>
      <c r="B30" s="915" t="str">
        <f ca="1">'К решению'!B37</f>
        <v/>
      </c>
      <c r="C30" s="915"/>
      <c r="D30" s="915"/>
      <c r="E30" s="915"/>
      <c r="F30" s="919" t="str">
        <f ca="1">'К решению'!C37</f>
        <v/>
      </c>
      <c r="G30" s="920"/>
      <c r="H30" s="920"/>
      <c r="I30" s="921"/>
      <c r="J30" s="912" t="str">
        <f ca="1">'К решению'!D37</f>
        <v/>
      </c>
      <c r="K30" s="912"/>
    </row>
    <row r="31" spans="1:11" ht="18.75">
      <c r="A31" s="178"/>
      <c r="B31" s="915" t="str">
        <f ca="1">'К решению'!B38</f>
        <v/>
      </c>
      <c r="C31" s="915"/>
      <c r="D31" s="915"/>
      <c r="E31" s="915"/>
      <c r="F31" s="919" t="str">
        <f ca="1">'К решению'!C38</f>
        <v/>
      </c>
      <c r="G31" s="920"/>
      <c r="H31" s="920"/>
      <c r="I31" s="921"/>
      <c r="J31" s="912" t="str">
        <f ca="1">'К решению'!D38</f>
        <v/>
      </c>
      <c r="K31" s="912"/>
    </row>
    <row r="32" spans="1:11" ht="18.75">
      <c r="A32" s="178"/>
      <c r="B32" s="915" t="str">
        <f ca="1">'К решению'!B39</f>
        <v/>
      </c>
      <c r="C32" s="915"/>
      <c r="D32" s="915"/>
      <c r="E32" s="915"/>
      <c r="F32" s="919" t="str">
        <f ca="1">'К решению'!C39</f>
        <v/>
      </c>
      <c r="G32" s="920"/>
      <c r="H32" s="920"/>
      <c r="I32" s="921"/>
      <c r="J32" s="912" t="str">
        <f ca="1">'К решению'!D39</f>
        <v/>
      </c>
      <c r="K32" s="912"/>
    </row>
    <row r="33" spans="1:13" ht="18.75">
      <c r="A33" s="178"/>
      <c r="B33" s="915" t="str">
        <f ca="1">'К решению'!B40</f>
        <v/>
      </c>
      <c r="C33" s="915"/>
      <c r="D33" s="915"/>
      <c r="E33" s="915"/>
      <c r="F33" s="919" t="str">
        <f ca="1">'К решению'!C40</f>
        <v/>
      </c>
      <c r="G33" s="920"/>
      <c r="H33" s="920"/>
      <c r="I33" s="921"/>
      <c r="J33" s="912" t="str">
        <f ca="1">'К решению'!D40</f>
        <v/>
      </c>
      <c r="K33" s="912"/>
    </row>
    <row r="34" spans="1:13" ht="18.75">
      <c r="A34" s="178"/>
      <c r="B34" s="915" t="str">
        <f ca="1">'К решению'!B41</f>
        <v/>
      </c>
      <c r="C34" s="915"/>
      <c r="D34" s="915"/>
      <c r="E34" s="915"/>
      <c r="F34" s="919" t="str">
        <f ca="1">'К решению'!C41</f>
        <v/>
      </c>
      <c r="G34" s="920"/>
      <c r="H34" s="920"/>
      <c r="I34" s="921"/>
      <c r="J34" s="912" t="str">
        <f ca="1">'К решению'!D41</f>
        <v/>
      </c>
      <c r="K34" s="912"/>
    </row>
    <row r="35" spans="1:13" ht="18.75">
      <c r="A35" s="178"/>
      <c r="B35" s="915" t="str">
        <f ca="1">'К решению'!B42</f>
        <v/>
      </c>
      <c r="C35" s="915"/>
      <c r="D35" s="915"/>
      <c r="E35" s="915"/>
      <c r="F35" s="919" t="str">
        <f ca="1">'К решению'!C42</f>
        <v/>
      </c>
      <c r="G35" s="920"/>
      <c r="H35" s="920"/>
      <c r="I35" s="921"/>
      <c r="J35" s="912" t="str">
        <f ca="1">'К решению'!D42</f>
        <v/>
      </c>
      <c r="K35" s="912"/>
    </row>
    <row r="37" spans="1:13">
      <c r="M37" s="495"/>
    </row>
  </sheetData>
  <sheetProtection password="C09F" sheet="1" objects="1" scenarios="1"/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3" customWidth="1"/>
    <col min="2" max="2" width="9.140625" style="533"/>
    <col min="3" max="3" width="9.85546875" style="533" customWidth="1"/>
    <col min="4" max="4" width="9.140625" style="533"/>
    <col min="5" max="6" width="12.7109375" style="533" customWidth="1"/>
    <col min="7" max="12" width="9.140625" style="533"/>
    <col min="13" max="16384" width="9.140625" style="146"/>
  </cols>
  <sheetData>
    <row r="1" spans="1:12" ht="19.5" customHeight="1">
      <c r="A1" s="532">
        <f>'Настройки ТИК'!$H$17</f>
        <v>0</v>
      </c>
      <c r="B1" s="532"/>
    </row>
    <row r="2" spans="1:12" ht="19.5" customHeight="1">
      <c r="B2" s="931" t="s">
        <v>862</v>
      </c>
      <c r="C2" s="931"/>
      <c r="D2" s="931"/>
      <c r="E2" s="931"/>
      <c r="F2" s="931"/>
      <c r="G2" s="931"/>
      <c r="H2" s="931"/>
      <c r="I2" s="931"/>
      <c r="J2" s="931"/>
      <c r="K2" s="931"/>
      <c r="L2" s="931"/>
    </row>
    <row r="3" spans="1:12" ht="19.5" customHeight="1">
      <c r="B3" s="932" t="s">
        <v>886</v>
      </c>
      <c r="C3" s="932"/>
      <c r="D3" s="932"/>
      <c r="E3" s="932"/>
      <c r="F3" s="932"/>
      <c r="G3" s="932"/>
      <c r="H3" s="932"/>
      <c r="I3" s="932"/>
      <c r="J3" s="932"/>
      <c r="K3" s="932"/>
      <c r="L3" s="932"/>
    </row>
    <row r="4" spans="1:12" ht="19.5" customHeight="1">
      <c r="B4" s="933" t="s">
        <v>887</v>
      </c>
      <c r="C4" s="933"/>
      <c r="D4" s="933"/>
      <c r="E4" s="933"/>
      <c r="F4" s="933"/>
      <c r="G4" s="933"/>
      <c r="H4" s="933"/>
      <c r="I4" s="929">
        <f>'Настройки УИК'!J5</f>
        <v>0</v>
      </c>
      <c r="J4" s="929"/>
      <c r="K4" s="534"/>
      <c r="L4" s="534"/>
    </row>
    <row r="5" spans="1:12" ht="19.5" customHeight="1">
      <c r="B5" s="932" t="s">
        <v>516</v>
      </c>
      <c r="C5" s="932"/>
      <c r="D5" s="932"/>
      <c r="E5" s="932"/>
      <c r="F5" s="932"/>
      <c r="G5" s="932"/>
      <c r="H5" s="932"/>
      <c r="I5" s="932"/>
      <c r="J5" s="932"/>
      <c r="K5" s="932"/>
      <c r="L5" s="932"/>
    </row>
    <row r="6" spans="1:12" ht="19.5" customHeight="1">
      <c r="B6" s="535"/>
      <c r="C6" s="535"/>
      <c r="D6" s="535"/>
      <c r="E6" s="535"/>
      <c r="F6" s="535"/>
      <c r="G6" s="535"/>
      <c r="H6" s="535"/>
      <c r="I6" s="535"/>
      <c r="J6" s="535"/>
      <c r="K6" s="535"/>
      <c r="L6" s="535"/>
    </row>
    <row r="7" spans="1:12" ht="19.5" customHeight="1">
      <c r="B7" s="928" t="s">
        <v>833</v>
      </c>
      <c r="C7" s="928"/>
      <c r="D7" s="927" t="str">
        <f ca="1">'Расчётная Ведомость'!B20</f>
        <v xml:space="preserve"> </v>
      </c>
      <c r="E7" s="927"/>
      <c r="F7" s="927"/>
      <c r="G7" s="927"/>
      <c r="H7" s="927"/>
      <c r="I7" s="927"/>
      <c r="J7" s="927"/>
      <c r="K7" s="927"/>
      <c r="L7" s="927"/>
    </row>
    <row r="8" spans="1:12" ht="19.5" customHeight="1">
      <c r="B8" s="535"/>
      <c r="C8" s="535"/>
      <c r="D8" s="535"/>
      <c r="E8" s="535"/>
      <c r="F8" s="535"/>
      <c r="G8" s="535"/>
      <c r="H8" s="535"/>
      <c r="I8" s="535"/>
      <c r="J8" s="535"/>
      <c r="K8" s="535"/>
      <c r="L8" s="535"/>
    </row>
    <row r="9" spans="1:12" ht="19.5" customHeight="1">
      <c r="B9" s="928" t="s">
        <v>45</v>
      </c>
      <c r="C9" s="928"/>
      <c r="D9" s="927" t="str">
        <f ca="1">'Расчётная Ведомость'!C20</f>
        <v/>
      </c>
      <c r="E9" s="927"/>
      <c r="F9" s="927"/>
      <c r="G9" s="927"/>
      <c r="H9" s="927"/>
      <c r="I9" s="927"/>
      <c r="J9" s="927"/>
      <c r="K9" s="927"/>
      <c r="L9" s="927"/>
    </row>
    <row r="10" spans="1:12" ht="19.5" customHeight="1">
      <c r="B10" s="535"/>
      <c r="C10" s="535"/>
      <c r="D10" s="535"/>
      <c r="E10" s="535"/>
      <c r="F10" s="535"/>
      <c r="G10" s="535"/>
      <c r="H10" s="535"/>
      <c r="I10" s="535"/>
      <c r="J10" s="535"/>
      <c r="K10" s="535"/>
      <c r="L10" s="535"/>
    </row>
    <row r="11" spans="1:12" s="147" customFormat="1" ht="19.5" customHeight="1">
      <c r="A11" s="533"/>
      <c r="B11" s="928" t="s">
        <v>863</v>
      </c>
      <c r="C11" s="928"/>
      <c r="D11" s="928"/>
      <c r="E11" s="928"/>
      <c r="F11" s="536"/>
      <c r="G11" s="537" t="s">
        <v>864</v>
      </c>
      <c r="H11" s="934">
        <f>'Настройки ТИК'!$C$17</f>
        <v>0</v>
      </c>
      <c r="I11" s="927"/>
      <c r="J11" s="537" t="s">
        <v>790</v>
      </c>
      <c r="K11" s="934">
        <f>'Настройки ТИК'!$D$17</f>
        <v>0</v>
      </c>
      <c r="L11" s="927"/>
    </row>
    <row r="12" spans="1:12" ht="19.5" customHeight="1">
      <c r="B12" s="535"/>
      <c r="C12" s="535"/>
      <c r="D12" s="535"/>
      <c r="E12" s="535"/>
      <c r="F12" s="535"/>
      <c r="G12" s="535"/>
      <c r="H12" s="535"/>
      <c r="I12" s="535"/>
      <c r="J12" s="535"/>
      <c r="K12" s="535"/>
      <c r="L12" s="535"/>
    </row>
    <row r="13" spans="1:12" ht="19.5" customHeight="1">
      <c r="A13" s="538"/>
      <c r="B13" s="537"/>
      <c r="C13" s="537"/>
      <c r="D13" s="537"/>
      <c r="E13" s="537"/>
      <c r="F13" s="537"/>
      <c r="G13" s="537"/>
      <c r="H13" s="537"/>
      <c r="I13" s="537"/>
      <c r="J13" s="537"/>
      <c r="K13" s="537"/>
      <c r="L13" s="537"/>
    </row>
    <row r="14" spans="1:12" ht="132.75" customHeight="1">
      <c r="B14" s="923" t="s">
        <v>865</v>
      </c>
      <c r="C14" s="923"/>
      <c r="D14" s="923"/>
      <c r="E14" s="923"/>
      <c r="F14" s="539"/>
      <c r="G14" s="924">
        <f>'Настройки ТИК'!$B$9</f>
        <v>0</v>
      </c>
      <c r="H14" s="924"/>
      <c r="I14" s="924"/>
      <c r="J14" s="924"/>
      <c r="K14" s="924"/>
      <c r="L14" s="924"/>
    </row>
    <row r="15" spans="1:12" ht="19.5" customHeight="1">
      <c r="B15" s="535"/>
      <c r="C15" s="535"/>
      <c r="D15" s="535"/>
      <c r="E15" s="535"/>
      <c r="F15" s="535"/>
      <c r="G15" s="535"/>
      <c r="H15" s="535"/>
      <c r="I15" s="535"/>
      <c r="J15" s="535"/>
      <c r="K15" s="535"/>
      <c r="L15" s="535"/>
    </row>
    <row r="16" spans="1:12" ht="39.75" customHeight="1">
      <c r="B16" s="925" t="s">
        <v>951</v>
      </c>
      <c r="C16" s="925"/>
      <c r="D16" s="925"/>
      <c r="E16" s="925"/>
      <c r="F16" s="925"/>
      <c r="G16" s="925"/>
      <c r="H16" s="925"/>
      <c r="I16" s="925"/>
      <c r="J16" s="925"/>
      <c r="K16" s="926">
        <f ca="1">'Расчётная Ведомость'!M20</f>
        <v>0</v>
      </c>
      <c r="L16" s="927"/>
    </row>
    <row r="17" spans="2:12" ht="19.5" customHeight="1">
      <c r="B17" s="540"/>
      <c r="C17" s="540"/>
      <c r="D17" s="540"/>
      <c r="E17" s="540"/>
      <c r="F17" s="540"/>
      <c r="G17" s="540"/>
      <c r="H17" s="540"/>
      <c r="I17" s="540"/>
      <c r="J17" s="540"/>
      <c r="K17" s="540"/>
      <c r="L17" s="540"/>
    </row>
    <row r="18" spans="2:12" ht="19.5" customHeight="1">
      <c r="B18" s="937" t="s">
        <v>518</v>
      </c>
      <c r="C18" s="937"/>
      <c r="D18" s="937"/>
      <c r="E18" s="937"/>
      <c r="F18" s="937"/>
      <c r="G18" s="937"/>
      <c r="H18" s="937"/>
      <c r="I18" s="937"/>
      <c r="J18" s="937"/>
      <c r="K18" s="926">
        <f>'Расчётная Ведомость'!R20</f>
        <v>0</v>
      </c>
      <c r="L18" s="927"/>
    </row>
    <row r="19" spans="2:12" ht="19.5" customHeight="1">
      <c r="B19" s="535"/>
      <c r="C19" s="535"/>
      <c r="D19" s="535"/>
      <c r="E19" s="535"/>
      <c r="F19" s="535"/>
      <c r="G19" s="535"/>
      <c r="H19" s="535"/>
      <c r="I19" s="535"/>
      <c r="J19" s="535"/>
      <c r="K19" s="535"/>
      <c r="L19" s="535"/>
    </row>
    <row r="20" spans="2:12" ht="19.5" customHeight="1">
      <c r="B20" s="935" t="s">
        <v>889</v>
      </c>
      <c r="C20" s="935"/>
      <c r="D20" s="935"/>
      <c r="E20" s="935"/>
      <c r="F20" s="935"/>
      <c r="G20" s="936" t="e">
        <f ca="1">('Расчётная Ведомость'!H20+'Расчётная Ведомость'!I20)*8+('Расчётная Ведомость'!O20+'Расчётная Ведомость'!P20)</f>
        <v>#VALUE!</v>
      </c>
      <c r="H20" s="936"/>
      <c r="I20" s="535" t="s">
        <v>866</v>
      </c>
      <c r="K20" s="938">
        <f ca="1">'Расчётная Ведомость'!U20</f>
        <v>0</v>
      </c>
      <c r="L20" s="939"/>
    </row>
    <row r="21" spans="2:12" ht="19.5" customHeight="1">
      <c r="B21" s="541" t="s">
        <v>888</v>
      </c>
      <c r="C21" s="541"/>
      <c r="D21" s="541"/>
      <c r="E21" s="541"/>
      <c r="F21" s="541"/>
      <c r="G21" s="535"/>
      <c r="H21" s="535"/>
      <c r="I21" s="535"/>
      <c r="J21" s="535"/>
      <c r="K21" s="535"/>
      <c r="L21" s="535"/>
    </row>
    <row r="22" spans="2:12" ht="19.5" customHeight="1">
      <c r="B22" s="935" t="s">
        <v>890</v>
      </c>
      <c r="C22" s="935"/>
      <c r="D22" s="935"/>
      <c r="E22" s="935"/>
      <c r="F22" s="935"/>
      <c r="G22" s="926">
        <f ca="1">INDIRECT("'Сведения ФОВ'!E"&amp;MROUND(N($A$1),1)+30)</f>
        <v>0</v>
      </c>
      <c r="H22" s="927"/>
      <c r="I22" s="535"/>
      <c r="J22" s="535"/>
      <c r="K22" s="535"/>
      <c r="L22" s="535"/>
    </row>
    <row r="23" spans="2:12" ht="19.5" customHeight="1">
      <c r="B23" s="935" t="s">
        <v>13</v>
      </c>
      <c r="C23" s="935"/>
      <c r="D23" s="935"/>
      <c r="E23" s="935"/>
      <c r="F23" s="935"/>
      <c r="G23" s="926">
        <f ca="1">INDIRECT("'Сведения ФОВ'!E"&amp;MROUND(N($A$1),1)+31)</f>
        <v>0</v>
      </c>
      <c r="H23" s="927"/>
      <c r="I23" s="535"/>
      <c r="J23" s="535"/>
      <c r="K23" s="535"/>
      <c r="L23" s="535"/>
    </row>
    <row r="24" spans="2:12" ht="19.5" customHeight="1">
      <c r="B24" s="935" t="s">
        <v>263</v>
      </c>
      <c r="C24" s="935"/>
      <c r="D24" s="935"/>
      <c r="E24" s="935"/>
      <c r="F24" s="935"/>
      <c r="I24" s="535"/>
      <c r="J24" s="535"/>
      <c r="K24" s="535"/>
      <c r="L24" s="535"/>
    </row>
    <row r="25" spans="2:12" ht="19.5" customHeight="1">
      <c r="B25" s="935" t="s">
        <v>891</v>
      </c>
      <c r="C25" s="935"/>
      <c r="D25" s="935"/>
      <c r="E25" s="935"/>
      <c r="F25" s="935"/>
      <c r="G25" s="926">
        <f ca="1">INDIRECT("'Сведения ФОВ'!E"&amp;MROUND(N($A$1),1)+32)</f>
        <v>0</v>
      </c>
      <c r="H25" s="927"/>
      <c r="I25" s="535"/>
      <c r="J25" s="535"/>
      <c r="K25" s="535"/>
      <c r="L25" s="535"/>
    </row>
    <row r="26" spans="2:12" ht="19.5" customHeight="1">
      <c r="B26" s="935" t="s">
        <v>16</v>
      </c>
      <c r="C26" s="935"/>
      <c r="D26" s="935"/>
      <c r="E26" s="935"/>
      <c r="F26" s="935"/>
      <c r="G26" s="926">
        <f ca="1">INDIRECT("'Сведения ФОВ'!E"&amp;MROUND(N($A$1),1)+33)</f>
        <v>0</v>
      </c>
      <c r="H26" s="927"/>
      <c r="I26" s="535"/>
      <c r="J26" s="535"/>
      <c r="K26" s="535"/>
      <c r="L26" s="535"/>
    </row>
    <row r="27" spans="2:12" ht="19.5" customHeight="1">
      <c r="B27" s="935" t="s">
        <v>420</v>
      </c>
      <c r="C27" s="935"/>
      <c r="D27" s="935"/>
      <c r="E27" s="935"/>
      <c r="F27" s="935"/>
      <c r="G27" s="926">
        <f ca="1">INDIRECT("'Сведения ФОВ'!E"&amp;MROUND(N($A$1),1)+34)</f>
        <v>0</v>
      </c>
      <c r="H27" s="927"/>
      <c r="I27" s="535"/>
      <c r="J27" s="535"/>
      <c r="K27" s="535"/>
      <c r="L27" s="535"/>
    </row>
    <row r="28" spans="2:12" ht="19.5" customHeight="1">
      <c r="B28" s="535"/>
      <c r="C28" s="535"/>
      <c r="D28" s="535"/>
      <c r="E28" s="535"/>
      <c r="F28" s="535"/>
      <c r="G28" s="535"/>
      <c r="H28" s="535"/>
      <c r="I28" s="535"/>
      <c r="J28" s="535"/>
      <c r="K28" s="535"/>
      <c r="L28" s="535"/>
    </row>
    <row r="29" spans="2:12" ht="19.5" customHeight="1">
      <c r="B29" s="535" t="s">
        <v>140</v>
      </c>
      <c r="C29" s="535"/>
      <c r="D29" s="542"/>
      <c r="E29" s="542"/>
      <c r="F29" s="535"/>
      <c r="G29" s="929">
        <f>'Настройки УИК'!$I$43</f>
        <v>0</v>
      </c>
      <c r="H29" s="929"/>
      <c r="I29" s="929"/>
      <c r="J29" s="929"/>
      <c r="K29" s="929"/>
      <c r="L29" s="929"/>
    </row>
    <row r="30" spans="2:12" ht="19.5" customHeight="1">
      <c r="B30" s="535"/>
      <c r="C30" s="535"/>
      <c r="D30" s="930" t="s">
        <v>5</v>
      </c>
      <c r="E30" s="930"/>
      <c r="F30" s="543"/>
      <c r="G30" s="535"/>
      <c r="H30" s="535"/>
      <c r="I30" s="535"/>
      <c r="J30" s="535"/>
      <c r="K30" s="535"/>
      <c r="L30" s="535"/>
    </row>
    <row r="31" spans="2:12" ht="19.5" customHeight="1">
      <c r="B31" s="535"/>
      <c r="C31" s="535"/>
      <c r="D31" s="535"/>
      <c r="E31" s="535"/>
      <c r="F31" s="535"/>
      <c r="G31" s="535"/>
      <c r="H31" s="535"/>
      <c r="I31" s="535"/>
      <c r="J31" s="535"/>
      <c r="K31" s="535"/>
      <c r="L31" s="535"/>
    </row>
    <row r="33" spans="2:12" ht="19.5" customHeight="1">
      <c r="B33" s="931" t="s">
        <v>862</v>
      </c>
      <c r="C33" s="931"/>
      <c r="D33" s="931"/>
      <c r="E33" s="931"/>
      <c r="F33" s="931"/>
      <c r="G33" s="931"/>
      <c r="H33" s="931"/>
      <c r="I33" s="931"/>
      <c r="J33" s="931"/>
      <c r="K33" s="931"/>
      <c r="L33" s="931"/>
    </row>
    <row r="34" spans="2:12" ht="19.5" customHeight="1">
      <c r="B34" s="932" t="s">
        <v>886</v>
      </c>
      <c r="C34" s="932"/>
      <c r="D34" s="932"/>
      <c r="E34" s="932"/>
      <c r="F34" s="932"/>
      <c r="G34" s="932"/>
      <c r="H34" s="932"/>
      <c r="I34" s="932"/>
      <c r="J34" s="932"/>
      <c r="K34" s="932"/>
      <c r="L34" s="932"/>
    </row>
    <row r="35" spans="2:12" ht="19.5" customHeight="1">
      <c r="B35" s="933" t="s">
        <v>887</v>
      </c>
      <c r="C35" s="933"/>
      <c r="D35" s="933"/>
      <c r="E35" s="933"/>
      <c r="F35" s="933"/>
      <c r="G35" s="933"/>
      <c r="H35" s="933"/>
      <c r="I35" s="929">
        <f>'Настройки УИК'!J5</f>
        <v>0</v>
      </c>
      <c r="J35" s="929"/>
      <c r="K35" s="534"/>
      <c r="L35" s="534"/>
    </row>
    <row r="36" spans="2:12" ht="19.5" customHeight="1">
      <c r="B36" s="932" t="s">
        <v>516</v>
      </c>
      <c r="C36" s="932"/>
      <c r="D36" s="932"/>
      <c r="E36" s="932"/>
      <c r="F36" s="932"/>
      <c r="G36" s="932"/>
      <c r="H36" s="932"/>
      <c r="I36" s="932"/>
      <c r="J36" s="932"/>
      <c r="K36" s="932"/>
      <c r="L36" s="932"/>
    </row>
    <row r="37" spans="2:12" ht="19.5" customHeight="1">
      <c r="B37" s="535"/>
      <c r="C37" s="535"/>
      <c r="D37" s="535"/>
      <c r="E37" s="535"/>
      <c r="F37" s="535"/>
      <c r="G37" s="535"/>
      <c r="H37" s="535"/>
      <c r="I37" s="535"/>
      <c r="J37" s="535"/>
      <c r="K37" s="535"/>
      <c r="L37" s="535"/>
    </row>
    <row r="38" spans="2:12" ht="19.5" customHeight="1">
      <c r="B38" s="928" t="s">
        <v>833</v>
      </c>
      <c r="C38" s="928"/>
      <c r="D38" s="927" t="str">
        <f ca="1">'Расчётная Ведомость'!B21</f>
        <v xml:space="preserve"> </v>
      </c>
      <c r="E38" s="927"/>
      <c r="F38" s="927"/>
      <c r="G38" s="927"/>
      <c r="H38" s="927"/>
      <c r="I38" s="927"/>
      <c r="J38" s="927"/>
      <c r="K38" s="927"/>
      <c r="L38" s="927"/>
    </row>
    <row r="39" spans="2:12" ht="19.5" customHeight="1"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</row>
    <row r="40" spans="2:12" ht="19.5" customHeight="1">
      <c r="B40" s="928" t="s">
        <v>45</v>
      </c>
      <c r="C40" s="928"/>
      <c r="D40" s="927" t="str">
        <f ca="1">'Расчётная Ведомость'!C21</f>
        <v xml:space="preserve"> </v>
      </c>
      <c r="E40" s="927"/>
      <c r="F40" s="927"/>
      <c r="G40" s="927"/>
      <c r="H40" s="927"/>
      <c r="I40" s="927"/>
      <c r="J40" s="927"/>
      <c r="K40" s="927"/>
      <c r="L40" s="927"/>
    </row>
    <row r="41" spans="2:12" ht="19.5" customHeight="1">
      <c r="B41" s="535"/>
      <c r="C41" s="535"/>
      <c r="D41" s="535"/>
      <c r="E41" s="535"/>
      <c r="F41" s="535"/>
      <c r="G41" s="535"/>
      <c r="H41" s="535"/>
      <c r="I41" s="535"/>
      <c r="J41" s="535"/>
      <c r="K41" s="535"/>
      <c r="L41" s="535"/>
    </row>
    <row r="42" spans="2:12" ht="19.5" customHeight="1">
      <c r="B42" s="928" t="s">
        <v>863</v>
      </c>
      <c r="C42" s="928"/>
      <c r="D42" s="928"/>
      <c r="E42" s="928"/>
      <c r="F42" s="536"/>
      <c r="G42" s="537" t="s">
        <v>864</v>
      </c>
      <c r="H42" s="934">
        <f>'Настройки ТИК'!$C$17</f>
        <v>0</v>
      </c>
      <c r="I42" s="927"/>
      <c r="J42" s="537" t="s">
        <v>790</v>
      </c>
      <c r="K42" s="934">
        <f>'Настройки ТИК'!$D$17</f>
        <v>0</v>
      </c>
      <c r="L42" s="927"/>
    </row>
    <row r="43" spans="2:12" ht="19.5" customHeight="1">
      <c r="B43" s="535"/>
      <c r="C43" s="535"/>
      <c r="D43" s="535"/>
      <c r="E43" s="535"/>
      <c r="F43" s="535"/>
      <c r="G43" s="535"/>
      <c r="H43" s="535"/>
      <c r="I43" s="535"/>
      <c r="J43" s="535"/>
      <c r="K43" s="535"/>
      <c r="L43" s="535"/>
    </row>
    <row r="44" spans="2:12" ht="19.5" customHeight="1">
      <c r="B44" s="537"/>
      <c r="C44" s="537"/>
      <c r="D44" s="537"/>
      <c r="E44" s="537"/>
      <c r="F44" s="537"/>
      <c r="G44" s="537"/>
      <c r="H44" s="537"/>
      <c r="I44" s="537"/>
      <c r="J44" s="537"/>
      <c r="K44" s="537"/>
      <c r="L44" s="537"/>
    </row>
    <row r="45" spans="2:12" ht="132.75" customHeight="1">
      <c r="B45" s="923" t="s">
        <v>865</v>
      </c>
      <c r="C45" s="923"/>
      <c r="D45" s="923"/>
      <c r="E45" s="923"/>
      <c r="F45" s="539"/>
      <c r="G45" s="924">
        <f>'Настройки ТИК'!$B$9</f>
        <v>0</v>
      </c>
      <c r="H45" s="924"/>
      <c r="I45" s="924"/>
      <c r="J45" s="924"/>
      <c r="K45" s="924"/>
      <c r="L45" s="924"/>
    </row>
    <row r="46" spans="2:12" ht="19.5" customHeight="1">
      <c r="B46" s="535"/>
      <c r="C46" s="535"/>
      <c r="D46" s="535"/>
      <c r="E46" s="535"/>
      <c r="F46" s="535"/>
      <c r="G46" s="535"/>
      <c r="H46" s="535"/>
      <c r="I46" s="535"/>
      <c r="J46" s="535"/>
      <c r="K46" s="535"/>
      <c r="L46" s="535"/>
    </row>
    <row r="47" spans="2:12" ht="39.75" customHeight="1">
      <c r="B47" s="925" t="s">
        <v>951</v>
      </c>
      <c r="C47" s="925"/>
      <c r="D47" s="925"/>
      <c r="E47" s="925"/>
      <c r="F47" s="925"/>
      <c r="G47" s="925"/>
      <c r="H47" s="925"/>
      <c r="I47" s="925"/>
      <c r="J47" s="925"/>
      <c r="K47" s="926">
        <f ca="1">'Расчётная Ведомость'!$M$21</f>
        <v>0</v>
      </c>
      <c r="L47" s="927"/>
    </row>
    <row r="48" spans="2:12" ht="19.5" customHeight="1">
      <c r="B48" s="540"/>
      <c r="C48" s="540"/>
      <c r="D48" s="540"/>
      <c r="E48" s="540"/>
      <c r="F48" s="540"/>
      <c r="G48" s="540"/>
      <c r="H48" s="540"/>
      <c r="I48" s="540"/>
      <c r="J48" s="540"/>
      <c r="K48" s="540"/>
      <c r="L48" s="540"/>
    </row>
    <row r="49" spans="2:12" ht="19.5" customHeight="1">
      <c r="B49" s="937" t="s">
        <v>518</v>
      </c>
      <c r="C49" s="937"/>
      <c r="D49" s="937"/>
      <c r="E49" s="937"/>
      <c r="F49" s="937"/>
      <c r="G49" s="937"/>
      <c r="H49" s="937"/>
      <c r="I49" s="937"/>
      <c r="J49" s="937"/>
      <c r="K49" s="926">
        <f>'Расчётная Ведомость'!$R$21</f>
        <v>0</v>
      </c>
      <c r="L49" s="927"/>
    </row>
    <row r="50" spans="2:12" ht="19.5" customHeight="1">
      <c r="B50" s="535"/>
      <c r="C50" s="535"/>
      <c r="D50" s="535"/>
      <c r="E50" s="535"/>
      <c r="F50" s="535"/>
      <c r="G50" s="535"/>
      <c r="H50" s="535"/>
      <c r="I50" s="535"/>
      <c r="J50" s="535"/>
      <c r="K50" s="535"/>
      <c r="L50" s="535"/>
    </row>
    <row r="51" spans="2:12" ht="19.5" customHeight="1">
      <c r="B51" s="935" t="s">
        <v>889</v>
      </c>
      <c r="C51" s="935"/>
      <c r="D51" s="935"/>
      <c r="E51" s="935"/>
      <c r="F51" s="935"/>
      <c r="G51" s="936">
        <f ca="1">'Сведения ФОВ'!Q31</f>
        <v>0</v>
      </c>
      <c r="H51" s="936"/>
      <c r="I51" s="535" t="s">
        <v>866</v>
      </c>
      <c r="K51" s="938">
        <f ca="1">'Расчётная Ведомость'!U21</f>
        <v>0</v>
      </c>
      <c r="L51" s="939"/>
    </row>
    <row r="52" spans="2:12" ht="19.5" customHeight="1">
      <c r="B52" s="541" t="s">
        <v>888</v>
      </c>
      <c r="C52" s="541"/>
      <c r="D52" s="541"/>
      <c r="E52" s="541"/>
      <c r="F52" s="541"/>
      <c r="G52" s="940"/>
      <c r="H52" s="940"/>
      <c r="I52" s="535"/>
      <c r="J52" s="535"/>
      <c r="K52" s="535"/>
      <c r="L52" s="535"/>
    </row>
    <row r="53" spans="2:12" ht="19.5" customHeight="1">
      <c r="B53" s="935" t="s">
        <v>890</v>
      </c>
      <c r="C53" s="935"/>
      <c r="D53" s="935"/>
      <c r="E53" s="935"/>
      <c r="F53" s="935"/>
      <c r="G53" s="926">
        <f ca="1">INDIRECT("'Сведения ФОВ'!Q"&amp;MROUND(N($A$1),1)+30)</f>
        <v>0</v>
      </c>
      <c r="H53" s="927"/>
      <c r="I53" s="535"/>
      <c r="J53" s="535"/>
      <c r="K53" s="535"/>
      <c r="L53" s="535"/>
    </row>
    <row r="54" spans="2:12" ht="19.5" customHeight="1">
      <c r="B54" s="935" t="s">
        <v>13</v>
      </c>
      <c r="C54" s="935"/>
      <c r="D54" s="935"/>
      <c r="E54" s="935"/>
      <c r="F54" s="935"/>
      <c r="G54" s="926">
        <f ca="1">INDIRECT("'Сведения ФОВ'!Q"&amp;MROUND(N($A$1),1)+31)</f>
        <v>0</v>
      </c>
      <c r="H54" s="927"/>
      <c r="I54" s="535"/>
      <c r="J54" s="535"/>
      <c r="K54" s="535"/>
      <c r="L54" s="535"/>
    </row>
    <row r="55" spans="2:12" ht="19.5" customHeight="1">
      <c r="B55" s="935" t="s">
        <v>263</v>
      </c>
      <c r="C55" s="935"/>
      <c r="D55" s="935"/>
      <c r="E55" s="935"/>
      <c r="F55" s="935"/>
      <c r="I55" s="535"/>
      <c r="J55" s="535"/>
      <c r="K55" s="535"/>
      <c r="L55" s="535"/>
    </row>
    <row r="56" spans="2:12" ht="19.5" customHeight="1">
      <c r="B56" s="935" t="s">
        <v>891</v>
      </c>
      <c r="C56" s="935"/>
      <c r="D56" s="935"/>
      <c r="E56" s="935"/>
      <c r="F56" s="935"/>
      <c r="G56" s="926">
        <f ca="1">INDIRECT("'Сведения ФОВ'!Q"&amp;MROUND(N($A$1),1)+32)</f>
        <v>0</v>
      </c>
      <c r="H56" s="927"/>
      <c r="I56" s="535"/>
      <c r="J56" s="535"/>
      <c r="K56" s="535"/>
      <c r="L56" s="535"/>
    </row>
    <row r="57" spans="2:12" ht="19.5" customHeight="1">
      <c r="B57" s="935" t="s">
        <v>16</v>
      </c>
      <c r="C57" s="935"/>
      <c r="D57" s="935"/>
      <c r="E57" s="935"/>
      <c r="F57" s="935"/>
      <c r="G57" s="926">
        <f ca="1">INDIRECT("'Сведения ФОВ'!Q"&amp;MROUND(N($A$1),1)+33)</f>
        <v>0</v>
      </c>
      <c r="H57" s="927"/>
      <c r="I57" s="535"/>
      <c r="J57" s="535"/>
      <c r="K57" s="535"/>
      <c r="L57" s="535"/>
    </row>
    <row r="58" spans="2:12" ht="19.5" customHeight="1">
      <c r="B58" s="935" t="s">
        <v>420</v>
      </c>
      <c r="C58" s="935"/>
      <c r="D58" s="935"/>
      <c r="E58" s="935"/>
      <c r="F58" s="935"/>
      <c r="G58" s="926">
        <f ca="1">INDIRECT("'Сведения ФОВ'!Q"&amp;MROUND(N($A$1),1)+34)</f>
        <v>0</v>
      </c>
      <c r="H58" s="927"/>
      <c r="I58" s="535"/>
      <c r="J58" s="535"/>
      <c r="K58" s="535"/>
      <c r="L58" s="535"/>
    </row>
    <row r="59" spans="2:12" ht="19.5" customHeight="1">
      <c r="B59" s="535"/>
      <c r="C59" s="535"/>
      <c r="D59" s="535"/>
      <c r="E59" s="535"/>
      <c r="F59" s="535"/>
      <c r="G59" s="535"/>
      <c r="H59" s="535"/>
      <c r="I59" s="535"/>
      <c r="J59" s="535"/>
      <c r="K59" s="535"/>
      <c r="L59" s="535"/>
    </row>
    <row r="60" spans="2:12" ht="19.5" customHeight="1">
      <c r="B60" s="535" t="s">
        <v>140</v>
      </c>
      <c r="C60" s="535"/>
      <c r="D60" s="542"/>
      <c r="E60" s="542"/>
      <c r="F60" s="535"/>
      <c r="G60" s="929">
        <f>'Настройки УИК'!$I$43</f>
        <v>0</v>
      </c>
      <c r="H60" s="929"/>
      <c r="I60" s="929"/>
      <c r="J60" s="929"/>
      <c r="K60" s="929"/>
      <c r="L60" s="929"/>
    </row>
    <row r="61" spans="2:12" ht="19.5" customHeight="1">
      <c r="B61" s="535"/>
      <c r="C61" s="535"/>
      <c r="D61" s="930" t="s">
        <v>5</v>
      </c>
      <c r="E61" s="930"/>
      <c r="F61" s="543"/>
      <c r="G61" s="535"/>
      <c r="H61" s="535"/>
      <c r="I61" s="535"/>
      <c r="J61" s="535"/>
      <c r="K61" s="535"/>
      <c r="L61" s="535"/>
    </row>
    <row r="62" spans="2:12" ht="19.5" customHeight="1">
      <c r="B62" s="535"/>
      <c r="C62" s="535"/>
      <c r="D62" s="535"/>
      <c r="E62" s="535"/>
      <c r="F62" s="535"/>
      <c r="G62" s="535"/>
      <c r="H62" s="535"/>
      <c r="I62" s="535"/>
      <c r="J62" s="535"/>
      <c r="K62" s="535"/>
      <c r="L62" s="535"/>
    </row>
    <row r="64" spans="2:12" ht="19.5" customHeight="1">
      <c r="B64" s="931" t="s">
        <v>862</v>
      </c>
      <c r="C64" s="931"/>
      <c r="D64" s="931"/>
      <c r="E64" s="931"/>
      <c r="F64" s="931"/>
      <c r="G64" s="931"/>
      <c r="H64" s="931"/>
      <c r="I64" s="931"/>
      <c r="J64" s="931"/>
      <c r="K64" s="931"/>
      <c r="L64" s="931"/>
    </row>
    <row r="65" spans="2:12" ht="19.5" customHeight="1">
      <c r="B65" s="932" t="s">
        <v>886</v>
      </c>
      <c r="C65" s="932"/>
      <c r="D65" s="932"/>
      <c r="E65" s="932"/>
      <c r="F65" s="932"/>
      <c r="G65" s="932"/>
      <c r="H65" s="932"/>
      <c r="I65" s="932"/>
      <c r="J65" s="932"/>
      <c r="K65" s="932"/>
      <c r="L65" s="932"/>
    </row>
    <row r="66" spans="2:12" ht="19.5" customHeight="1">
      <c r="B66" s="933" t="s">
        <v>887</v>
      </c>
      <c r="C66" s="933"/>
      <c r="D66" s="933"/>
      <c r="E66" s="933"/>
      <c r="F66" s="933"/>
      <c r="G66" s="933"/>
      <c r="H66" s="933"/>
      <c r="I66" s="929">
        <f>'Настройки УИК'!J5</f>
        <v>0</v>
      </c>
      <c r="J66" s="929"/>
      <c r="K66" s="534"/>
      <c r="L66" s="534"/>
    </row>
    <row r="67" spans="2:12" ht="19.5" customHeight="1">
      <c r="B67" s="932" t="s">
        <v>516</v>
      </c>
      <c r="C67" s="932"/>
      <c r="D67" s="932"/>
      <c r="E67" s="932"/>
      <c r="F67" s="932"/>
      <c r="G67" s="932"/>
      <c r="H67" s="932"/>
      <c r="I67" s="932"/>
      <c r="J67" s="932"/>
      <c r="K67" s="932"/>
      <c r="L67" s="932"/>
    </row>
    <row r="68" spans="2:12" ht="19.5" customHeight="1"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</row>
    <row r="69" spans="2:12" ht="19.5" customHeight="1">
      <c r="B69" s="928" t="s">
        <v>833</v>
      </c>
      <c r="C69" s="928"/>
      <c r="D69" s="927" t="str">
        <f ca="1">'Расчётная Ведомость'!B22</f>
        <v>Склонение по падежам УИК</v>
      </c>
      <c r="E69" s="927"/>
      <c r="F69" s="927"/>
      <c r="G69" s="927"/>
      <c r="H69" s="927"/>
      <c r="I69" s="927"/>
      <c r="J69" s="927"/>
      <c r="K69" s="927"/>
      <c r="L69" s="927"/>
    </row>
    <row r="70" spans="2:12" ht="19.5" customHeight="1"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</row>
    <row r="71" spans="2:12" ht="19.5" customHeight="1">
      <c r="B71" s="928" t="s">
        <v>45</v>
      </c>
      <c r="C71" s="928"/>
      <c r="D71" s="927" t="str">
        <f ca="1">'Расчётная Ведомость'!C22</f>
        <v xml:space="preserve"> </v>
      </c>
      <c r="E71" s="927"/>
      <c r="F71" s="927"/>
      <c r="G71" s="927"/>
      <c r="H71" s="927"/>
      <c r="I71" s="927"/>
      <c r="J71" s="927"/>
      <c r="K71" s="927"/>
      <c r="L71" s="927"/>
    </row>
    <row r="72" spans="2:12" ht="19.5" customHeight="1"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</row>
    <row r="73" spans="2:12" ht="19.5" customHeight="1">
      <c r="B73" s="928" t="s">
        <v>863</v>
      </c>
      <c r="C73" s="928"/>
      <c r="D73" s="928"/>
      <c r="E73" s="928"/>
      <c r="F73" s="536"/>
      <c r="G73" s="537" t="s">
        <v>864</v>
      </c>
      <c r="H73" s="934">
        <f>'Настройки ТИК'!$C$17</f>
        <v>0</v>
      </c>
      <c r="I73" s="927"/>
      <c r="J73" s="537" t="s">
        <v>790</v>
      </c>
      <c r="K73" s="934">
        <f>'Настройки ТИК'!$D$17</f>
        <v>0</v>
      </c>
      <c r="L73" s="927"/>
    </row>
    <row r="74" spans="2:12" ht="19.5" customHeight="1"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</row>
    <row r="75" spans="2:12" ht="19.5" customHeight="1">
      <c r="B75" s="537"/>
      <c r="C75" s="537"/>
      <c r="D75" s="537"/>
      <c r="E75" s="537"/>
      <c r="F75" s="537"/>
      <c r="G75" s="537"/>
      <c r="H75" s="537"/>
      <c r="I75" s="537"/>
      <c r="J75" s="537"/>
      <c r="K75" s="537"/>
      <c r="L75" s="537"/>
    </row>
    <row r="76" spans="2:12" ht="132.75" customHeight="1">
      <c r="B76" s="923" t="s">
        <v>865</v>
      </c>
      <c r="C76" s="923"/>
      <c r="D76" s="923"/>
      <c r="E76" s="923"/>
      <c r="F76" s="539"/>
      <c r="G76" s="924">
        <f>'Настройки ТИК'!$B$9</f>
        <v>0</v>
      </c>
      <c r="H76" s="924"/>
      <c r="I76" s="924"/>
      <c r="J76" s="924"/>
      <c r="K76" s="924"/>
      <c r="L76" s="924"/>
    </row>
    <row r="77" spans="2:12" ht="19.5" customHeight="1"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</row>
    <row r="78" spans="2:12" ht="39.75" customHeight="1">
      <c r="B78" s="925" t="s">
        <v>951</v>
      </c>
      <c r="C78" s="925"/>
      <c r="D78" s="925"/>
      <c r="E78" s="925"/>
      <c r="F78" s="925"/>
      <c r="G78" s="925"/>
      <c r="H78" s="925"/>
      <c r="I78" s="925"/>
      <c r="J78" s="925"/>
      <c r="K78" s="926">
        <f ca="1">'Расчётная Ведомость'!$M$21</f>
        <v>0</v>
      </c>
      <c r="L78" s="927"/>
    </row>
    <row r="79" spans="2:12" ht="19.5" customHeight="1">
      <c r="B79" s="540"/>
      <c r="C79" s="540"/>
      <c r="D79" s="540"/>
      <c r="E79" s="540"/>
      <c r="F79" s="540"/>
      <c r="G79" s="540"/>
      <c r="H79" s="540"/>
      <c r="I79" s="540"/>
      <c r="J79" s="540"/>
      <c r="K79" s="540"/>
      <c r="L79" s="540"/>
    </row>
    <row r="80" spans="2:12" ht="19.5" customHeight="1">
      <c r="B80" s="937" t="s">
        <v>518</v>
      </c>
      <c r="C80" s="937"/>
      <c r="D80" s="937"/>
      <c r="E80" s="937"/>
      <c r="F80" s="937"/>
      <c r="G80" s="937"/>
      <c r="H80" s="937"/>
      <c r="I80" s="937"/>
      <c r="J80" s="937"/>
      <c r="K80" s="926">
        <f>'Расчётная Ведомость'!$R$21</f>
        <v>0</v>
      </c>
      <c r="L80" s="927"/>
    </row>
    <row r="81" spans="2:12" ht="19.5" customHeight="1"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</row>
    <row r="82" spans="2:12" ht="19.5" customHeight="1">
      <c r="B82" s="935" t="s">
        <v>889</v>
      </c>
      <c r="C82" s="935"/>
      <c r="D82" s="935"/>
      <c r="E82" s="935"/>
      <c r="F82" s="935"/>
      <c r="G82" s="936">
        <f ca="1">'Сведения ФОВ'!AC31</f>
        <v>0</v>
      </c>
      <c r="H82" s="936"/>
      <c r="I82" s="535" t="s">
        <v>866</v>
      </c>
      <c r="K82" s="938">
        <f ca="1">'Расчётная Ведомость'!U22</f>
        <v>0</v>
      </c>
      <c r="L82" s="939"/>
    </row>
    <row r="83" spans="2:12" ht="19.5" customHeight="1">
      <c r="B83" s="541" t="s">
        <v>888</v>
      </c>
      <c r="C83" s="541"/>
      <c r="D83" s="541"/>
      <c r="E83" s="541"/>
      <c r="F83" s="541"/>
      <c r="I83" s="535"/>
      <c r="J83" s="535"/>
      <c r="K83" s="535"/>
      <c r="L83" s="535"/>
    </row>
    <row r="84" spans="2:12" ht="19.5" customHeight="1">
      <c r="B84" s="935" t="s">
        <v>890</v>
      </c>
      <c r="C84" s="935"/>
      <c r="D84" s="935"/>
      <c r="E84" s="935"/>
      <c r="F84" s="935"/>
      <c r="G84" s="926">
        <f ca="1">INDIRECT("'Сведения ФОВ'!AC"&amp;MROUND(N($A$1),1)+30)</f>
        <v>0</v>
      </c>
      <c r="H84" s="927"/>
      <c r="I84" s="535"/>
      <c r="J84" s="535"/>
      <c r="K84" s="535"/>
      <c r="L84" s="535"/>
    </row>
    <row r="85" spans="2:12" ht="19.5" customHeight="1">
      <c r="B85" s="935" t="s">
        <v>13</v>
      </c>
      <c r="C85" s="935"/>
      <c r="D85" s="935"/>
      <c r="E85" s="935"/>
      <c r="F85" s="935"/>
      <c r="G85" s="926">
        <f ca="1">INDIRECT("'Сведения ФОВ'!AC"&amp;MROUND(N($A$1),1)+31)</f>
        <v>0</v>
      </c>
      <c r="H85" s="927"/>
      <c r="I85" s="535"/>
      <c r="J85" s="535"/>
      <c r="K85" s="535"/>
      <c r="L85" s="535"/>
    </row>
    <row r="86" spans="2:12" ht="19.5" customHeight="1">
      <c r="B86" s="935" t="s">
        <v>263</v>
      </c>
      <c r="C86" s="935"/>
      <c r="D86" s="935"/>
      <c r="E86" s="935"/>
      <c r="F86" s="935"/>
      <c r="I86" s="535"/>
      <c r="J86" s="535"/>
      <c r="K86" s="535"/>
      <c r="L86" s="535"/>
    </row>
    <row r="87" spans="2:12" ht="19.5" customHeight="1">
      <c r="B87" s="935" t="s">
        <v>891</v>
      </c>
      <c r="C87" s="935"/>
      <c r="D87" s="935"/>
      <c r="E87" s="935"/>
      <c r="F87" s="935"/>
      <c r="G87" s="926">
        <f ca="1">INDIRECT("'Сведения ФОВ'!AC"&amp;MROUND(N($A$1),1)+32)</f>
        <v>0</v>
      </c>
      <c r="H87" s="927"/>
      <c r="I87" s="535"/>
      <c r="J87" s="535"/>
      <c r="K87" s="535"/>
      <c r="L87" s="535"/>
    </row>
    <row r="88" spans="2:12" ht="19.5" customHeight="1">
      <c r="B88" s="935" t="s">
        <v>16</v>
      </c>
      <c r="C88" s="935"/>
      <c r="D88" s="935"/>
      <c r="E88" s="935"/>
      <c r="F88" s="935"/>
      <c r="G88" s="926">
        <f ca="1">INDIRECT("'Сведения ФОВ'!AC"&amp;MROUND(N($A$1),1)+33)</f>
        <v>0</v>
      </c>
      <c r="H88" s="927"/>
      <c r="I88" s="535"/>
      <c r="J88" s="535"/>
      <c r="K88" s="535"/>
      <c r="L88" s="535"/>
    </row>
    <row r="89" spans="2:12" ht="19.5" customHeight="1">
      <c r="B89" s="935" t="s">
        <v>420</v>
      </c>
      <c r="C89" s="935"/>
      <c r="D89" s="935"/>
      <c r="E89" s="935"/>
      <c r="F89" s="935"/>
      <c r="G89" s="926">
        <f ca="1">INDIRECT("'Сведения ФОВ'!AC"&amp;MROUND(N($A$1),1)+34)</f>
        <v>0</v>
      </c>
      <c r="H89" s="927"/>
      <c r="I89" s="535"/>
      <c r="J89" s="535"/>
      <c r="K89" s="535"/>
      <c r="L89" s="535"/>
    </row>
    <row r="90" spans="2:12" ht="19.5" customHeight="1">
      <c r="B90" s="544"/>
      <c r="C90" s="544"/>
      <c r="D90" s="544"/>
      <c r="E90" s="544"/>
      <c r="F90" s="544"/>
      <c r="I90" s="535"/>
      <c r="J90" s="535"/>
      <c r="K90" s="535"/>
      <c r="L90" s="535"/>
    </row>
    <row r="91" spans="2:12" ht="19.5" customHeight="1">
      <c r="B91" s="535" t="s">
        <v>140</v>
      </c>
      <c r="C91" s="535"/>
      <c r="D91" s="542"/>
      <c r="E91" s="542"/>
      <c r="F91" s="535"/>
      <c r="G91" s="929">
        <f>'Настройки УИК'!$I$43</f>
        <v>0</v>
      </c>
      <c r="H91" s="929"/>
      <c r="I91" s="929"/>
      <c r="J91" s="929"/>
      <c r="K91" s="929"/>
      <c r="L91" s="929"/>
    </row>
    <row r="92" spans="2:12" ht="19.5" customHeight="1">
      <c r="B92" s="535"/>
      <c r="C92" s="535"/>
      <c r="D92" s="930" t="s">
        <v>5</v>
      </c>
      <c r="E92" s="930"/>
      <c r="F92" s="543"/>
      <c r="G92" s="535"/>
      <c r="H92" s="535"/>
      <c r="I92" s="535"/>
      <c r="J92" s="535"/>
      <c r="K92" s="535"/>
      <c r="L92" s="535"/>
    </row>
    <row r="93" spans="2:12" ht="19.5" customHeight="1"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</row>
    <row r="95" spans="2:12" ht="19.5" customHeight="1">
      <c r="B95" s="931" t="s">
        <v>862</v>
      </c>
      <c r="C95" s="931"/>
      <c r="D95" s="931"/>
      <c r="E95" s="931"/>
      <c r="F95" s="931"/>
      <c r="G95" s="931"/>
      <c r="H95" s="931"/>
      <c r="I95" s="931"/>
      <c r="J95" s="931"/>
      <c r="K95" s="931"/>
      <c r="L95" s="931"/>
    </row>
    <row r="96" spans="2:12" ht="19.5" customHeight="1">
      <c r="B96" s="932" t="s">
        <v>886</v>
      </c>
      <c r="C96" s="932"/>
      <c r="D96" s="932"/>
      <c r="E96" s="932"/>
      <c r="F96" s="932"/>
      <c r="G96" s="932"/>
      <c r="H96" s="932"/>
      <c r="I96" s="932"/>
      <c r="J96" s="932"/>
      <c r="K96" s="932"/>
      <c r="L96" s="932"/>
    </row>
    <row r="97" spans="2:12" ht="19.5" customHeight="1">
      <c r="B97" s="933" t="s">
        <v>887</v>
      </c>
      <c r="C97" s="933"/>
      <c r="D97" s="933"/>
      <c r="E97" s="933"/>
      <c r="F97" s="933"/>
      <c r="G97" s="933"/>
      <c r="H97" s="933"/>
      <c r="I97" s="929">
        <f>'Настройки УИК'!J5</f>
        <v>0</v>
      </c>
      <c r="J97" s="929"/>
      <c r="K97" s="534"/>
      <c r="L97" s="534"/>
    </row>
    <row r="98" spans="2:12" ht="19.5" customHeight="1">
      <c r="B98" s="932" t="s">
        <v>516</v>
      </c>
      <c r="C98" s="932"/>
      <c r="D98" s="932"/>
      <c r="E98" s="932"/>
      <c r="F98" s="932"/>
      <c r="G98" s="932"/>
      <c r="H98" s="932"/>
      <c r="I98" s="932"/>
      <c r="J98" s="932"/>
      <c r="K98" s="932"/>
      <c r="L98" s="932"/>
    </row>
    <row r="99" spans="2:12" ht="19.5" customHeight="1"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</row>
    <row r="100" spans="2:12" ht="19.5" customHeight="1">
      <c r="B100" s="928" t="s">
        <v>833</v>
      </c>
      <c r="C100" s="928"/>
      <c r="D100" s="927" t="str">
        <f ca="1">'Расчётная Ведомость'!B23</f>
        <v>для печати документов</v>
      </c>
      <c r="E100" s="927"/>
      <c r="F100" s="927"/>
      <c r="G100" s="927"/>
      <c r="H100" s="927"/>
      <c r="I100" s="927"/>
      <c r="J100" s="927"/>
      <c r="K100" s="927"/>
      <c r="L100" s="927"/>
    </row>
    <row r="101" spans="2:12" ht="19.5" customHeight="1"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</row>
    <row r="102" spans="2:12" ht="19.5" customHeight="1">
      <c r="B102" s="928" t="s">
        <v>45</v>
      </c>
      <c r="C102" s="928"/>
      <c r="D102" s="927" t="str">
        <f ca="1">'Расчётная Ведомость'!C23</f>
        <v xml:space="preserve"> </v>
      </c>
      <c r="E102" s="927"/>
      <c r="F102" s="927"/>
      <c r="G102" s="927"/>
      <c r="H102" s="927"/>
      <c r="I102" s="927"/>
      <c r="J102" s="927"/>
      <c r="K102" s="927"/>
      <c r="L102" s="927"/>
    </row>
    <row r="103" spans="2:12" ht="19.5" customHeight="1"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</row>
    <row r="104" spans="2:12" ht="19.5" customHeight="1">
      <c r="B104" s="928" t="s">
        <v>863</v>
      </c>
      <c r="C104" s="928"/>
      <c r="D104" s="928"/>
      <c r="E104" s="928"/>
      <c r="F104" s="536"/>
      <c r="G104" s="537" t="s">
        <v>864</v>
      </c>
      <c r="H104" s="934">
        <f>'Настройки ТИК'!$C$17</f>
        <v>0</v>
      </c>
      <c r="I104" s="927"/>
      <c r="J104" s="537" t="s">
        <v>790</v>
      </c>
      <c r="K104" s="934">
        <f>'Настройки ТИК'!$D$17</f>
        <v>0</v>
      </c>
      <c r="L104" s="927"/>
    </row>
    <row r="105" spans="2:12" ht="19.5" customHeight="1"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</row>
    <row r="106" spans="2:12" ht="19.5" customHeight="1">
      <c r="B106" s="537"/>
      <c r="C106" s="537"/>
      <c r="D106" s="537"/>
      <c r="E106" s="537"/>
      <c r="F106" s="537"/>
      <c r="G106" s="537"/>
      <c r="H106" s="537"/>
      <c r="I106" s="537"/>
      <c r="J106" s="537"/>
      <c r="K106" s="537"/>
      <c r="L106" s="537"/>
    </row>
    <row r="107" spans="2:12" ht="132.75" customHeight="1">
      <c r="B107" s="923" t="s">
        <v>865</v>
      </c>
      <c r="C107" s="923"/>
      <c r="D107" s="923"/>
      <c r="E107" s="923"/>
      <c r="F107" s="539"/>
      <c r="G107" s="924">
        <f>'Настройки ТИК'!$B$9</f>
        <v>0</v>
      </c>
      <c r="H107" s="924"/>
      <c r="I107" s="924"/>
      <c r="J107" s="924"/>
      <c r="K107" s="924"/>
      <c r="L107" s="924"/>
    </row>
    <row r="108" spans="2:12" ht="19.5" customHeight="1"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</row>
    <row r="109" spans="2:12" ht="39.75" customHeight="1">
      <c r="B109" s="925" t="s">
        <v>951</v>
      </c>
      <c r="C109" s="925"/>
      <c r="D109" s="925"/>
      <c r="E109" s="925"/>
      <c r="F109" s="925"/>
      <c r="G109" s="925"/>
      <c r="H109" s="925"/>
      <c r="I109" s="925"/>
      <c r="J109" s="925"/>
      <c r="K109" s="926">
        <f ca="1">'Расчётная Ведомость'!$M$23</f>
        <v>0</v>
      </c>
      <c r="L109" s="927"/>
    </row>
    <row r="110" spans="2:12" ht="19.5" customHeight="1">
      <c r="B110" s="540"/>
      <c r="C110" s="540"/>
      <c r="D110" s="540"/>
      <c r="E110" s="540"/>
      <c r="F110" s="540"/>
      <c r="G110" s="540"/>
      <c r="H110" s="540"/>
      <c r="I110" s="540"/>
      <c r="J110" s="540"/>
      <c r="K110" s="540"/>
      <c r="L110" s="540"/>
    </row>
    <row r="111" spans="2:12" ht="19.5" customHeight="1">
      <c r="B111" s="937" t="s">
        <v>518</v>
      </c>
      <c r="C111" s="937"/>
      <c r="D111" s="937"/>
      <c r="E111" s="937"/>
      <c r="F111" s="937"/>
      <c r="G111" s="937"/>
      <c r="H111" s="937"/>
      <c r="I111" s="937"/>
      <c r="J111" s="937"/>
      <c r="K111" s="926">
        <f>'Расчётная Ведомость'!$R$23</f>
        <v>0</v>
      </c>
      <c r="L111" s="927"/>
    </row>
    <row r="112" spans="2:12" ht="19.5" customHeight="1"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</row>
    <row r="113" spans="2:12" ht="19.5" customHeight="1">
      <c r="B113" s="935" t="s">
        <v>889</v>
      </c>
      <c r="C113" s="935"/>
      <c r="D113" s="935"/>
      <c r="E113" s="935"/>
      <c r="F113" s="935"/>
      <c r="G113" s="936">
        <f ca="1">'Сведения ФОВ'!BA31</f>
        <v>0</v>
      </c>
      <c r="H113" s="936"/>
      <c r="I113" s="535" t="s">
        <v>866</v>
      </c>
      <c r="K113" s="926">
        <f ca="1">'Расчётная Ведомость'!U23</f>
        <v>0</v>
      </c>
      <c r="L113" s="927"/>
    </row>
    <row r="114" spans="2:12" ht="19.5" customHeight="1">
      <c r="B114" s="541" t="s">
        <v>888</v>
      </c>
      <c r="C114" s="541"/>
      <c r="D114" s="541"/>
      <c r="E114" s="541"/>
      <c r="F114" s="541"/>
      <c r="I114" s="535"/>
      <c r="K114" s="545"/>
      <c r="L114" s="546"/>
    </row>
    <row r="115" spans="2:12" ht="19.5" customHeight="1">
      <c r="B115" s="935" t="s">
        <v>890</v>
      </c>
      <c r="C115" s="935"/>
      <c r="D115" s="935"/>
      <c r="E115" s="935"/>
      <c r="F115" s="935"/>
      <c r="G115" s="926">
        <f ca="1">INDIRECT("'Сведения ФОВ'!AO"&amp;MROUND(N($A$1),1)+30)</f>
        <v>0</v>
      </c>
      <c r="H115" s="927"/>
      <c r="I115" s="535"/>
      <c r="K115" s="545"/>
      <c r="L115" s="546"/>
    </row>
    <row r="116" spans="2:12" ht="19.5" customHeight="1">
      <c r="B116" s="935" t="s">
        <v>13</v>
      </c>
      <c r="C116" s="935"/>
      <c r="D116" s="935"/>
      <c r="E116" s="935"/>
      <c r="F116" s="935"/>
      <c r="G116" s="926">
        <f ca="1">INDIRECT("'Сведения ФОВ'!AO"&amp;MROUND(N($A$1),1)+31)</f>
        <v>0</v>
      </c>
      <c r="H116" s="927"/>
      <c r="I116" s="535"/>
      <c r="K116" s="545"/>
      <c r="L116" s="546"/>
    </row>
    <row r="117" spans="2:12" ht="19.5" customHeight="1">
      <c r="B117" s="935" t="s">
        <v>263</v>
      </c>
      <c r="C117" s="935"/>
      <c r="D117" s="935"/>
      <c r="E117" s="935"/>
      <c r="F117" s="935"/>
      <c r="I117" s="535"/>
      <c r="J117" s="535"/>
      <c r="K117" s="535"/>
      <c r="L117" s="535"/>
    </row>
    <row r="118" spans="2:12" ht="19.5" customHeight="1">
      <c r="B118" s="935" t="s">
        <v>891</v>
      </c>
      <c r="C118" s="935"/>
      <c r="D118" s="935"/>
      <c r="E118" s="935"/>
      <c r="F118" s="935"/>
      <c r="G118" s="926">
        <f ca="1">INDIRECT("'Сведения ФОВ'!AO"&amp;MROUND(N($A$1),1)+32)</f>
        <v>0</v>
      </c>
      <c r="H118" s="927"/>
      <c r="I118" s="535"/>
      <c r="J118" s="535"/>
      <c r="K118" s="535"/>
      <c r="L118" s="535"/>
    </row>
    <row r="119" spans="2:12" ht="19.5" customHeight="1">
      <c r="B119" s="935" t="s">
        <v>16</v>
      </c>
      <c r="C119" s="935"/>
      <c r="D119" s="935"/>
      <c r="E119" s="935"/>
      <c r="F119" s="935"/>
      <c r="G119" s="926">
        <f ca="1">INDIRECT("'Сведения ФОВ'!AO"&amp;MROUND(N($A$1),1)+33)</f>
        <v>0</v>
      </c>
      <c r="H119" s="927"/>
      <c r="I119" s="535"/>
      <c r="J119" s="535"/>
      <c r="K119" s="535"/>
      <c r="L119" s="535"/>
    </row>
    <row r="120" spans="2:12" ht="19.5" customHeight="1">
      <c r="B120" s="935" t="s">
        <v>420</v>
      </c>
      <c r="C120" s="935"/>
      <c r="D120" s="935"/>
      <c r="E120" s="935"/>
      <c r="F120" s="935"/>
      <c r="G120" s="926">
        <f ca="1">INDIRECT("'Сведения ФОВ'!AO"&amp;MROUND(N($A$1),1)+34)</f>
        <v>0</v>
      </c>
      <c r="H120" s="927"/>
      <c r="I120" s="535"/>
      <c r="J120" s="535"/>
      <c r="K120" s="535"/>
      <c r="L120" s="535"/>
    </row>
    <row r="121" spans="2:12" ht="19.5" customHeight="1">
      <c r="B121" s="544"/>
      <c r="C121" s="544"/>
      <c r="D121" s="544"/>
      <c r="E121" s="544"/>
      <c r="F121" s="544"/>
      <c r="I121" s="535"/>
      <c r="J121" s="535"/>
      <c r="K121" s="535"/>
      <c r="L121" s="535"/>
    </row>
    <row r="122" spans="2:12" ht="19.5" customHeight="1">
      <c r="B122" s="535" t="s">
        <v>140</v>
      </c>
      <c r="C122" s="535"/>
      <c r="D122" s="542"/>
      <c r="E122" s="542"/>
      <c r="F122" s="535"/>
      <c r="G122" s="929">
        <f>'Настройки УИК'!$I$43</f>
        <v>0</v>
      </c>
      <c r="H122" s="929"/>
      <c r="I122" s="929"/>
      <c r="J122" s="929"/>
      <c r="K122" s="929"/>
      <c r="L122" s="929"/>
    </row>
    <row r="123" spans="2:12" ht="19.5" customHeight="1">
      <c r="B123" s="535"/>
      <c r="C123" s="535"/>
      <c r="D123" s="930" t="s">
        <v>5</v>
      </c>
      <c r="E123" s="930"/>
      <c r="F123" s="543"/>
      <c r="G123" s="535"/>
      <c r="H123" s="535"/>
      <c r="I123" s="535"/>
      <c r="J123" s="535"/>
      <c r="K123" s="535"/>
      <c r="L123" s="535"/>
    </row>
    <row r="124" spans="2:12" ht="19.5" customHeight="1"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</row>
    <row r="126" spans="2:12" ht="19.5" customHeight="1">
      <c r="B126" s="931" t="s">
        <v>862</v>
      </c>
      <c r="C126" s="931"/>
      <c r="D126" s="931"/>
      <c r="E126" s="931"/>
      <c r="F126" s="931"/>
      <c r="G126" s="931"/>
      <c r="H126" s="931"/>
      <c r="I126" s="931"/>
      <c r="J126" s="931"/>
      <c r="K126" s="931"/>
      <c r="L126" s="931"/>
    </row>
    <row r="127" spans="2:12" ht="19.5" customHeight="1">
      <c r="B127" s="932" t="s">
        <v>886</v>
      </c>
      <c r="C127" s="932"/>
      <c r="D127" s="932"/>
      <c r="E127" s="932"/>
      <c r="F127" s="932"/>
      <c r="G127" s="932"/>
      <c r="H127" s="932"/>
      <c r="I127" s="932"/>
      <c r="J127" s="932"/>
      <c r="K127" s="932"/>
      <c r="L127" s="932"/>
    </row>
    <row r="128" spans="2:12" ht="19.5" customHeight="1">
      <c r="B128" s="933" t="s">
        <v>887</v>
      </c>
      <c r="C128" s="933"/>
      <c r="D128" s="933"/>
      <c r="E128" s="933"/>
      <c r="F128" s="933"/>
      <c r="G128" s="933"/>
      <c r="H128" s="933"/>
      <c r="I128" s="929">
        <f>'Настройки УИК'!J5</f>
        <v>0</v>
      </c>
      <c r="J128" s="929"/>
      <c r="K128" s="534"/>
      <c r="L128" s="534"/>
    </row>
    <row r="129" spans="2:12" ht="19.5" customHeight="1">
      <c r="B129" s="932" t="s">
        <v>516</v>
      </c>
      <c r="C129" s="932"/>
      <c r="D129" s="932"/>
      <c r="E129" s="932"/>
      <c r="F129" s="932"/>
      <c r="G129" s="932"/>
      <c r="H129" s="932"/>
      <c r="I129" s="932"/>
      <c r="J129" s="932"/>
      <c r="K129" s="932"/>
      <c r="L129" s="932"/>
    </row>
    <row r="130" spans="2:12" ht="19.5" customHeight="1">
      <c r="B130" s="928" t="s">
        <v>833</v>
      </c>
      <c r="C130" s="928"/>
      <c r="D130" s="927" t="str">
        <f ca="1">'Сведения ФОВ'!BA20</f>
        <v xml:space="preserve">Родительный </v>
      </c>
      <c r="E130" s="927"/>
      <c r="F130" s="927"/>
      <c r="G130" s="927"/>
      <c r="H130" s="927"/>
      <c r="I130" s="927"/>
      <c r="J130" s="927"/>
      <c r="K130" s="927"/>
      <c r="L130" s="927"/>
    </row>
    <row r="131" spans="2:12" ht="19.5" customHeight="1"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</row>
    <row r="132" spans="2:12" ht="19.5" customHeight="1">
      <c r="B132" s="928" t="s">
        <v>45</v>
      </c>
      <c r="C132" s="928"/>
      <c r="D132" s="927" t="str">
        <f ca="1">'Расчётная Ведомость'!C24</f>
        <v xml:space="preserve"> </v>
      </c>
      <c r="E132" s="927"/>
      <c r="F132" s="927"/>
      <c r="G132" s="927"/>
      <c r="H132" s="927"/>
      <c r="I132" s="927"/>
      <c r="J132" s="927"/>
      <c r="K132" s="927"/>
      <c r="L132" s="927"/>
    </row>
    <row r="133" spans="2:12" ht="19.5" customHeight="1"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</row>
    <row r="134" spans="2:12" ht="19.5" customHeight="1"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</row>
    <row r="135" spans="2:12" ht="19.5" customHeight="1">
      <c r="B135" s="928" t="s">
        <v>863</v>
      </c>
      <c r="C135" s="928"/>
      <c r="D135" s="928"/>
      <c r="E135" s="928"/>
      <c r="F135" s="536"/>
      <c r="G135" s="537" t="s">
        <v>864</v>
      </c>
      <c r="H135" s="934">
        <f>'Настройки ТИК'!$C$17</f>
        <v>0</v>
      </c>
      <c r="I135" s="927"/>
      <c r="J135" s="537" t="s">
        <v>790</v>
      </c>
      <c r="K135" s="934">
        <f>'Настройки ТИК'!$D$17</f>
        <v>0</v>
      </c>
      <c r="L135" s="927"/>
    </row>
    <row r="136" spans="2:12" ht="19.5" customHeight="1"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</row>
    <row r="137" spans="2:12" ht="19.5" customHeight="1">
      <c r="B137" s="537"/>
      <c r="C137" s="537"/>
      <c r="D137" s="537"/>
      <c r="E137" s="537"/>
      <c r="F137" s="537"/>
      <c r="G137" s="537"/>
      <c r="H137" s="537"/>
      <c r="I137" s="537"/>
      <c r="J137" s="537"/>
      <c r="K137" s="537"/>
      <c r="L137" s="537"/>
    </row>
    <row r="138" spans="2:12" ht="132.75" customHeight="1">
      <c r="B138" s="923" t="s">
        <v>865</v>
      </c>
      <c r="C138" s="923"/>
      <c r="D138" s="923"/>
      <c r="E138" s="923"/>
      <c r="F138" s="539"/>
      <c r="G138" s="924">
        <f>'Настройки ТИК'!$B$9</f>
        <v>0</v>
      </c>
      <c r="H138" s="924"/>
      <c r="I138" s="924"/>
      <c r="J138" s="924"/>
      <c r="K138" s="924"/>
      <c r="L138" s="924"/>
    </row>
    <row r="139" spans="2:12" ht="19.5" customHeight="1"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</row>
    <row r="140" spans="2:12" ht="39.75" customHeight="1">
      <c r="B140" s="925" t="s">
        <v>951</v>
      </c>
      <c r="C140" s="925"/>
      <c r="D140" s="925"/>
      <c r="E140" s="925"/>
      <c r="F140" s="925"/>
      <c r="G140" s="925"/>
      <c r="H140" s="925"/>
      <c r="I140" s="925"/>
      <c r="J140" s="925"/>
      <c r="K140" s="926">
        <f ca="1">'Расчётная Ведомость'!$M$24</f>
        <v>0</v>
      </c>
      <c r="L140" s="927"/>
    </row>
    <row r="141" spans="2:12" ht="19.5" customHeight="1">
      <c r="B141" s="540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</row>
    <row r="142" spans="2:12" ht="19.5" customHeight="1">
      <c r="B142" s="937" t="s">
        <v>518</v>
      </c>
      <c r="C142" s="937"/>
      <c r="D142" s="937"/>
      <c r="E142" s="937"/>
      <c r="F142" s="937"/>
      <c r="G142" s="937"/>
      <c r="H142" s="937"/>
      <c r="I142" s="937"/>
      <c r="J142" s="937"/>
      <c r="K142" s="926">
        <f>'Расчётная Ведомость'!$R$24</f>
        <v>0</v>
      </c>
      <c r="L142" s="927"/>
    </row>
    <row r="143" spans="2:12" ht="19.5" customHeight="1"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</row>
    <row r="144" spans="2:12" ht="19.5" customHeight="1">
      <c r="B144" s="935" t="s">
        <v>889</v>
      </c>
      <c r="C144" s="935"/>
      <c r="D144" s="935"/>
      <c r="E144" s="935"/>
      <c r="F144" s="935"/>
      <c r="G144" s="936">
        <f ca="1">'Сведения ФОВ'!BA31</f>
        <v>0</v>
      </c>
      <c r="H144" s="936"/>
      <c r="I144" s="535" t="s">
        <v>866</v>
      </c>
      <c r="K144" s="926">
        <f>'Расчётная Ведомость'!U105</f>
        <v>0</v>
      </c>
      <c r="L144" s="927"/>
    </row>
    <row r="145" spans="2:12" ht="19.5" customHeight="1">
      <c r="B145" s="541" t="s">
        <v>888</v>
      </c>
      <c r="C145" s="541"/>
      <c r="D145" s="541"/>
      <c r="E145" s="541"/>
      <c r="F145" s="541"/>
      <c r="I145" s="535"/>
      <c r="K145" s="547"/>
      <c r="L145" s="548"/>
    </row>
    <row r="146" spans="2:12" ht="19.5" customHeight="1">
      <c r="B146" s="935" t="s">
        <v>890</v>
      </c>
      <c r="C146" s="935"/>
      <c r="D146" s="935"/>
      <c r="E146" s="935"/>
      <c r="F146" s="935"/>
      <c r="G146" s="926">
        <f ca="1">INDIRECT("'Сведения ФОВ'!BA"&amp;MROUND(N($A$1),1)+30)</f>
        <v>0</v>
      </c>
      <c r="H146" s="927"/>
      <c r="I146" s="535"/>
      <c r="K146" s="547"/>
      <c r="L146" s="548"/>
    </row>
    <row r="147" spans="2:12" ht="19.5" customHeight="1">
      <c r="B147" s="935" t="s">
        <v>13</v>
      </c>
      <c r="C147" s="935"/>
      <c r="D147" s="935"/>
      <c r="E147" s="935"/>
      <c r="F147" s="935"/>
      <c r="G147" s="926">
        <f ca="1">INDIRECT("'Сведения ФОВ'!BA"&amp;MROUND(N($A$1),1)+31)</f>
        <v>0</v>
      </c>
      <c r="H147" s="927"/>
      <c r="I147" s="535"/>
      <c r="K147" s="547"/>
      <c r="L147" s="548"/>
    </row>
    <row r="148" spans="2:12" ht="19.5" customHeight="1">
      <c r="B148" s="935" t="s">
        <v>263</v>
      </c>
      <c r="C148" s="935"/>
      <c r="D148" s="935"/>
      <c r="E148" s="935"/>
      <c r="F148" s="935"/>
      <c r="I148" s="535"/>
      <c r="K148" s="547"/>
      <c r="L148" s="548"/>
    </row>
    <row r="149" spans="2:12" ht="19.5" customHeight="1">
      <c r="B149" s="935" t="s">
        <v>891</v>
      </c>
      <c r="C149" s="935"/>
      <c r="D149" s="935"/>
      <c r="E149" s="935"/>
      <c r="F149" s="935"/>
      <c r="G149" s="926">
        <f ca="1">INDIRECT("'Сведения ФОВ'!BA"&amp;MROUND(N($A$1),1)+32)</f>
        <v>0</v>
      </c>
      <c r="H149" s="927"/>
      <c r="I149" s="535"/>
      <c r="J149" s="535"/>
      <c r="K149" s="535"/>
      <c r="L149" s="535"/>
    </row>
    <row r="150" spans="2:12" ht="19.5" customHeight="1">
      <c r="B150" s="935" t="s">
        <v>16</v>
      </c>
      <c r="C150" s="935"/>
      <c r="D150" s="935"/>
      <c r="E150" s="935"/>
      <c r="F150" s="935"/>
      <c r="G150" s="926">
        <f ca="1">INDIRECT("'Сведения ФОВ'!BA"&amp;MROUND(N($A$1),1)+33)</f>
        <v>0</v>
      </c>
      <c r="H150" s="927"/>
      <c r="I150" s="535"/>
      <c r="J150" s="535"/>
      <c r="K150" s="535"/>
      <c r="L150" s="535"/>
    </row>
    <row r="151" spans="2:12" ht="19.5" customHeight="1">
      <c r="B151" s="935" t="s">
        <v>420</v>
      </c>
      <c r="C151" s="935"/>
      <c r="D151" s="935"/>
      <c r="E151" s="935"/>
      <c r="F151" s="935"/>
      <c r="G151" s="926">
        <f ca="1">INDIRECT("'Сведения ФОВ'!BA"&amp;MROUND(N($A$1),1)+34)</f>
        <v>0</v>
      </c>
      <c r="H151" s="927"/>
      <c r="I151" s="535"/>
      <c r="J151" s="535"/>
      <c r="K151" s="535"/>
      <c r="L151" s="535"/>
    </row>
    <row r="152" spans="2:12" ht="19.5" customHeight="1"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</row>
    <row r="153" spans="2:12" ht="19.5" customHeight="1">
      <c r="B153" s="535" t="s">
        <v>140</v>
      </c>
      <c r="C153" s="535"/>
      <c r="D153" s="542"/>
      <c r="E153" s="542"/>
      <c r="F153" s="535"/>
      <c r="G153" s="929">
        <f>'Настройки УИК'!$I$43</f>
        <v>0</v>
      </c>
      <c r="H153" s="929"/>
      <c r="I153" s="929"/>
      <c r="J153" s="929"/>
      <c r="K153" s="929"/>
      <c r="L153" s="929"/>
    </row>
    <row r="154" spans="2:12" ht="19.5" customHeight="1">
      <c r="B154" s="535"/>
      <c r="C154" s="535"/>
      <c r="D154" s="930" t="s">
        <v>5</v>
      </c>
      <c r="E154" s="930"/>
      <c r="F154" s="543"/>
      <c r="G154" s="535"/>
      <c r="H154" s="535"/>
      <c r="I154" s="535"/>
      <c r="J154" s="535"/>
      <c r="K154" s="535"/>
      <c r="L154" s="535"/>
    </row>
    <row r="155" spans="2:12" ht="19.5" customHeight="1"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</row>
    <row r="158" spans="2:12" ht="19.5" customHeight="1">
      <c r="B158" s="931" t="s">
        <v>862</v>
      </c>
      <c r="C158" s="931"/>
      <c r="D158" s="931"/>
      <c r="E158" s="931"/>
      <c r="F158" s="931"/>
      <c r="G158" s="931"/>
      <c r="H158" s="931"/>
      <c r="I158" s="931"/>
      <c r="J158" s="931"/>
      <c r="K158" s="931"/>
      <c r="L158" s="931"/>
    </row>
    <row r="159" spans="2:12" ht="19.5" customHeight="1">
      <c r="B159" s="932" t="s">
        <v>886</v>
      </c>
      <c r="C159" s="932"/>
      <c r="D159" s="932"/>
      <c r="E159" s="932"/>
      <c r="F159" s="932"/>
      <c r="G159" s="932"/>
      <c r="H159" s="932"/>
      <c r="I159" s="932"/>
      <c r="J159" s="932"/>
      <c r="K159" s="932"/>
      <c r="L159" s="932"/>
    </row>
    <row r="160" spans="2:12" ht="19.5" customHeight="1">
      <c r="B160" s="933" t="s">
        <v>887</v>
      </c>
      <c r="C160" s="933"/>
      <c r="D160" s="933"/>
      <c r="E160" s="933"/>
      <c r="F160" s="933"/>
      <c r="G160" s="933"/>
      <c r="H160" s="933"/>
      <c r="I160" s="929">
        <f>'Настройки УИК'!J5</f>
        <v>0</v>
      </c>
      <c r="J160" s="929"/>
      <c r="K160" s="534"/>
      <c r="L160" s="534"/>
    </row>
    <row r="161" spans="2:12" ht="19.5" customHeight="1">
      <c r="B161" s="932" t="s">
        <v>516</v>
      </c>
      <c r="C161" s="932"/>
      <c r="D161" s="932"/>
      <c r="E161" s="932"/>
      <c r="F161" s="932"/>
      <c r="G161" s="932"/>
      <c r="H161" s="932"/>
      <c r="I161" s="932"/>
      <c r="J161" s="932"/>
      <c r="K161" s="932"/>
      <c r="L161" s="932"/>
    </row>
    <row r="162" spans="2:12" ht="19.5" customHeight="1">
      <c r="B162" s="932"/>
      <c r="C162" s="932"/>
      <c r="D162" s="932"/>
      <c r="E162" s="932"/>
      <c r="F162" s="932"/>
      <c r="G162" s="932"/>
      <c r="H162" s="932"/>
      <c r="I162" s="932"/>
      <c r="J162" s="932"/>
      <c r="K162" s="932"/>
      <c r="L162" s="932"/>
    </row>
    <row r="163" spans="2:12" ht="19.5" customHeight="1"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</row>
    <row r="164" spans="2:12" ht="19.5" customHeight="1">
      <c r="B164" s="928" t="s">
        <v>833</v>
      </c>
      <c r="C164" s="928"/>
      <c r="D164" s="927" t="str">
        <f ca="1">'Расчётная Ведомость'!B25</f>
        <v xml:space="preserve">Дательный </v>
      </c>
      <c r="E164" s="927"/>
      <c r="F164" s="927"/>
      <c r="G164" s="927"/>
      <c r="H164" s="927"/>
      <c r="I164" s="927"/>
      <c r="J164" s="927"/>
      <c r="K164" s="927"/>
      <c r="L164" s="927"/>
    </row>
    <row r="165" spans="2:12" ht="19.5" customHeight="1"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</row>
    <row r="166" spans="2:12" ht="19.5" customHeight="1">
      <c r="B166" s="928" t="s">
        <v>45</v>
      </c>
      <c r="C166" s="928"/>
      <c r="D166" s="927" t="str">
        <f ca="1">'Расчётная Ведомость'!C25</f>
        <v xml:space="preserve"> </v>
      </c>
      <c r="E166" s="927"/>
      <c r="F166" s="927"/>
      <c r="G166" s="927"/>
      <c r="H166" s="927"/>
      <c r="I166" s="927"/>
      <c r="J166" s="927"/>
      <c r="K166" s="927"/>
      <c r="L166" s="927"/>
    </row>
    <row r="167" spans="2:12" ht="19.5" customHeight="1"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</row>
    <row r="168" spans="2:12" ht="19.5" customHeight="1">
      <c r="B168" s="928" t="s">
        <v>863</v>
      </c>
      <c r="C168" s="928"/>
      <c r="D168" s="928"/>
      <c r="E168" s="928"/>
      <c r="F168" s="536"/>
      <c r="G168" s="537" t="s">
        <v>864</v>
      </c>
      <c r="H168" s="934">
        <f>'Настройки ТИК'!$C$17</f>
        <v>0</v>
      </c>
      <c r="I168" s="927"/>
      <c r="J168" s="537" t="s">
        <v>790</v>
      </c>
      <c r="K168" s="934">
        <f>'Настройки ТИК'!$D$17</f>
        <v>0</v>
      </c>
      <c r="L168" s="927"/>
    </row>
    <row r="169" spans="2:12" ht="19.5" customHeight="1"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</row>
    <row r="170" spans="2:12" ht="19.5" customHeight="1">
      <c r="B170" s="537"/>
      <c r="C170" s="537"/>
      <c r="D170" s="537"/>
      <c r="E170" s="537"/>
      <c r="F170" s="537"/>
      <c r="G170" s="537"/>
      <c r="H170" s="537"/>
      <c r="I170" s="537"/>
      <c r="J170" s="537"/>
      <c r="K170" s="537"/>
      <c r="L170" s="537"/>
    </row>
    <row r="171" spans="2:12" ht="132.75" customHeight="1">
      <c r="B171" s="923" t="s">
        <v>865</v>
      </c>
      <c r="C171" s="923"/>
      <c r="D171" s="923"/>
      <c r="E171" s="923"/>
      <c r="F171" s="539"/>
      <c r="G171" s="924">
        <f>'Настройки ТИК'!$B$9</f>
        <v>0</v>
      </c>
      <c r="H171" s="924"/>
      <c r="I171" s="924"/>
      <c r="J171" s="924"/>
      <c r="K171" s="924"/>
      <c r="L171" s="924"/>
    </row>
    <row r="172" spans="2:12" ht="19.5" customHeight="1"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</row>
    <row r="173" spans="2:12" ht="39.75" customHeight="1">
      <c r="B173" s="925" t="s">
        <v>951</v>
      </c>
      <c r="C173" s="925"/>
      <c r="D173" s="925"/>
      <c r="E173" s="925"/>
      <c r="F173" s="925"/>
      <c r="G173" s="925"/>
      <c r="H173" s="925"/>
      <c r="I173" s="925"/>
      <c r="J173" s="925"/>
      <c r="K173" s="926">
        <f ca="1">'Расчётная Ведомость'!$M$25</f>
        <v>0</v>
      </c>
      <c r="L173" s="927"/>
    </row>
    <row r="174" spans="2:12" ht="19.5" customHeight="1">
      <c r="B174" s="540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</row>
    <row r="175" spans="2:12" ht="19.5" customHeight="1">
      <c r="B175" s="937" t="s">
        <v>518</v>
      </c>
      <c r="C175" s="937"/>
      <c r="D175" s="937"/>
      <c r="E175" s="937"/>
      <c r="F175" s="937"/>
      <c r="G175" s="937"/>
      <c r="H175" s="937"/>
      <c r="I175" s="937"/>
      <c r="J175" s="937"/>
      <c r="K175" s="926">
        <f>'Расчётная Ведомость'!$R$25</f>
        <v>0</v>
      </c>
      <c r="L175" s="927"/>
    </row>
    <row r="176" spans="2:12" ht="19.5" customHeight="1"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</row>
    <row r="177" spans="2:12" ht="19.5" customHeight="1">
      <c r="B177" s="935" t="s">
        <v>889</v>
      </c>
      <c r="C177" s="935"/>
      <c r="D177" s="935"/>
      <c r="E177" s="935"/>
      <c r="F177" s="935"/>
      <c r="G177" s="936">
        <f ca="1">'Сведения ФОВ'!BM31</f>
        <v>0</v>
      </c>
      <c r="H177" s="936"/>
      <c r="I177" s="535" t="s">
        <v>866</v>
      </c>
      <c r="K177" s="926">
        <f ca="1">'Расчётная Ведомость'!U25</f>
        <v>0</v>
      </c>
      <c r="L177" s="927"/>
    </row>
    <row r="178" spans="2:12" ht="19.5" customHeight="1">
      <c r="B178" s="541" t="s">
        <v>888</v>
      </c>
      <c r="C178" s="541"/>
      <c r="D178" s="541"/>
      <c r="E178" s="541"/>
      <c r="F178" s="541"/>
      <c r="I178" s="535"/>
      <c r="K178" s="547"/>
      <c r="L178" s="548"/>
    </row>
    <row r="179" spans="2:12" ht="19.5" customHeight="1">
      <c r="B179" s="935" t="s">
        <v>890</v>
      </c>
      <c r="C179" s="935"/>
      <c r="D179" s="935"/>
      <c r="E179" s="935"/>
      <c r="F179" s="935"/>
      <c r="G179" s="926">
        <f ca="1">INDIRECT("'Сведения ФОВ'!BM"&amp;MROUND(N($A$1),1)+30)</f>
        <v>0</v>
      </c>
      <c r="H179" s="927"/>
      <c r="I179" s="535"/>
      <c r="K179" s="547"/>
      <c r="L179" s="548"/>
    </row>
    <row r="180" spans="2:12" ht="19.5" customHeight="1">
      <c r="B180" s="935" t="s">
        <v>13</v>
      </c>
      <c r="C180" s="935"/>
      <c r="D180" s="935"/>
      <c r="E180" s="935"/>
      <c r="F180" s="935"/>
      <c r="G180" s="926">
        <f ca="1">INDIRECT("'Сведения ФОВ'!BM"&amp;MROUND(N($A$1),1)+31)</f>
        <v>0</v>
      </c>
      <c r="H180" s="927"/>
      <c r="I180" s="535"/>
      <c r="K180" s="547"/>
      <c r="L180" s="548"/>
    </row>
    <row r="181" spans="2:12" ht="19.5" customHeight="1">
      <c r="B181" s="935" t="s">
        <v>263</v>
      </c>
      <c r="C181" s="935"/>
      <c r="D181" s="935"/>
      <c r="E181" s="935"/>
      <c r="F181" s="935"/>
      <c r="I181" s="535"/>
      <c r="K181" s="547"/>
      <c r="L181" s="548"/>
    </row>
    <row r="182" spans="2:12" ht="19.5" customHeight="1">
      <c r="B182" s="935" t="s">
        <v>891</v>
      </c>
      <c r="C182" s="935"/>
      <c r="D182" s="935"/>
      <c r="E182" s="935"/>
      <c r="F182" s="935"/>
      <c r="G182" s="926">
        <f ca="1">INDIRECT("'Сведения ФОВ'!BM"&amp;MROUND(N($A$1),1)+32)</f>
        <v>0</v>
      </c>
      <c r="H182" s="927"/>
      <c r="I182" s="535"/>
      <c r="J182" s="535"/>
      <c r="K182" s="535"/>
      <c r="L182" s="535"/>
    </row>
    <row r="183" spans="2:12" ht="19.5" customHeight="1">
      <c r="B183" s="935" t="s">
        <v>16</v>
      </c>
      <c r="C183" s="935"/>
      <c r="D183" s="935"/>
      <c r="E183" s="935"/>
      <c r="F183" s="935"/>
      <c r="G183" s="926">
        <f ca="1">INDIRECT("'Сведения ФОВ'!BM"&amp;MROUND(N($A$1),1)+33)</f>
        <v>0</v>
      </c>
      <c r="H183" s="927"/>
      <c r="I183" s="535"/>
      <c r="J183" s="535"/>
      <c r="K183" s="535"/>
      <c r="L183" s="535"/>
    </row>
    <row r="184" spans="2:12" ht="19.5" customHeight="1">
      <c r="B184" s="935" t="s">
        <v>420</v>
      </c>
      <c r="C184" s="935"/>
      <c r="D184" s="935"/>
      <c r="E184" s="935"/>
      <c r="F184" s="935"/>
      <c r="G184" s="926">
        <f ca="1">INDIRECT("'Сведения ФОВ'!BM"&amp;MROUND(N($A$1),1)+34)</f>
        <v>0</v>
      </c>
      <c r="H184" s="927"/>
      <c r="I184" s="535"/>
      <c r="J184" s="535"/>
      <c r="K184" s="535"/>
      <c r="L184" s="535"/>
    </row>
    <row r="185" spans="2:12" ht="19.5" customHeight="1"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</row>
    <row r="186" spans="2:12" ht="19.5" customHeight="1">
      <c r="B186" s="535" t="s">
        <v>140</v>
      </c>
      <c r="C186" s="535"/>
      <c r="D186" s="542"/>
      <c r="E186" s="542"/>
      <c r="F186" s="535"/>
      <c r="G186" s="929">
        <f>'Настройки УИК'!$I$43</f>
        <v>0</v>
      </c>
      <c r="H186" s="929"/>
      <c r="I186" s="929"/>
      <c r="J186" s="929"/>
      <c r="K186" s="929"/>
      <c r="L186" s="929"/>
    </row>
    <row r="187" spans="2:12" ht="19.5" customHeight="1">
      <c r="B187" s="535"/>
      <c r="C187" s="535"/>
      <c r="D187" s="930" t="s">
        <v>5</v>
      </c>
      <c r="E187" s="930"/>
      <c r="F187" s="543"/>
      <c r="G187" s="535"/>
      <c r="H187" s="535"/>
      <c r="I187" s="535"/>
      <c r="J187" s="535"/>
      <c r="K187" s="535"/>
      <c r="L187" s="535"/>
    </row>
    <row r="188" spans="2:12" ht="19.5" customHeight="1"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</row>
    <row r="191" spans="2:12" ht="19.5" customHeight="1">
      <c r="B191" s="931" t="s">
        <v>862</v>
      </c>
      <c r="C191" s="931"/>
      <c r="D191" s="931"/>
      <c r="E191" s="931"/>
      <c r="F191" s="931"/>
      <c r="G191" s="931"/>
      <c r="H191" s="931"/>
      <c r="I191" s="931"/>
      <c r="J191" s="931"/>
      <c r="K191" s="931"/>
      <c r="L191" s="931"/>
    </row>
    <row r="192" spans="2:12" ht="19.5" customHeight="1">
      <c r="B192" s="932" t="s">
        <v>886</v>
      </c>
      <c r="C192" s="932"/>
      <c r="D192" s="932"/>
      <c r="E192" s="932"/>
      <c r="F192" s="932"/>
      <c r="G192" s="932"/>
      <c r="H192" s="932"/>
      <c r="I192" s="932"/>
      <c r="J192" s="932"/>
      <c r="K192" s="932"/>
      <c r="L192" s="932"/>
    </row>
    <row r="193" spans="2:12" ht="19.5" customHeight="1">
      <c r="B193" s="933" t="s">
        <v>887</v>
      </c>
      <c r="C193" s="933"/>
      <c r="D193" s="933"/>
      <c r="E193" s="933"/>
      <c r="F193" s="933"/>
      <c r="G193" s="933"/>
      <c r="H193" s="933"/>
      <c r="I193" s="929">
        <f>'Настройки УИК'!J5</f>
        <v>0</v>
      </c>
      <c r="J193" s="929"/>
      <c r="K193" s="534"/>
      <c r="L193" s="534"/>
    </row>
    <row r="194" spans="2:12" ht="19.5" customHeight="1">
      <c r="B194" s="932" t="s">
        <v>516</v>
      </c>
      <c r="C194" s="932"/>
      <c r="D194" s="932"/>
      <c r="E194" s="932"/>
      <c r="F194" s="932"/>
      <c r="G194" s="932"/>
      <c r="H194" s="932"/>
      <c r="I194" s="932"/>
      <c r="J194" s="932"/>
      <c r="K194" s="932"/>
      <c r="L194" s="932"/>
    </row>
    <row r="195" spans="2:12" ht="19.5" customHeight="1">
      <c r="B195" s="932"/>
      <c r="C195" s="932"/>
      <c r="D195" s="932"/>
      <c r="E195" s="932"/>
      <c r="F195" s="932"/>
      <c r="G195" s="932"/>
      <c r="H195" s="932"/>
      <c r="I195" s="932"/>
      <c r="J195" s="932"/>
      <c r="K195" s="932"/>
      <c r="L195" s="932"/>
    </row>
    <row r="196" spans="2:12" ht="19.5" customHeight="1"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</row>
    <row r="197" spans="2:12" ht="19.5" customHeight="1">
      <c r="B197" s="928" t="s">
        <v>833</v>
      </c>
      <c r="C197" s="928"/>
      <c r="D197" s="927" t="str">
        <f ca="1">'Расчётная Ведомость'!B26</f>
        <v>Творительный</v>
      </c>
      <c r="E197" s="927"/>
      <c r="F197" s="927"/>
      <c r="G197" s="927"/>
      <c r="H197" s="927"/>
      <c r="I197" s="927"/>
      <c r="J197" s="927"/>
      <c r="K197" s="927"/>
      <c r="L197" s="927"/>
    </row>
    <row r="198" spans="2:12" ht="19.5" customHeight="1"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</row>
    <row r="199" spans="2:12" ht="19.5" customHeight="1">
      <c r="B199" s="928" t="s">
        <v>45</v>
      </c>
      <c r="C199" s="928"/>
      <c r="D199" s="927" t="str">
        <f ca="1">'Расчётная Ведомость'!C26</f>
        <v xml:space="preserve"> </v>
      </c>
      <c r="E199" s="927"/>
      <c r="F199" s="927"/>
      <c r="G199" s="927"/>
      <c r="H199" s="927"/>
      <c r="I199" s="927"/>
      <c r="J199" s="927"/>
      <c r="K199" s="927"/>
      <c r="L199" s="927"/>
    </row>
    <row r="200" spans="2:12" ht="19.5" customHeight="1"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</row>
    <row r="201" spans="2:12" ht="19.5" customHeight="1">
      <c r="B201" s="928" t="s">
        <v>863</v>
      </c>
      <c r="C201" s="928"/>
      <c r="D201" s="928"/>
      <c r="E201" s="928"/>
      <c r="F201" s="536"/>
      <c r="G201" s="537" t="s">
        <v>864</v>
      </c>
      <c r="H201" s="934">
        <f>'Настройки ТИК'!$C$17</f>
        <v>0</v>
      </c>
      <c r="I201" s="927"/>
      <c r="J201" s="537" t="s">
        <v>790</v>
      </c>
      <c r="K201" s="934">
        <f>'Настройки ТИК'!$D$17</f>
        <v>0</v>
      </c>
      <c r="L201" s="927"/>
    </row>
    <row r="202" spans="2:12" ht="19.5" customHeight="1"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</row>
    <row r="203" spans="2:12" ht="19.5" customHeight="1">
      <c r="B203" s="537"/>
      <c r="C203" s="537"/>
      <c r="D203" s="537"/>
      <c r="E203" s="537"/>
      <c r="F203" s="537"/>
      <c r="G203" s="537"/>
      <c r="H203" s="537"/>
      <c r="I203" s="537"/>
      <c r="J203" s="537"/>
      <c r="K203" s="537"/>
      <c r="L203" s="537"/>
    </row>
    <row r="204" spans="2:12" ht="132.75" customHeight="1">
      <c r="B204" s="923" t="s">
        <v>865</v>
      </c>
      <c r="C204" s="923"/>
      <c r="D204" s="923"/>
      <c r="E204" s="923"/>
      <c r="F204" s="539"/>
      <c r="G204" s="924">
        <f>'Настройки ТИК'!$B$9</f>
        <v>0</v>
      </c>
      <c r="H204" s="924"/>
      <c r="I204" s="924"/>
      <c r="J204" s="924"/>
      <c r="K204" s="924"/>
      <c r="L204" s="924"/>
    </row>
    <row r="205" spans="2:12" ht="19.5" customHeight="1"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</row>
    <row r="206" spans="2:12" ht="39.75" customHeight="1">
      <c r="B206" s="925" t="s">
        <v>951</v>
      </c>
      <c r="C206" s="925"/>
      <c r="D206" s="925"/>
      <c r="E206" s="925"/>
      <c r="F206" s="925"/>
      <c r="G206" s="925"/>
      <c r="H206" s="925"/>
      <c r="I206" s="925"/>
      <c r="J206" s="925"/>
      <c r="K206" s="926">
        <f ca="1">'Расчётная Ведомость'!$M$26</f>
        <v>0</v>
      </c>
      <c r="L206" s="927"/>
    </row>
    <row r="207" spans="2:12" ht="19.5" customHeight="1">
      <c r="B207" s="540"/>
      <c r="C207" s="540"/>
      <c r="D207" s="540"/>
      <c r="E207" s="540"/>
      <c r="F207" s="540"/>
      <c r="G207" s="540"/>
      <c r="H207" s="540"/>
      <c r="I207" s="540"/>
      <c r="J207" s="540"/>
      <c r="K207" s="540"/>
      <c r="L207" s="540"/>
    </row>
    <row r="208" spans="2:12" ht="19.5" customHeight="1">
      <c r="B208" s="937" t="s">
        <v>518</v>
      </c>
      <c r="C208" s="937"/>
      <c r="D208" s="937"/>
      <c r="E208" s="937"/>
      <c r="F208" s="937"/>
      <c r="G208" s="937"/>
      <c r="H208" s="937"/>
      <c r="I208" s="937"/>
      <c r="J208" s="937"/>
      <c r="K208" s="926">
        <f>'Расчётная Ведомость'!$R$26</f>
        <v>0</v>
      </c>
      <c r="L208" s="927"/>
    </row>
    <row r="209" spans="2:12" ht="19.5" customHeight="1"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</row>
    <row r="210" spans="2:12" ht="19.5" customHeight="1">
      <c r="B210" s="935" t="s">
        <v>889</v>
      </c>
      <c r="C210" s="935"/>
      <c r="D210" s="935"/>
      <c r="E210" s="935"/>
      <c r="F210" s="935"/>
      <c r="G210" s="936">
        <f ca="1">'Сведения ФОВ'!BY31</f>
        <v>0</v>
      </c>
      <c r="H210" s="936"/>
      <c r="I210" s="535" t="s">
        <v>866</v>
      </c>
      <c r="K210" s="926">
        <f ca="1">'Расчётная Ведомость'!U26</f>
        <v>0</v>
      </c>
      <c r="L210" s="927"/>
    </row>
    <row r="211" spans="2:12" ht="19.5" customHeight="1">
      <c r="B211" s="541" t="s">
        <v>888</v>
      </c>
      <c r="C211" s="541"/>
      <c r="D211" s="541"/>
      <c r="E211" s="541"/>
      <c r="F211" s="541"/>
      <c r="I211" s="535"/>
      <c r="J211" s="535"/>
      <c r="K211" s="535"/>
      <c r="L211" s="535"/>
    </row>
    <row r="212" spans="2:12" ht="19.5" customHeight="1">
      <c r="B212" s="935" t="s">
        <v>890</v>
      </c>
      <c r="C212" s="935"/>
      <c r="D212" s="935"/>
      <c r="E212" s="935"/>
      <c r="F212" s="935"/>
      <c r="G212" s="926">
        <f ca="1">INDIRECT("'Сведения ФОВ'!BY"&amp;MROUND(N($A$1),1)+30)</f>
        <v>0</v>
      </c>
      <c r="H212" s="927"/>
      <c r="I212" s="535"/>
      <c r="J212" s="535"/>
      <c r="K212" s="535"/>
      <c r="L212" s="535"/>
    </row>
    <row r="213" spans="2:12" ht="19.5" customHeight="1">
      <c r="B213" s="935" t="s">
        <v>13</v>
      </c>
      <c r="C213" s="935"/>
      <c r="D213" s="935"/>
      <c r="E213" s="935"/>
      <c r="F213" s="935"/>
      <c r="G213" s="926">
        <f ca="1">INDIRECT("'Сведения ФОВ'!BY"&amp;MROUND(N($A$1),1)+31)</f>
        <v>0</v>
      </c>
      <c r="H213" s="927"/>
      <c r="I213" s="535"/>
      <c r="J213" s="535"/>
      <c r="K213" s="535"/>
      <c r="L213" s="535"/>
    </row>
    <row r="214" spans="2:12" ht="19.5" customHeight="1">
      <c r="B214" s="935" t="s">
        <v>263</v>
      </c>
      <c r="C214" s="935"/>
      <c r="D214" s="935"/>
      <c r="E214" s="935"/>
      <c r="F214" s="935"/>
      <c r="I214" s="535"/>
      <c r="J214" s="535"/>
      <c r="K214" s="535"/>
      <c r="L214" s="535"/>
    </row>
    <row r="215" spans="2:12" ht="19.5" customHeight="1">
      <c r="B215" s="935" t="s">
        <v>891</v>
      </c>
      <c r="C215" s="935"/>
      <c r="D215" s="935"/>
      <c r="E215" s="935"/>
      <c r="F215" s="935"/>
      <c r="G215" s="926">
        <f ca="1">INDIRECT("'Сведения ФОВ'!BY"&amp;MROUND(N($A$1),1)+32)</f>
        <v>0</v>
      </c>
      <c r="H215" s="927"/>
      <c r="I215" s="535"/>
      <c r="J215" s="535"/>
      <c r="K215" s="535"/>
      <c r="L215" s="535"/>
    </row>
    <row r="216" spans="2:12" ht="19.5" customHeight="1">
      <c r="B216" s="935" t="s">
        <v>16</v>
      </c>
      <c r="C216" s="935"/>
      <c r="D216" s="935"/>
      <c r="E216" s="935"/>
      <c r="F216" s="935"/>
      <c r="G216" s="926">
        <f ca="1">INDIRECT("'Сведения ФОВ'!BY"&amp;MROUND(N($A$1),1)+33)</f>
        <v>0</v>
      </c>
      <c r="H216" s="927"/>
      <c r="I216" s="535"/>
      <c r="J216" s="535"/>
      <c r="K216" s="535"/>
      <c r="L216" s="535"/>
    </row>
    <row r="217" spans="2:12" ht="19.5" customHeight="1">
      <c r="B217" s="935" t="s">
        <v>420</v>
      </c>
      <c r="C217" s="935"/>
      <c r="D217" s="935"/>
      <c r="E217" s="935"/>
      <c r="F217" s="935"/>
      <c r="G217" s="926">
        <f ca="1">INDIRECT("'Сведения ФОВ'!BY"&amp;MROUND(N($A$1),1)+34)</f>
        <v>0</v>
      </c>
      <c r="H217" s="927"/>
      <c r="I217" s="535"/>
      <c r="J217" s="535"/>
      <c r="K217" s="535"/>
      <c r="L217" s="535"/>
    </row>
    <row r="218" spans="2:12" ht="19.5" customHeight="1"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</row>
    <row r="219" spans="2:12" ht="19.5" customHeight="1">
      <c r="B219" s="535" t="s">
        <v>140</v>
      </c>
      <c r="C219" s="535"/>
      <c r="D219" s="542"/>
      <c r="E219" s="542"/>
      <c r="F219" s="535"/>
      <c r="G219" s="929">
        <f>'Настройки УИК'!$I$43</f>
        <v>0</v>
      </c>
      <c r="H219" s="929"/>
      <c r="I219" s="929"/>
      <c r="J219" s="929"/>
      <c r="K219" s="929"/>
      <c r="L219" s="929"/>
    </row>
    <row r="220" spans="2:12" ht="19.5" customHeight="1">
      <c r="B220" s="535"/>
      <c r="C220" s="535"/>
      <c r="D220" s="930" t="s">
        <v>5</v>
      </c>
      <c r="E220" s="930"/>
      <c r="F220" s="543"/>
      <c r="G220" s="535"/>
      <c r="H220" s="535"/>
      <c r="I220" s="535"/>
      <c r="J220" s="535"/>
      <c r="K220" s="535"/>
      <c r="L220" s="535"/>
    </row>
    <row r="221" spans="2:12" ht="19.5" customHeight="1"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</row>
    <row r="224" spans="2:12" ht="19.5" customHeight="1">
      <c r="B224" s="931" t="s">
        <v>862</v>
      </c>
      <c r="C224" s="931"/>
      <c r="D224" s="931"/>
      <c r="E224" s="931"/>
      <c r="F224" s="931"/>
      <c r="G224" s="931"/>
      <c r="H224" s="931"/>
      <c r="I224" s="931"/>
      <c r="J224" s="931"/>
      <c r="K224" s="931"/>
      <c r="L224" s="931"/>
    </row>
    <row r="225" spans="2:12" ht="19.5" customHeight="1">
      <c r="B225" s="932" t="s">
        <v>886</v>
      </c>
      <c r="C225" s="932"/>
      <c r="D225" s="932"/>
      <c r="E225" s="932"/>
      <c r="F225" s="932"/>
      <c r="G225" s="932"/>
      <c r="H225" s="932"/>
      <c r="I225" s="932"/>
      <c r="J225" s="932"/>
      <c r="K225" s="932"/>
      <c r="L225" s="932"/>
    </row>
    <row r="226" spans="2:12" ht="19.5" customHeight="1">
      <c r="B226" s="933" t="s">
        <v>887</v>
      </c>
      <c r="C226" s="933"/>
      <c r="D226" s="933"/>
      <c r="E226" s="933"/>
      <c r="F226" s="933"/>
      <c r="G226" s="933"/>
      <c r="H226" s="933"/>
      <c r="I226" s="929">
        <f>'Настройки УИК'!J5</f>
        <v>0</v>
      </c>
      <c r="J226" s="929"/>
      <c r="K226" s="534"/>
      <c r="L226" s="534"/>
    </row>
    <row r="227" spans="2:12" ht="19.5" customHeight="1">
      <c r="B227" s="932" t="s">
        <v>516</v>
      </c>
      <c r="C227" s="932"/>
      <c r="D227" s="932"/>
      <c r="E227" s="932"/>
      <c r="F227" s="932"/>
      <c r="G227" s="932"/>
      <c r="H227" s="932"/>
      <c r="I227" s="932"/>
      <c r="J227" s="932"/>
      <c r="K227" s="932"/>
      <c r="L227" s="932"/>
    </row>
    <row r="228" spans="2:12" ht="19.5" customHeight="1">
      <c r="B228" s="932"/>
      <c r="C228" s="932"/>
      <c r="D228" s="932"/>
      <c r="E228" s="932"/>
      <c r="F228" s="932"/>
      <c r="G228" s="932"/>
      <c r="H228" s="932"/>
      <c r="I228" s="932"/>
      <c r="J228" s="932"/>
      <c r="K228" s="932"/>
      <c r="L228" s="932"/>
    </row>
    <row r="229" spans="2:12" ht="19.5" customHeight="1"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</row>
    <row r="230" spans="2:12" ht="19.5" customHeight="1">
      <c r="B230" s="928" t="s">
        <v>833</v>
      </c>
      <c r="C230" s="928"/>
      <c r="D230" s="927" t="str">
        <f ca="1">'Расчётная Ведомость'!B27</f>
        <v>Винительный</v>
      </c>
      <c r="E230" s="927"/>
      <c r="F230" s="927"/>
      <c r="G230" s="927"/>
      <c r="H230" s="927"/>
      <c r="I230" s="927"/>
      <c r="J230" s="927"/>
      <c r="K230" s="927"/>
      <c r="L230" s="927"/>
    </row>
    <row r="231" spans="2:12" ht="19.5" customHeight="1"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</row>
    <row r="232" spans="2:12" ht="19.5" customHeight="1">
      <c r="B232" s="928" t="s">
        <v>45</v>
      </c>
      <c r="C232" s="928"/>
      <c r="D232" s="927" t="str">
        <f ca="1">'Расчётная Ведомость'!C27</f>
        <v xml:space="preserve"> </v>
      </c>
      <c r="E232" s="927"/>
      <c r="F232" s="927"/>
      <c r="G232" s="927"/>
      <c r="H232" s="927"/>
      <c r="I232" s="927"/>
      <c r="J232" s="927"/>
      <c r="K232" s="927"/>
      <c r="L232" s="927"/>
    </row>
    <row r="233" spans="2:12" ht="19.5" customHeight="1"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</row>
    <row r="234" spans="2:12" ht="19.5" customHeight="1">
      <c r="B234" s="928" t="s">
        <v>863</v>
      </c>
      <c r="C234" s="928"/>
      <c r="D234" s="928"/>
      <c r="E234" s="928"/>
      <c r="F234" s="536"/>
      <c r="G234" s="537" t="s">
        <v>864</v>
      </c>
      <c r="H234" s="934">
        <f>'Настройки ТИК'!$C$17</f>
        <v>0</v>
      </c>
      <c r="I234" s="927"/>
      <c r="J234" s="537" t="s">
        <v>790</v>
      </c>
      <c r="K234" s="934">
        <f>'Настройки ТИК'!$D$17</f>
        <v>0</v>
      </c>
      <c r="L234" s="927"/>
    </row>
    <row r="235" spans="2:12" ht="19.5" customHeight="1"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</row>
    <row r="236" spans="2:12" ht="19.5" customHeight="1">
      <c r="B236" s="537"/>
      <c r="C236" s="537"/>
      <c r="D236" s="537"/>
      <c r="E236" s="537"/>
      <c r="F236" s="537"/>
      <c r="G236" s="537"/>
      <c r="H236" s="537"/>
      <c r="I236" s="537"/>
      <c r="J236" s="537"/>
      <c r="K236" s="537"/>
      <c r="L236" s="537"/>
    </row>
    <row r="237" spans="2:12" ht="132.75" customHeight="1">
      <c r="B237" s="923" t="s">
        <v>865</v>
      </c>
      <c r="C237" s="923"/>
      <c r="D237" s="923"/>
      <c r="E237" s="923"/>
      <c r="F237" s="539"/>
      <c r="G237" s="924">
        <f>'Настройки ТИК'!$B$9</f>
        <v>0</v>
      </c>
      <c r="H237" s="924"/>
      <c r="I237" s="924"/>
      <c r="J237" s="924"/>
      <c r="K237" s="924"/>
      <c r="L237" s="924"/>
    </row>
    <row r="238" spans="2:12" ht="19.5" customHeight="1"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</row>
    <row r="239" spans="2:12" ht="39.75" customHeight="1">
      <c r="B239" s="925" t="s">
        <v>951</v>
      </c>
      <c r="C239" s="925"/>
      <c r="D239" s="925"/>
      <c r="E239" s="925"/>
      <c r="F239" s="925"/>
      <c r="G239" s="925"/>
      <c r="H239" s="925"/>
      <c r="I239" s="925"/>
      <c r="J239" s="925"/>
      <c r="K239" s="926">
        <f ca="1">'Расчётная Ведомость'!$M$27</f>
        <v>0</v>
      </c>
      <c r="L239" s="927"/>
    </row>
    <row r="240" spans="2:12" ht="19.5" customHeight="1">
      <c r="B240" s="540"/>
      <c r="C240" s="540"/>
      <c r="D240" s="540"/>
      <c r="E240" s="540"/>
      <c r="F240" s="540"/>
      <c r="G240" s="540"/>
      <c r="H240" s="540"/>
      <c r="I240" s="540"/>
      <c r="J240" s="540"/>
      <c r="K240" s="540"/>
      <c r="L240" s="540"/>
    </row>
    <row r="241" spans="2:12" ht="19.5" customHeight="1">
      <c r="B241" s="937" t="s">
        <v>518</v>
      </c>
      <c r="C241" s="937"/>
      <c r="D241" s="937"/>
      <c r="E241" s="937"/>
      <c r="F241" s="937"/>
      <c r="G241" s="937"/>
      <c r="H241" s="937"/>
      <c r="I241" s="937"/>
      <c r="J241" s="937"/>
      <c r="K241" s="926">
        <f>'Расчётная Ведомость'!$R$27</f>
        <v>0</v>
      </c>
      <c r="L241" s="927"/>
    </row>
    <row r="242" spans="2:12" ht="19.5" customHeight="1"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</row>
    <row r="243" spans="2:12" ht="19.5" customHeight="1">
      <c r="B243" s="935" t="s">
        <v>889</v>
      </c>
      <c r="C243" s="935"/>
      <c r="D243" s="935"/>
      <c r="E243" s="935"/>
      <c r="F243" s="935"/>
      <c r="G243" s="936">
        <f ca="1">'Сведения ФОВ'!CK31</f>
        <v>0</v>
      </c>
      <c r="H243" s="936"/>
      <c r="I243" s="535" t="s">
        <v>866</v>
      </c>
      <c r="K243" s="926">
        <f ca="1">'Расчётная Ведомость'!U27</f>
        <v>0</v>
      </c>
      <c r="L243" s="927"/>
    </row>
    <row r="244" spans="2:12" ht="19.5" customHeight="1">
      <c r="B244" s="541" t="s">
        <v>888</v>
      </c>
      <c r="C244" s="541"/>
      <c r="D244" s="541"/>
      <c r="E244" s="541"/>
      <c r="F244" s="541"/>
      <c r="I244" s="535"/>
      <c r="J244" s="535"/>
      <c r="K244" s="535"/>
      <c r="L244" s="535"/>
    </row>
    <row r="245" spans="2:12" ht="19.5" customHeight="1">
      <c r="B245" s="935" t="s">
        <v>890</v>
      </c>
      <c r="C245" s="935"/>
      <c r="D245" s="935"/>
      <c r="E245" s="935"/>
      <c r="F245" s="935"/>
      <c r="G245" s="926">
        <f ca="1">INDIRECT("'Сведения ФОВ'!CK"&amp;MROUND(N($A$1),1)+30)</f>
        <v>0</v>
      </c>
      <c r="H245" s="927"/>
      <c r="I245" s="535"/>
      <c r="J245" s="535"/>
      <c r="K245" s="535"/>
      <c r="L245" s="535"/>
    </row>
    <row r="246" spans="2:12" ht="19.5" customHeight="1">
      <c r="B246" s="935" t="s">
        <v>13</v>
      </c>
      <c r="C246" s="935"/>
      <c r="D246" s="935"/>
      <c r="E246" s="935"/>
      <c r="F246" s="935"/>
      <c r="G246" s="926">
        <f ca="1">INDIRECT("'Сведения ФОВ'!CK"&amp;MROUND(N($A$1),1)+31)</f>
        <v>0</v>
      </c>
      <c r="H246" s="927"/>
      <c r="I246" s="535"/>
      <c r="J246" s="535"/>
      <c r="K246" s="535"/>
      <c r="L246" s="535"/>
    </row>
    <row r="247" spans="2:12" ht="19.5" customHeight="1">
      <c r="B247" s="935" t="s">
        <v>263</v>
      </c>
      <c r="C247" s="935"/>
      <c r="D247" s="935"/>
      <c r="E247" s="935"/>
      <c r="F247" s="935"/>
      <c r="I247" s="535"/>
      <c r="J247" s="535"/>
      <c r="K247" s="535"/>
      <c r="L247" s="535"/>
    </row>
    <row r="248" spans="2:12" ht="19.5" customHeight="1">
      <c r="B248" s="935" t="s">
        <v>891</v>
      </c>
      <c r="C248" s="935"/>
      <c r="D248" s="935"/>
      <c r="E248" s="935"/>
      <c r="F248" s="935"/>
      <c r="G248" s="926">
        <f ca="1">INDIRECT("'Сведения ФОВ'!CK"&amp;MROUND(N($A$1),1)+32)</f>
        <v>0</v>
      </c>
      <c r="H248" s="927"/>
      <c r="I248" s="535"/>
      <c r="J248" s="535"/>
      <c r="K248" s="535"/>
      <c r="L248" s="535"/>
    </row>
    <row r="249" spans="2:12" ht="19.5" customHeight="1">
      <c r="B249" s="935" t="s">
        <v>16</v>
      </c>
      <c r="C249" s="935"/>
      <c r="D249" s="935"/>
      <c r="E249" s="935"/>
      <c r="F249" s="935"/>
      <c r="G249" s="926">
        <f ca="1">INDIRECT("'Сведения ФОВ'!CK"&amp;MROUND(N($A$1),1)+33)</f>
        <v>0</v>
      </c>
      <c r="H249" s="927"/>
      <c r="I249" s="535"/>
      <c r="J249" s="535"/>
      <c r="K249" s="535"/>
      <c r="L249" s="535"/>
    </row>
    <row r="250" spans="2:12" ht="19.5" customHeight="1">
      <c r="B250" s="935" t="s">
        <v>420</v>
      </c>
      <c r="C250" s="935"/>
      <c r="D250" s="935"/>
      <c r="E250" s="935"/>
      <c r="F250" s="935"/>
      <c r="G250" s="926">
        <f ca="1">INDIRECT("'Сведения ФОВ'!CK"&amp;MROUND(N($A$1),1)+34)</f>
        <v>0</v>
      </c>
      <c r="H250" s="927"/>
      <c r="I250" s="535"/>
      <c r="J250" s="535"/>
      <c r="K250" s="535"/>
      <c r="L250" s="535"/>
    </row>
    <row r="251" spans="2:12" ht="19.5" customHeight="1"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</row>
    <row r="252" spans="2:12" ht="19.5" customHeight="1">
      <c r="B252" s="535" t="s">
        <v>140</v>
      </c>
      <c r="C252" s="535"/>
      <c r="D252" s="542"/>
      <c r="E252" s="542"/>
      <c r="F252" s="535"/>
      <c r="G252" s="929">
        <f>'Настройки УИК'!$I$43</f>
        <v>0</v>
      </c>
      <c r="H252" s="929"/>
      <c r="I252" s="929"/>
      <c r="J252" s="929"/>
      <c r="K252" s="929"/>
      <c r="L252" s="929"/>
    </row>
    <row r="253" spans="2:12" ht="19.5" customHeight="1">
      <c r="B253" s="535"/>
      <c r="C253" s="535"/>
      <c r="D253" s="930" t="s">
        <v>5</v>
      </c>
      <c r="E253" s="930"/>
      <c r="F253" s="543"/>
      <c r="G253" s="535"/>
      <c r="H253" s="535"/>
      <c r="I253" s="535"/>
      <c r="J253" s="535"/>
      <c r="K253" s="535"/>
      <c r="L253" s="535"/>
    </row>
    <row r="254" spans="2:12" ht="19.5" customHeight="1"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</row>
    <row r="257" spans="2:12" ht="19.5" customHeight="1">
      <c r="B257" s="931" t="s">
        <v>862</v>
      </c>
      <c r="C257" s="931"/>
      <c r="D257" s="931"/>
      <c r="E257" s="931"/>
      <c r="F257" s="931"/>
      <c r="G257" s="931"/>
      <c r="H257" s="931"/>
      <c r="I257" s="931"/>
      <c r="J257" s="931"/>
      <c r="K257" s="931"/>
      <c r="L257" s="931"/>
    </row>
    <row r="258" spans="2:12" ht="19.5" customHeight="1">
      <c r="B258" s="932" t="s">
        <v>886</v>
      </c>
      <c r="C258" s="932"/>
      <c r="D258" s="932"/>
      <c r="E258" s="932"/>
      <c r="F258" s="932"/>
      <c r="G258" s="932"/>
      <c r="H258" s="932"/>
      <c r="I258" s="932"/>
      <c r="J258" s="932"/>
      <c r="K258" s="932"/>
      <c r="L258" s="932"/>
    </row>
    <row r="259" spans="2:12" ht="19.5" customHeight="1">
      <c r="B259" s="933" t="s">
        <v>887</v>
      </c>
      <c r="C259" s="933"/>
      <c r="D259" s="933"/>
      <c r="E259" s="933"/>
      <c r="F259" s="933"/>
      <c r="G259" s="933"/>
      <c r="H259" s="933"/>
      <c r="I259" s="929">
        <f>'Настройки УИК'!J5</f>
        <v>0</v>
      </c>
      <c r="J259" s="929"/>
      <c r="K259" s="534"/>
      <c r="L259" s="534"/>
    </row>
    <row r="260" spans="2:12" ht="19.5" customHeight="1">
      <c r="B260" s="932" t="s">
        <v>516</v>
      </c>
      <c r="C260" s="932"/>
      <c r="D260" s="932"/>
      <c r="E260" s="932"/>
      <c r="F260" s="932"/>
      <c r="G260" s="932"/>
      <c r="H260" s="932"/>
      <c r="I260" s="932"/>
      <c r="J260" s="932"/>
      <c r="K260" s="932"/>
      <c r="L260" s="932"/>
    </row>
    <row r="261" spans="2:12" ht="19.5" customHeight="1"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</row>
    <row r="262" spans="2:12" ht="19.5" customHeight="1">
      <c r="B262" s="928" t="s">
        <v>833</v>
      </c>
      <c r="C262" s="928"/>
      <c r="D262" s="927" t="str">
        <f ca="1">'Расчётная Ведомость'!B28</f>
        <v xml:space="preserve"> </v>
      </c>
      <c r="E262" s="927"/>
      <c r="F262" s="927"/>
      <c r="G262" s="927"/>
      <c r="H262" s="927"/>
      <c r="I262" s="927"/>
      <c r="J262" s="927"/>
      <c r="K262" s="927"/>
      <c r="L262" s="927"/>
    </row>
    <row r="263" spans="2:12" ht="19.5" customHeight="1"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</row>
    <row r="264" spans="2:12" ht="19.5" customHeight="1">
      <c r="B264" s="928" t="s">
        <v>45</v>
      </c>
      <c r="C264" s="928"/>
      <c r="D264" s="927" t="str">
        <f ca="1">'Расчётная Ведомость'!C28</f>
        <v xml:space="preserve"> </v>
      </c>
      <c r="E264" s="927"/>
      <c r="F264" s="927"/>
      <c r="G264" s="927"/>
      <c r="H264" s="927"/>
      <c r="I264" s="927"/>
      <c r="J264" s="927"/>
      <c r="K264" s="927"/>
      <c r="L264" s="927"/>
    </row>
    <row r="265" spans="2:12" ht="19.5" customHeight="1"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</row>
    <row r="266" spans="2:12" ht="19.5" customHeight="1">
      <c r="B266" s="928" t="s">
        <v>863</v>
      </c>
      <c r="C266" s="928"/>
      <c r="D266" s="928"/>
      <c r="E266" s="928"/>
      <c r="F266" s="536"/>
      <c r="G266" s="537" t="s">
        <v>864</v>
      </c>
      <c r="H266" s="934">
        <f>'Настройки ТИК'!$C$17</f>
        <v>0</v>
      </c>
      <c r="I266" s="927"/>
      <c r="J266" s="537" t="s">
        <v>790</v>
      </c>
      <c r="K266" s="934">
        <f>'Настройки ТИК'!$D$17</f>
        <v>0</v>
      </c>
      <c r="L266" s="927"/>
    </row>
    <row r="267" spans="2:12" ht="19.5" customHeight="1"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</row>
    <row r="268" spans="2:12" ht="19.5" customHeight="1">
      <c r="B268" s="537"/>
      <c r="C268" s="537"/>
      <c r="D268" s="537"/>
      <c r="E268" s="537"/>
      <c r="F268" s="537"/>
      <c r="G268" s="537"/>
      <c r="H268" s="537"/>
      <c r="I268" s="537"/>
      <c r="J268" s="537"/>
      <c r="K268" s="537"/>
      <c r="L268" s="537"/>
    </row>
    <row r="269" spans="2:12" ht="132.75" customHeight="1">
      <c r="B269" s="923" t="s">
        <v>865</v>
      </c>
      <c r="C269" s="923"/>
      <c r="D269" s="923"/>
      <c r="E269" s="923"/>
      <c r="F269" s="539"/>
      <c r="G269" s="924">
        <f>'Настройки ТИК'!$B$9</f>
        <v>0</v>
      </c>
      <c r="H269" s="924"/>
      <c r="I269" s="924"/>
      <c r="J269" s="924"/>
      <c r="K269" s="924"/>
      <c r="L269" s="924"/>
    </row>
    <row r="270" spans="2:12" ht="19.5" customHeight="1"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</row>
    <row r="271" spans="2:12" ht="39.75" customHeight="1">
      <c r="B271" s="925" t="s">
        <v>951</v>
      </c>
      <c r="C271" s="925"/>
      <c r="D271" s="925"/>
      <c r="E271" s="925"/>
      <c r="F271" s="925"/>
      <c r="G271" s="925"/>
      <c r="H271" s="925"/>
      <c r="I271" s="925"/>
      <c r="J271" s="925"/>
      <c r="K271" s="926">
        <f ca="1">'Расчётная Ведомость'!$M$28</f>
        <v>0</v>
      </c>
      <c r="L271" s="927"/>
    </row>
    <row r="272" spans="2:12" ht="19.5" customHeight="1">
      <c r="B272" s="540"/>
      <c r="C272" s="540"/>
      <c r="D272" s="540"/>
      <c r="E272" s="540"/>
      <c r="F272" s="540"/>
      <c r="G272" s="540"/>
      <c r="H272" s="540"/>
      <c r="I272" s="540"/>
      <c r="J272" s="540"/>
      <c r="K272" s="540"/>
      <c r="L272" s="540"/>
    </row>
    <row r="273" spans="2:12" ht="19.5" customHeight="1">
      <c r="B273" s="937" t="s">
        <v>518</v>
      </c>
      <c r="C273" s="937"/>
      <c r="D273" s="937"/>
      <c r="E273" s="937"/>
      <c r="F273" s="937"/>
      <c r="G273" s="937"/>
      <c r="H273" s="937"/>
      <c r="I273" s="937"/>
      <c r="J273" s="937"/>
      <c r="K273" s="926">
        <f>'Расчётная Ведомость'!$R$28</f>
        <v>0</v>
      </c>
      <c r="L273" s="927"/>
    </row>
    <row r="274" spans="2:12" ht="19.5" customHeight="1"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</row>
    <row r="275" spans="2:12" ht="19.5" customHeight="1">
      <c r="B275" s="935" t="s">
        <v>889</v>
      </c>
      <c r="C275" s="935"/>
      <c r="D275" s="935"/>
      <c r="E275" s="935"/>
      <c r="F275" s="935"/>
      <c r="G275" s="936">
        <f ca="1">'Сведения ФОВ'!CW31</f>
        <v>0</v>
      </c>
      <c r="H275" s="936"/>
      <c r="I275" s="535" t="s">
        <v>866</v>
      </c>
      <c r="K275" s="926">
        <f ca="1">'Расчётная Ведомость'!U28</f>
        <v>0</v>
      </c>
      <c r="L275" s="927"/>
    </row>
    <row r="276" spans="2:12" ht="19.5" customHeight="1">
      <c r="B276" s="541" t="s">
        <v>888</v>
      </c>
      <c r="C276" s="541"/>
      <c r="D276" s="541"/>
      <c r="E276" s="541"/>
      <c r="F276" s="541"/>
      <c r="I276" s="535"/>
      <c r="J276" s="535"/>
      <c r="K276" s="535"/>
      <c r="L276" s="535"/>
    </row>
    <row r="277" spans="2:12" ht="19.5" customHeight="1">
      <c r="B277" s="935" t="s">
        <v>890</v>
      </c>
      <c r="C277" s="935"/>
      <c r="D277" s="935"/>
      <c r="E277" s="935"/>
      <c r="F277" s="935"/>
      <c r="G277" s="926">
        <f ca="1">INDIRECT("'Сведения ФОВ'!CW"&amp;MROUND(N($A$1),1)+30)</f>
        <v>0</v>
      </c>
      <c r="H277" s="927"/>
      <c r="I277" s="535"/>
      <c r="J277" s="535"/>
      <c r="K277" s="535"/>
      <c r="L277" s="535"/>
    </row>
    <row r="278" spans="2:12" ht="19.5" customHeight="1">
      <c r="B278" s="935" t="s">
        <v>13</v>
      </c>
      <c r="C278" s="935"/>
      <c r="D278" s="935"/>
      <c r="E278" s="935"/>
      <c r="F278" s="935"/>
      <c r="G278" s="926">
        <f ca="1">INDIRECT("'Сведения ФОВ'!CW"&amp;MROUND(N($A$1),1)+31)</f>
        <v>0</v>
      </c>
      <c r="H278" s="927"/>
      <c r="I278" s="535"/>
      <c r="J278" s="535"/>
      <c r="K278" s="535"/>
      <c r="L278" s="535"/>
    </row>
    <row r="279" spans="2:12" ht="19.5" customHeight="1">
      <c r="B279" s="935" t="s">
        <v>263</v>
      </c>
      <c r="C279" s="935"/>
      <c r="D279" s="935"/>
      <c r="E279" s="935"/>
      <c r="F279" s="935"/>
      <c r="I279" s="535"/>
      <c r="J279" s="535"/>
      <c r="K279" s="535"/>
      <c r="L279" s="535"/>
    </row>
    <row r="280" spans="2:12" ht="19.5" customHeight="1">
      <c r="B280" s="935" t="s">
        <v>891</v>
      </c>
      <c r="C280" s="935"/>
      <c r="D280" s="935"/>
      <c r="E280" s="935"/>
      <c r="F280" s="935"/>
      <c r="G280" s="926">
        <f ca="1">INDIRECT("'Сведения ФОВ'!CW"&amp;MROUND(N($A$1),1)+32)</f>
        <v>0</v>
      </c>
      <c r="H280" s="927"/>
      <c r="I280" s="535"/>
      <c r="J280" s="535"/>
      <c r="K280" s="535"/>
      <c r="L280" s="535"/>
    </row>
    <row r="281" spans="2:12" ht="19.5" customHeight="1">
      <c r="B281" s="935" t="s">
        <v>16</v>
      </c>
      <c r="C281" s="935"/>
      <c r="D281" s="935"/>
      <c r="E281" s="935"/>
      <c r="F281" s="935"/>
      <c r="G281" s="926">
        <f ca="1">INDIRECT("'Сведения ФОВ'!CW"&amp;MROUND(N($A$1),1)+33)</f>
        <v>0</v>
      </c>
      <c r="H281" s="927"/>
      <c r="I281" s="535"/>
      <c r="J281" s="535"/>
      <c r="K281" s="535"/>
      <c r="L281" s="535"/>
    </row>
    <row r="282" spans="2:12" ht="19.5" customHeight="1">
      <c r="B282" s="935" t="s">
        <v>420</v>
      </c>
      <c r="C282" s="935"/>
      <c r="D282" s="935"/>
      <c r="E282" s="935"/>
      <c r="F282" s="935"/>
      <c r="G282" s="926">
        <f ca="1">INDIRECT("'Сведения ФОВ'!CW"&amp;MROUND(N($A$1),1)+34)</f>
        <v>0</v>
      </c>
      <c r="H282" s="927"/>
      <c r="I282" s="535"/>
      <c r="J282" s="535"/>
      <c r="K282" s="535"/>
      <c r="L282" s="535"/>
    </row>
    <row r="283" spans="2:12" ht="19.5" customHeight="1"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</row>
    <row r="284" spans="2:12" ht="19.5" customHeight="1">
      <c r="B284" s="535" t="s">
        <v>140</v>
      </c>
      <c r="C284" s="535"/>
      <c r="D284" s="542"/>
      <c r="E284" s="542"/>
      <c r="F284" s="535"/>
      <c r="G284" s="929">
        <f>'Настройки УИК'!$I$43</f>
        <v>0</v>
      </c>
      <c r="H284" s="929"/>
      <c r="I284" s="929"/>
      <c r="J284" s="929"/>
      <c r="K284" s="929"/>
      <c r="L284" s="929"/>
    </row>
    <row r="285" spans="2:12" ht="19.5" customHeight="1">
      <c r="B285" s="535"/>
      <c r="C285" s="535"/>
      <c r="D285" s="930" t="s">
        <v>5</v>
      </c>
      <c r="E285" s="930"/>
      <c r="F285" s="543"/>
      <c r="G285" s="535"/>
      <c r="H285" s="535"/>
      <c r="I285" s="535"/>
      <c r="J285" s="535"/>
      <c r="K285" s="535"/>
      <c r="L285" s="535"/>
    </row>
    <row r="286" spans="2:12" ht="19.5" customHeight="1"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</row>
    <row r="289" spans="2:12" ht="19.5" customHeight="1">
      <c r="B289" s="931" t="s">
        <v>862</v>
      </c>
      <c r="C289" s="931"/>
      <c r="D289" s="931"/>
      <c r="E289" s="931"/>
      <c r="F289" s="931"/>
      <c r="G289" s="931"/>
      <c r="H289" s="931"/>
      <c r="I289" s="931"/>
      <c r="J289" s="931"/>
      <c r="K289" s="931"/>
      <c r="L289" s="931"/>
    </row>
    <row r="290" spans="2:12" ht="19.5" customHeight="1">
      <c r="B290" s="932" t="s">
        <v>886</v>
      </c>
      <c r="C290" s="932"/>
      <c r="D290" s="932"/>
      <c r="E290" s="932"/>
      <c r="F290" s="932"/>
      <c r="G290" s="932"/>
      <c r="H290" s="932"/>
      <c r="I290" s="932"/>
      <c r="J290" s="932"/>
      <c r="K290" s="932"/>
      <c r="L290" s="932"/>
    </row>
    <row r="291" spans="2:12" ht="19.5" customHeight="1">
      <c r="B291" s="933" t="s">
        <v>887</v>
      </c>
      <c r="C291" s="933"/>
      <c r="D291" s="933"/>
      <c r="E291" s="933"/>
      <c r="F291" s="933"/>
      <c r="G291" s="933"/>
      <c r="H291" s="933"/>
      <c r="I291" s="929">
        <f>'Настройки УИК'!J5</f>
        <v>0</v>
      </c>
      <c r="J291" s="929"/>
      <c r="K291" s="534"/>
      <c r="L291" s="534"/>
    </row>
    <row r="292" spans="2:12" ht="19.5" customHeight="1">
      <c r="B292" s="932" t="s">
        <v>516</v>
      </c>
      <c r="C292" s="932"/>
      <c r="D292" s="932"/>
      <c r="E292" s="932"/>
      <c r="F292" s="932"/>
      <c r="G292" s="932"/>
      <c r="H292" s="932"/>
      <c r="I292" s="932"/>
      <c r="J292" s="932"/>
      <c r="K292" s="932"/>
      <c r="L292" s="932"/>
    </row>
    <row r="293" spans="2:12" ht="19.5" customHeight="1"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</row>
    <row r="294" spans="2:12" ht="19.5" customHeight="1">
      <c r="B294" s="928" t="s">
        <v>833</v>
      </c>
      <c r="C294" s="928"/>
      <c r="D294" s="927" t="str">
        <f ca="1">'Расчётная Ведомость'!B29</f>
        <v xml:space="preserve"> </v>
      </c>
      <c r="E294" s="927"/>
      <c r="F294" s="927"/>
      <c r="G294" s="927"/>
      <c r="H294" s="927"/>
      <c r="I294" s="927"/>
      <c r="J294" s="927"/>
      <c r="K294" s="927"/>
      <c r="L294" s="927"/>
    </row>
    <row r="295" spans="2:12" ht="19.5" customHeight="1"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</row>
    <row r="296" spans="2:12" ht="19.5" customHeight="1">
      <c r="B296" s="928" t="s">
        <v>45</v>
      </c>
      <c r="C296" s="928"/>
      <c r="D296" s="927" t="str">
        <f ca="1">'Расчётная Ведомость'!C29</f>
        <v xml:space="preserve"> </v>
      </c>
      <c r="E296" s="927"/>
      <c r="F296" s="927"/>
      <c r="G296" s="927"/>
      <c r="H296" s="927"/>
      <c r="I296" s="927"/>
      <c r="J296" s="927"/>
      <c r="K296" s="927"/>
      <c r="L296" s="927"/>
    </row>
    <row r="297" spans="2:12" ht="19.5" customHeight="1"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</row>
    <row r="298" spans="2:12" ht="19.5" customHeight="1">
      <c r="B298" s="928" t="s">
        <v>863</v>
      </c>
      <c r="C298" s="928"/>
      <c r="D298" s="928"/>
      <c r="E298" s="928"/>
      <c r="F298" s="536"/>
      <c r="G298" s="537" t="s">
        <v>864</v>
      </c>
      <c r="H298" s="934">
        <f>'Настройки ТИК'!$C$17</f>
        <v>0</v>
      </c>
      <c r="I298" s="927"/>
      <c r="J298" s="537" t="s">
        <v>790</v>
      </c>
      <c r="K298" s="934">
        <f>'Настройки ТИК'!$D$17</f>
        <v>0</v>
      </c>
      <c r="L298" s="927"/>
    </row>
    <row r="299" spans="2:12" ht="19.5" customHeight="1"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</row>
    <row r="300" spans="2:12" ht="19.5" customHeight="1">
      <c r="B300" s="537"/>
      <c r="C300" s="537"/>
      <c r="D300" s="537"/>
      <c r="E300" s="537"/>
      <c r="F300" s="537"/>
      <c r="G300" s="537"/>
      <c r="H300" s="537"/>
      <c r="I300" s="537"/>
      <c r="J300" s="537"/>
      <c r="K300" s="537"/>
      <c r="L300" s="537"/>
    </row>
    <row r="301" spans="2:12" ht="132.75" customHeight="1">
      <c r="B301" s="923" t="s">
        <v>865</v>
      </c>
      <c r="C301" s="923"/>
      <c r="D301" s="923"/>
      <c r="E301" s="923"/>
      <c r="F301" s="539"/>
      <c r="G301" s="924">
        <f>'Настройки ТИК'!$B$9</f>
        <v>0</v>
      </c>
      <c r="H301" s="924"/>
      <c r="I301" s="924"/>
      <c r="J301" s="924"/>
      <c r="K301" s="924"/>
      <c r="L301" s="924"/>
    </row>
    <row r="302" spans="2:12" ht="19.5" customHeight="1"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</row>
    <row r="303" spans="2:12" ht="39.75" customHeight="1">
      <c r="B303" s="925" t="s">
        <v>951</v>
      </c>
      <c r="C303" s="925"/>
      <c r="D303" s="925"/>
      <c r="E303" s="925"/>
      <c r="F303" s="925"/>
      <c r="G303" s="925"/>
      <c r="H303" s="925"/>
      <c r="I303" s="925"/>
      <c r="J303" s="925"/>
      <c r="K303" s="926">
        <f ca="1">'Расчётная Ведомость'!$M$29</f>
        <v>0</v>
      </c>
      <c r="L303" s="927"/>
    </row>
    <row r="304" spans="2:12" ht="19.5" customHeight="1">
      <c r="B304" s="540"/>
      <c r="C304" s="540"/>
      <c r="D304" s="540"/>
      <c r="E304" s="540"/>
      <c r="F304" s="540"/>
      <c r="G304" s="540"/>
      <c r="H304" s="540"/>
      <c r="I304" s="540"/>
      <c r="J304" s="540"/>
      <c r="K304" s="540"/>
      <c r="L304" s="540"/>
    </row>
    <row r="305" spans="2:12" ht="19.5" customHeight="1">
      <c r="B305" s="937" t="s">
        <v>518</v>
      </c>
      <c r="C305" s="937"/>
      <c r="D305" s="937"/>
      <c r="E305" s="937"/>
      <c r="F305" s="937"/>
      <c r="G305" s="937"/>
      <c r="H305" s="937"/>
      <c r="I305" s="937"/>
      <c r="J305" s="937"/>
      <c r="K305" s="926">
        <f>'Расчётная Ведомость'!$R$29</f>
        <v>0</v>
      </c>
      <c r="L305" s="927"/>
    </row>
    <row r="306" spans="2:12" ht="19.5" customHeight="1"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</row>
    <row r="307" spans="2:12" ht="19.5" customHeight="1">
      <c r="B307" s="935" t="s">
        <v>889</v>
      </c>
      <c r="C307" s="935"/>
      <c r="D307" s="935"/>
      <c r="E307" s="935"/>
      <c r="F307" s="935"/>
      <c r="G307" s="936">
        <f ca="1">'Сведения ФОВ'!DI31</f>
        <v>0</v>
      </c>
      <c r="H307" s="936"/>
      <c r="I307" s="535" t="s">
        <v>866</v>
      </c>
      <c r="K307" s="926">
        <f ca="1">'Расчётная Ведомость'!U29</f>
        <v>0</v>
      </c>
      <c r="L307" s="927"/>
    </row>
    <row r="308" spans="2:12" ht="19.5" customHeight="1">
      <c r="B308" s="541" t="s">
        <v>888</v>
      </c>
      <c r="C308" s="541"/>
      <c r="D308" s="541"/>
      <c r="E308" s="541"/>
      <c r="F308" s="541"/>
      <c r="I308" s="535"/>
      <c r="J308" s="535"/>
      <c r="K308" s="535"/>
      <c r="L308" s="535"/>
    </row>
    <row r="309" spans="2:12" ht="19.5" customHeight="1">
      <c r="B309" s="935" t="s">
        <v>890</v>
      </c>
      <c r="C309" s="935"/>
      <c r="D309" s="935"/>
      <c r="E309" s="935"/>
      <c r="F309" s="935"/>
      <c r="G309" s="926">
        <f ca="1">INDIRECT("'Сведения ФОВ'!DI"&amp;MROUND(N($A$1),1)+30)</f>
        <v>0</v>
      </c>
      <c r="H309" s="927"/>
      <c r="I309" s="535"/>
      <c r="J309" s="535"/>
      <c r="K309" s="535"/>
      <c r="L309" s="535"/>
    </row>
    <row r="310" spans="2:12" ht="19.5" customHeight="1">
      <c r="B310" s="935" t="s">
        <v>13</v>
      </c>
      <c r="C310" s="935"/>
      <c r="D310" s="935"/>
      <c r="E310" s="935"/>
      <c r="F310" s="935"/>
      <c r="G310" s="926">
        <f ca="1">INDIRECT("'Сведения ФОВ'!DI"&amp;MROUND(N($A$1),1)+31)</f>
        <v>0</v>
      </c>
      <c r="H310" s="927"/>
      <c r="I310" s="535"/>
      <c r="J310" s="535"/>
      <c r="K310" s="535"/>
      <c r="L310" s="535"/>
    </row>
    <row r="311" spans="2:12" ht="19.5" customHeight="1">
      <c r="B311" s="935" t="s">
        <v>263</v>
      </c>
      <c r="C311" s="935"/>
      <c r="D311" s="935"/>
      <c r="E311" s="935"/>
      <c r="F311" s="935"/>
      <c r="I311" s="535"/>
      <c r="J311" s="535"/>
      <c r="K311" s="535"/>
      <c r="L311" s="535"/>
    </row>
    <row r="312" spans="2:12" ht="19.5" customHeight="1">
      <c r="B312" s="935" t="s">
        <v>891</v>
      </c>
      <c r="C312" s="935"/>
      <c r="D312" s="935"/>
      <c r="E312" s="935"/>
      <c r="F312" s="935"/>
      <c r="G312" s="926">
        <f ca="1">INDIRECT("'Сведения ФОВ'!DI"&amp;MROUND(N($A$1),1)+32)</f>
        <v>0</v>
      </c>
      <c r="H312" s="927"/>
      <c r="I312" s="535"/>
      <c r="J312" s="535"/>
      <c r="K312" s="535"/>
      <c r="L312" s="535"/>
    </row>
    <row r="313" spans="2:12" ht="19.5" customHeight="1">
      <c r="B313" s="935" t="s">
        <v>16</v>
      </c>
      <c r="C313" s="935"/>
      <c r="D313" s="935"/>
      <c r="E313" s="935"/>
      <c r="F313" s="935"/>
      <c r="G313" s="926">
        <f ca="1">INDIRECT("'Сведения ФОВ'!DI"&amp;MROUND(N($A$1),1)+33)</f>
        <v>0</v>
      </c>
      <c r="H313" s="927"/>
      <c r="I313" s="535"/>
      <c r="J313" s="535"/>
      <c r="K313" s="535"/>
      <c r="L313" s="535"/>
    </row>
    <row r="314" spans="2:12" ht="19.5" customHeight="1">
      <c r="B314" s="935" t="s">
        <v>420</v>
      </c>
      <c r="C314" s="935"/>
      <c r="D314" s="935"/>
      <c r="E314" s="935"/>
      <c r="F314" s="935"/>
      <c r="G314" s="926">
        <f ca="1">INDIRECT("'Сведения ФОВ'!DI"&amp;MROUND(N($A$1),1)+34)</f>
        <v>0</v>
      </c>
      <c r="H314" s="927"/>
      <c r="I314" s="535"/>
      <c r="J314" s="535"/>
      <c r="K314" s="535"/>
      <c r="L314" s="535"/>
    </row>
    <row r="315" spans="2:12" ht="19.5" customHeight="1"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</row>
    <row r="316" spans="2:12" ht="19.5" customHeight="1">
      <c r="B316" s="535" t="s">
        <v>140</v>
      </c>
      <c r="C316" s="535"/>
      <c r="D316" s="542"/>
      <c r="E316" s="542"/>
      <c r="F316" s="535"/>
      <c r="G316" s="929">
        <f>'Настройки УИК'!$I$43</f>
        <v>0</v>
      </c>
      <c r="H316" s="929"/>
      <c r="I316" s="929"/>
      <c r="J316" s="929"/>
      <c r="K316" s="929"/>
      <c r="L316" s="929"/>
    </row>
    <row r="317" spans="2:12" ht="19.5" customHeight="1">
      <c r="B317" s="535"/>
      <c r="C317" s="535"/>
      <c r="D317" s="930" t="s">
        <v>5</v>
      </c>
      <c r="E317" s="930"/>
      <c r="F317" s="543"/>
      <c r="G317" s="535"/>
      <c r="H317" s="535"/>
      <c r="I317" s="535"/>
      <c r="J317" s="535"/>
      <c r="K317" s="535"/>
      <c r="L317" s="535"/>
    </row>
    <row r="318" spans="2:12" ht="19.5" customHeight="1"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</row>
    <row r="321" spans="2:12" ht="19.5" customHeight="1">
      <c r="B321" s="931" t="s">
        <v>862</v>
      </c>
      <c r="C321" s="931"/>
      <c r="D321" s="931"/>
      <c r="E321" s="931"/>
      <c r="F321" s="931"/>
      <c r="G321" s="931"/>
      <c r="H321" s="931"/>
      <c r="I321" s="931"/>
      <c r="J321" s="931"/>
      <c r="K321" s="931"/>
      <c r="L321" s="931"/>
    </row>
    <row r="322" spans="2:12" ht="19.5" customHeight="1">
      <c r="B322" s="932" t="s">
        <v>886</v>
      </c>
      <c r="C322" s="932"/>
      <c r="D322" s="932"/>
      <c r="E322" s="932"/>
      <c r="F322" s="932"/>
      <c r="G322" s="932"/>
      <c r="H322" s="932"/>
      <c r="I322" s="932"/>
      <c r="J322" s="932"/>
      <c r="K322" s="932"/>
      <c r="L322" s="932"/>
    </row>
    <row r="323" spans="2:12" ht="19.5" customHeight="1">
      <c r="B323" s="933" t="s">
        <v>887</v>
      </c>
      <c r="C323" s="933"/>
      <c r="D323" s="933"/>
      <c r="E323" s="933"/>
      <c r="F323" s="933"/>
      <c r="G323" s="933"/>
      <c r="H323" s="933"/>
      <c r="I323" s="929">
        <f>'Настройки УИК'!J5</f>
        <v>0</v>
      </c>
      <c r="J323" s="929"/>
      <c r="K323" s="534"/>
      <c r="L323" s="534"/>
    </row>
    <row r="324" spans="2:12" ht="19.5" customHeight="1">
      <c r="B324" s="932" t="s">
        <v>516</v>
      </c>
      <c r="C324" s="932"/>
      <c r="D324" s="932"/>
      <c r="E324" s="932"/>
      <c r="F324" s="932"/>
      <c r="G324" s="932"/>
      <c r="H324" s="932"/>
      <c r="I324" s="932"/>
      <c r="J324" s="932"/>
      <c r="K324" s="932"/>
      <c r="L324" s="932"/>
    </row>
    <row r="325" spans="2:12" ht="19.5" customHeight="1"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</row>
    <row r="326" spans="2:12" ht="19.5" customHeight="1">
      <c r="B326" s="928" t="s">
        <v>833</v>
      </c>
      <c r="C326" s="928"/>
      <c r="D326" s="927" t="str">
        <f ca="1">'Расчётная Ведомость'!B30</f>
        <v xml:space="preserve"> </v>
      </c>
      <c r="E326" s="927"/>
      <c r="F326" s="927"/>
      <c r="G326" s="927"/>
      <c r="H326" s="927"/>
      <c r="I326" s="927"/>
      <c r="J326" s="927"/>
      <c r="K326" s="927"/>
      <c r="L326" s="927"/>
    </row>
    <row r="327" spans="2:12" ht="19.5" customHeight="1"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</row>
    <row r="328" spans="2:12" ht="19.5" customHeight="1">
      <c r="B328" s="928" t="s">
        <v>45</v>
      </c>
      <c r="C328" s="928"/>
      <c r="D328" s="927" t="str">
        <f ca="1">'Расчётная Ведомость'!C30</f>
        <v xml:space="preserve"> </v>
      </c>
      <c r="E328" s="927"/>
      <c r="F328" s="927"/>
      <c r="G328" s="927"/>
      <c r="H328" s="927"/>
      <c r="I328" s="927"/>
      <c r="J328" s="927"/>
      <c r="K328" s="927"/>
      <c r="L328" s="927"/>
    </row>
    <row r="329" spans="2:12" ht="19.5" customHeight="1"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</row>
    <row r="330" spans="2:12" ht="19.5" customHeight="1">
      <c r="B330" s="928" t="s">
        <v>863</v>
      </c>
      <c r="C330" s="928"/>
      <c r="D330" s="928"/>
      <c r="E330" s="928"/>
      <c r="F330" s="536"/>
      <c r="G330" s="537" t="s">
        <v>864</v>
      </c>
      <c r="H330" s="934">
        <f>'Настройки ТИК'!$C$17</f>
        <v>0</v>
      </c>
      <c r="I330" s="927"/>
      <c r="J330" s="537" t="s">
        <v>790</v>
      </c>
      <c r="K330" s="934">
        <f>'Настройки ТИК'!$D$17</f>
        <v>0</v>
      </c>
      <c r="L330" s="927"/>
    </row>
    <row r="331" spans="2:12" ht="19.5" customHeight="1"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</row>
    <row r="332" spans="2:12" ht="19.5" customHeight="1">
      <c r="B332" s="537"/>
      <c r="C332" s="537"/>
      <c r="D332" s="537"/>
      <c r="E332" s="537"/>
      <c r="F332" s="537"/>
      <c r="G332" s="537"/>
      <c r="H332" s="537"/>
      <c r="I332" s="537"/>
      <c r="J332" s="537"/>
      <c r="K332" s="537"/>
      <c r="L332" s="537"/>
    </row>
    <row r="333" spans="2:12" ht="132.75" customHeight="1">
      <c r="B333" s="923" t="s">
        <v>865</v>
      </c>
      <c r="C333" s="923"/>
      <c r="D333" s="923"/>
      <c r="E333" s="923"/>
      <c r="F333" s="539"/>
      <c r="G333" s="924">
        <f>'Настройки ТИК'!$B$9</f>
        <v>0</v>
      </c>
      <c r="H333" s="924"/>
      <c r="I333" s="924"/>
      <c r="J333" s="924"/>
      <c r="K333" s="924"/>
      <c r="L333" s="924"/>
    </row>
    <row r="334" spans="2:12" ht="19.5" customHeight="1"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</row>
    <row r="335" spans="2:12" ht="39.75" customHeight="1">
      <c r="B335" s="925" t="s">
        <v>951</v>
      </c>
      <c r="C335" s="925"/>
      <c r="D335" s="925"/>
      <c r="E335" s="925"/>
      <c r="F335" s="925"/>
      <c r="G335" s="925"/>
      <c r="H335" s="925"/>
      <c r="I335" s="925"/>
      <c r="J335" s="925"/>
      <c r="K335" s="926">
        <f ca="1">'Расчётная Ведомость'!$M$30</f>
        <v>0</v>
      </c>
      <c r="L335" s="927"/>
    </row>
    <row r="336" spans="2:12" ht="19.5" customHeight="1">
      <c r="B336" s="540"/>
      <c r="C336" s="540"/>
      <c r="D336" s="540"/>
      <c r="E336" s="540"/>
      <c r="F336" s="540"/>
      <c r="G336" s="540"/>
      <c r="H336" s="540"/>
      <c r="I336" s="540"/>
      <c r="J336" s="540"/>
      <c r="K336" s="540"/>
      <c r="L336" s="540"/>
    </row>
    <row r="337" spans="2:12" ht="19.5" customHeight="1">
      <c r="B337" s="937" t="s">
        <v>518</v>
      </c>
      <c r="C337" s="937"/>
      <c r="D337" s="937"/>
      <c r="E337" s="937"/>
      <c r="F337" s="937"/>
      <c r="G337" s="937"/>
      <c r="H337" s="937"/>
      <c r="I337" s="937"/>
      <c r="J337" s="937"/>
      <c r="K337" s="926">
        <f>'Расчётная Ведомость'!$R$30</f>
        <v>0</v>
      </c>
      <c r="L337" s="927"/>
    </row>
    <row r="338" spans="2:12" ht="19.5" customHeight="1"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</row>
    <row r="339" spans="2:12" ht="19.5" customHeight="1">
      <c r="B339" s="935" t="s">
        <v>889</v>
      </c>
      <c r="C339" s="935"/>
      <c r="D339" s="935"/>
      <c r="E339" s="935"/>
      <c r="F339" s="935"/>
      <c r="G339" s="936">
        <f ca="1">'Сведения ФОВ'!DU31</f>
        <v>0</v>
      </c>
      <c r="H339" s="936"/>
      <c r="I339" s="535" t="s">
        <v>866</v>
      </c>
      <c r="K339" s="926">
        <f ca="1">'Расчётная Ведомость'!U30</f>
        <v>0</v>
      </c>
      <c r="L339" s="927"/>
    </row>
    <row r="340" spans="2:12" ht="19.5" customHeight="1">
      <c r="B340" s="541" t="s">
        <v>888</v>
      </c>
      <c r="C340" s="541"/>
      <c r="D340" s="541"/>
      <c r="E340" s="541"/>
      <c r="F340" s="541"/>
      <c r="I340" s="535"/>
      <c r="J340" s="535"/>
      <c r="K340" s="535"/>
      <c r="L340" s="535"/>
    </row>
    <row r="341" spans="2:12" ht="19.5" customHeight="1">
      <c r="B341" s="935" t="s">
        <v>890</v>
      </c>
      <c r="C341" s="935"/>
      <c r="D341" s="935"/>
      <c r="E341" s="935"/>
      <c r="F341" s="935"/>
      <c r="G341" s="926">
        <f ca="1">INDIRECT("'Сведения ФОВ'!DU"&amp;MROUND(N($A$1),1)+30)</f>
        <v>0</v>
      </c>
      <c r="H341" s="927"/>
      <c r="I341" s="535"/>
      <c r="J341" s="535"/>
      <c r="K341" s="535"/>
      <c r="L341" s="535"/>
    </row>
    <row r="342" spans="2:12" ht="19.5" customHeight="1">
      <c r="B342" s="935" t="s">
        <v>13</v>
      </c>
      <c r="C342" s="935"/>
      <c r="D342" s="935"/>
      <c r="E342" s="935"/>
      <c r="F342" s="935"/>
      <c r="G342" s="926">
        <f ca="1">INDIRECT("'Сведения ФОВ'!DU"&amp;MROUND(N($A$1),1)+31)</f>
        <v>0</v>
      </c>
      <c r="H342" s="927"/>
      <c r="I342" s="535"/>
      <c r="J342" s="535"/>
      <c r="K342" s="535"/>
      <c r="L342" s="535"/>
    </row>
    <row r="343" spans="2:12" ht="19.5" customHeight="1">
      <c r="B343" s="935" t="s">
        <v>263</v>
      </c>
      <c r="C343" s="935"/>
      <c r="D343" s="935"/>
      <c r="E343" s="935"/>
      <c r="F343" s="935"/>
      <c r="I343" s="535"/>
      <c r="J343" s="535"/>
      <c r="K343" s="535"/>
      <c r="L343" s="535"/>
    </row>
    <row r="344" spans="2:12" ht="19.5" customHeight="1">
      <c r="B344" s="935" t="s">
        <v>891</v>
      </c>
      <c r="C344" s="935"/>
      <c r="D344" s="935"/>
      <c r="E344" s="935"/>
      <c r="F344" s="935"/>
      <c r="G344" s="926">
        <f ca="1">INDIRECT("'Сведения ФОВ'!DU"&amp;MROUND(N($A$1),1)+32)</f>
        <v>0</v>
      </c>
      <c r="H344" s="927"/>
      <c r="I344" s="535"/>
      <c r="J344" s="535"/>
      <c r="K344" s="535"/>
      <c r="L344" s="535"/>
    </row>
    <row r="345" spans="2:12" ht="19.5" customHeight="1">
      <c r="B345" s="935" t="s">
        <v>16</v>
      </c>
      <c r="C345" s="935"/>
      <c r="D345" s="935"/>
      <c r="E345" s="935"/>
      <c r="F345" s="935"/>
      <c r="G345" s="926">
        <f ca="1">INDIRECT("'Сведения ФОВ'!DU"&amp;MROUND(N($A$1),1)+33)</f>
        <v>0</v>
      </c>
      <c r="H345" s="927"/>
      <c r="I345" s="535"/>
      <c r="J345" s="535"/>
      <c r="K345" s="535"/>
      <c r="L345" s="535"/>
    </row>
    <row r="346" spans="2:12" ht="19.5" customHeight="1">
      <c r="B346" s="935" t="s">
        <v>420</v>
      </c>
      <c r="C346" s="935"/>
      <c r="D346" s="935"/>
      <c r="E346" s="935"/>
      <c r="F346" s="935"/>
      <c r="G346" s="926">
        <f ca="1">INDIRECT("'Сведения ФОВ'!DU"&amp;MROUND(N($A$1),1)+34)</f>
        <v>0</v>
      </c>
      <c r="H346" s="927"/>
      <c r="I346" s="535"/>
      <c r="J346" s="535"/>
      <c r="K346" s="535"/>
      <c r="L346" s="535"/>
    </row>
    <row r="347" spans="2:12" ht="19.5" customHeight="1"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</row>
    <row r="348" spans="2:12" ht="19.5" customHeight="1">
      <c r="B348" s="535" t="s">
        <v>140</v>
      </c>
      <c r="C348" s="535"/>
      <c r="D348" s="542"/>
      <c r="E348" s="542"/>
      <c r="F348" s="535"/>
      <c r="G348" s="929">
        <f>'Настройки УИК'!$I$43</f>
        <v>0</v>
      </c>
      <c r="H348" s="929"/>
      <c r="I348" s="929"/>
      <c r="J348" s="929"/>
      <c r="K348" s="929"/>
      <c r="L348" s="929"/>
    </row>
    <row r="349" spans="2:12" ht="19.5" customHeight="1">
      <c r="B349" s="535"/>
      <c r="C349" s="535"/>
      <c r="D349" s="930" t="s">
        <v>5</v>
      </c>
      <c r="E349" s="930"/>
      <c r="F349" s="543"/>
      <c r="G349" s="535"/>
      <c r="H349" s="535"/>
      <c r="I349" s="535"/>
      <c r="J349" s="535"/>
      <c r="K349" s="535"/>
      <c r="L349" s="535"/>
    </row>
    <row r="350" spans="2:12" ht="19.5" customHeight="1"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</row>
    <row r="353" spans="2:12" ht="19.5" customHeight="1">
      <c r="B353" s="931" t="s">
        <v>862</v>
      </c>
      <c r="C353" s="931"/>
      <c r="D353" s="931"/>
      <c r="E353" s="931"/>
      <c r="F353" s="931"/>
      <c r="G353" s="931"/>
      <c r="H353" s="931"/>
      <c r="I353" s="931"/>
      <c r="J353" s="931"/>
      <c r="K353" s="931"/>
      <c r="L353" s="931"/>
    </row>
    <row r="354" spans="2:12" ht="19.5" customHeight="1">
      <c r="B354" s="932" t="s">
        <v>886</v>
      </c>
      <c r="C354" s="932"/>
      <c r="D354" s="932"/>
      <c r="E354" s="932"/>
      <c r="F354" s="932"/>
      <c r="G354" s="932"/>
      <c r="H354" s="932"/>
      <c r="I354" s="932"/>
      <c r="J354" s="932"/>
      <c r="K354" s="932"/>
      <c r="L354" s="932"/>
    </row>
    <row r="355" spans="2:12" ht="19.5" customHeight="1">
      <c r="B355" s="933" t="s">
        <v>887</v>
      </c>
      <c r="C355" s="933"/>
      <c r="D355" s="933"/>
      <c r="E355" s="933"/>
      <c r="F355" s="933"/>
      <c r="G355" s="933"/>
      <c r="H355" s="933"/>
      <c r="I355" s="929">
        <f>'Настройки УИК'!J5</f>
        <v>0</v>
      </c>
      <c r="J355" s="929"/>
      <c r="K355" s="534"/>
      <c r="L355" s="534"/>
    </row>
    <row r="356" spans="2:12" ht="19.5" customHeight="1">
      <c r="B356" s="932" t="s">
        <v>516</v>
      </c>
      <c r="C356" s="932"/>
      <c r="D356" s="932"/>
      <c r="E356" s="932"/>
      <c r="F356" s="932"/>
      <c r="G356" s="932"/>
      <c r="H356" s="932"/>
      <c r="I356" s="932"/>
      <c r="J356" s="932"/>
      <c r="K356" s="932"/>
      <c r="L356" s="932"/>
    </row>
    <row r="357" spans="2:12" ht="19.5" customHeight="1"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</row>
    <row r="358" spans="2:12" ht="19.5" customHeight="1">
      <c r="B358" s="928" t="s">
        <v>833</v>
      </c>
      <c r="C358" s="928"/>
      <c r="D358" s="927" t="str">
        <f ca="1">'Расчётная Ведомость'!B31</f>
        <v>Должности</v>
      </c>
      <c r="E358" s="927"/>
      <c r="F358" s="927"/>
      <c r="G358" s="927"/>
      <c r="H358" s="927"/>
      <c r="I358" s="927"/>
      <c r="J358" s="927"/>
      <c r="K358" s="927"/>
      <c r="L358" s="927"/>
    </row>
    <row r="359" spans="2:12" ht="19.5" customHeight="1"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</row>
    <row r="360" spans="2:12" ht="19.5" customHeight="1">
      <c r="B360" s="928" t="s">
        <v>45</v>
      </c>
      <c r="C360" s="928"/>
      <c r="D360" s="927" t="str">
        <f ca="1">'Расчётная Ведомость'!C31</f>
        <v xml:space="preserve"> </v>
      </c>
      <c r="E360" s="927"/>
      <c r="F360" s="927"/>
      <c r="G360" s="927"/>
      <c r="H360" s="927"/>
      <c r="I360" s="927"/>
      <c r="J360" s="927"/>
      <c r="K360" s="927"/>
      <c r="L360" s="927"/>
    </row>
    <row r="361" spans="2:12" ht="19.5" customHeight="1"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</row>
    <row r="362" spans="2:12" ht="19.5" customHeight="1">
      <c r="B362" s="928" t="s">
        <v>863</v>
      </c>
      <c r="C362" s="928"/>
      <c r="D362" s="928"/>
      <c r="E362" s="928"/>
      <c r="F362" s="536"/>
      <c r="G362" s="537" t="s">
        <v>864</v>
      </c>
      <c r="H362" s="934">
        <f>'Настройки ТИК'!$C$17</f>
        <v>0</v>
      </c>
      <c r="I362" s="927"/>
      <c r="J362" s="537" t="s">
        <v>790</v>
      </c>
      <c r="K362" s="934">
        <f>'Настройки ТИК'!$D$17</f>
        <v>0</v>
      </c>
      <c r="L362" s="927"/>
    </row>
    <row r="363" spans="2:12" ht="19.5" customHeight="1"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</row>
    <row r="364" spans="2:12" ht="19.5" customHeight="1">
      <c r="B364" s="537"/>
      <c r="C364" s="537"/>
      <c r="D364" s="537"/>
      <c r="E364" s="537"/>
      <c r="F364" s="537"/>
      <c r="G364" s="537"/>
      <c r="H364" s="537"/>
      <c r="I364" s="537"/>
      <c r="J364" s="537"/>
      <c r="K364" s="537"/>
      <c r="L364" s="537"/>
    </row>
    <row r="365" spans="2:12" ht="132.75" customHeight="1">
      <c r="B365" s="923" t="s">
        <v>865</v>
      </c>
      <c r="C365" s="923"/>
      <c r="D365" s="923"/>
      <c r="E365" s="923"/>
      <c r="F365" s="539"/>
      <c r="G365" s="924">
        <f>'Настройки ТИК'!$B$9</f>
        <v>0</v>
      </c>
      <c r="H365" s="924"/>
      <c r="I365" s="924"/>
      <c r="J365" s="924"/>
      <c r="K365" s="924"/>
      <c r="L365" s="924"/>
    </row>
    <row r="366" spans="2:12" ht="19.5" customHeight="1"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</row>
    <row r="367" spans="2:12" ht="39.75" customHeight="1">
      <c r="B367" s="925" t="s">
        <v>951</v>
      </c>
      <c r="C367" s="925"/>
      <c r="D367" s="925"/>
      <c r="E367" s="925"/>
      <c r="F367" s="925"/>
      <c r="G367" s="925"/>
      <c r="H367" s="925"/>
      <c r="I367" s="925"/>
      <c r="J367" s="925"/>
      <c r="K367" s="926">
        <f ca="1">'Расчётная Ведомость'!$M$31</f>
        <v>0</v>
      </c>
      <c r="L367" s="927"/>
    </row>
    <row r="368" spans="2:12" ht="19.5" customHeight="1">
      <c r="B368" s="540"/>
      <c r="C368" s="540"/>
      <c r="D368" s="540"/>
      <c r="E368" s="540"/>
      <c r="F368" s="540"/>
      <c r="G368" s="540"/>
      <c r="H368" s="540"/>
      <c r="I368" s="540"/>
      <c r="J368" s="540"/>
      <c r="K368" s="540"/>
      <c r="L368" s="540"/>
    </row>
    <row r="369" spans="2:12" ht="19.5" customHeight="1">
      <c r="B369" s="937" t="s">
        <v>518</v>
      </c>
      <c r="C369" s="937"/>
      <c r="D369" s="937"/>
      <c r="E369" s="937"/>
      <c r="F369" s="937"/>
      <c r="G369" s="937"/>
      <c r="H369" s="937"/>
      <c r="I369" s="937"/>
      <c r="J369" s="937"/>
      <c r="K369" s="926">
        <f>'Расчётная Ведомость'!$R$31</f>
        <v>0</v>
      </c>
      <c r="L369" s="927"/>
    </row>
    <row r="370" spans="2:12" ht="19.5" customHeight="1"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</row>
    <row r="371" spans="2:12" ht="19.5" customHeight="1">
      <c r="B371" s="935" t="s">
        <v>889</v>
      </c>
      <c r="C371" s="935"/>
      <c r="D371" s="935"/>
      <c r="E371" s="935"/>
      <c r="F371" s="935"/>
      <c r="G371" s="936">
        <f ca="1">'Сведения ФОВ'!EG31</f>
        <v>0</v>
      </c>
      <c r="H371" s="936"/>
      <c r="I371" s="535" t="s">
        <v>866</v>
      </c>
      <c r="K371" s="926">
        <f ca="1">'Расчётная Ведомость'!U31</f>
        <v>0</v>
      </c>
      <c r="L371" s="927"/>
    </row>
    <row r="372" spans="2:12" ht="19.5" customHeight="1">
      <c r="B372" s="541" t="s">
        <v>888</v>
      </c>
      <c r="C372" s="541"/>
      <c r="D372" s="541"/>
      <c r="E372" s="541"/>
      <c r="F372" s="541"/>
      <c r="I372" s="535"/>
      <c r="J372" s="535"/>
      <c r="K372" s="535"/>
      <c r="L372" s="535"/>
    </row>
    <row r="373" spans="2:12" ht="19.5" customHeight="1">
      <c r="B373" s="935" t="s">
        <v>890</v>
      </c>
      <c r="C373" s="935"/>
      <c r="D373" s="935"/>
      <c r="E373" s="935"/>
      <c r="F373" s="935"/>
      <c r="G373" s="926">
        <f ca="1">INDIRECT("'Сведения ФОВ'!EG"&amp;MROUND(N($A$1),1)+30)</f>
        <v>0</v>
      </c>
      <c r="H373" s="927"/>
      <c r="I373" s="535"/>
      <c r="J373" s="535"/>
      <c r="K373" s="535"/>
      <c r="L373" s="535"/>
    </row>
    <row r="374" spans="2:12" ht="19.5" customHeight="1">
      <c r="B374" s="935" t="s">
        <v>13</v>
      </c>
      <c r="C374" s="935"/>
      <c r="D374" s="935"/>
      <c r="E374" s="935"/>
      <c r="F374" s="935"/>
      <c r="G374" s="926">
        <f ca="1">INDIRECT("'Сведения ФОВ'!EG"&amp;MROUND(N($A$1),1)+31)</f>
        <v>0</v>
      </c>
      <c r="H374" s="927"/>
      <c r="I374" s="535"/>
      <c r="J374" s="535"/>
      <c r="K374" s="535"/>
      <c r="L374" s="535"/>
    </row>
    <row r="375" spans="2:12" ht="19.5" customHeight="1">
      <c r="B375" s="935" t="s">
        <v>263</v>
      </c>
      <c r="C375" s="935"/>
      <c r="D375" s="935"/>
      <c r="E375" s="935"/>
      <c r="F375" s="935"/>
      <c r="I375" s="535"/>
      <c r="J375" s="535"/>
      <c r="K375" s="535"/>
      <c r="L375" s="535"/>
    </row>
    <row r="376" spans="2:12" ht="19.5" customHeight="1">
      <c r="B376" s="935" t="s">
        <v>891</v>
      </c>
      <c r="C376" s="935"/>
      <c r="D376" s="935"/>
      <c r="E376" s="935"/>
      <c r="F376" s="935"/>
      <c r="G376" s="926">
        <f ca="1">INDIRECT("'Сведения ФОВ'!EG"&amp;MROUND(N($A$1),1)+32)</f>
        <v>0</v>
      </c>
      <c r="H376" s="927"/>
      <c r="I376" s="535"/>
      <c r="J376" s="535"/>
      <c r="K376" s="535"/>
      <c r="L376" s="535"/>
    </row>
    <row r="377" spans="2:12" ht="19.5" customHeight="1">
      <c r="B377" s="935" t="s">
        <v>16</v>
      </c>
      <c r="C377" s="935"/>
      <c r="D377" s="935"/>
      <c r="E377" s="935"/>
      <c r="F377" s="935"/>
      <c r="G377" s="926">
        <f ca="1">INDIRECT("'Сведения ФОВ'!EG"&amp;MROUND(N($A$1),1)+33)</f>
        <v>0</v>
      </c>
      <c r="H377" s="927"/>
      <c r="I377" s="535"/>
      <c r="J377" s="535"/>
      <c r="K377" s="535"/>
      <c r="L377" s="535"/>
    </row>
    <row r="378" spans="2:12" ht="19.5" customHeight="1">
      <c r="B378" s="935" t="s">
        <v>420</v>
      </c>
      <c r="C378" s="935"/>
      <c r="D378" s="935"/>
      <c r="E378" s="935"/>
      <c r="F378" s="935"/>
      <c r="G378" s="926">
        <f ca="1">INDIRECT("'Сведения ФОВ'!EG"&amp;MROUND(N($A$1),1)+34)</f>
        <v>0</v>
      </c>
      <c r="H378" s="927"/>
      <c r="I378" s="535"/>
      <c r="J378" s="535"/>
      <c r="K378" s="535"/>
      <c r="L378" s="535"/>
    </row>
    <row r="379" spans="2:12" ht="19.5" customHeight="1"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</row>
    <row r="380" spans="2:12" ht="19.5" customHeight="1">
      <c r="B380" s="535" t="s">
        <v>140</v>
      </c>
      <c r="C380" s="535"/>
      <c r="D380" s="542"/>
      <c r="E380" s="542"/>
      <c r="F380" s="535"/>
      <c r="G380" s="929">
        <f>'Настройки УИК'!$I$43</f>
        <v>0</v>
      </c>
      <c r="H380" s="929"/>
      <c r="I380" s="929"/>
      <c r="J380" s="929"/>
      <c r="K380" s="929"/>
      <c r="L380" s="929"/>
    </row>
    <row r="381" spans="2:12" ht="19.5" customHeight="1">
      <c r="B381" s="535"/>
      <c r="C381" s="535"/>
      <c r="D381" s="930" t="s">
        <v>5</v>
      </c>
      <c r="E381" s="930"/>
      <c r="F381" s="543"/>
      <c r="G381" s="535"/>
      <c r="H381" s="535"/>
      <c r="I381" s="535"/>
      <c r="J381" s="535"/>
      <c r="K381" s="535"/>
      <c r="L381" s="535"/>
    </row>
    <row r="382" spans="2:12" ht="19.5" customHeight="1"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</row>
    <row r="385" spans="2:12" ht="19.5" customHeight="1">
      <c r="B385" s="931" t="s">
        <v>862</v>
      </c>
      <c r="C385" s="931"/>
      <c r="D385" s="931"/>
      <c r="E385" s="931"/>
      <c r="F385" s="931"/>
      <c r="G385" s="931"/>
      <c r="H385" s="931"/>
      <c r="I385" s="931"/>
      <c r="J385" s="931"/>
      <c r="K385" s="931"/>
      <c r="L385" s="931"/>
    </row>
    <row r="386" spans="2:12" ht="19.5" customHeight="1">
      <c r="B386" s="932" t="s">
        <v>886</v>
      </c>
      <c r="C386" s="932"/>
      <c r="D386" s="932"/>
      <c r="E386" s="932"/>
      <c r="F386" s="932"/>
      <c r="G386" s="932"/>
      <c r="H386" s="932"/>
      <c r="I386" s="932"/>
      <c r="J386" s="932"/>
      <c r="K386" s="932"/>
      <c r="L386" s="932"/>
    </row>
    <row r="387" spans="2:12" ht="19.5" customHeight="1">
      <c r="B387" s="933" t="s">
        <v>887</v>
      </c>
      <c r="C387" s="933"/>
      <c r="D387" s="933"/>
      <c r="E387" s="933"/>
      <c r="F387" s="933"/>
      <c r="G387" s="933"/>
      <c r="H387" s="933"/>
      <c r="I387" s="929">
        <f>'Настройки УИК'!J5</f>
        <v>0</v>
      </c>
      <c r="J387" s="929"/>
      <c r="K387" s="534"/>
      <c r="L387" s="534"/>
    </row>
    <row r="388" spans="2:12" ht="19.5" customHeight="1">
      <c r="B388" s="932" t="s">
        <v>516</v>
      </c>
      <c r="C388" s="932"/>
      <c r="D388" s="932"/>
      <c r="E388" s="932"/>
      <c r="F388" s="932"/>
      <c r="G388" s="932"/>
      <c r="H388" s="932"/>
      <c r="I388" s="932"/>
      <c r="J388" s="932"/>
      <c r="K388" s="932"/>
      <c r="L388" s="932"/>
    </row>
    <row r="389" spans="2:12" ht="19.5" customHeight="1"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</row>
    <row r="390" spans="2:12" ht="19.5" customHeight="1">
      <c r="B390" s="928" t="s">
        <v>833</v>
      </c>
      <c r="C390" s="928"/>
      <c r="D390" s="927" t="str">
        <f ca="1">'Расчётная Ведомость'!B32</f>
        <v xml:space="preserve"> </v>
      </c>
      <c r="E390" s="927"/>
      <c r="F390" s="927"/>
      <c r="G390" s="927"/>
      <c r="H390" s="927"/>
      <c r="I390" s="927"/>
      <c r="J390" s="927"/>
      <c r="K390" s="927"/>
      <c r="L390" s="927"/>
    </row>
    <row r="391" spans="2:12" ht="19.5" customHeight="1"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</row>
    <row r="392" spans="2:12" ht="19.5" customHeight="1">
      <c r="B392" s="928" t="s">
        <v>45</v>
      </c>
      <c r="C392" s="928"/>
      <c r="D392" s="927" t="str">
        <f ca="1">'Расчётная Ведомость'!C32</f>
        <v xml:space="preserve"> </v>
      </c>
      <c r="E392" s="927"/>
      <c r="F392" s="927"/>
      <c r="G392" s="927"/>
      <c r="H392" s="927"/>
      <c r="I392" s="927"/>
      <c r="J392" s="927"/>
      <c r="K392" s="927"/>
      <c r="L392" s="927"/>
    </row>
    <row r="393" spans="2:12" ht="19.5" customHeight="1"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</row>
    <row r="394" spans="2:12" ht="19.5" customHeight="1">
      <c r="B394" s="928" t="s">
        <v>863</v>
      </c>
      <c r="C394" s="928"/>
      <c r="D394" s="928"/>
      <c r="E394" s="928"/>
      <c r="F394" s="536"/>
      <c r="G394" s="537" t="s">
        <v>864</v>
      </c>
      <c r="H394" s="934">
        <f>'Настройки ТИК'!$C$17</f>
        <v>0</v>
      </c>
      <c r="I394" s="927"/>
      <c r="J394" s="537" t="s">
        <v>790</v>
      </c>
      <c r="K394" s="934">
        <f>'Настройки ТИК'!$D$17</f>
        <v>0</v>
      </c>
      <c r="L394" s="927"/>
    </row>
    <row r="395" spans="2:12" ht="19.5" customHeight="1"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</row>
    <row r="396" spans="2:12" ht="19.5" customHeight="1">
      <c r="B396" s="537"/>
      <c r="C396" s="537"/>
      <c r="D396" s="537"/>
      <c r="E396" s="537"/>
      <c r="F396" s="537"/>
      <c r="G396" s="537"/>
      <c r="H396" s="537"/>
      <c r="I396" s="537"/>
      <c r="J396" s="537"/>
      <c r="K396" s="537"/>
      <c r="L396" s="537"/>
    </row>
    <row r="397" spans="2:12" ht="132.75" customHeight="1">
      <c r="B397" s="923" t="s">
        <v>865</v>
      </c>
      <c r="C397" s="923"/>
      <c r="D397" s="923"/>
      <c r="E397" s="923"/>
      <c r="F397" s="539"/>
      <c r="G397" s="924">
        <f>'Настройки ТИК'!$B$9</f>
        <v>0</v>
      </c>
      <c r="H397" s="924"/>
      <c r="I397" s="924"/>
      <c r="J397" s="924"/>
      <c r="K397" s="924"/>
      <c r="L397" s="924"/>
    </row>
    <row r="398" spans="2:12" ht="19.5" customHeight="1"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</row>
    <row r="399" spans="2:12" ht="39.75" customHeight="1">
      <c r="B399" s="925" t="s">
        <v>951</v>
      </c>
      <c r="C399" s="925"/>
      <c r="D399" s="925"/>
      <c r="E399" s="925"/>
      <c r="F399" s="925"/>
      <c r="G399" s="925"/>
      <c r="H399" s="925"/>
      <c r="I399" s="925"/>
      <c r="J399" s="925"/>
      <c r="K399" s="926">
        <f ca="1">'Расчётная Ведомость'!$M$32</f>
        <v>0</v>
      </c>
      <c r="L399" s="927"/>
    </row>
    <row r="400" spans="2:12" ht="19.5" customHeight="1">
      <c r="B400" s="540"/>
      <c r="C400" s="540"/>
      <c r="D400" s="540"/>
      <c r="E400" s="540"/>
      <c r="F400" s="540"/>
      <c r="G400" s="540"/>
      <c r="H400" s="540"/>
      <c r="I400" s="540"/>
      <c r="J400" s="540"/>
      <c r="K400" s="540"/>
      <c r="L400" s="540"/>
    </row>
    <row r="401" spans="2:12" ht="19.5" customHeight="1">
      <c r="B401" s="937" t="s">
        <v>518</v>
      </c>
      <c r="C401" s="937"/>
      <c r="D401" s="937"/>
      <c r="E401" s="937"/>
      <c r="F401" s="937"/>
      <c r="G401" s="937"/>
      <c r="H401" s="937"/>
      <c r="I401" s="937"/>
      <c r="J401" s="937"/>
      <c r="K401" s="926">
        <f>'Расчётная Ведомость'!$R$32</f>
        <v>0</v>
      </c>
      <c r="L401" s="927"/>
    </row>
    <row r="402" spans="2:12" ht="19.5" customHeight="1"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</row>
    <row r="403" spans="2:12" ht="19.5" customHeight="1">
      <c r="B403" s="935" t="s">
        <v>889</v>
      </c>
      <c r="C403" s="935"/>
      <c r="D403" s="935"/>
      <c r="E403" s="935"/>
      <c r="F403" s="935"/>
      <c r="G403" s="936">
        <f ca="1">'Сведения ФОВ'!ES31</f>
        <v>0</v>
      </c>
      <c r="H403" s="936"/>
      <c r="I403" s="535" t="s">
        <v>866</v>
      </c>
      <c r="K403" s="926">
        <f ca="1">'Расчётная Ведомость'!U32</f>
        <v>0</v>
      </c>
      <c r="L403" s="927"/>
    </row>
    <row r="404" spans="2:12" ht="19.5" customHeight="1">
      <c r="B404" s="541" t="s">
        <v>888</v>
      </c>
      <c r="C404" s="541"/>
      <c r="D404" s="541"/>
      <c r="E404" s="541"/>
      <c r="F404" s="541"/>
      <c r="I404" s="535"/>
      <c r="J404" s="535"/>
      <c r="K404" s="535"/>
      <c r="L404" s="535"/>
    </row>
    <row r="405" spans="2:12" ht="19.5" customHeight="1">
      <c r="B405" s="935" t="s">
        <v>890</v>
      </c>
      <c r="C405" s="935"/>
      <c r="D405" s="935"/>
      <c r="E405" s="935"/>
      <c r="F405" s="935"/>
      <c r="G405" s="926">
        <f ca="1">INDIRECT("'Сведения ФОВ'!ES"&amp;MROUND(N($A$1),1)+30)</f>
        <v>0</v>
      </c>
      <c r="H405" s="927"/>
      <c r="I405" s="535"/>
      <c r="J405" s="535"/>
      <c r="K405" s="535"/>
      <c r="L405" s="535"/>
    </row>
    <row r="406" spans="2:12" ht="19.5" customHeight="1">
      <c r="B406" s="935" t="s">
        <v>13</v>
      </c>
      <c r="C406" s="935"/>
      <c r="D406" s="935"/>
      <c r="E406" s="935"/>
      <c r="F406" s="935"/>
      <c r="G406" s="926">
        <f ca="1">INDIRECT("'Сведения ФОВ'!ES"&amp;MROUND(N($A$1),1)+31)</f>
        <v>0</v>
      </c>
      <c r="H406" s="927"/>
      <c r="I406" s="535"/>
      <c r="J406" s="535"/>
      <c r="K406" s="535"/>
      <c r="L406" s="535"/>
    </row>
    <row r="407" spans="2:12" ht="19.5" customHeight="1">
      <c r="B407" s="935" t="s">
        <v>263</v>
      </c>
      <c r="C407" s="935"/>
      <c r="D407" s="935"/>
      <c r="E407" s="935"/>
      <c r="F407" s="935"/>
      <c r="I407" s="535"/>
      <c r="J407" s="535"/>
      <c r="K407" s="535"/>
      <c r="L407" s="535"/>
    </row>
    <row r="408" spans="2:12" ht="19.5" customHeight="1">
      <c r="B408" s="935" t="s">
        <v>891</v>
      </c>
      <c r="C408" s="935"/>
      <c r="D408" s="935"/>
      <c r="E408" s="935"/>
      <c r="F408" s="935"/>
      <c r="G408" s="926">
        <f ca="1">INDIRECT("'Сведения ФОВ'!ES"&amp;MROUND(N($A$1),1)+32)</f>
        <v>0</v>
      </c>
      <c r="H408" s="927"/>
      <c r="I408" s="535"/>
      <c r="J408" s="535"/>
      <c r="K408" s="535"/>
      <c r="L408" s="535"/>
    </row>
    <row r="409" spans="2:12" ht="19.5" customHeight="1">
      <c r="B409" s="935" t="s">
        <v>16</v>
      </c>
      <c r="C409" s="935"/>
      <c r="D409" s="935"/>
      <c r="E409" s="935"/>
      <c r="F409" s="935"/>
      <c r="G409" s="926">
        <f ca="1">INDIRECT("'Сведения ФОВ'!ES"&amp;MROUND(N($A$1),1)+33)</f>
        <v>0</v>
      </c>
      <c r="H409" s="927"/>
      <c r="I409" s="535"/>
      <c r="J409" s="535"/>
      <c r="K409" s="535"/>
      <c r="L409" s="535"/>
    </row>
    <row r="410" spans="2:12" ht="19.5" customHeight="1">
      <c r="B410" s="935" t="s">
        <v>420</v>
      </c>
      <c r="C410" s="935"/>
      <c r="D410" s="935"/>
      <c r="E410" s="935"/>
      <c r="F410" s="935"/>
      <c r="G410" s="926">
        <f ca="1">INDIRECT("'Сведения ФОВ'!ES"&amp;MROUND(N($A$1),1)+34)</f>
        <v>0</v>
      </c>
      <c r="H410" s="927"/>
      <c r="I410" s="535"/>
      <c r="J410" s="535"/>
      <c r="K410" s="535"/>
      <c r="L410" s="535"/>
    </row>
    <row r="411" spans="2:12" ht="19.5" customHeight="1"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</row>
    <row r="412" spans="2:12" ht="19.5" customHeight="1">
      <c r="B412" s="535" t="s">
        <v>140</v>
      </c>
      <c r="C412" s="535"/>
      <c r="D412" s="542"/>
      <c r="E412" s="542"/>
      <c r="F412" s="535"/>
      <c r="G412" s="929">
        <f>'Настройки УИК'!$I$43</f>
        <v>0</v>
      </c>
      <c r="H412" s="929"/>
      <c r="I412" s="929"/>
      <c r="J412" s="929"/>
      <c r="K412" s="929"/>
      <c r="L412" s="929"/>
    </row>
    <row r="413" spans="2:12" ht="19.5" customHeight="1">
      <c r="B413" s="535"/>
      <c r="C413" s="535"/>
      <c r="D413" s="930" t="s">
        <v>5</v>
      </c>
      <c r="E413" s="930"/>
      <c r="F413" s="543"/>
      <c r="G413" s="535"/>
      <c r="H413" s="535"/>
      <c r="I413" s="535"/>
      <c r="J413" s="535"/>
      <c r="K413" s="535"/>
      <c r="L413" s="535"/>
    </row>
    <row r="414" spans="2:12" ht="19.5" customHeight="1"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</row>
    <row r="417" spans="2:12" ht="19.5" customHeight="1">
      <c r="B417" s="931" t="s">
        <v>862</v>
      </c>
      <c r="C417" s="931"/>
      <c r="D417" s="931"/>
      <c r="E417" s="931"/>
      <c r="F417" s="931"/>
      <c r="G417" s="931"/>
      <c r="H417" s="931"/>
      <c r="I417" s="931"/>
      <c r="J417" s="931"/>
      <c r="K417" s="931"/>
      <c r="L417" s="931"/>
    </row>
    <row r="418" spans="2:12" ht="19.5" customHeight="1">
      <c r="B418" s="932" t="s">
        <v>886</v>
      </c>
      <c r="C418" s="932"/>
      <c r="D418" s="932"/>
      <c r="E418" s="932"/>
      <c r="F418" s="932"/>
      <c r="G418" s="932"/>
      <c r="H418" s="932"/>
      <c r="I418" s="932"/>
      <c r="J418" s="932"/>
      <c r="K418" s="932"/>
      <c r="L418" s="932"/>
    </row>
    <row r="419" spans="2:12" ht="19.5" customHeight="1">
      <c r="B419" s="933" t="s">
        <v>887</v>
      </c>
      <c r="C419" s="933"/>
      <c r="D419" s="933"/>
      <c r="E419" s="933"/>
      <c r="F419" s="933"/>
      <c r="G419" s="933"/>
      <c r="H419" s="933"/>
      <c r="I419" s="929">
        <f>'Настройки УИК'!J5</f>
        <v>0</v>
      </c>
      <c r="J419" s="929"/>
      <c r="K419" s="534"/>
      <c r="L419" s="534"/>
    </row>
    <row r="420" spans="2:12" ht="19.5" customHeight="1">
      <c r="B420" s="932" t="s">
        <v>516</v>
      </c>
      <c r="C420" s="932"/>
      <c r="D420" s="932"/>
      <c r="E420" s="932"/>
      <c r="F420" s="932"/>
      <c r="G420" s="932"/>
      <c r="H420" s="932"/>
      <c r="I420" s="932"/>
      <c r="J420" s="932"/>
      <c r="K420" s="932"/>
      <c r="L420" s="932"/>
    </row>
    <row r="421" spans="2:12" ht="19.5" customHeight="1"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</row>
    <row r="422" spans="2:12" ht="19.5" customHeight="1">
      <c r="B422" s="928" t="s">
        <v>833</v>
      </c>
      <c r="C422" s="928"/>
      <c r="D422" s="927" t="str">
        <f ca="1">'Расчётная Ведомость'!B33</f>
        <v>Председатель</v>
      </c>
      <c r="E422" s="927"/>
      <c r="F422" s="927"/>
      <c r="G422" s="927"/>
      <c r="H422" s="927"/>
      <c r="I422" s="927"/>
      <c r="J422" s="927"/>
      <c r="K422" s="927"/>
      <c r="L422" s="927"/>
    </row>
    <row r="423" spans="2:12" ht="19.5" customHeight="1"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</row>
    <row r="424" spans="2:12" ht="19.5" customHeight="1">
      <c r="B424" s="928" t="s">
        <v>45</v>
      </c>
      <c r="C424" s="928"/>
      <c r="D424" s="927" t="str">
        <f ca="1">'Расчётная Ведомость'!C33</f>
        <v>Заместитель председателя</v>
      </c>
      <c r="E424" s="927"/>
      <c r="F424" s="927"/>
      <c r="G424" s="927"/>
      <c r="H424" s="927"/>
      <c r="I424" s="927"/>
      <c r="J424" s="927"/>
      <c r="K424" s="927"/>
      <c r="L424" s="927"/>
    </row>
    <row r="425" spans="2:12" ht="19.5" customHeight="1"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</row>
    <row r="426" spans="2:12" ht="19.5" customHeight="1">
      <c r="B426" s="928" t="s">
        <v>863</v>
      </c>
      <c r="C426" s="928"/>
      <c r="D426" s="928"/>
      <c r="E426" s="928"/>
      <c r="F426" s="536"/>
      <c r="G426" s="537" t="s">
        <v>864</v>
      </c>
      <c r="H426" s="934">
        <f>'Настройки ТИК'!$C$17</f>
        <v>0</v>
      </c>
      <c r="I426" s="927"/>
      <c r="J426" s="537" t="s">
        <v>790</v>
      </c>
      <c r="K426" s="934">
        <f>'Настройки ТИК'!$D$17</f>
        <v>0</v>
      </c>
      <c r="L426" s="927"/>
    </row>
    <row r="427" spans="2:12" ht="19.5" customHeight="1"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</row>
    <row r="428" spans="2:12" ht="19.5" customHeight="1">
      <c r="B428" s="537"/>
      <c r="C428" s="537"/>
      <c r="D428" s="537"/>
      <c r="E428" s="537"/>
      <c r="F428" s="537"/>
      <c r="G428" s="537"/>
      <c r="H428" s="537"/>
      <c r="I428" s="537"/>
      <c r="J428" s="537"/>
      <c r="K428" s="537"/>
      <c r="L428" s="537"/>
    </row>
    <row r="429" spans="2:12" ht="132.75" customHeight="1">
      <c r="B429" s="923" t="s">
        <v>865</v>
      </c>
      <c r="C429" s="923"/>
      <c r="D429" s="923"/>
      <c r="E429" s="923"/>
      <c r="F429" s="539"/>
      <c r="G429" s="924">
        <f>'Настройки ТИК'!$B$9</f>
        <v>0</v>
      </c>
      <c r="H429" s="924"/>
      <c r="I429" s="924"/>
      <c r="J429" s="924"/>
      <c r="K429" s="924"/>
      <c r="L429" s="924"/>
    </row>
    <row r="430" spans="2:12" ht="19.5" customHeight="1"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</row>
    <row r="431" spans="2:12" ht="39.75" customHeight="1">
      <c r="B431" s="925" t="s">
        <v>951</v>
      </c>
      <c r="C431" s="925"/>
      <c r="D431" s="925"/>
      <c r="E431" s="925"/>
      <c r="F431" s="925"/>
      <c r="G431" s="925"/>
      <c r="H431" s="925"/>
      <c r="I431" s="925"/>
      <c r="J431" s="925"/>
      <c r="K431" s="926">
        <f ca="1">'Расчётная Ведомость'!$M$33</f>
        <v>0</v>
      </c>
      <c r="L431" s="927"/>
    </row>
    <row r="432" spans="2:12" ht="19.5" customHeight="1">
      <c r="B432" s="540"/>
      <c r="C432" s="540"/>
      <c r="D432" s="540"/>
      <c r="E432" s="540"/>
      <c r="F432" s="540"/>
      <c r="G432" s="540"/>
      <c r="H432" s="540"/>
      <c r="I432" s="540"/>
      <c r="J432" s="540"/>
      <c r="K432" s="540"/>
      <c r="L432" s="540"/>
    </row>
    <row r="433" spans="2:12" ht="19.5" customHeight="1">
      <c r="B433" s="937" t="s">
        <v>518</v>
      </c>
      <c r="C433" s="937"/>
      <c r="D433" s="937"/>
      <c r="E433" s="937"/>
      <c r="F433" s="937"/>
      <c r="G433" s="937"/>
      <c r="H433" s="937"/>
      <c r="I433" s="937"/>
      <c r="J433" s="937"/>
      <c r="K433" s="926">
        <f>'Расчётная Ведомость'!$R$33</f>
        <v>0</v>
      </c>
      <c r="L433" s="927"/>
    </row>
    <row r="434" spans="2:12" ht="19.5" customHeight="1"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</row>
    <row r="435" spans="2:12" ht="19.5" customHeight="1">
      <c r="B435" s="935" t="s">
        <v>889</v>
      </c>
      <c r="C435" s="935"/>
      <c r="D435" s="935"/>
      <c r="E435" s="935"/>
      <c r="F435" s="935"/>
      <c r="G435" s="936">
        <f ca="1">'Сведения ФОВ'!FE31</f>
        <v>0</v>
      </c>
      <c r="H435" s="936"/>
      <c r="I435" s="535" t="s">
        <v>866</v>
      </c>
      <c r="K435" s="926">
        <f ca="1">'Расчётная Ведомость'!U33</f>
        <v>0</v>
      </c>
      <c r="L435" s="927"/>
    </row>
    <row r="436" spans="2:12" ht="19.5" customHeight="1">
      <c r="B436" s="541" t="s">
        <v>888</v>
      </c>
      <c r="C436" s="541"/>
      <c r="D436" s="541"/>
      <c r="E436" s="541"/>
      <c r="F436" s="541"/>
      <c r="I436" s="535"/>
      <c r="J436" s="535"/>
      <c r="K436" s="535"/>
      <c r="L436" s="535"/>
    </row>
    <row r="437" spans="2:12" ht="19.5" customHeight="1">
      <c r="B437" s="935" t="s">
        <v>890</v>
      </c>
      <c r="C437" s="935"/>
      <c r="D437" s="935"/>
      <c r="E437" s="935"/>
      <c r="F437" s="935"/>
      <c r="G437" s="926">
        <f ca="1">INDIRECT("'Сведения ФОВ'!FE"&amp;MROUND(N($A$1),1)+30)</f>
        <v>0</v>
      </c>
      <c r="H437" s="927"/>
      <c r="I437" s="535"/>
      <c r="J437" s="535"/>
      <c r="K437" s="535"/>
      <c r="L437" s="535"/>
    </row>
    <row r="438" spans="2:12" ht="19.5" customHeight="1">
      <c r="B438" s="935" t="s">
        <v>13</v>
      </c>
      <c r="C438" s="935"/>
      <c r="D438" s="935"/>
      <c r="E438" s="935"/>
      <c r="F438" s="935"/>
      <c r="G438" s="926">
        <f ca="1">INDIRECT("'Сведения ФОВ'!FE"&amp;MROUND(N($A$1),1)+31)</f>
        <v>0</v>
      </c>
      <c r="H438" s="927"/>
      <c r="I438" s="535"/>
      <c r="J438" s="535"/>
      <c r="K438" s="535"/>
      <c r="L438" s="535"/>
    </row>
    <row r="439" spans="2:12" ht="19.5" customHeight="1">
      <c r="B439" s="935" t="s">
        <v>263</v>
      </c>
      <c r="C439" s="935"/>
      <c r="D439" s="935"/>
      <c r="E439" s="935"/>
      <c r="F439" s="935"/>
      <c r="I439" s="535"/>
      <c r="J439" s="535"/>
      <c r="K439" s="535"/>
      <c r="L439" s="535"/>
    </row>
    <row r="440" spans="2:12" ht="19.5" customHeight="1">
      <c r="B440" s="935" t="s">
        <v>891</v>
      </c>
      <c r="C440" s="935"/>
      <c r="D440" s="935"/>
      <c r="E440" s="935"/>
      <c r="F440" s="935"/>
      <c r="G440" s="926">
        <f ca="1">INDIRECT("'Сведения ФОВ'!FE"&amp;MROUND(N($A$1),1)+32)</f>
        <v>0</v>
      </c>
      <c r="H440" s="927"/>
      <c r="I440" s="535"/>
      <c r="J440" s="535"/>
      <c r="K440" s="535"/>
      <c r="L440" s="535"/>
    </row>
    <row r="441" spans="2:12" ht="19.5" customHeight="1">
      <c r="B441" s="935" t="s">
        <v>16</v>
      </c>
      <c r="C441" s="935"/>
      <c r="D441" s="935"/>
      <c r="E441" s="935"/>
      <c r="F441" s="935"/>
      <c r="G441" s="926">
        <f ca="1">INDIRECT("'Сведения ФОВ'!FE"&amp;MROUND(N($A$1),1)+33)</f>
        <v>0</v>
      </c>
      <c r="H441" s="927"/>
      <c r="I441" s="535"/>
      <c r="J441" s="535"/>
      <c r="K441" s="535"/>
      <c r="L441" s="535"/>
    </row>
    <row r="442" spans="2:12" ht="19.5" customHeight="1">
      <c r="B442" s="935" t="s">
        <v>420</v>
      </c>
      <c r="C442" s="935"/>
      <c r="D442" s="935"/>
      <c r="E442" s="935"/>
      <c r="F442" s="935"/>
      <c r="G442" s="926">
        <f ca="1">INDIRECT("'Сведения ФОВ'!FE"&amp;MROUND(N($A$1),1)+34)</f>
        <v>0</v>
      </c>
      <c r="H442" s="927"/>
      <c r="I442" s="535"/>
      <c r="J442" s="535"/>
      <c r="K442" s="535"/>
      <c r="L442" s="535"/>
    </row>
    <row r="443" spans="2:12" ht="19.5" customHeight="1"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</row>
    <row r="444" spans="2:12" ht="19.5" customHeight="1">
      <c r="B444" s="535" t="s">
        <v>140</v>
      </c>
      <c r="C444" s="535"/>
      <c r="D444" s="542"/>
      <c r="E444" s="542"/>
      <c r="F444" s="535"/>
      <c r="G444" s="929">
        <f>'Настройки УИК'!$I$43</f>
        <v>0</v>
      </c>
      <c r="H444" s="929"/>
      <c r="I444" s="929"/>
      <c r="J444" s="929"/>
      <c r="K444" s="929"/>
      <c r="L444" s="929"/>
    </row>
    <row r="445" spans="2:12" ht="19.5" customHeight="1">
      <c r="B445" s="535"/>
      <c r="C445" s="535"/>
      <c r="D445" s="930" t="s">
        <v>5</v>
      </c>
      <c r="E445" s="930"/>
      <c r="F445" s="543"/>
      <c r="G445" s="535"/>
      <c r="H445" s="535"/>
      <c r="I445" s="535"/>
      <c r="J445" s="535"/>
      <c r="K445" s="535"/>
      <c r="L445" s="535"/>
    </row>
    <row r="446" spans="2:12" ht="19.5" customHeight="1"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</row>
    <row r="449" spans="2:12" ht="19.5" customHeight="1">
      <c r="B449" s="931" t="s">
        <v>862</v>
      </c>
      <c r="C449" s="931"/>
      <c r="D449" s="931"/>
      <c r="E449" s="931"/>
      <c r="F449" s="931"/>
      <c r="G449" s="931"/>
      <c r="H449" s="931"/>
      <c r="I449" s="931"/>
      <c r="J449" s="931"/>
      <c r="K449" s="931"/>
      <c r="L449" s="931"/>
    </row>
    <row r="450" spans="2:12" ht="19.5" customHeight="1">
      <c r="B450" s="932" t="s">
        <v>886</v>
      </c>
      <c r="C450" s="932"/>
      <c r="D450" s="932"/>
      <c r="E450" s="932"/>
      <c r="F450" s="932"/>
      <c r="G450" s="932"/>
      <c r="H450" s="932"/>
      <c r="I450" s="932"/>
      <c r="J450" s="932"/>
      <c r="K450" s="932"/>
      <c r="L450" s="932"/>
    </row>
    <row r="451" spans="2:12" ht="19.5" customHeight="1">
      <c r="B451" s="933" t="s">
        <v>887</v>
      </c>
      <c r="C451" s="933"/>
      <c r="D451" s="933"/>
      <c r="E451" s="933"/>
      <c r="F451" s="933"/>
      <c r="G451" s="933"/>
      <c r="H451" s="933"/>
      <c r="I451" s="929">
        <f>'Настройки УИК'!J5</f>
        <v>0</v>
      </c>
      <c r="J451" s="929"/>
      <c r="K451" s="534"/>
      <c r="L451" s="534"/>
    </row>
    <row r="452" spans="2:12" ht="19.5" customHeight="1">
      <c r="B452" s="932" t="s">
        <v>516</v>
      </c>
      <c r="C452" s="932"/>
      <c r="D452" s="932"/>
      <c r="E452" s="932"/>
      <c r="F452" s="932"/>
      <c r="G452" s="932"/>
      <c r="H452" s="932"/>
      <c r="I452" s="932"/>
      <c r="J452" s="932"/>
      <c r="K452" s="932"/>
      <c r="L452" s="932"/>
    </row>
    <row r="453" spans="2:12" ht="19.5" customHeight="1"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</row>
    <row r="454" spans="2:12" ht="19.5" customHeight="1">
      <c r="B454" s="928" t="s">
        <v>833</v>
      </c>
      <c r="C454" s="928"/>
      <c r="D454" s="927" t="str">
        <f ca="1">'Расчётная Ведомость'!B34</f>
        <v xml:space="preserve"> </v>
      </c>
      <c r="E454" s="927"/>
      <c r="F454" s="927"/>
      <c r="G454" s="927"/>
      <c r="H454" s="927"/>
      <c r="I454" s="927"/>
      <c r="J454" s="927"/>
      <c r="K454" s="927"/>
      <c r="L454" s="927"/>
    </row>
    <row r="455" spans="2:12" ht="19.5" customHeight="1"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</row>
    <row r="456" spans="2:12" ht="19.5" customHeight="1">
      <c r="B456" s="928" t="s">
        <v>45</v>
      </c>
      <c r="C456" s="928"/>
      <c r="D456" s="927" t="str">
        <f ca="1">'Расчётная Ведомость'!C34</f>
        <v xml:space="preserve"> </v>
      </c>
      <c r="E456" s="927"/>
      <c r="F456" s="927"/>
      <c r="G456" s="927"/>
      <c r="H456" s="927"/>
      <c r="I456" s="927"/>
      <c r="J456" s="927"/>
      <c r="K456" s="927"/>
      <c r="L456" s="927"/>
    </row>
    <row r="457" spans="2:12" ht="19.5" customHeight="1"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</row>
    <row r="458" spans="2:12" ht="19.5" customHeight="1">
      <c r="B458" s="928" t="s">
        <v>863</v>
      </c>
      <c r="C458" s="928"/>
      <c r="D458" s="928"/>
      <c r="E458" s="928"/>
      <c r="F458" s="536"/>
      <c r="G458" s="537" t="s">
        <v>864</v>
      </c>
      <c r="H458" s="934">
        <f>'Настройки ТИК'!$C$17</f>
        <v>0</v>
      </c>
      <c r="I458" s="927"/>
      <c r="J458" s="537" t="s">
        <v>790</v>
      </c>
      <c r="K458" s="934">
        <f>'Настройки ТИК'!$D$17</f>
        <v>0</v>
      </c>
      <c r="L458" s="927"/>
    </row>
    <row r="459" spans="2:12" ht="19.5" customHeight="1"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</row>
    <row r="460" spans="2:12" ht="19.5" customHeight="1">
      <c r="B460" s="537"/>
      <c r="C460" s="537"/>
      <c r="D460" s="537"/>
      <c r="E460" s="537"/>
      <c r="F460" s="537"/>
      <c r="G460" s="537"/>
      <c r="H460" s="537"/>
      <c r="I460" s="537"/>
      <c r="J460" s="537"/>
      <c r="K460" s="537"/>
      <c r="L460" s="537"/>
    </row>
    <row r="461" spans="2:12" ht="132.75" customHeight="1">
      <c r="B461" s="923" t="s">
        <v>865</v>
      </c>
      <c r="C461" s="923"/>
      <c r="D461" s="923"/>
      <c r="E461" s="923"/>
      <c r="F461" s="539"/>
      <c r="G461" s="924">
        <f>'Настройки ТИК'!$B$9</f>
        <v>0</v>
      </c>
      <c r="H461" s="924"/>
      <c r="I461" s="924"/>
      <c r="J461" s="924"/>
      <c r="K461" s="924"/>
      <c r="L461" s="924"/>
    </row>
    <row r="462" spans="2:12" ht="19.5" customHeight="1"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</row>
    <row r="463" spans="2:12" ht="39.75" customHeight="1">
      <c r="B463" s="925" t="s">
        <v>951</v>
      </c>
      <c r="C463" s="925"/>
      <c r="D463" s="925"/>
      <c r="E463" s="925"/>
      <c r="F463" s="925"/>
      <c r="G463" s="925"/>
      <c r="H463" s="925"/>
      <c r="I463" s="925"/>
      <c r="J463" s="925"/>
      <c r="K463" s="926">
        <f ca="1">'Расчётная Ведомость'!$M$34</f>
        <v>0</v>
      </c>
      <c r="L463" s="927"/>
    </row>
    <row r="464" spans="2:12" ht="19.5" customHeight="1">
      <c r="B464" s="540"/>
      <c r="C464" s="540"/>
      <c r="D464" s="540"/>
      <c r="E464" s="540"/>
      <c r="F464" s="540"/>
      <c r="G464" s="540"/>
      <c r="H464" s="540"/>
      <c r="I464" s="540"/>
      <c r="J464" s="540"/>
      <c r="K464" s="540"/>
      <c r="L464" s="540"/>
    </row>
    <row r="465" spans="2:12" ht="19.5" customHeight="1">
      <c r="B465" s="937" t="s">
        <v>518</v>
      </c>
      <c r="C465" s="937"/>
      <c r="D465" s="937"/>
      <c r="E465" s="937"/>
      <c r="F465" s="937"/>
      <c r="G465" s="937"/>
      <c r="H465" s="937"/>
      <c r="I465" s="937"/>
      <c r="J465" s="937"/>
      <c r="K465" s="926">
        <f>'Расчётная Ведомость'!$R$34</f>
        <v>0</v>
      </c>
      <c r="L465" s="927"/>
    </row>
    <row r="466" spans="2:12" ht="19.5" customHeight="1"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</row>
    <row r="467" spans="2:12" ht="19.5" customHeight="1">
      <c r="B467" s="935" t="s">
        <v>889</v>
      </c>
      <c r="C467" s="935"/>
      <c r="D467" s="935"/>
      <c r="E467" s="935"/>
      <c r="F467" s="935"/>
      <c r="G467" s="936">
        <f ca="1">'Сведения ФОВ'!FQ31</f>
        <v>0</v>
      </c>
      <c r="H467" s="936"/>
      <c r="I467" s="535" t="s">
        <v>866</v>
      </c>
      <c r="K467" s="926">
        <f ca="1">'Расчётная Ведомость'!U34</f>
        <v>0</v>
      </c>
      <c r="L467" s="927"/>
    </row>
    <row r="468" spans="2:12" ht="19.5" customHeight="1">
      <c r="B468" s="541" t="s">
        <v>888</v>
      </c>
      <c r="C468" s="541"/>
      <c r="D468" s="541"/>
      <c r="E468" s="541"/>
      <c r="F468" s="541"/>
      <c r="I468" s="535"/>
      <c r="K468" s="535"/>
      <c r="L468" s="535"/>
    </row>
    <row r="469" spans="2:12" ht="19.5" customHeight="1">
      <c r="B469" s="935" t="s">
        <v>890</v>
      </c>
      <c r="C469" s="935"/>
      <c r="D469" s="935"/>
      <c r="E469" s="935"/>
      <c r="F469" s="935"/>
      <c r="G469" s="926">
        <f ca="1">INDIRECT("'Сведения ФОВ'!FQ"&amp;MROUND(N($A$1),1)+30)</f>
        <v>0</v>
      </c>
      <c r="H469" s="927"/>
      <c r="I469" s="535"/>
      <c r="K469" s="535"/>
      <c r="L469" s="535"/>
    </row>
    <row r="470" spans="2:12" ht="19.5" customHeight="1">
      <c r="B470" s="935" t="s">
        <v>13</v>
      </c>
      <c r="C470" s="935"/>
      <c r="D470" s="935"/>
      <c r="E470" s="935"/>
      <c r="F470" s="935"/>
      <c r="G470" s="926">
        <f ca="1">INDIRECT("'Сведения ФОВ'!FQ"&amp;MROUND(N($A$1),1)+31)</f>
        <v>0</v>
      </c>
      <c r="H470" s="927"/>
      <c r="I470" s="535"/>
      <c r="K470" s="535"/>
      <c r="L470" s="535"/>
    </row>
    <row r="471" spans="2:12" ht="19.5" customHeight="1">
      <c r="B471" s="935" t="s">
        <v>263</v>
      </c>
      <c r="C471" s="935"/>
      <c r="D471" s="935"/>
      <c r="E471" s="935"/>
      <c r="F471" s="935"/>
      <c r="I471" s="535"/>
      <c r="K471" s="535"/>
      <c r="L471" s="535"/>
    </row>
    <row r="472" spans="2:12" ht="19.5" customHeight="1">
      <c r="B472" s="935" t="s">
        <v>891</v>
      </c>
      <c r="C472" s="935"/>
      <c r="D472" s="935"/>
      <c r="E472" s="935"/>
      <c r="F472" s="935"/>
      <c r="G472" s="926">
        <f ca="1">INDIRECT("'Сведения ФОВ'!FQ"&amp;MROUND(N($A$1),1)+32)</f>
        <v>0</v>
      </c>
      <c r="H472" s="927"/>
      <c r="I472" s="535"/>
      <c r="J472" s="535"/>
      <c r="K472" s="535"/>
      <c r="L472" s="535"/>
    </row>
    <row r="473" spans="2:12" ht="19.5" customHeight="1">
      <c r="B473" s="935" t="s">
        <v>16</v>
      </c>
      <c r="C473" s="935"/>
      <c r="D473" s="935"/>
      <c r="E473" s="935"/>
      <c r="F473" s="935"/>
      <c r="G473" s="926">
        <f ca="1">INDIRECT("'Сведения ФОВ'!FQ"&amp;MROUND(N($A$1),1)+33)</f>
        <v>0</v>
      </c>
      <c r="H473" s="927"/>
      <c r="I473" s="535"/>
      <c r="J473" s="535"/>
      <c r="K473" s="535"/>
      <c r="L473" s="535"/>
    </row>
    <row r="474" spans="2:12" ht="19.5" customHeight="1">
      <c r="B474" s="935" t="s">
        <v>420</v>
      </c>
      <c r="C474" s="935"/>
      <c r="D474" s="935"/>
      <c r="E474" s="935"/>
      <c r="F474" s="935"/>
      <c r="G474" s="926">
        <f ca="1">INDIRECT("'Сведения ФОВ'!FQ"&amp;MROUND(N($A$1),1)+34)</f>
        <v>0</v>
      </c>
      <c r="H474" s="927"/>
      <c r="I474" s="535"/>
      <c r="J474" s="535"/>
      <c r="K474" s="535"/>
      <c r="L474" s="535"/>
    </row>
    <row r="475" spans="2:12" ht="19.5" customHeight="1"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</row>
    <row r="476" spans="2:12" ht="19.5" customHeight="1">
      <c r="B476" s="535" t="s">
        <v>140</v>
      </c>
      <c r="C476" s="535"/>
      <c r="D476" s="542"/>
      <c r="E476" s="542"/>
      <c r="F476" s="535"/>
      <c r="G476" s="929">
        <f>'Настройки УИК'!$I$43</f>
        <v>0</v>
      </c>
      <c r="H476" s="929"/>
      <c r="I476" s="929"/>
      <c r="J476" s="929"/>
      <c r="K476" s="929"/>
      <c r="L476" s="929"/>
    </row>
    <row r="477" spans="2:12" ht="19.5" customHeight="1">
      <c r="B477" s="535"/>
      <c r="C477" s="535"/>
      <c r="D477" s="930" t="s">
        <v>5</v>
      </c>
      <c r="E477" s="930"/>
      <c r="F477" s="543"/>
      <c r="G477" s="535"/>
      <c r="H477" s="535"/>
      <c r="I477" s="535"/>
      <c r="J477" s="535"/>
      <c r="K477" s="535"/>
      <c r="L477" s="535"/>
    </row>
    <row r="478" spans="2:12" ht="19.5" customHeight="1"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</row>
    <row r="481" spans="2:12" ht="19.5" customHeight="1">
      <c r="B481" s="931" t="s">
        <v>862</v>
      </c>
      <c r="C481" s="931"/>
      <c r="D481" s="931"/>
      <c r="E481" s="931"/>
      <c r="F481" s="931"/>
      <c r="G481" s="931"/>
      <c r="H481" s="931"/>
      <c r="I481" s="931"/>
      <c r="J481" s="931"/>
      <c r="K481" s="931"/>
      <c r="L481" s="931"/>
    </row>
    <row r="482" spans="2:12" ht="19.5" customHeight="1">
      <c r="B482" s="932" t="s">
        <v>886</v>
      </c>
      <c r="C482" s="932"/>
      <c r="D482" s="932"/>
      <c r="E482" s="932"/>
      <c r="F482" s="932"/>
      <c r="G482" s="932"/>
      <c r="H482" s="932"/>
      <c r="I482" s="932"/>
      <c r="J482" s="932"/>
      <c r="K482" s="932"/>
      <c r="L482" s="932"/>
    </row>
    <row r="483" spans="2:12" ht="19.5" customHeight="1">
      <c r="B483" s="933" t="s">
        <v>887</v>
      </c>
      <c r="C483" s="933"/>
      <c r="D483" s="933"/>
      <c r="E483" s="933"/>
      <c r="F483" s="933"/>
      <c r="G483" s="933"/>
      <c r="H483" s="933"/>
      <c r="I483" s="929">
        <f>'Настройки УИК'!J5</f>
        <v>0</v>
      </c>
      <c r="J483" s="929"/>
      <c r="K483" s="534"/>
      <c r="L483" s="534"/>
    </row>
    <row r="484" spans="2:12" ht="19.5" customHeight="1">
      <c r="B484" s="932" t="s">
        <v>516</v>
      </c>
      <c r="C484" s="932"/>
      <c r="D484" s="932"/>
      <c r="E484" s="932"/>
      <c r="F484" s="932"/>
      <c r="G484" s="932"/>
      <c r="H484" s="932"/>
      <c r="I484" s="932"/>
      <c r="J484" s="932"/>
      <c r="K484" s="932"/>
      <c r="L484" s="932"/>
    </row>
    <row r="485" spans="2:12" ht="19.5" customHeight="1"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</row>
    <row r="486" spans="2:12" ht="19.5" customHeight="1">
      <c r="B486" s="928" t="s">
        <v>833</v>
      </c>
      <c r="C486" s="928"/>
      <c r="D486" s="927" t="str">
        <f ca="1">'Расчётная Ведомость'!B35</f>
        <v xml:space="preserve"> </v>
      </c>
      <c r="E486" s="927"/>
      <c r="F486" s="927"/>
      <c r="G486" s="927"/>
      <c r="H486" s="927"/>
      <c r="I486" s="927"/>
      <c r="J486" s="927"/>
      <c r="K486" s="927"/>
      <c r="L486" s="927"/>
    </row>
    <row r="487" spans="2:12" ht="19.5" customHeight="1"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</row>
    <row r="488" spans="2:12" ht="19.5" customHeight="1">
      <c r="B488" s="928" t="s">
        <v>45</v>
      </c>
      <c r="C488" s="928"/>
      <c r="D488" s="927" t="str">
        <f ca="1">'Расчётная Ведомость'!C35</f>
        <v xml:space="preserve"> </v>
      </c>
      <c r="E488" s="927"/>
      <c r="F488" s="927"/>
      <c r="G488" s="927"/>
      <c r="H488" s="927"/>
      <c r="I488" s="927"/>
      <c r="J488" s="927"/>
      <c r="K488" s="927"/>
      <c r="L488" s="927"/>
    </row>
    <row r="489" spans="2:12" ht="19.5" customHeight="1"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</row>
    <row r="490" spans="2:12" ht="19.5" customHeight="1">
      <c r="B490" s="928" t="s">
        <v>863</v>
      </c>
      <c r="C490" s="928"/>
      <c r="D490" s="928"/>
      <c r="E490" s="928"/>
      <c r="F490" s="536"/>
      <c r="G490" s="537" t="s">
        <v>864</v>
      </c>
      <c r="H490" s="934">
        <f>'Настройки ТИК'!$C$17</f>
        <v>0</v>
      </c>
      <c r="I490" s="927"/>
      <c r="J490" s="537" t="s">
        <v>790</v>
      </c>
      <c r="K490" s="934">
        <f>'Настройки ТИК'!$D$17</f>
        <v>0</v>
      </c>
      <c r="L490" s="927"/>
    </row>
    <row r="491" spans="2:12" ht="19.5" customHeight="1"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</row>
    <row r="492" spans="2:12" ht="19.5" customHeight="1">
      <c r="B492" s="537"/>
      <c r="C492" s="537"/>
      <c r="D492" s="537"/>
      <c r="E492" s="537"/>
      <c r="F492" s="537"/>
      <c r="G492" s="537"/>
      <c r="H492" s="537"/>
      <c r="I492" s="537"/>
      <c r="J492" s="537"/>
      <c r="K492" s="537"/>
      <c r="L492" s="537"/>
    </row>
    <row r="493" spans="2:12" ht="132.75" customHeight="1">
      <c r="B493" s="923" t="s">
        <v>865</v>
      </c>
      <c r="C493" s="923"/>
      <c r="D493" s="923"/>
      <c r="E493" s="923"/>
      <c r="F493" s="539"/>
      <c r="G493" s="924">
        <f>'Настройки ТИК'!$B$9</f>
        <v>0</v>
      </c>
      <c r="H493" s="924"/>
      <c r="I493" s="924"/>
      <c r="J493" s="924"/>
      <c r="K493" s="924"/>
      <c r="L493" s="924"/>
    </row>
    <row r="494" spans="2:12" ht="19.5" customHeight="1"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</row>
    <row r="495" spans="2:12" ht="39.75" customHeight="1">
      <c r="B495" s="925" t="s">
        <v>951</v>
      </c>
      <c r="C495" s="925"/>
      <c r="D495" s="925"/>
      <c r="E495" s="925"/>
      <c r="F495" s="925"/>
      <c r="G495" s="925"/>
      <c r="H495" s="925"/>
      <c r="I495" s="925"/>
      <c r="J495" s="925"/>
      <c r="K495" s="926">
        <f ca="1">'Расчётная Ведомость'!$M$35</f>
        <v>0</v>
      </c>
      <c r="L495" s="927"/>
    </row>
    <row r="496" spans="2:12" ht="19.5" customHeight="1">
      <c r="B496" s="540"/>
      <c r="C496" s="540"/>
      <c r="D496" s="540"/>
      <c r="E496" s="540"/>
      <c r="F496" s="540"/>
      <c r="G496" s="540"/>
      <c r="H496" s="540"/>
      <c r="I496" s="540"/>
      <c r="J496" s="540"/>
      <c r="K496" s="540"/>
      <c r="L496" s="540"/>
    </row>
    <row r="497" spans="2:12" ht="19.5" customHeight="1">
      <c r="B497" s="937" t="s">
        <v>518</v>
      </c>
      <c r="C497" s="937"/>
      <c r="D497" s="937"/>
      <c r="E497" s="937"/>
      <c r="F497" s="937"/>
      <c r="G497" s="937"/>
      <c r="H497" s="937"/>
      <c r="I497" s="937"/>
      <c r="J497" s="937"/>
      <c r="K497" s="926">
        <f>'Расчётная Ведомость'!$R$35</f>
        <v>0</v>
      </c>
      <c r="L497" s="927"/>
    </row>
    <row r="498" spans="2:12" ht="19.5" customHeight="1"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</row>
    <row r="499" spans="2:12" ht="19.5" customHeight="1">
      <c r="B499" s="935" t="s">
        <v>889</v>
      </c>
      <c r="C499" s="935"/>
      <c r="D499" s="935"/>
      <c r="E499" s="935"/>
      <c r="F499" s="935"/>
      <c r="G499" s="936">
        <f ca="1">'Сведения ФОВ'!GC31</f>
        <v>0</v>
      </c>
      <c r="H499" s="936"/>
      <c r="I499" s="535" t="s">
        <v>866</v>
      </c>
      <c r="K499" s="926">
        <f ca="1">'Расчётная Ведомость'!U35</f>
        <v>0</v>
      </c>
      <c r="L499" s="927"/>
    </row>
    <row r="500" spans="2:12" ht="19.5" customHeight="1">
      <c r="B500" s="541" t="s">
        <v>888</v>
      </c>
      <c r="C500" s="541"/>
      <c r="D500" s="541"/>
      <c r="E500" s="541"/>
      <c r="F500" s="541"/>
      <c r="I500" s="535"/>
      <c r="J500" s="535"/>
      <c r="K500" s="535"/>
      <c r="L500" s="535"/>
    </row>
    <row r="501" spans="2:12" ht="19.5" customHeight="1">
      <c r="B501" s="935" t="s">
        <v>890</v>
      </c>
      <c r="C501" s="935"/>
      <c r="D501" s="935"/>
      <c r="E501" s="935"/>
      <c r="F501" s="935"/>
      <c r="G501" s="926">
        <f ca="1">INDIRECT("'Сведения ФОВ'!GC"&amp;MROUND(N($A$1),1)+30)</f>
        <v>0</v>
      </c>
      <c r="H501" s="927"/>
      <c r="I501" s="535"/>
      <c r="J501" s="535"/>
      <c r="K501" s="535"/>
      <c r="L501" s="535"/>
    </row>
    <row r="502" spans="2:12" ht="19.5" customHeight="1">
      <c r="B502" s="935" t="s">
        <v>13</v>
      </c>
      <c r="C502" s="935"/>
      <c r="D502" s="935"/>
      <c r="E502" s="935"/>
      <c r="F502" s="935"/>
      <c r="G502" s="926">
        <f ca="1">INDIRECT("'Сведения ФОВ'!GC"&amp;MROUND(N($A$1),1)+31)</f>
        <v>0</v>
      </c>
      <c r="H502" s="927"/>
      <c r="I502" s="535"/>
      <c r="J502" s="535"/>
      <c r="K502" s="535"/>
      <c r="L502" s="535"/>
    </row>
    <row r="503" spans="2:12" ht="19.5" customHeight="1">
      <c r="B503" s="935" t="s">
        <v>263</v>
      </c>
      <c r="C503" s="935"/>
      <c r="D503" s="935"/>
      <c r="E503" s="935"/>
      <c r="F503" s="935"/>
      <c r="I503" s="535"/>
      <c r="J503" s="535"/>
      <c r="K503" s="535"/>
      <c r="L503" s="535"/>
    </row>
    <row r="504" spans="2:12" ht="19.5" customHeight="1">
      <c r="B504" s="935" t="s">
        <v>891</v>
      </c>
      <c r="C504" s="935"/>
      <c r="D504" s="935"/>
      <c r="E504" s="935"/>
      <c r="F504" s="935"/>
      <c r="G504" s="926">
        <f ca="1">INDIRECT("'Сведения ФОВ'!GC"&amp;MROUND(N($A$1),1)+32)</f>
        <v>0</v>
      </c>
      <c r="H504" s="927"/>
      <c r="I504" s="535"/>
      <c r="J504" s="535"/>
      <c r="K504" s="535"/>
      <c r="L504" s="535"/>
    </row>
    <row r="505" spans="2:12" ht="19.5" customHeight="1">
      <c r="B505" s="935" t="s">
        <v>16</v>
      </c>
      <c r="C505" s="935"/>
      <c r="D505" s="935"/>
      <c r="E505" s="935"/>
      <c r="F505" s="935"/>
      <c r="G505" s="926">
        <f ca="1">INDIRECT("'Сведения ФОВ'!GC"&amp;MROUND(N($A$1),1)+33)</f>
        <v>0</v>
      </c>
      <c r="H505" s="927"/>
      <c r="I505" s="535"/>
      <c r="J505" s="535"/>
      <c r="K505" s="535"/>
      <c r="L505" s="535"/>
    </row>
    <row r="506" spans="2:12" ht="19.5" customHeight="1">
      <c r="B506" s="935" t="s">
        <v>420</v>
      </c>
      <c r="C506" s="935"/>
      <c r="D506" s="935"/>
      <c r="E506" s="935"/>
      <c r="F506" s="935"/>
      <c r="G506" s="926">
        <f ca="1">INDIRECT("'Сведения ФОВ'!GC"&amp;MROUND(N($A$1),1)+34)</f>
        <v>0</v>
      </c>
      <c r="H506" s="927"/>
      <c r="I506" s="535"/>
      <c r="J506" s="535"/>
      <c r="K506" s="535"/>
      <c r="L506" s="535"/>
    </row>
    <row r="507" spans="2:12" ht="19.5" customHeight="1"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</row>
    <row r="508" spans="2:12" ht="19.5" customHeight="1">
      <c r="B508" s="535" t="s">
        <v>140</v>
      </c>
      <c r="C508" s="535"/>
      <c r="D508" s="542"/>
      <c r="E508" s="542"/>
      <c r="F508" s="535"/>
      <c r="G508" s="929">
        <f>'Настройки УИК'!$I$43</f>
        <v>0</v>
      </c>
      <c r="H508" s="929"/>
      <c r="I508" s="929"/>
      <c r="J508" s="929"/>
      <c r="K508" s="929"/>
      <c r="L508" s="929"/>
    </row>
    <row r="509" spans="2:12" ht="19.5" customHeight="1">
      <c r="B509" s="535"/>
      <c r="C509" s="535"/>
      <c r="D509" s="930" t="s">
        <v>5</v>
      </c>
      <c r="E509" s="930"/>
      <c r="F509" s="543"/>
      <c r="G509" s="535"/>
      <c r="H509" s="535"/>
      <c r="I509" s="535"/>
      <c r="J509" s="535"/>
      <c r="K509" s="535"/>
      <c r="L509" s="535"/>
    </row>
    <row r="510" spans="2:12" ht="19.5" customHeight="1"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</row>
    <row r="513" spans="2:12" ht="19.5" customHeight="1">
      <c r="B513" s="931" t="s">
        <v>862</v>
      </c>
      <c r="C513" s="931"/>
      <c r="D513" s="931"/>
      <c r="E513" s="931"/>
      <c r="F513" s="931"/>
      <c r="G513" s="931"/>
      <c r="H513" s="931"/>
      <c r="I513" s="931"/>
      <c r="J513" s="931"/>
      <c r="K513" s="931"/>
      <c r="L513" s="931"/>
    </row>
    <row r="514" spans="2:12" ht="19.5" customHeight="1">
      <c r="B514" s="932" t="s">
        <v>886</v>
      </c>
      <c r="C514" s="932"/>
      <c r="D514" s="932"/>
      <c r="E514" s="932"/>
      <c r="F514" s="932"/>
      <c r="G514" s="932"/>
      <c r="H514" s="932"/>
      <c r="I514" s="932"/>
      <c r="J514" s="932"/>
      <c r="K514" s="932"/>
      <c r="L514" s="932"/>
    </row>
    <row r="515" spans="2:12" ht="19.5" customHeight="1">
      <c r="B515" s="933" t="s">
        <v>887</v>
      </c>
      <c r="C515" s="933"/>
      <c r="D515" s="933"/>
      <c r="E515" s="933"/>
      <c r="F515" s="933"/>
      <c r="G515" s="933"/>
      <c r="H515" s="933"/>
      <c r="I515" s="929">
        <f>'Настройки УИК'!J5</f>
        <v>0</v>
      </c>
      <c r="J515" s="929"/>
      <c r="K515" s="534"/>
      <c r="L515" s="534"/>
    </row>
    <row r="516" spans="2:12" ht="19.5" customHeight="1">
      <c r="B516" s="932" t="s">
        <v>516</v>
      </c>
      <c r="C516" s="932"/>
      <c r="D516" s="932"/>
      <c r="E516" s="932"/>
      <c r="F516" s="932"/>
      <c r="G516" s="932"/>
      <c r="H516" s="932"/>
      <c r="I516" s="932"/>
      <c r="J516" s="932"/>
      <c r="K516" s="932"/>
      <c r="L516" s="932"/>
    </row>
    <row r="517" spans="2:12" ht="19.5" customHeight="1"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</row>
    <row r="518" spans="2:12" ht="19.5" customHeight="1">
      <c r="B518" s="928" t="s">
        <v>833</v>
      </c>
      <c r="C518" s="928"/>
      <c r="D518" s="927" t="str">
        <f ca="1">'Расчётная Ведомость'!B36</f>
        <v xml:space="preserve"> </v>
      </c>
      <c r="E518" s="927"/>
      <c r="F518" s="927"/>
      <c r="G518" s="927"/>
      <c r="H518" s="927"/>
      <c r="I518" s="927"/>
      <c r="J518" s="927"/>
      <c r="K518" s="927"/>
      <c r="L518" s="927"/>
    </row>
    <row r="519" spans="2:12" ht="19.5" customHeight="1"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</row>
    <row r="520" spans="2:12" ht="19.5" customHeight="1">
      <c r="B520" s="928" t="s">
        <v>45</v>
      </c>
      <c r="C520" s="928"/>
      <c r="D520" s="927" t="str">
        <f ca="1">'Расчётная Ведомость'!C36</f>
        <v xml:space="preserve"> </v>
      </c>
      <c r="E520" s="927"/>
      <c r="F520" s="927"/>
      <c r="G520" s="927"/>
      <c r="H520" s="927"/>
      <c r="I520" s="927"/>
      <c r="J520" s="927"/>
      <c r="K520" s="927"/>
      <c r="L520" s="927"/>
    </row>
    <row r="521" spans="2:12" ht="19.5" customHeight="1"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</row>
    <row r="522" spans="2:12" ht="19.5" customHeight="1">
      <c r="B522" s="928" t="s">
        <v>863</v>
      </c>
      <c r="C522" s="928"/>
      <c r="D522" s="928"/>
      <c r="E522" s="928"/>
      <c r="F522" s="536"/>
      <c r="G522" s="537" t="s">
        <v>864</v>
      </c>
      <c r="H522" s="934">
        <f>'Настройки ТИК'!$C$17</f>
        <v>0</v>
      </c>
      <c r="I522" s="927"/>
      <c r="J522" s="537" t="s">
        <v>790</v>
      </c>
      <c r="K522" s="934">
        <f>'Настройки ТИК'!$D$17</f>
        <v>0</v>
      </c>
      <c r="L522" s="927"/>
    </row>
    <row r="523" spans="2:12" ht="19.5" customHeight="1"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</row>
    <row r="524" spans="2:12" ht="19.5" customHeight="1">
      <c r="B524" s="537"/>
      <c r="C524" s="537"/>
      <c r="D524" s="537"/>
      <c r="E524" s="537"/>
      <c r="F524" s="537"/>
      <c r="G524" s="537"/>
      <c r="H524" s="537"/>
      <c r="I524" s="537"/>
      <c r="J524" s="537"/>
      <c r="K524" s="537"/>
      <c r="L524" s="537"/>
    </row>
    <row r="525" spans="2:12" ht="132.75" customHeight="1">
      <c r="B525" s="923" t="s">
        <v>865</v>
      </c>
      <c r="C525" s="923"/>
      <c r="D525" s="923"/>
      <c r="E525" s="923"/>
      <c r="F525" s="539"/>
      <c r="G525" s="924">
        <f>'Настройки ТИК'!$B$9</f>
        <v>0</v>
      </c>
      <c r="H525" s="924"/>
      <c r="I525" s="924"/>
      <c r="J525" s="924"/>
      <c r="K525" s="924"/>
      <c r="L525" s="924"/>
    </row>
    <row r="526" spans="2:12" ht="19.5" customHeight="1"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</row>
    <row r="527" spans="2:12" ht="39.75" customHeight="1">
      <c r="B527" s="925" t="s">
        <v>951</v>
      </c>
      <c r="C527" s="925"/>
      <c r="D527" s="925"/>
      <c r="E527" s="925"/>
      <c r="F527" s="925"/>
      <c r="G527" s="925"/>
      <c r="H527" s="925"/>
      <c r="I527" s="925"/>
      <c r="J527" s="925"/>
      <c r="K527" s="926">
        <f ca="1">'Расчётная Ведомость'!M36</f>
        <v>0</v>
      </c>
      <c r="L527" s="927"/>
    </row>
    <row r="528" spans="2:12" ht="19.5" customHeight="1">
      <c r="B528" s="540"/>
      <c r="C528" s="540"/>
      <c r="D528" s="540"/>
      <c r="E528" s="540"/>
      <c r="F528" s="540"/>
      <c r="G528" s="540"/>
      <c r="H528" s="540"/>
      <c r="I528" s="540"/>
      <c r="J528" s="540"/>
      <c r="K528" s="540"/>
      <c r="L528" s="540"/>
    </row>
    <row r="529" spans="2:12" ht="19.5" customHeight="1">
      <c r="B529" s="937" t="s">
        <v>518</v>
      </c>
      <c r="C529" s="937"/>
      <c r="D529" s="937"/>
      <c r="E529" s="937"/>
      <c r="F529" s="937"/>
      <c r="G529" s="937"/>
      <c r="H529" s="937"/>
      <c r="I529" s="937"/>
      <c r="J529" s="937"/>
      <c r="K529" s="926">
        <f>'Расчётная Ведомость'!R36</f>
        <v>0</v>
      </c>
      <c r="L529" s="927"/>
    </row>
    <row r="530" spans="2:12" ht="19.5" customHeight="1"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</row>
    <row r="531" spans="2:12" ht="19.5" customHeight="1">
      <c r="B531" s="935" t="s">
        <v>889</v>
      </c>
      <c r="C531" s="935"/>
      <c r="D531" s="935"/>
      <c r="E531" s="935"/>
      <c r="F531" s="935"/>
      <c r="G531" s="936">
        <f ca="1">'Сведения ФОВ'!GO31</f>
        <v>0</v>
      </c>
      <c r="H531" s="936"/>
      <c r="I531" s="535" t="s">
        <v>866</v>
      </c>
      <c r="K531" s="926">
        <f ca="1">'Расчётная Ведомость'!U36</f>
        <v>0</v>
      </c>
      <c r="L531" s="927"/>
    </row>
    <row r="532" spans="2:12" ht="19.5" customHeight="1">
      <c r="B532" s="541" t="s">
        <v>888</v>
      </c>
      <c r="C532" s="541"/>
      <c r="D532" s="541"/>
      <c r="E532" s="541"/>
      <c r="F532" s="541"/>
      <c r="I532" s="535"/>
      <c r="J532" s="535"/>
      <c r="K532" s="535"/>
      <c r="L532" s="535"/>
    </row>
    <row r="533" spans="2:12" ht="19.5" customHeight="1">
      <c r="B533" s="935" t="s">
        <v>890</v>
      </c>
      <c r="C533" s="935"/>
      <c r="D533" s="935"/>
      <c r="E533" s="935"/>
      <c r="F533" s="935"/>
      <c r="G533" s="926">
        <f ca="1">INDIRECT("'Сведения ФОВ'!GO"&amp;MROUND(N($A$1),1)+30)</f>
        <v>0</v>
      </c>
      <c r="H533" s="927"/>
      <c r="I533" s="535"/>
      <c r="J533" s="535"/>
      <c r="K533" s="535"/>
      <c r="L533" s="535"/>
    </row>
    <row r="534" spans="2:12" ht="19.5" customHeight="1">
      <c r="B534" s="935" t="s">
        <v>13</v>
      </c>
      <c r="C534" s="935"/>
      <c r="D534" s="935"/>
      <c r="E534" s="935"/>
      <c r="F534" s="935"/>
      <c r="G534" s="926">
        <f ca="1">INDIRECT("'Сведения ФОВ'!GO"&amp;MROUND(N($A$1),1)+31)</f>
        <v>0</v>
      </c>
      <c r="H534" s="927"/>
      <c r="I534" s="535"/>
      <c r="J534" s="535"/>
      <c r="K534" s="535"/>
      <c r="L534" s="535"/>
    </row>
    <row r="535" spans="2:12" ht="19.5" customHeight="1">
      <c r="B535" s="935" t="s">
        <v>263</v>
      </c>
      <c r="C535" s="935"/>
      <c r="D535" s="935"/>
      <c r="E535" s="935"/>
      <c r="F535" s="935"/>
      <c r="I535" s="535"/>
      <c r="J535" s="535"/>
      <c r="K535" s="535"/>
      <c r="L535" s="535"/>
    </row>
    <row r="536" spans="2:12" ht="19.5" customHeight="1">
      <c r="B536" s="935" t="s">
        <v>891</v>
      </c>
      <c r="C536" s="935"/>
      <c r="D536" s="935"/>
      <c r="E536" s="935"/>
      <c r="F536" s="935"/>
      <c r="G536" s="926">
        <f ca="1">INDIRECT("'Сведения ФОВ'!GO"&amp;MROUND(N($A$1),1)+32)</f>
        <v>0</v>
      </c>
      <c r="H536" s="927"/>
      <c r="I536" s="535"/>
      <c r="J536" s="535"/>
      <c r="K536" s="535"/>
      <c r="L536" s="535"/>
    </row>
    <row r="537" spans="2:12" ht="19.5" customHeight="1">
      <c r="B537" s="935" t="s">
        <v>16</v>
      </c>
      <c r="C537" s="935"/>
      <c r="D537" s="935"/>
      <c r="E537" s="935"/>
      <c r="F537" s="935"/>
      <c r="G537" s="926">
        <f ca="1">INDIRECT("'Сведения ФОВ'!GO"&amp;MROUND(N($A$1),1)+33)</f>
        <v>0</v>
      </c>
      <c r="H537" s="927"/>
      <c r="I537" s="535"/>
      <c r="J537" s="535"/>
      <c r="K537" s="535"/>
      <c r="L537" s="535"/>
    </row>
    <row r="538" spans="2:12" ht="19.5" customHeight="1">
      <c r="B538" s="935" t="s">
        <v>420</v>
      </c>
      <c r="C538" s="935"/>
      <c r="D538" s="935"/>
      <c r="E538" s="935"/>
      <c r="F538" s="935"/>
      <c r="G538" s="926">
        <f ca="1">INDIRECT("'Сведения ФОВ'!GO"&amp;MROUND(N($A$1),1)+34)</f>
        <v>0</v>
      </c>
      <c r="H538" s="927"/>
      <c r="I538" s="535"/>
      <c r="J538" s="535"/>
      <c r="K538" s="535"/>
      <c r="L538" s="535"/>
    </row>
    <row r="539" spans="2:12" ht="19.5" customHeight="1"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</row>
    <row r="540" spans="2:12" ht="19.5" customHeight="1">
      <c r="B540" s="535" t="s">
        <v>140</v>
      </c>
      <c r="C540" s="535"/>
      <c r="D540" s="542"/>
      <c r="E540" s="542"/>
      <c r="F540" s="535"/>
      <c r="G540" s="929">
        <f>'Настройки УИК'!$I$43</f>
        <v>0</v>
      </c>
      <c r="H540" s="929"/>
      <c r="I540" s="929"/>
      <c r="J540" s="929"/>
      <c r="K540" s="929"/>
      <c r="L540" s="929"/>
    </row>
    <row r="541" spans="2:12" ht="19.5" customHeight="1">
      <c r="B541" s="535"/>
      <c r="C541" s="535"/>
      <c r="D541" s="930" t="s">
        <v>5</v>
      </c>
      <c r="E541" s="930"/>
      <c r="F541" s="543"/>
      <c r="G541" s="535"/>
      <c r="H541" s="535"/>
      <c r="I541" s="535"/>
      <c r="J541" s="535"/>
      <c r="K541" s="535"/>
      <c r="L541" s="535"/>
    </row>
    <row r="542" spans="2:12" ht="19.5" customHeight="1"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</row>
    <row r="545" spans="2:12" ht="19.5" customHeight="1">
      <c r="B545" s="931" t="s">
        <v>862</v>
      </c>
      <c r="C545" s="931"/>
      <c r="D545" s="931"/>
      <c r="E545" s="931"/>
      <c r="F545" s="931"/>
      <c r="G545" s="931"/>
      <c r="H545" s="931"/>
      <c r="I545" s="931"/>
      <c r="J545" s="931"/>
      <c r="K545" s="931"/>
      <c r="L545" s="931"/>
    </row>
    <row r="546" spans="2:12" ht="19.5" customHeight="1">
      <c r="B546" s="932" t="s">
        <v>886</v>
      </c>
      <c r="C546" s="932"/>
      <c r="D546" s="932"/>
      <c r="E546" s="932"/>
      <c r="F546" s="932"/>
      <c r="G546" s="932"/>
      <c r="H546" s="932"/>
      <c r="I546" s="932"/>
      <c r="J546" s="932"/>
      <c r="K546" s="932"/>
      <c r="L546" s="932"/>
    </row>
    <row r="547" spans="2:12" ht="19.5" customHeight="1">
      <c r="B547" s="933" t="s">
        <v>887</v>
      </c>
      <c r="C547" s="933"/>
      <c r="D547" s="933"/>
      <c r="E547" s="933"/>
      <c r="F547" s="933"/>
      <c r="G547" s="933"/>
      <c r="H547" s="933"/>
      <c r="I547" s="929">
        <f>'Настройки УИК'!J5</f>
        <v>0</v>
      </c>
      <c r="J547" s="929"/>
      <c r="K547" s="534"/>
      <c r="L547" s="534"/>
    </row>
    <row r="548" spans="2:12" ht="19.5" customHeight="1">
      <c r="B548" s="932" t="s">
        <v>516</v>
      </c>
      <c r="C548" s="932"/>
      <c r="D548" s="932"/>
      <c r="E548" s="932"/>
      <c r="F548" s="932"/>
      <c r="G548" s="932"/>
      <c r="H548" s="932"/>
      <c r="I548" s="932"/>
      <c r="J548" s="932"/>
      <c r="K548" s="932"/>
      <c r="L548" s="932"/>
    </row>
    <row r="549" spans="2:12" ht="19.5" customHeight="1"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</row>
    <row r="550" spans="2:12" ht="19.5" customHeight="1">
      <c r="B550" s="928" t="s">
        <v>833</v>
      </c>
      <c r="C550" s="928"/>
      <c r="D550" s="927" t="str">
        <f ca="1">'Расчётная Ведомость'!B37</f>
        <v xml:space="preserve"> </v>
      </c>
      <c r="E550" s="927"/>
      <c r="F550" s="927"/>
      <c r="G550" s="927"/>
      <c r="H550" s="927"/>
      <c r="I550" s="927"/>
      <c r="J550" s="927"/>
      <c r="K550" s="927"/>
      <c r="L550" s="927"/>
    </row>
    <row r="551" spans="2:12" ht="19.5" customHeight="1"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</row>
    <row r="552" spans="2:12" ht="19.5" customHeight="1">
      <c r="B552" s="928" t="s">
        <v>45</v>
      </c>
      <c r="C552" s="928"/>
      <c r="D552" s="927" t="str">
        <f ca="1">'Расчётная Ведомость'!C37</f>
        <v xml:space="preserve"> </v>
      </c>
      <c r="E552" s="927"/>
      <c r="F552" s="927"/>
      <c r="G552" s="927"/>
      <c r="H552" s="927"/>
      <c r="I552" s="927"/>
      <c r="J552" s="927"/>
      <c r="K552" s="927"/>
      <c r="L552" s="927"/>
    </row>
    <row r="553" spans="2:12" ht="19.5" customHeight="1"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</row>
    <row r="554" spans="2:12" ht="19.5" customHeight="1">
      <c r="B554" s="928" t="s">
        <v>863</v>
      </c>
      <c r="C554" s="928"/>
      <c r="D554" s="928"/>
      <c r="E554" s="928"/>
      <c r="F554" s="536"/>
      <c r="G554" s="537" t="s">
        <v>864</v>
      </c>
      <c r="H554" s="934">
        <f>'Настройки ТИК'!$C$17</f>
        <v>0</v>
      </c>
      <c r="I554" s="927"/>
      <c r="J554" s="537" t="s">
        <v>790</v>
      </c>
      <c r="K554" s="934">
        <f>'Настройки ТИК'!$D$17</f>
        <v>0</v>
      </c>
      <c r="L554" s="927"/>
    </row>
    <row r="555" spans="2:12" ht="19.5" customHeight="1"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</row>
    <row r="556" spans="2:12" ht="19.5" customHeight="1">
      <c r="B556" s="537"/>
      <c r="C556" s="537"/>
      <c r="D556" s="537"/>
      <c r="E556" s="537"/>
      <c r="F556" s="537"/>
      <c r="G556" s="537"/>
      <c r="H556" s="537"/>
      <c r="I556" s="537"/>
      <c r="J556" s="537"/>
      <c r="K556" s="537"/>
      <c r="L556" s="537"/>
    </row>
    <row r="557" spans="2:12" ht="132.75" customHeight="1">
      <c r="B557" s="923" t="s">
        <v>865</v>
      </c>
      <c r="C557" s="923"/>
      <c r="D557" s="923"/>
      <c r="E557" s="923"/>
      <c r="F557" s="539"/>
      <c r="G557" s="924">
        <f>'Настройки ТИК'!$B$9</f>
        <v>0</v>
      </c>
      <c r="H557" s="924"/>
      <c r="I557" s="924"/>
      <c r="J557" s="924"/>
      <c r="K557" s="924"/>
      <c r="L557" s="924"/>
    </row>
    <row r="558" spans="2:12" ht="19.5" customHeight="1"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</row>
    <row r="559" spans="2:12" ht="39.75" customHeight="1">
      <c r="B559" s="925" t="s">
        <v>951</v>
      </c>
      <c r="C559" s="925"/>
      <c r="D559" s="925"/>
      <c r="E559" s="925"/>
      <c r="F559" s="925"/>
      <c r="G559" s="925"/>
      <c r="H559" s="925"/>
      <c r="I559" s="925"/>
      <c r="J559" s="925"/>
      <c r="K559" s="926">
        <f ca="1">'Расчётная Ведомость'!$M$37</f>
        <v>0</v>
      </c>
      <c r="L559" s="927"/>
    </row>
    <row r="560" spans="2:12" ht="19.5" customHeight="1">
      <c r="B560" s="540"/>
      <c r="C560" s="540"/>
      <c r="D560" s="540"/>
      <c r="E560" s="540"/>
      <c r="F560" s="540"/>
      <c r="G560" s="540"/>
      <c r="H560" s="540"/>
      <c r="I560" s="540"/>
      <c r="J560" s="540"/>
      <c r="K560" s="540"/>
      <c r="L560" s="540"/>
    </row>
    <row r="561" spans="2:13" ht="19.5" customHeight="1">
      <c r="B561" s="937" t="s">
        <v>518</v>
      </c>
      <c r="C561" s="937"/>
      <c r="D561" s="937"/>
      <c r="E561" s="937"/>
      <c r="F561" s="937"/>
      <c r="G561" s="937"/>
      <c r="H561" s="937"/>
      <c r="I561" s="937"/>
      <c r="J561" s="937"/>
      <c r="K561" s="926">
        <f>'Расчётная Ведомость'!$R$37</f>
        <v>0</v>
      </c>
      <c r="L561" s="927"/>
    </row>
    <row r="562" spans="2:13" ht="19.5" customHeight="1"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</row>
    <row r="563" spans="2:13" ht="19.5" customHeight="1">
      <c r="B563" s="935" t="s">
        <v>889</v>
      </c>
      <c r="C563" s="935"/>
      <c r="D563" s="935"/>
      <c r="E563" s="935"/>
      <c r="F563" s="935"/>
      <c r="G563" s="936">
        <f ca="1">'Сведения ФОВ'!HA31</f>
        <v>0</v>
      </c>
      <c r="H563" s="936"/>
      <c r="I563" s="535" t="s">
        <v>866</v>
      </c>
      <c r="K563" s="926">
        <f ca="1">'Расчётная Ведомость'!U37</f>
        <v>0</v>
      </c>
      <c r="L563" s="927"/>
    </row>
    <row r="564" spans="2:13" ht="19.5" customHeight="1">
      <c r="B564" s="541" t="s">
        <v>888</v>
      </c>
      <c r="C564" s="541"/>
      <c r="D564" s="541"/>
      <c r="E564" s="541"/>
      <c r="F564" s="541"/>
      <c r="I564" s="535"/>
      <c r="K564" s="535"/>
      <c r="L564" s="535"/>
    </row>
    <row r="565" spans="2:13" ht="19.5" customHeight="1">
      <c r="B565" s="935" t="s">
        <v>890</v>
      </c>
      <c r="C565" s="935"/>
      <c r="D565" s="935"/>
      <c r="E565" s="935"/>
      <c r="F565" s="935"/>
      <c r="G565" s="926">
        <f ca="1">INDIRECT("'Сведения ФОВ'!HA"&amp;MROUND(N($A$1),1)+30)</f>
        <v>0</v>
      </c>
      <c r="H565" s="927"/>
      <c r="I565" s="535"/>
      <c r="K565" s="535"/>
      <c r="L565" s="535"/>
    </row>
    <row r="566" spans="2:13" ht="19.5" customHeight="1">
      <c r="B566" s="935" t="s">
        <v>13</v>
      </c>
      <c r="C566" s="935"/>
      <c r="D566" s="935"/>
      <c r="E566" s="935"/>
      <c r="F566" s="935"/>
      <c r="G566" s="926">
        <f ca="1">INDIRECT("'Сведения ФОВ'!HA"&amp;MROUND(N($A$1),1)+31)</f>
        <v>0</v>
      </c>
      <c r="H566" s="927"/>
      <c r="I566" s="535"/>
      <c r="K566" s="535"/>
      <c r="L566" s="535"/>
    </row>
    <row r="567" spans="2:13" ht="19.5" customHeight="1">
      <c r="B567" s="935" t="s">
        <v>263</v>
      </c>
      <c r="C567" s="935"/>
      <c r="D567" s="935"/>
      <c r="E567" s="935"/>
      <c r="F567" s="935"/>
      <c r="I567" s="535"/>
      <c r="K567" s="535"/>
      <c r="L567" s="535"/>
    </row>
    <row r="568" spans="2:13" ht="19.5" customHeight="1">
      <c r="B568" s="935" t="s">
        <v>891</v>
      </c>
      <c r="C568" s="935"/>
      <c r="D568" s="935"/>
      <c r="E568" s="935"/>
      <c r="F568" s="935"/>
      <c r="G568" s="926">
        <f ca="1">INDIRECT("'Сведения ФОВ'!HA"&amp;MROUND(N($A$1),1)+32)</f>
        <v>0</v>
      </c>
      <c r="H568" s="927"/>
      <c r="I568" s="535"/>
      <c r="J568" s="535"/>
      <c r="K568" s="535"/>
      <c r="L568" s="535"/>
    </row>
    <row r="569" spans="2:13" ht="19.5" customHeight="1">
      <c r="B569" s="935" t="s">
        <v>16</v>
      </c>
      <c r="C569" s="935"/>
      <c r="D569" s="935"/>
      <c r="E569" s="935"/>
      <c r="F569" s="935"/>
      <c r="G569" s="926">
        <f ca="1">INDIRECT("'Сведения ФОВ'!HA"&amp;MROUND(N($A$1),1)+33)</f>
        <v>0</v>
      </c>
      <c r="H569" s="927"/>
      <c r="I569" s="535"/>
      <c r="J569" s="535"/>
      <c r="K569" s="535"/>
      <c r="L569" s="535"/>
    </row>
    <row r="570" spans="2:13" ht="19.5" customHeight="1">
      <c r="B570" s="935" t="s">
        <v>420</v>
      </c>
      <c r="C570" s="935"/>
      <c r="D570" s="935"/>
      <c r="E570" s="935"/>
      <c r="F570" s="935"/>
      <c r="G570" s="926">
        <f ca="1">INDIRECT("'Сведения ФОВ'!HA"&amp;MROUND(N($A$1),1)+34)</f>
        <v>0</v>
      </c>
      <c r="H570" s="927"/>
      <c r="I570" s="535"/>
      <c r="J570" s="535"/>
      <c r="K570" s="535"/>
      <c r="L570" s="535"/>
    </row>
    <row r="571" spans="2:13" ht="19.5" customHeight="1"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</row>
    <row r="572" spans="2:13" ht="19.5" customHeight="1">
      <c r="B572" s="535" t="s">
        <v>140</v>
      </c>
      <c r="C572" s="535"/>
      <c r="D572" s="542"/>
      <c r="E572" s="542"/>
      <c r="F572" s="535"/>
      <c r="G572" s="929">
        <f>'Настройки УИК'!$I$43</f>
        <v>0</v>
      </c>
      <c r="H572" s="929"/>
      <c r="I572" s="929"/>
      <c r="J572" s="929"/>
      <c r="K572" s="929"/>
      <c r="L572" s="929"/>
    </row>
    <row r="573" spans="2:13" ht="19.5" customHeight="1">
      <c r="B573" s="535"/>
      <c r="C573" s="535"/>
      <c r="D573" s="930" t="s">
        <v>5</v>
      </c>
      <c r="E573" s="930"/>
      <c r="F573" s="543"/>
      <c r="G573" s="535"/>
      <c r="H573" s="535"/>
      <c r="I573" s="535"/>
      <c r="J573" s="535"/>
      <c r="K573" s="535"/>
      <c r="L573" s="535"/>
    </row>
    <row r="574" spans="2:13" ht="19.5" customHeight="1"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</row>
    <row r="575" spans="2:13" ht="19.5" customHeight="1">
      <c r="M575" s="635"/>
    </row>
  </sheetData>
  <sheetProtection password="C09F" sheet="1" objects="1" scenarios="1"/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50" t="s">
        <v>373</v>
      </c>
      <c r="AI2" s="950"/>
      <c r="AJ2" s="950"/>
      <c r="AK2" s="942"/>
      <c r="AL2" s="942"/>
      <c r="AM2" s="942"/>
      <c r="AN2" s="942"/>
      <c r="AO2" s="942"/>
      <c r="AP2" s="1021" t="s">
        <v>179</v>
      </c>
      <c r="AQ2" s="1021"/>
      <c r="AR2" s="1020"/>
      <c r="AS2" s="1020"/>
      <c r="AT2" s="1020"/>
      <c r="AU2" s="1020"/>
      <c r="AV2" s="1020"/>
      <c r="AW2" s="1020"/>
      <c r="AX2" s="1020"/>
      <c r="AY2" s="1020"/>
      <c r="AZ2" s="1020"/>
      <c r="BA2" s="1020"/>
      <c r="BB2" s="1020"/>
      <c r="BC2" s="1020"/>
      <c r="BD2" s="1020"/>
      <c r="BE2" s="950">
        <v>20</v>
      </c>
      <c r="BF2" s="950"/>
      <c r="BG2" s="950"/>
      <c r="BH2" s="950"/>
      <c r="BI2" s="946"/>
      <c r="BJ2" s="946"/>
      <c r="BK2" s="946"/>
      <c r="BL2" s="950" t="s">
        <v>374</v>
      </c>
      <c r="BM2" s="950"/>
      <c r="BN2" s="950"/>
      <c r="BO2" s="950"/>
      <c r="BP2" s="950"/>
      <c r="BQ2" s="950"/>
      <c r="BR2" s="950"/>
      <c r="BS2" s="942"/>
      <c r="BT2" s="942"/>
      <c r="BU2" s="942"/>
      <c r="BV2" s="942"/>
      <c r="BW2" s="942"/>
      <c r="BX2" s="1021" t="s">
        <v>179</v>
      </c>
      <c r="BY2" s="1021"/>
      <c r="BZ2" s="1020"/>
      <c r="CA2" s="1020"/>
      <c r="CB2" s="1020"/>
      <c r="CC2" s="1020"/>
      <c r="CD2" s="1020"/>
      <c r="CE2" s="1020"/>
      <c r="CF2" s="1020"/>
      <c r="CG2" s="1020"/>
      <c r="CH2" s="1020"/>
      <c r="CI2" s="1020"/>
      <c r="CJ2" s="1020"/>
      <c r="CK2" s="1020"/>
      <c r="CL2" s="1020"/>
      <c r="CM2" s="950">
        <v>20</v>
      </c>
      <c r="CN2" s="950"/>
      <c r="CO2" s="950"/>
      <c r="CP2" s="950"/>
      <c r="CQ2" s="946"/>
      <c r="CR2" s="946"/>
      <c r="CS2" s="946"/>
      <c r="CU2" s="1021" t="s">
        <v>375</v>
      </c>
      <c r="CV2" s="1021"/>
    </row>
    <row r="3" spans="1:109" s="80" customFormat="1" ht="15" customHeight="1">
      <c r="AH3" s="80" t="s">
        <v>376</v>
      </c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1022"/>
      <c r="BB3" s="1022"/>
      <c r="BC3" s="1022"/>
      <c r="BD3" s="1022"/>
      <c r="BE3" s="1022"/>
      <c r="BF3" s="1022"/>
      <c r="BG3" s="1022"/>
      <c r="BH3" s="1022"/>
      <c r="BI3" s="1022"/>
      <c r="BJ3" s="1022"/>
      <c r="BK3" s="1022"/>
      <c r="BL3" s="1022"/>
      <c r="BM3" s="1022"/>
      <c r="BN3" s="1022"/>
      <c r="BO3" s="1022"/>
      <c r="BP3" s="1022"/>
      <c r="BQ3" s="1022"/>
      <c r="BR3" s="1022"/>
      <c r="BS3" s="1022"/>
      <c r="BT3" s="1022"/>
      <c r="BU3" s="1022"/>
      <c r="BV3" s="1022"/>
      <c r="BW3" s="1022"/>
      <c r="BX3" s="1022"/>
      <c r="BY3" s="1022"/>
      <c r="BZ3" s="1022"/>
      <c r="CA3" s="1022"/>
      <c r="CB3" s="1022"/>
      <c r="CC3" s="1022"/>
      <c r="CD3" s="1022"/>
      <c r="CE3" s="1022"/>
      <c r="CF3" s="1022"/>
      <c r="CG3" s="1022"/>
      <c r="CH3" s="1022"/>
      <c r="CI3" s="1022"/>
      <c r="CJ3" s="1022"/>
      <c r="CK3" s="1022"/>
      <c r="CL3" s="1022"/>
      <c r="CM3" s="1022"/>
      <c r="CN3" s="1022"/>
      <c r="CO3" s="1022"/>
      <c r="CP3" s="1022"/>
      <c r="CQ3" s="1022"/>
      <c r="CR3" s="950" t="s">
        <v>377</v>
      </c>
      <c r="CS3" s="950"/>
      <c r="CT3" s="950"/>
      <c r="CU3" s="950"/>
      <c r="CV3" s="950"/>
    </row>
    <row r="4" spans="1:109" s="80" customFormat="1" ht="14.25" customHeight="1">
      <c r="AH4" s="80" t="s">
        <v>378</v>
      </c>
      <c r="AU4" s="960"/>
      <c r="AV4" s="960"/>
      <c r="AW4" s="960"/>
      <c r="AX4" s="960"/>
      <c r="AY4" s="960"/>
      <c r="AZ4" s="960"/>
      <c r="BA4" s="960"/>
      <c r="BB4" s="960"/>
      <c r="BC4" s="960"/>
      <c r="BD4" s="960"/>
      <c r="BE4" s="960"/>
      <c r="BF4" s="960"/>
      <c r="BG4" s="960"/>
      <c r="BH4" s="960"/>
      <c r="BI4" s="960"/>
      <c r="BJ4" s="960"/>
      <c r="BK4" s="960"/>
      <c r="BL4" s="960"/>
      <c r="BM4" s="960"/>
      <c r="BN4" s="960"/>
      <c r="BQ4" s="1023">
        <f>'Настройки УИК'!$I$43</f>
        <v>0</v>
      </c>
      <c r="BR4" s="959"/>
      <c r="BS4" s="959"/>
      <c r="BT4" s="959"/>
      <c r="BU4" s="959"/>
      <c r="BV4" s="959"/>
      <c r="BW4" s="959"/>
      <c r="BX4" s="959"/>
      <c r="BY4" s="959"/>
      <c r="BZ4" s="959"/>
      <c r="CA4" s="959"/>
      <c r="CB4" s="959"/>
      <c r="CC4" s="959"/>
      <c r="CD4" s="959"/>
      <c r="CE4" s="959"/>
      <c r="CF4" s="959"/>
      <c r="CG4" s="959"/>
      <c r="CH4" s="959"/>
      <c r="CI4" s="959"/>
      <c r="CJ4" s="959"/>
      <c r="CK4" s="959"/>
      <c r="CL4" s="959"/>
      <c r="CM4" s="959"/>
      <c r="CN4" s="959"/>
      <c r="CO4" s="959"/>
      <c r="CP4" s="959"/>
      <c r="CQ4" s="959"/>
      <c r="CR4" s="959"/>
      <c r="CS4" s="959"/>
      <c r="CT4" s="959"/>
      <c r="CU4" s="959"/>
      <c r="CV4" s="959"/>
    </row>
    <row r="5" spans="1:109" s="80" customFormat="1" ht="12.75" customHeight="1">
      <c r="AU5" s="1019" t="s">
        <v>5</v>
      </c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Q5" s="1024" t="s">
        <v>6</v>
      </c>
      <c r="BR5" s="1024"/>
      <c r="BS5" s="1024"/>
      <c r="BT5" s="1024"/>
      <c r="BU5" s="1024"/>
      <c r="BV5" s="1024"/>
      <c r="BW5" s="1024"/>
      <c r="BX5" s="1024"/>
      <c r="BY5" s="1024"/>
      <c r="BZ5" s="1024"/>
      <c r="CA5" s="1024"/>
      <c r="CB5" s="1024"/>
      <c r="CC5" s="1024"/>
      <c r="CD5" s="1024"/>
      <c r="CE5" s="1024"/>
      <c r="CF5" s="1024"/>
      <c r="CG5" s="1024"/>
      <c r="CH5" s="1024"/>
      <c r="CI5" s="1024"/>
      <c r="CJ5" s="1024"/>
      <c r="CK5" s="1024"/>
      <c r="CL5" s="1024"/>
      <c r="CM5" s="1024"/>
      <c r="CN5" s="1024"/>
      <c r="CO5" s="1024"/>
      <c r="CP5" s="1024"/>
      <c r="CQ5" s="1024"/>
      <c r="CR5" s="1024"/>
      <c r="CS5" s="1024"/>
      <c r="CT5" s="1024"/>
      <c r="CU5" s="1024"/>
      <c r="CV5" s="1024"/>
    </row>
    <row r="6" spans="1:109" s="80" customFormat="1" ht="13.5" customHeight="1">
      <c r="AH6" s="81" t="s">
        <v>220</v>
      </c>
      <c r="AR6" s="81"/>
      <c r="AS6" s="81"/>
      <c r="AU6" s="949"/>
      <c r="AV6" s="949"/>
      <c r="AW6" s="949"/>
      <c r="AX6" s="949"/>
      <c r="AY6" s="949"/>
      <c r="AZ6" s="949"/>
      <c r="BA6" s="949"/>
      <c r="BB6" s="949"/>
      <c r="BC6" s="949"/>
      <c r="BD6" s="949"/>
      <c r="BE6" s="949"/>
      <c r="BF6" s="949"/>
      <c r="BG6" s="949"/>
      <c r="BH6" s="949"/>
      <c r="BI6" s="949"/>
      <c r="BJ6" s="949"/>
      <c r="BK6" s="949"/>
      <c r="BL6" s="949"/>
      <c r="BM6" s="949"/>
      <c r="BN6" s="949"/>
      <c r="BO6" s="82"/>
      <c r="BP6" s="82"/>
      <c r="BQ6" s="949"/>
      <c r="BR6" s="949"/>
      <c r="BS6" s="949"/>
      <c r="BT6" s="949"/>
      <c r="BU6" s="949"/>
      <c r="BV6" s="949"/>
      <c r="BW6" s="949"/>
      <c r="BX6" s="949"/>
      <c r="BY6" s="949"/>
      <c r="BZ6" s="949"/>
      <c r="CA6" s="949"/>
      <c r="CB6" s="949"/>
      <c r="CC6" s="949"/>
      <c r="CD6" s="949"/>
      <c r="CE6" s="949"/>
      <c r="CF6" s="949"/>
      <c r="CG6" s="949"/>
      <c r="CH6" s="949"/>
      <c r="CI6" s="949"/>
      <c r="CJ6" s="949"/>
      <c r="CK6" s="949"/>
      <c r="CL6" s="949"/>
      <c r="CM6" s="949"/>
      <c r="CN6" s="949"/>
      <c r="CO6" s="949"/>
      <c r="CP6" s="949"/>
      <c r="CQ6" s="949"/>
      <c r="CR6" s="949"/>
      <c r="CS6" s="949"/>
      <c r="CT6" s="949"/>
      <c r="CU6" s="949"/>
      <c r="CV6" s="949"/>
    </row>
    <row r="7" spans="1:109" s="80" customFormat="1" ht="11.25">
      <c r="AH7" s="83" t="s">
        <v>222</v>
      </c>
      <c r="AU7" s="1019" t="s">
        <v>5</v>
      </c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1019"/>
      <c r="BK7" s="1019"/>
      <c r="BL7" s="1019"/>
      <c r="BM7" s="1019"/>
      <c r="BN7" s="1019"/>
      <c r="BQ7" s="1019" t="s">
        <v>6</v>
      </c>
      <c r="BR7" s="1019"/>
      <c r="BS7" s="1019"/>
      <c r="BT7" s="1019"/>
      <c r="BU7" s="1019"/>
      <c r="BV7" s="1019"/>
      <c r="BW7" s="1019"/>
      <c r="BX7" s="1019"/>
      <c r="BY7" s="1019"/>
      <c r="BZ7" s="1019"/>
      <c r="CA7" s="1019"/>
      <c r="CB7" s="1019"/>
      <c r="CC7" s="1019"/>
      <c r="CD7" s="1019"/>
      <c r="CE7" s="1019"/>
      <c r="CF7" s="1019"/>
      <c r="CG7" s="1019"/>
      <c r="CH7" s="1019"/>
      <c r="CI7" s="1019"/>
      <c r="CJ7" s="1019"/>
      <c r="CK7" s="1019"/>
      <c r="CL7" s="1019"/>
      <c r="CM7" s="1019"/>
      <c r="CN7" s="1019"/>
      <c r="CO7" s="1019"/>
      <c r="CP7" s="1019"/>
      <c r="CQ7" s="1019"/>
      <c r="CR7" s="1019"/>
      <c r="CS7" s="1019"/>
      <c r="CT7" s="1019"/>
      <c r="CU7" s="1019"/>
      <c r="CV7" s="1019"/>
    </row>
    <row r="8" spans="1:109" ht="4.5" customHeight="1"/>
    <row r="9" spans="1:109" s="85" customFormat="1" ht="16.5" thickBot="1">
      <c r="AZ9" s="86" t="s">
        <v>379</v>
      </c>
      <c r="BB9" s="994"/>
      <c r="BC9" s="994"/>
      <c r="BD9" s="994"/>
      <c r="BE9" s="994"/>
      <c r="BF9" s="994"/>
      <c r="BG9" s="994"/>
      <c r="BH9" s="994"/>
      <c r="CQ9" s="991" t="s">
        <v>182</v>
      </c>
      <c r="CR9" s="992"/>
      <c r="CS9" s="992"/>
      <c r="CT9" s="992"/>
      <c r="CU9" s="992"/>
      <c r="CV9" s="992"/>
      <c r="CW9" s="992"/>
      <c r="CX9" s="992"/>
      <c r="CY9" s="992"/>
      <c r="CZ9" s="992"/>
      <c r="DA9" s="992"/>
      <c r="DB9" s="992"/>
      <c r="DC9" s="992"/>
      <c r="DD9" s="993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60" t="s">
        <v>425</v>
      </c>
      <c r="O10" s="960"/>
      <c r="P10" s="960"/>
      <c r="Q10" s="960"/>
      <c r="R10" s="960"/>
      <c r="S10" s="960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0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0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8" t="s">
        <v>380</v>
      </c>
      <c r="CR10" s="999"/>
      <c r="CS10" s="999"/>
      <c r="CT10" s="999"/>
      <c r="CU10" s="999"/>
      <c r="CV10" s="999"/>
      <c r="CW10" s="999"/>
      <c r="CX10" s="999"/>
      <c r="CY10" s="999"/>
      <c r="CZ10" s="999"/>
      <c r="DA10" s="999"/>
      <c r="DB10" s="999"/>
      <c r="DC10" s="999"/>
      <c r="DD10" s="1000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1"/>
      <c r="AB11" s="1001"/>
      <c r="AC11" s="1001"/>
      <c r="AD11" s="1001"/>
      <c r="AE11" s="1001"/>
      <c r="AF11" s="1001"/>
      <c r="AG11" s="1001"/>
      <c r="AH11" s="1001"/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2" t="s">
        <v>905</v>
      </c>
      <c r="AV11" s="1003"/>
      <c r="AW11" s="1003"/>
      <c r="AX11" s="1003"/>
      <c r="AY11" s="1004"/>
      <c r="AZ11" s="1004"/>
      <c r="BA11" s="1004"/>
      <c r="BB11" s="1004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8"/>
      <c r="CR11" s="1009"/>
      <c r="CS11" s="1009"/>
      <c r="CT11" s="1009"/>
      <c r="CU11" s="1009"/>
      <c r="CV11" s="1009"/>
      <c r="CW11" s="1009"/>
      <c r="CX11" s="1009"/>
      <c r="CY11" s="1009"/>
      <c r="CZ11" s="1009"/>
      <c r="DA11" s="1009"/>
      <c r="DB11" s="1009"/>
      <c r="DC11" s="1009"/>
      <c r="DD11" s="1010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1"/>
      <c r="M12" s="1011"/>
      <c r="N12" s="1011"/>
      <c r="O12" s="1011"/>
      <c r="P12" s="1011"/>
      <c r="Q12" s="1011"/>
      <c r="R12" s="1011"/>
      <c r="S12" s="1011"/>
      <c r="T12" s="1011"/>
      <c r="U12" s="1011"/>
      <c r="V12" s="1011"/>
      <c r="W12" s="1011"/>
      <c r="X12" s="1011"/>
      <c r="Y12" s="1011"/>
      <c r="Z12" s="1011"/>
      <c r="AA12" s="1011"/>
      <c r="AB12" s="1011"/>
      <c r="AC12" s="1011"/>
      <c r="AD12" s="1011"/>
      <c r="AE12" s="1011"/>
      <c r="AF12" s="1011"/>
      <c r="AG12" s="1011"/>
      <c r="AH12" s="1011"/>
      <c r="AI12" s="1011"/>
      <c r="AJ12" s="1011"/>
      <c r="AK12" s="1011"/>
      <c r="AL12" s="1011"/>
      <c r="AM12" s="1011"/>
      <c r="AN12" s="1011"/>
      <c r="AO12" s="1011"/>
      <c r="AP12" s="1011"/>
      <c r="AQ12" s="1011"/>
      <c r="AR12" s="1011"/>
      <c r="AS12" s="1011"/>
      <c r="AT12" s="1011"/>
      <c r="AU12" s="1011"/>
      <c r="AV12" s="1011"/>
      <c r="AW12" s="1011"/>
      <c r="AX12" s="1011"/>
      <c r="AY12" s="1011"/>
      <c r="AZ12" s="1011"/>
      <c r="BA12" s="1011"/>
      <c r="BB12" s="1011"/>
      <c r="BC12" s="1011"/>
      <c r="BD12" s="1011"/>
      <c r="BE12" s="1011"/>
      <c r="BF12" s="1011"/>
      <c r="BG12" s="1011"/>
      <c r="BH12" s="1011"/>
      <c r="BI12" s="1011"/>
      <c r="BJ12" s="1011"/>
      <c r="BK12" s="1011"/>
      <c r="BL12" s="1011"/>
      <c r="BM12" s="1011"/>
      <c r="BN12" s="1011"/>
      <c r="BO12" s="1011"/>
      <c r="BP12" s="1011"/>
      <c r="BQ12" s="1011"/>
      <c r="BR12" s="1011"/>
      <c r="BS12" s="1011"/>
      <c r="BT12" s="1011"/>
      <c r="BU12" s="1011"/>
      <c r="BV12" s="1011"/>
      <c r="BW12" s="1011"/>
      <c r="BX12" s="1011"/>
      <c r="BY12" s="1011"/>
      <c r="BZ12" s="1011"/>
      <c r="CA12" s="1011"/>
      <c r="CB12" s="1011"/>
      <c r="CC12" s="1011"/>
      <c r="CD12" s="1011"/>
      <c r="CE12" s="1011"/>
      <c r="CF12" s="1011"/>
      <c r="CG12" s="1011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2"/>
      <c r="CR12" s="1013"/>
      <c r="CS12" s="1013"/>
      <c r="CT12" s="1013"/>
      <c r="CU12" s="1013"/>
      <c r="CV12" s="1013"/>
      <c r="CW12" s="1013"/>
      <c r="CX12" s="1013"/>
      <c r="CY12" s="1013"/>
      <c r="CZ12" s="1013"/>
      <c r="DA12" s="1013"/>
      <c r="DB12" s="1013"/>
      <c r="DC12" s="1013"/>
      <c r="DD12" s="1014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2"/>
      <c r="CR13" s="1013"/>
      <c r="CS13" s="1013"/>
      <c r="CT13" s="1013"/>
      <c r="CU13" s="1013"/>
      <c r="CV13" s="1013"/>
      <c r="CW13" s="1013"/>
      <c r="CX13" s="1013"/>
      <c r="CY13" s="1013"/>
      <c r="CZ13" s="1013"/>
      <c r="DA13" s="1013"/>
      <c r="DB13" s="1013"/>
      <c r="DC13" s="1013"/>
      <c r="DD13" s="1014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5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  <c r="BU14" s="996"/>
      <c r="BV14" s="996"/>
      <c r="BW14" s="996"/>
      <c r="BX14" s="996"/>
      <c r="BY14" s="996"/>
      <c r="BZ14" s="996"/>
      <c r="CA14" s="996"/>
      <c r="CB14" s="996"/>
      <c r="CC14" s="996"/>
      <c r="CD14" s="996"/>
      <c r="CE14" s="996"/>
      <c r="CF14" s="996"/>
      <c r="CG14" s="997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2"/>
      <c r="CR14" s="1013"/>
      <c r="CS14" s="1013"/>
      <c r="CT14" s="1013"/>
      <c r="CU14" s="1013"/>
      <c r="CV14" s="1013"/>
      <c r="CW14" s="1013"/>
      <c r="CX14" s="1013"/>
      <c r="CY14" s="1013"/>
      <c r="CZ14" s="1013"/>
      <c r="DA14" s="1013"/>
      <c r="DB14" s="1013"/>
      <c r="DC14" s="1013"/>
      <c r="DD14" s="1014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1015"/>
      <c r="Z15" s="1015"/>
      <c r="AA15" s="1015"/>
      <c r="AB15" s="1015"/>
      <c r="AC15" s="1015"/>
      <c r="AD15" s="1015"/>
      <c r="AE15" s="1015"/>
      <c r="AF15" s="1015"/>
      <c r="AG15" s="1015"/>
      <c r="AH15" s="1015"/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/>
      <c r="AX15" s="1015"/>
      <c r="AY15" s="1015"/>
      <c r="AZ15" s="1015"/>
      <c r="BA15" s="1015"/>
      <c r="BB15" s="1015"/>
      <c r="BC15" s="1015"/>
      <c r="BD15" s="1015"/>
      <c r="BE15" s="1015"/>
      <c r="BF15" s="1015"/>
      <c r="BG15" s="1015"/>
      <c r="BH15" s="1015"/>
      <c r="BI15" s="1015"/>
      <c r="BJ15" s="1015"/>
      <c r="BK15" s="1015"/>
      <c r="BL15" s="1015"/>
      <c r="BM15" s="1015"/>
      <c r="BN15" s="1015"/>
      <c r="BO15" s="1015"/>
      <c r="BP15" s="1015"/>
      <c r="BQ15" s="1015"/>
      <c r="BR15" s="1015"/>
      <c r="BS15" s="1015"/>
      <c r="BT15" s="1015"/>
      <c r="BU15" s="1015"/>
      <c r="BV15" s="1015"/>
      <c r="BW15" s="1015"/>
      <c r="BX15" s="1015"/>
      <c r="BY15" s="1015"/>
      <c r="BZ15" s="1015"/>
      <c r="CA15" s="1015"/>
      <c r="CB15" s="90"/>
      <c r="CC15" s="90"/>
      <c r="CD15" s="90"/>
      <c r="CE15" s="90"/>
      <c r="CF15" s="90"/>
      <c r="CG15" s="90"/>
      <c r="CQ15" s="1016"/>
      <c r="CR15" s="1017"/>
      <c r="CS15" s="1017"/>
      <c r="CT15" s="1017"/>
      <c r="CU15" s="1017"/>
      <c r="CV15" s="1017"/>
      <c r="CW15" s="1017"/>
      <c r="CX15" s="1017"/>
      <c r="CY15" s="1017"/>
      <c r="CZ15" s="1017"/>
      <c r="DA15" s="1017"/>
      <c r="DB15" s="1017"/>
      <c r="DC15" s="1017"/>
      <c r="DD15" s="1018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1005" t="s">
        <v>285</v>
      </c>
      <c r="CR16" s="1006"/>
      <c r="CS16" s="1006"/>
      <c r="CT16" s="1006"/>
      <c r="CU16" s="1006"/>
      <c r="CV16" s="1006"/>
      <c r="CW16" s="1006"/>
      <c r="CX16" s="1006"/>
      <c r="CY16" s="1006"/>
      <c r="CZ16" s="1006"/>
      <c r="DA16" s="1006"/>
      <c r="DB16" s="1006"/>
      <c r="DC16" s="1006"/>
      <c r="DD16" s="1007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67" t="s">
        <v>384</v>
      </c>
      <c r="B18" s="968"/>
      <c r="C18" s="968"/>
      <c r="D18" s="968"/>
      <c r="E18" s="968"/>
      <c r="F18" s="968"/>
      <c r="G18" s="968"/>
      <c r="H18" s="968"/>
      <c r="I18" s="968"/>
      <c r="J18" s="968"/>
      <c r="K18" s="968"/>
      <c r="L18" s="968"/>
      <c r="M18" s="968"/>
      <c r="N18" s="968"/>
      <c r="O18" s="968"/>
      <c r="P18" s="968"/>
      <c r="Q18" s="968"/>
      <c r="R18" s="968"/>
      <c r="S18" s="968"/>
      <c r="T18" s="968"/>
      <c r="U18" s="968"/>
      <c r="V18" s="968"/>
      <c r="W18" s="968"/>
      <c r="X18" s="968"/>
      <c r="Y18" s="968"/>
      <c r="Z18" s="968"/>
      <c r="AA18" s="968"/>
      <c r="AB18" s="968"/>
      <c r="AC18" s="968"/>
      <c r="AD18" s="968"/>
      <c r="AE18" s="968"/>
      <c r="AF18" s="968"/>
      <c r="AG18" s="968"/>
      <c r="AH18" s="969"/>
      <c r="AL18" s="967" t="s">
        <v>385</v>
      </c>
      <c r="AM18" s="968"/>
      <c r="AN18" s="968"/>
      <c r="AO18" s="968"/>
      <c r="AP18" s="968"/>
      <c r="AQ18" s="968"/>
      <c r="AR18" s="968"/>
      <c r="AS18" s="968"/>
      <c r="AT18" s="968"/>
      <c r="AU18" s="968"/>
      <c r="AV18" s="968"/>
      <c r="AW18" s="968"/>
      <c r="AX18" s="968"/>
      <c r="AY18" s="968"/>
      <c r="AZ18" s="968"/>
      <c r="BA18" s="968"/>
      <c r="BB18" s="968"/>
      <c r="BC18" s="968"/>
      <c r="BD18" s="968"/>
      <c r="BE18" s="968"/>
      <c r="BF18" s="968"/>
      <c r="BG18" s="968"/>
      <c r="BH18" s="968"/>
      <c r="BI18" s="968"/>
      <c r="BJ18" s="968"/>
      <c r="BK18" s="968"/>
      <c r="BL18" s="968"/>
      <c r="BM18" s="968"/>
      <c r="BN18" s="968"/>
      <c r="BO18" s="968"/>
      <c r="BP18" s="968"/>
      <c r="BQ18" s="968"/>
      <c r="BR18" s="968"/>
      <c r="BS18" s="968"/>
      <c r="BT18" s="968"/>
      <c r="BU18" s="968"/>
      <c r="BV18" s="968"/>
      <c r="BW18" s="968"/>
      <c r="BX18" s="968"/>
      <c r="BY18" s="968"/>
      <c r="BZ18" s="968"/>
      <c r="CA18" s="968"/>
      <c r="CB18" s="968"/>
      <c r="CC18" s="968"/>
      <c r="CD18" s="968"/>
      <c r="CE18" s="968"/>
      <c r="CF18" s="968"/>
      <c r="CG18" s="968"/>
      <c r="CH18" s="968"/>
      <c r="CI18" s="968"/>
      <c r="CJ18" s="968"/>
      <c r="CK18" s="968"/>
      <c r="CL18" s="968"/>
      <c r="CM18" s="968"/>
      <c r="CN18" s="968"/>
      <c r="CO18" s="968"/>
      <c r="CP18" s="968"/>
      <c r="CQ18" s="968"/>
      <c r="CR18" s="968"/>
      <c r="CS18" s="968"/>
      <c r="CT18" s="968"/>
      <c r="CU18" s="968"/>
      <c r="CV18" s="968"/>
      <c r="CW18" s="968"/>
      <c r="CX18" s="968"/>
      <c r="CY18" s="968"/>
      <c r="CZ18" s="968"/>
      <c r="DA18" s="968"/>
      <c r="DB18" s="968"/>
      <c r="DC18" s="968"/>
      <c r="DD18" s="969"/>
    </row>
    <row r="19" spans="1:110" s="80" customFormat="1" ht="12.75" customHeight="1">
      <c r="A19" s="967" t="s">
        <v>230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9"/>
      <c r="R19" s="967" t="s">
        <v>231</v>
      </c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9"/>
      <c r="AJ19" s="94"/>
      <c r="AK19" s="95"/>
      <c r="AL19" s="967" t="s">
        <v>386</v>
      </c>
      <c r="AM19" s="968"/>
      <c r="AN19" s="968"/>
      <c r="AO19" s="968"/>
      <c r="AP19" s="968"/>
      <c r="AQ19" s="968"/>
      <c r="AR19" s="968"/>
      <c r="AS19" s="968"/>
      <c r="AT19" s="968"/>
      <c r="AU19" s="968"/>
      <c r="AV19" s="968"/>
      <c r="AW19" s="968"/>
      <c r="AX19" s="968"/>
      <c r="AY19" s="968"/>
      <c r="AZ19" s="968"/>
      <c r="BA19" s="968"/>
      <c r="BB19" s="968"/>
      <c r="BC19" s="968"/>
      <c r="BD19" s="968"/>
      <c r="BE19" s="968"/>
      <c r="BF19" s="968"/>
      <c r="BG19" s="968"/>
      <c r="BH19" s="968"/>
      <c r="BI19" s="968"/>
      <c r="BJ19" s="968"/>
      <c r="BK19" s="968"/>
      <c r="BL19" s="968"/>
      <c r="BM19" s="968"/>
      <c r="BN19" s="968"/>
      <c r="BO19" s="968"/>
      <c r="BP19" s="968"/>
      <c r="BQ19" s="968"/>
      <c r="BR19" s="968"/>
      <c r="BS19" s="969"/>
      <c r="BT19" s="967" t="s">
        <v>387</v>
      </c>
      <c r="BU19" s="968"/>
      <c r="BV19" s="968"/>
      <c r="BW19" s="968"/>
      <c r="BX19" s="968"/>
      <c r="BY19" s="968"/>
      <c r="BZ19" s="968"/>
      <c r="CA19" s="968"/>
      <c r="CB19" s="968"/>
      <c r="CC19" s="968"/>
      <c r="CD19" s="968"/>
      <c r="CE19" s="968"/>
      <c r="CF19" s="968"/>
      <c r="CG19" s="968"/>
      <c r="CH19" s="968"/>
      <c r="CI19" s="968"/>
      <c r="CJ19" s="968"/>
      <c r="CK19" s="968"/>
      <c r="CL19" s="968"/>
      <c r="CM19" s="968"/>
      <c r="CN19" s="968"/>
      <c r="CO19" s="968"/>
      <c r="CP19" s="968"/>
      <c r="CQ19" s="968"/>
      <c r="CR19" s="968"/>
      <c r="CS19" s="968"/>
      <c r="CT19" s="968"/>
      <c r="CU19" s="968"/>
      <c r="CV19" s="968"/>
      <c r="CW19" s="968"/>
      <c r="CX19" s="968"/>
      <c r="CY19" s="968"/>
      <c r="CZ19" s="968"/>
      <c r="DA19" s="968"/>
      <c r="DB19" s="968"/>
      <c r="DC19" s="968"/>
      <c r="DD19" s="969"/>
    </row>
    <row r="20" spans="1:110" s="80" customFormat="1" ht="12.75" customHeight="1">
      <c r="A20" s="985"/>
      <c r="B20" s="986"/>
      <c r="C20" s="986"/>
      <c r="D20" s="986"/>
      <c r="E20" s="986"/>
      <c r="F20" s="986"/>
      <c r="G20" s="986"/>
      <c r="H20" s="986"/>
      <c r="I20" s="986"/>
      <c r="J20" s="986"/>
      <c r="K20" s="986"/>
      <c r="L20" s="986"/>
      <c r="M20" s="986"/>
      <c r="N20" s="986"/>
      <c r="O20" s="986"/>
      <c r="P20" s="986"/>
      <c r="Q20" s="987"/>
      <c r="R20" s="985"/>
      <c r="S20" s="986"/>
      <c r="T20" s="986"/>
      <c r="U20" s="986"/>
      <c r="V20" s="986"/>
      <c r="W20" s="986"/>
      <c r="X20" s="986"/>
      <c r="Y20" s="986"/>
      <c r="Z20" s="986"/>
      <c r="AA20" s="986"/>
      <c r="AB20" s="986"/>
      <c r="AC20" s="986"/>
      <c r="AD20" s="986"/>
      <c r="AE20" s="986"/>
      <c r="AF20" s="986"/>
      <c r="AG20" s="986"/>
      <c r="AH20" s="987"/>
      <c r="AL20" s="978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  <c r="BB20" s="979"/>
      <c r="BC20" s="979"/>
      <c r="BD20" s="979"/>
      <c r="BE20" s="979"/>
      <c r="BF20" s="979"/>
      <c r="BG20" s="979"/>
      <c r="BH20" s="979"/>
      <c r="BI20" s="979"/>
      <c r="BJ20" s="979"/>
      <c r="BK20" s="979"/>
      <c r="BL20" s="979"/>
      <c r="BM20" s="979"/>
      <c r="BN20" s="979"/>
      <c r="BO20" s="979"/>
      <c r="BP20" s="979"/>
      <c r="BQ20" s="979"/>
      <c r="BR20" s="979"/>
      <c r="BS20" s="980"/>
      <c r="BT20" s="978"/>
      <c r="BU20" s="979"/>
      <c r="BV20" s="979"/>
      <c r="BW20" s="979"/>
      <c r="BX20" s="979"/>
      <c r="BY20" s="979"/>
      <c r="BZ20" s="979"/>
      <c r="CA20" s="979"/>
      <c r="CB20" s="979"/>
      <c r="CC20" s="979"/>
      <c r="CD20" s="979"/>
      <c r="CE20" s="979"/>
      <c r="CF20" s="979"/>
      <c r="CG20" s="979"/>
      <c r="CH20" s="979"/>
      <c r="CI20" s="979"/>
      <c r="CJ20" s="979"/>
      <c r="CK20" s="979"/>
      <c r="CL20" s="979"/>
      <c r="CM20" s="979"/>
      <c r="CN20" s="979"/>
      <c r="CO20" s="979"/>
      <c r="CP20" s="979"/>
      <c r="CQ20" s="979"/>
      <c r="CR20" s="979"/>
      <c r="CS20" s="979"/>
      <c r="CT20" s="979"/>
      <c r="CU20" s="979"/>
      <c r="CV20" s="979"/>
      <c r="CW20" s="979"/>
      <c r="CX20" s="979"/>
      <c r="CY20" s="979"/>
      <c r="CZ20" s="979"/>
      <c r="DA20" s="979"/>
      <c r="DB20" s="979"/>
      <c r="DC20" s="979"/>
      <c r="DD20" s="980"/>
    </row>
    <row r="21" spans="1:110" s="80" customFormat="1" ht="12.75" customHeight="1">
      <c r="AL21" s="978"/>
      <c r="AM21" s="979"/>
      <c r="AN21" s="979"/>
      <c r="AO21" s="979"/>
      <c r="AP21" s="979"/>
      <c r="AQ21" s="979"/>
      <c r="AR21" s="979"/>
      <c r="AS21" s="979"/>
      <c r="AT21" s="979"/>
      <c r="AU21" s="979"/>
      <c r="AV21" s="979"/>
      <c r="AW21" s="979"/>
      <c r="AX21" s="979"/>
      <c r="AY21" s="979"/>
      <c r="AZ21" s="979"/>
      <c r="BA21" s="979"/>
      <c r="BB21" s="979"/>
      <c r="BC21" s="979"/>
      <c r="BD21" s="979"/>
      <c r="BE21" s="979"/>
      <c r="BF21" s="979"/>
      <c r="BG21" s="979"/>
      <c r="BH21" s="979"/>
      <c r="BI21" s="979"/>
      <c r="BJ21" s="979"/>
      <c r="BK21" s="979"/>
      <c r="BL21" s="979"/>
      <c r="BM21" s="979"/>
      <c r="BN21" s="979"/>
      <c r="BO21" s="979"/>
      <c r="BP21" s="979"/>
      <c r="BQ21" s="979"/>
      <c r="BR21" s="979"/>
      <c r="BS21" s="980"/>
      <c r="BT21" s="978"/>
      <c r="BU21" s="979"/>
      <c r="BV21" s="979"/>
      <c r="BW21" s="979"/>
      <c r="BX21" s="979"/>
      <c r="BY21" s="979"/>
      <c r="BZ21" s="979"/>
      <c r="CA21" s="979"/>
      <c r="CB21" s="979"/>
      <c r="CC21" s="979"/>
      <c r="CD21" s="979"/>
      <c r="CE21" s="979"/>
      <c r="CF21" s="979"/>
      <c r="CG21" s="979"/>
      <c r="CH21" s="979"/>
      <c r="CI21" s="979"/>
      <c r="CJ21" s="979"/>
      <c r="CK21" s="979"/>
      <c r="CL21" s="979"/>
      <c r="CM21" s="979"/>
      <c r="CN21" s="979"/>
      <c r="CO21" s="979"/>
      <c r="CP21" s="979"/>
      <c r="CQ21" s="979"/>
      <c r="CR21" s="979"/>
      <c r="CS21" s="979"/>
      <c r="CT21" s="979"/>
      <c r="CU21" s="979"/>
      <c r="CV21" s="979"/>
      <c r="CW21" s="979"/>
      <c r="CX21" s="979"/>
      <c r="CY21" s="979"/>
      <c r="CZ21" s="979"/>
      <c r="DA21" s="979"/>
      <c r="DB21" s="979"/>
      <c r="DC21" s="979"/>
      <c r="DD21" s="980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73" t="s">
        <v>43</v>
      </c>
      <c r="B23" s="973"/>
      <c r="C23" s="973"/>
      <c r="D23" s="973"/>
      <c r="E23" s="973"/>
      <c r="F23" s="973"/>
      <c r="G23" s="973"/>
      <c r="H23" s="974"/>
      <c r="I23" s="972" t="s">
        <v>141</v>
      </c>
      <c r="J23" s="973"/>
      <c r="K23" s="973"/>
      <c r="L23" s="973"/>
      <c r="M23" s="973"/>
      <c r="N23" s="973"/>
      <c r="O23" s="973"/>
      <c r="P23" s="973"/>
      <c r="Q23" s="973"/>
      <c r="R23" s="973"/>
      <c r="S23" s="973"/>
      <c r="T23" s="973"/>
      <c r="U23" s="973"/>
      <c r="V23" s="973"/>
      <c r="W23" s="973"/>
      <c r="X23" s="973"/>
      <c r="Y23" s="973"/>
      <c r="Z23" s="973"/>
      <c r="AA23" s="973"/>
      <c r="AB23" s="973"/>
      <c r="AC23" s="973"/>
      <c r="AD23" s="973"/>
      <c r="AE23" s="973"/>
      <c r="AF23" s="973"/>
      <c r="AG23" s="973"/>
      <c r="AH23" s="973"/>
      <c r="AI23" s="973"/>
      <c r="AJ23" s="973"/>
      <c r="AK23" s="973"/>
      <c r="AL23" s="973"/>
      <c r="AM23" s="973"/>
      <c r="AN23" s="973"/>
      <c r="AO23" s="973"/>
      <c r="AP23" s="973"/>
      <c r="AQ23" s="974"/>
      <c r="AR23" s="967" t="s">
        <v>388</v>
      </c>
      <c r="AS23" s="968"/>
      <c r="AT23" s="968"/>
      <c r="AU23" s="968"/>
      <c r="AV23" s="968"/>
      <c r="AW23" s="968"/>
      <c r="AX23" s="968"/>
      <c r="AY23" s="968"/>
      <c r="AZ23" s="968"/>
      <c r="BA23" s="968"/>
      <c r="BB23" s="968"/>
      <c r="BC23" s="968"/>
      <c r="BD23" s="968"/>
      <c r="BE23" s="968"/>
      <c r="BF23" s="968"/>
      <c r="BG23" s="968"/>
      <c r="BH23" s="968"/>
      <c r="BI23" s="968"/>
      <c r="BJ23" s="968"/>
      <c r="BK23" s="968"/>
      <c r="BL23" s="968"/>
      <c r="BM23" s="968"/>
      <c r="BN23" s="968"/>
      <c r="BO23" s="968"/>
      <c r="BP23" s="968"/>
      <c r="BQ23" s="968"/>
      <c r="BR23" s="968"/>
      <c r="BS23" s="969"/>
      <c r="BT23" s="972" t="s">
        <v>198</v>
      </c>
      <c r="BU23" s="973"/>
      <c r="BV23" s="973"/>
      <c r="BW23" s="973"/>
      <c r="BX23" s="973"/>
      <c r="BY23" s="973"/>
      <c r="BZ23" s="973"/>
      <c r="CA23" s="973"/>
      <c r="CB23" s="973"/>
      <c r="CC23" s="973"/>
      <c r="CD23" s="973"/>
      <c r="CE23" s="973"/>
      <c r="CF23" s="973"/>
      <c r="CG23" s="974"/>
      <c r="CH23" s="972" t="s">
        <v>389</v>
      </c>
      <c r="CI23" s="973"/>
      <c r="CJ23" s="973"/>
      <c r="CK23" s="973"/>
      <c r="CL23" s="973"/>
      <c r="CM23" s="973"/>
      <c r="CN23" s="973"/>
      <c r="CO23" s="973"/>
      <c r="CP23" s="973"/>
      <c r="CQ23" s="973"/>
      <c r="CR23" s="973"/>
      <c r="CS23" s="973"/>
      <c r="CT23" s="973"/>
      <c r="CU23" s="973"/>
      <c r="CV23" s="973"/>
      <c r="CW23" s="973"/>
      <c r="CX23" s="973"/>
      <c r="CY23" s="973"/>
      <c r="CZ23" s="973"/>
      <c r="DA23" s="973"/>
      <c r="DB23" s="973"/>
      <c r="DC23" s="973"/>
      <c r="DD23" s="974"/>
    </row>
    <row r="24" spans="1:110" s="92" customFormat="1" ht="15" customHeight="1">
      <c r="A24" s="976"/>
      <c r="B24" s="976"/>
      <c r="C24" s="976"/>
      <c r="D24" s="976"/>
      <c r="E24" s="976"/>
      <c r="F24" s="976"/>
      <c r="G24" s="976"/>
      <c r="H24" s="977"/>
      <c r="I24" s="975"/>
      <c r="J24" s="976"/>
      <c r="K24" s="976"/>
      <c r="L24" s="976"/>
      <c r="M24" s="976"/>
      <c r="N24" s="976"/>
      <c r="O24" s="976"/>
      <c r="P24" s="976"/>
      <c r="Q24" s="976"/>
      <c r="R24" s="976"/>
      <c r="S24" s="976"/>
      <c r="T24" s="976"/>
      <c r="U24" s="976"/>
      <c r="V24" s="976"/>
      <c r="W24" s="976"/>
      <c r="X24" s="976"/>
      <c r="Y24" s="976"/>
      <c r="Z24" s="976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7"/>
      <c r="AR24" s="988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90"/>
      <c r="BF24" s="988"/>
      <c r="BG24" s="989"/>
      <c r="BH24" s="989"/>
      <c r="BI24" s="989"/>
      <c r="BJ24" s="989"/>
      <c r="BK24" s="989"/>
      <c r="BL24" s="989"/>
      <c r="BM24" s="989"/>
      <c r="BN24" s="989"/>
      <c r="BO24" s="989"/>
      <c r="BP24" s="989"/>
      <c r="BQ24" s="989"/>
      <c r="BR24" s="989"/>
      <c r="BS24" s="990"/>
      <c r="BT24" s="975"/>
      <c r="BU24" s="976"/>
      <c r="BV24" s="976"/>
      <c r="BW24" s="976"/>
      <c r="BX24" s="976"/>
      <c r="BY24" s="976"/>
      <c r="BZ24" s="976"/>
      <c r="CA24" s="976"/>
      <c r="CB24" s="976"/>
      <c r="CC24" s="976"/>
      <c r="CD24" s="976"/>
      <c r="CE24" s="976"/>
      <c r="CF24" s="976"/>
      <c r="CG24" s="977"/>
      <c r="CH24" s="975"/>
      <c r="CI24" s="976"/>
      <c r="CJ24" s="976"/>
      <c r="CK24" s="976"/>
      <c r="CL24" s="976"/>
      <c r="CM24" s="976"/>
      <c r="CN24" s="976"/>
      <c r="CO24" s="976"/>
      <c r="CP24" s="976"/>
      <c r="CQ24" s="976"/>
      <c r="CR24" s="976"/>
      <c r="CS24" s="976"/>
      <c r="CT24" s="976"/>
      <c r="CU24" s="976"/>
      <c r="CV24" s="976"/>
      <c r="CW24" s="976"/>
      <c r="CX24" s="976"/>
      <c r="CY24" s="976"/>
      <c r="CZ24" s="976"/>
      <c r="DA24" s="976"/>
      <c r="DB24" s="976"/>
      <c r="DC24" s="976"/>
      <c r="DD24" s="977"/>
    </row>
    <row r="25" spans="1:110" s="83" customFormat="1" ht="12" customHeight="1">
      <c r="A25" s="981" t="s">
        <v>399</v>
      </c>
      <c r="B25" s="971"/>
      <c r="C25" s="971"/>
      <c r="D25" s="971"/>
      <c r="E25" s="971"/>
      <c r="F25" s="971"/>
      <c r="G25" s="971"/>
      <c r="H25" s="971"/>
      <c r="I25" s="982" t="s">
        <v>400</v>
      </c>
      <c r="J25" s="983"/>
      <c r="K25" s="983"/>
      <c r="L25" s="983"/>
      <c r="M25" s="983"/>
      <c r="N25" s="983"/>
      <c r="O25" s="983"/>
      <c r="P25" s="983"/>
      <c r="Q25" s="983"/>
      <c r="R25" s="983"/>
      <c r="S25" s="983"/>
      <c r="T25" s="983"/>
      <c r="U25" s="983"/>
      <c r="V25" s="983"/>
      <c r="W25" s="983"/>
      <c r="X25" s="983"/>
      <c r="Y25" s="983"/>
      <c r="Z25" s="983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4"/>
      <c r="AR25" s="970" t="s">
        <v>401</v>
      </c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0" t="s">
        <v>402</v>
      </c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  <c r="BT25" s="970" t="s">
        <v>403</v>
      </c>
      <c r="BU25" s="971"/>
      <c r="BV25" s="971"/>
      <c r="BW25" s="971"/>
      <c r="BX25" s="971"/>
      <c r="BY25" s="971"/>
      <c r="BZ25" s="971"/>
      <c r="CA25" s="971"/>
      <c r="CB25" s="971"/>
      <c r="CC25" s="971"/>
      <c r="CD25" s="971"/>
      <c r="CE25" s="971"/>
      <c r="CF25" s="971"/>
      <c r="CG25" s="971"/>
      <c r="CH25" s="970" t="s">
        <v>404</v>
      </c>
      <c r="CI25" s="971"/>
      <c r="CJ25" s="971"/>
      <c r="CK25" s="971"/>
      <c r="CL25" s="971"/>
      <c r="CM25" s="971"/>
      <c r="CN25" s="971"/>
      <c r="CO25" s="971"/>
      <c r="CP25" s="971"/>
      <c r="CQ25" s="971"/>
      <c r="CR25" s="971"/>
      <c r="CS25" s="971"/>
      <c r="CT25" s="971"/>
      <c r="CU25" s="971"/>
      <c r="CV25" s="971"/>
      <c r="CW25" s="971"/>
      <c r="CX25" s="971"/>
      <c r="CY25" s="971"/>
      <c r="CZ25" s="971"/>
      <c r="DA25" s="971"/>
      <c r="DB25" s="971"/>
      <c r="DC25" s="971"/>
      <c r="DD25" s="971"/>
    </row>
    <row r="26" spans="1:110" s="96" customFormat="1" ht="15">
      <c r="A26" s="951" t="s">
        <v>399</v>
      </c>
      <c r="B26" s="952"/>
      <c r="C26" s="952"/>
      <c r="D26" s="952"/>
      <c r="E26" s="952"/>
      <c r="F26" s="952"/>
      <c r="G26" s="952"/>
      <c r="H26" s="952"/>
      <c r="I26" s="953" t="str">
        <f>IF('Настройки УИК'!$B$22=0," ",'Настройки УИК'!$B$22)</f>
        <v xml:space="preserve"> </v>
      </c>
      <c r="J26" s="954"/>
      <c r="K26" s="954"/>
      <c r="L26" s="954"/>
      <c r="M26" s="954"/>
      <c r="N26" s="954"/>
      <c r="O26" s="954"/>
      <c r="P26" s="954"/>
      <c r="Q26" s="954"/>
      <c r="R26" s="954"/>
      <c r="S26" s="954"/>
      <c r="T26" s="954"/>
      <c r="U26" s="954"/>
      <c r="V26" s="954"/>
      <c r="W26" s="954"/>
      <c r="X26" s="954"/>
      <c r="Y26" s="954"/>
      <c r="Z26" s="95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5"/>
      <c r="AR26" s="966"/>
      <c r="AS26" s="966"/>
      <c r="AT26" s="966"/>
      <c r="AU26" s="966"/>
      <c r="AV26" s="966"/>
      <c r="AW26" s="966"/>
      <c r="AX26" s="966"/>
      <c r="AY26" s="966"/>
      <c r="AZ26" s="966"/>
      <c r="BA26" s="966"/>
      <c r="BB26" s="966"/>
      <c r="BC26" s="966"/>
      <c r="BD26" s="966"/>
      <c r="BE26" s="966"/>
      <c r="BF26" s="966"/>
      <c r="BG26" s="966"/>
      <c r="BH26" s="966"/>
      <c r="BI26" s="966"/>
      <c r="BJ26" s="966"/>
      <c r="BK26" s="966"/>
      <c r="BL26" s="966"/>
      <c r="BM26" s="966"/>
      <c r="BN26" s="966"/>
      <c r="BO26" s="966"/>
      <c r="BP26" s="966"/>
      <c r="BQ26" s="966"/>
      <c r="BR26" s="966"/>
      <c r="BS26" s="966"/>
      <c r="BT26" s="962" t="str">
        <f ca="1">IF('Расчётная Ведомость'!$U20=0," ",'Расчётная Ведомость'!$U20)</f>
        <v xml:space="preserve"> </v>
      </c>
      <c r="BU26" s="963"/>
      <c r="BV26" s="963"/>
      <c r="BW26" s="963"/>
      <c r="BX26" s="963"/>
      <c r="BY26" s="963"/>
      <c r="BZ26" s="963"/>
      <c r="CA26" s="963"/>
      <c r="CB26" s="963"/>
      <c r="CC26" s="963"/>
      <c r="CD26" s="963"/>
      <c r="CE26" s="963"/>
      <c r="CF26" s="963"/>
      <c r="CG26" s="964"/>
      <c r="CH26" s="961"/>
      <c r="CI26" s="961"/>
      <c r="CJ26" s="961"/>
      <c r="CK26" s="961"/>
      <c r="CL26" s="961"/>
      <c r="CM26" s="961"/>
      <c r="CN26" s="961"/>
      <c r="CO26" s="961"/>
      <c r="CP26" s="961"/>
      <c r="CQ26" s="961"/>
      <c r="CR26" s="961"/>
      <c r="CS26" s="961"/>
      <c r="CT26" s="961"/>
      <c r="CU26" s="961"/>
      <c r="CV26" s="961"/>
      <c r="CW26" s="961"/>
      <c r="CX26" s="961"/>
      <c r="CY26" s="961"/>
      <c r="CZ26" s="961"/>
      <c r="DA26" s="961"/>
      <c r="DB26" s="961"/>
      <c r="DC26" s="961"/>
      <c r="DD26" s="961"/>
      <c r="DF26" s="378">
        <f ca="1">'Расчётная Ведомость'!$U20</f>
        <v>0</v>
      </c>
    </row>
    <row r="27" spans="1:110" s="96" customFormat="1" ht="15">
      <c r="A27" s="951" t="s">
        <v>400</v>
      </c>
      <c r="B27" s="952"/>
      <c r="C27" s="952"/>
      <c r="D27" s="952"/>
      <c r="E27" s="952"/>
      <c r="F27" s="952"/>
      <c r="G27" s="952"/>
      <c r="H27" s="952"/>
      <c r="I27" s="953" t="str">
        <f>IF('Настройки УИК'!$B$23=0," ",'Настройки УИК'!$B$23)</f>
        <v xml:space="preserve"> </v>
      </c>
      <c r="J27" s="954"/>
      <c r="K27" s="954"/>
      <c r="L27" s="954"/>
      <c r="M27" s="954"/>
      <c r="N27" s="954"/>
      <c r="O27" s="954"/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954"/>
      <c r="AD27" s="954"/>
      <c r="AE27" s="954"/>
      <c r="AF27" s="954"/>
      <c r="AG27" s="954"/>
      <c r="AH27" s="954"/>
      <c r="AI27" s="954"/>
      <c r="AJ27" s="954"/>
      <c r="AK27" s="954"/>
      <c r="AL27" s="954"/>
      <c r="AM27" s="954"/>
      <c r="AN27" s="954"/>
      <c r="AO27" s="954"/>
      <c r="AP27" s="954"/>
      <c r="AQ27" s="955"/>
      <c r="AR27" s="966"/>
      <c r="AS27" s="966"/>
      <c r="AT27" s="966"/>
      <c r="AU27" s="966"/>
      <c r="AV27" s="966"/>
      <c r="AW27" s="966"/>
      <c r="AX27" s="966"/>
      <c r="AY27" s="966"/>
      <c r="AZ27" s="966"/>
      <c r="BA27" s="966"/>
      <c r="BB27" s="966"/>
      <c r="BC27" s="966"/>
      <c r="BD27" s="966"/>
      <c r="BE27" s="966"/>
      <c r="BF27" s="966"/>
      <c r="BG27" s="966"/>
      <c r="BH27" s="966"/>
      <c r="BI27" s="966"/>
      <c r="BJ27" s="966"/>
      <c r="BK27" s="966"/>
      <c r="BL27" s="966"/>
      <c r="BM27" s="966"/>
      <c r="BN27" s="966"/>
      <c r="BO27" s="966"/>
      <c r="BP27" s="966"/>
      <c r="BQ27" s="966"/>
      <c r="BR27" s="966"/>
      <c r="BS27" s="966"/>
      <c r="BT27" s="962" t="str">
        <f ca="1">IF('Расчётная Ведомость'!$U21=0," ",'Расчётная Ведомость'!$U21)</f>
        <v xml:space="preserve"> </v>
      </c>
      <c r="BU27" s="963"/>
      <c r="BV27" s="963"/>
      <c r="BW27" s="963"/>
      <c r="BX27" s="963"/>
      <c r="BY27" s="963"/>
      <c r="BZ27" s="963"/>
      <c r="CA27" s="963"/>
      <c r="CB27" s="963"/>
      <c r="CC27" s="963"/>
      <c r="CD27" s="963"/>
      <c r="CE27" s="963"/>
      <c r="CF27" s="963"/>
      <c r="CG27" s="964"/>
      <c r="CH27" s="961"/>
      <c r="CI27" s="961"/>
      <c r="CJ27" s="961"/>
      <c r="CK27" s="961"/>
      <c r="CL27" s="961"/>
      <c r="CM27" s="961"/>
      <c r="CN27" s="961"/>
      <c r="CO27" s="961"/>
      <c r="CP27" s="961"/>
      <c r="CQ27" s="961"/>
      <c r="CR27" s="961"/>
      <c r="CS27" s="961"/>
      <c r="CT27" s="961"/>
      <c r="CU27" s="961"/>
      <c r="CV27" s="961"/>
      <c r="CW27" s="961"/>
      <c r="CX27" s="961"/>
      <c r="CY27" s="961"/>
      <c r="CZ27" s="961"/>
      <c r="DA27" s="961"/>
      <c r="DB27" s="961"/>
      <c r="DC27" s="961"/>
      <c r="DD27" s="961"/>
      <c r="DF27" s="378">
        <f ca="1">'Расчётная Ведомость'!$U21</f>
        <v>0</v>
      </c>
    </row>
    <row r="28" spans="1:110" s="96" customFormat="1" ht="15">
      <c r="A28" s="951" t="s">
        <v>401</v>
      </c>
      <c r="B28" s="952"/>
      <c r="C28" s="952"/>
      <c r="D28" s="952"/>
      <c r="E28" s="952"/>
      <c r="F28" s="952"/>
      <c r="G28" s="952"/>
      <c r="H28" s="952"/>
      <c r="I28" s="953" t="str">
        <f>IF('Настройки УИК'!$B$24=0," ",'Настройки УИК'!$B$24)</f>
        <v>Склонение по падежам УИК</v>
      </c>
      <c r="J28" s="954"/>
      <c r="K28" s="954"/>
      <c r="L28" s="954"/>
      <c r="M28" s="954"/>
      <c r="N28" s="954"/>
      <c r="O28" s="954"/>
      <c r="P28" s="954"/>
      <c r="Q28" s="954"/>
      <c r="R28" s="954"/>
      <c r="S28" s="954"/>
      <c r="T28" s="954"/>
      <c r="U28" s="954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4"/>
      <c r="AG28" s="954"/>
      <c r="AH28" s="954"/>
      <c r="AI28" s="954"/>
      <c r="AJ28" s="954"/>
      <c r="AK28" s="954"/>
      <c r="AL28" s="954"/>
      <c r="AM28" s="954"/>
      <c r="AN28" s="954"/>
      <c r="AO28" s="954"/>
      <c r="AP28" s="954"/>
      <c r="AQ28" s="955"/>
      <c r="AR28" s="966"/>
      <c r="AS28" s="966"/>
      <c r="AT28" s="966"/>
      <c r="AU28" s="966"/>
      <c r="AV28" s="966"/>
      <c r="AW28" s="966"/>
      <c r="AX28" s="966"/>
      <c r="AY28" s="966"/>
      <c r="AZ28" s="966"/>
      <c r="BA28" s="966"/>
      <c r="BB28" s="966"/>
      <c r="BC28" s="966"/>
      <c r="BD28" s="966"/>
      <c r="BE28" s="966"/>
      <c r="BF28" s="966"/>
      <c r="BG28" s="966"/>
      <c r="BH28" s="966"/>
      <c r="BI28" s="966"/>
      <c r="BJ28" s="966"/>
      <c r="BK28" s="966"/>
      <c r="BL28" s="966"/>
      <c r="BM28" s="966"/>
      <c r="BN28" s="966"/>
      <c r="BO28" s="966"/>
      <c r="BP28" s="966"/>
      <c r="BQ28" s="966"/>
      <c r="BR28" s="966"/>
      <c r="BS28" s="966"/>
      <c r="BT28" s="962" t="str">
        <f ca="1">IF('Расчётная Ведомость'!$U22=0," ",'Расчётная Ведомость'!$U22)</f>
        <v xml:space="preserve"> </v>
      </c>
      <c r="BU28" s="963"/>
      <c r="BV28" s="963"/>
      <c r="BW28" s="963"/>
      <c r="BX28" s="963"/>
      <c r="BY28" s="963"/>
      <c r="BZ28" s="963"/>
      <c r="CA28" s="963"/>
      <c r="CB28" s="963"/>
      <c r="CC28" s="963"/>
      <c r="CD28" s="963"/>
      <c r="CE28" s="963"/>
      <c r="CF28" s="963"/>
      <c r="CG28" s="964"/>
      <c r="CH28" s="961"/>
      <c r="CI28" s="961"/>
      <c r="CJ28" s="961"/>
      <c r="CK28" s="961"/>
      <c r="CL28" s="961"/>
      <c r="CM28" s="961"/>
      <c r="CN28" s="961"/>
      <c r="CO28" s="961"/>
      <c r="CP28" s="961"/>
      <c r="CQ28" s="961"/>
      <c r="CR28" s="961"/>
      <c r="CS28" s="961"/>
      <c r="CT28" s="961"/>
      <c r="CU28" s="961"/>
      <c r="CV28" s="961"/>
      <c r="CW28" s="961"/>
      <c r="CX28" s="961"/>
      <c r="CY28" s="961"/>
      <c r="CZ28" s="961"/>
      <c r="DA28" s="961"/>
      <c r="DB28" s="961"/>
      <c r="DC28" s="961"/>
      <c r="DD28" s="961"/>
      <c r="DF28" s="378">
        <f ca="1">'Расчётная Ведомость'!$U22</f>
        <v>0</v>
      </c>
    </row>
    <row r="29" spans="1:110" s="96" customFormat="1" ht="15">
      <c r="A29" s="951" t="s">
        <v>402</v>
      </c>
      <c r="B29" s="952"/>
      <c r="C29" s="952"/>
      <c r="D29" s="952"/>
      <c r="E29" s="952"/>
      <c r="F29" s="952"/>
      <c r="G29" s="952"/>
      <c r="H29" s="952"/>
      <c r="I29" s="953" t="str">
        <f>IF('Настройки УИК'!$B$25=0," ",'Настройки УИК'!$B$25)</f>
        <v>для печати документов</v>
      </c>
      <c r="J29" s="954"/>
      <c r="K29" s="954"/>
      <c r="L29" s="954"/>
      <c r="M29" s="954"/>
      <c r="N29" s="954"/>
      <c r="O29" s="954"/>
      <c r="P29" s="954"/>
      <c r="Q29" s="954"/>
      <c r="R29" s="954"/>
      <c r="S29" s="954"/>
      <c r="T29" s="954"/>
      <c r="U29" s="954"/>
      <c r="V29" s="954"/>
      <c r="W29" s="954"/>
      <c r="X29" s="954"/>
      <c r="Y29" s="954"/>
      <c r="Z29" s="954"/>
      <c r="AA29" s="954"/>
      <c r="AB29" s="954"/>
      <c r="AC29" s="954"/>
      <c r="AD29" s="954"/>
      <c r="AE29" s="954"/>
      <c r="AF29" s="954"/>
      <c r="AG29" s="954"/>
      <c r="AH29" s="954"/>
      <c r="AI29" s="954"/>
      <c r="AJ29" s="954"/>
      <c r="AK29" s="954"/>
      <c r="AL29" s="954"/>
      <c r="AM29" s="954"/>
      <c r="AN29" s="954"/>
      <c r="AO29" s="954"/>
      <c r="AP29" s="954"/>
      <c r="AQ29" s="955"/>
      <c r="AR29" s="966"/>
      <c r="AS29" s="966"/>
      <c r="AT29" s="966"/>
      <c r="AU29" s="966"/>
      <c r="AV29" s="966"/>
      <c r="AW29" s="966"/>
      <c r="AX29" s="966"/>
      <c r="AY29" s="966"/>
      <c r="AZ29" s="966"/>
      <c r="BA29" s="966"/>
      <c r="BB29" s="966"/>
      <c r="BC29" s="966"/>
      <c r="BD29" s="966"/>
      <c r="BE29" s="966"/>
      <c r="BF29" s="966"/>
      <c r="BG29" s="966"/>
      <c r="BH29" s="966"/>
      <c r="BI29" s="966"/>
      <c r="BJ29" s="966"/>
      <c r="BK29" s="966"/>
      <c r="BL29" s="966"/>
      <c r="BM29" s="966"/>
      <c r="BN29" s="966"/>
      <c r="BO29" s="966"/>
      <c r="BP29" s="966"/>
      <c r="BQ29" s="966"/>
      <c r="BR29" s="966"/>
      <c r="BS29" s="966"/>
      <c r="BT29" s="962" t="str">
        <f ca="1">IF('Расчётная Ведомость'!$U23=0," ",'Расчётная Ведомость'!$U23)</f>
        <v xml:space="preserve"> </v>
      </c>
      <c r="BU29" s="963"/>
      <c r="BV29" s="963"/>
      <c r="BW29" s="963"/>
      <c r="BX29" s="963"/>
      <c r="BY29" s="963"/>
      <c r="BZ29" s="963"/>
      <c r="CA29" s="963"/>
      <c r="CB29" s="963"/>
      <c r="CC29" s="963"/>
      <c r="CD29" s="963"/>
      <c r="CE29" s="963"/>
      <c r="CF29" s="963"/>
      <c r="CG29" s="964"/>
      <c r="CH29" s="961"/>
      <c r="CI29" s="961"/>
      <c r="CJ29" s="961"/>
      <c r="CK29" s="961"/>
      <c r="CL29" s="961"/>
      <c r="CM29" s="961"/>
      <c r="CN29" s="961"/>
      <c r="CO29" s="961"/>
      <c r="CP29" s="961"/>
      <c r="CQ29" s="961"/>
      <c r="CR29" s="961"/>
      <c r="CS29" s="961"/>
      <c r="CT29" s="961"/>
      <c r="CU29" s="961"/>
      <c r="CV29" s="961"/>
      <c r="CW29" s="961"/>
      <c r="CX29" s="961"/>
      <c r="CY29" s="961"/>
      <c r="CZ29" s="961"/>
      <c r="DA29" s="961"/>
      <c r="DB29" s="961"/>
      <c r="DC29" s="961"/>
      <c r="DD29" s="961"/>
      <c r="DF29" s="378">
        <f ca="1">'Расчётная Ведомость'!$U23</f>
        <v>0</v>
      </c>
    </row>
    <row r="30" spans="1:110" s="96" customFormat="1" ht="15">
      <c r="A30" s="951" t="s">
        <v>403</v>
      </c>
      <c r="B30" s="952"/>
      <c r="C30" s="952"/>
      <c r="D30" s="952"/>
      <c r="E30" s="952"/>
      <c r="F30" s="952"/>
      <c r="G30" s="952"/>
      <c r="H30" s="952"/>
      <c r="I30" s="953" t="str">
        <f>IF('Настройки УИК'!$B$26=0," ",'Настройки УИК'!$B$26)</f>
        <v xml:space="preserve">Родительный </v>
      </c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5"/>
      <c r="AR30" s="966"/>
      <c r="AS30" s="966"/>
      <c r="AT30" s="966"/>
      <c r="AU30" s="966"/>
      <c r="AV30" s="966"/>
      <c r="AW30" s="966"/>
      <c r="AX30" s="966"/>
      <c r="AY30" s="966"/>
      <c r="AZ30" s="966"/>
      <c r="BA30" s="966"/>
      <c r="BB30" s="966"/>
      <c r="BC30" s="966"/>
      <c r="BD30" s="966"/>
      <c r="BE30" s="966"/>
      <c r="BF30" s="966"/>
      <c r="BG30" s="966"/>
      <c r="BH30" s="966"/>
      <c r="BI30" s="966"/>
      <c r="BJ30" s="966"/>
      <c r="BK30" s="966"/>
      <c r="BL30" s="966"/>
      <c r="BM30" s="966"/>
      <c r="BN30" s="966"/>
      <c r="BO30" s="966"/>
      <c r="BP30" s="966"/>
      <c r="BQ30" s="966"/>
      <c r="BR30" s="966"/>
      <c r="BS30" s="966"/>
      <c r="BT30" s="962" t="str">
        <f ca="1">IF('Расчётная Ведомость'!$U24=0," ",'Расчётная Ведомость'!$U24)</f>
        <v xml:space="preserve"> </v>
      </c>
      <c r="BU30" s="963"/>
      <c r="BV30" s="963"/>
      <c r="BW30" s="963"/>
      <c r="BX30" s="963"/>
      <c r="BY30" s="963"/>
      <c r="BZ30" s="963"/>
      <c r="CA30" s="963"/>
      <c r="CB30" s="963"/>
      <c r="CC30" s="963"/>
      <c r="CD30" s="963"/>
      <c r="CE30" s="963"/>
      <c r="CF30" s="963"/>
      <c r="CG30" s="964"/>
      <c r="CH30" s="961"/>
      <c r="CI30" s="961"/>
      <c r="CJ30" s="961"/>
      <c r="CK30" s="961"/>
      <c r="CL30" s="961"/>
      <c r="CM30" s="961"/>
      <c r="CN30" s="961"/>
      <c r="CO30" s="961"/>
      <c r="CP30" s="961"/>
      <c r="CQ30" s="961"/>
      <c r="CR30" s="961"/>
      <c r="CS30" s="961"/>
      <c r="CT30" s="961"/>
      <c r="CU30" s="961"/>
      <c r="CV30" s="961"/>
      <c r="CW30" s="961"/>
      <c r="CX30" s="961"/>
      <c r="CY30" s="961"/>
      <c r="CZ30" s="961"/>
      <c r="DA30" s="961"/>
      <c r="DB30" s="961"/>
      <c r="DC30" s="961"/>
      <c r="DD30" s="961"/>
      <c r="DF30" s="378">
        <f ca="1">'Расчётная Ведомость'!$U24</f>
        <v>0</v>
      </c>
    </row>
    <row r="31" spans="1:110" s="96" customFormat="1" ht="15">
      <c r="A31" s="951" t="s">
        <v>404</v>
      </c>
      <c r="B31" s="952"/>
      <c r="C31" s="952"/>
      <c r="D31" s="952"/>
      <c r="E31" s="952"/>
      <c r="F31" s="952"/>
      <c r="G31" s="952"/>
      <c r="H31" s="952"/>
      <c r="I31" s="953" t="str">
        <f>IF('Настройки УИК'!$B$27=0," ",'Настройки УИК'!$B$27)</f>
        <v xml:space="preserve">Дательный </v>
      </c>
      <c r="J31" s="954"/>
      <c r="K31" s="954"/>
      <c r="L31" s="954"/>
      <c r="M31" s="954"/>
      <c r="N31" s="954"/>
      <c r="O31" s="954"/>
      <c r="P31" s="954"/>
      <c r="Q31" s="954"/>
      <c r="R31" s="954"/>
      <c r="S31" s="954"/>
      <c r="T31" s="954"/>
      <c r="U31" s="954"/>
      <c r="V31" s="954"/>
      <c r="W31" s="954"/>
      <c r="X31" s="954"/>
      <c r="Y31" s="954"/>
      <c r="Z31" s="954"/>
      <c r="AA31" s="954"/>
      <c r="AB31" s="954"/>
      <c r="AC31" s="954"/>
      <c r="AD31" s="954"/>
      <c r="AE31" s="954"/>
      <c r="AF31" s="954"/>
      <c r="AG31" s="954"/>
      <c r="AH31" s="954"/>
      <c r="AI31" s="954"/>
      <c r="AJ31" s="954"/>
      <c r="AK31" s="954"/>
      <c r="AL31" s="954"/>
      <c r="AM31" s="954"/>
      <c r="AN31" s="954"/>
      <c r="AO31" s="954"/>
      <c r="AP31" s="954"/>
      <c r="AQ31" s="955"/>
      <c r="AR31" s="966"/>
      <c r="AS31" s="966"/>
      <c r="AT31" s="966"/>
      <c r="AU31" s="966"/>
      <c r="AV31" s="966"/>
      <c r="AW31" s="966"/>
      <c r="AX31" s="966"/>
      <c r="AY31" s="966"/>
      <c r="AZ31" s="966"/>
      <c r="BA31" s="966"/>
      <c r="BB31" s="966"/>
      <c r="BC31" s="966"/>
      <c r="BD31" s="966"/>
      <c r="BE31" s="966"/>
      <c r="BF31" s="966"/>
      <c r="BG31" s="966"/>
      <c r="BH31" s="966"/>
      <c r="BI31" s="966"/>
      <c r="BJ31" s="966"/>
      <c r="BK31" s="966"/>
      <c r="BL31" s="966"/>
      <c r="BM31" s="966"/>
      <c r="BN31" s="966"/>
      <c r="BO31" s="966"/>
      <c r="BP31" s="966"/>
      <c r="BQ31" s="966"/>
      <c r="BR31" s="966"/>
      <c r="BS31" s="966"/>
      <c r="BT31" s="962" t="str">
        <f ca="1">IF('Расчётная Ведомость'!$U25=0," ",'Расчётная Ведомость'!$U25)</f>
        <v xml:space="preserve"> </v>
      </c>
      <c r="BU31" s="963"/>
      <c r="BV31" s="963"/>
      <c r="BW31" s="963"/>
      <c r="BX31" s="963"/>
      <c r="BY31" s="963"/>
      <c r="BZ31" s="963"/>
      <c r="CA31" s="963"/>
      <c r="CB31" s="963"/>
      <c r="CC31" s="963"/>
      <c r="CD31" s="963"/>
      <c r="CE31" s="963"/>
      <c r="CF31" s="963"/>
      <c r="CG31" s="964"/>
      <c r="CH31" s="961"/>
      <c r="CI31" s="961"/>
      <c r="CJ31" s="961"/>
      <c r="CK31" s="961"/>
      <c r="CL31" s="961"/>
      <c r="CM31" s="961"/>
      <c r="CN31" s="961"/>
      <c r="CO31" s="961"/>
      <c r="CP31" s="961"/>
      <c r="CQ31" s="961"/>
      <c r="CR31" s="961"/>
      <c r="CS31" s="961"/>
      <c r="CT31" s="961"/>
      <c r="CU31" s="961"/>
      <c r="CV31" s="961"/>
      <c r="CW31" s="961"/>
      <c r="CX31" s="961"/>
      <c r="CY31" s="961"/>
      <c r="CZ31" s="961"/>
      <c r="DA31" s="961"/>
      <c r="DB31" s="961"/>
      <c r="DC31" s="961"/>
      <c r="DD31" s="961"/>
      <c r="DF31" s="378">
        <f ca="1">'Расчётная Ведомость'!$U25</f>
        <v>0</v>
      </c>
    </row>
    <row r="32" spans="1:110" s="96" customFormat="1" ht="15">
      <c r="A32" s="951" t="s">
        <v>405</v>
      </c>
      <c r="B32" s="952"/>
      <c r="C32" s="952"/>
      <c r="D32" s="952"/>
      <c r="E32" s="952"/>
      <c r="F32" s="952"/>
      <c r="G32" s="952"/>
      <c r="H32" s="952"/>
      <c r="I32" s="953" t="str">
        <f>IF('Настройки УИК'!$B$28=0," ",'Настройки УИК'!$B$28)</f>
        <v>Творительный</v>
      </c>
      <c r="J32" s="954"/>
      <c r="K32" s="954"/>
      <c r="L32" s="954"/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954"/>
      <c r="X32" s="954"/>
      <c r="Y32" s="954"/>
      <c r="Z32" s="954"/>
      <c r="AA32" s="954"/>
      <c r="AB32" s="954"/>
      <c r="AC32" s="954"/>
      <c r="AD32" s="954"/>
      <c r="AE32" s="954"/>
      <c r="AF32" s="954"/>
      <c r="AG32" s="954"/>
      <c r="AH32" s="954"/>
      <c r="AI32" s="954"/>
      <c r="AJ32" s="954"/>
      <c r="AK32" s="954"/>
      <c r="AL32" s="954"/>
      <c r="AM32" s="954"/>
      <c r="AN32" s="954"/>
      <c r="AO32" s="954"/>
      <c r="AP32" s="954"/>
      <c r="AQ32" s="955"/>
      <c r="AR32" s="966"/>
      <c r="AS32" s="966"/>
      <c r="AT32" s="966"/>
      <c r="AU32" s="966"/>
      <c r="AV32" s="966"/>
      <c r="AW32" s="966"/>
      <c r="AX32" s="966"/>
      <c r="AY32" s="966"/>
      <c r="AZ32" s="966"/>
      <c r="BA32" s="966"/>
      <c r="BB32" s="966"/>
      <c r="BC32" s="966"/>
      <c r="BD32" s="966"/>
      <c r="BE32" s="966"/>
      <c r="BF32" s="966"/>
      <c r="BG32" s="966"/>
      <c r="BH32" s="966"/>
      <c r="BI32" s="966"/>
      <c r="BJ32" s="966"/>
      <c r="BK32" s="966"/>
      <c r="BL32" s="966"/>
      <c r="BM32" s="966"/>
      <c r="BN32" s="966"/>
      <c r="BO32" s="966"/>
      <c r="BP32" s="966"/>
      <c r="BQ32" s="966"/>
      <c r="BR32" s="966"/>
      <c r="BS32" s="966"/>
      <c r="BT32" s="962" t="str">
        <f ca="1">IF('Расчётная Ведомость'!$U26=0," ",'Расчётная Ведомость'!$U26)</f>
        <v xml:space="preserve"> </v>
      </c>
      <c r="BU32" s="963"/>
      <c r="BV32" s="963"/>
      <c r="BW32" s="963"/>
      <c r="BX32" s="963"/>
      <c r="BY32" s="963"/>
      <c r="BZ32" s="963"/>
      <c r="CA32" s="963"/>
      <c r="CB32" s="963"/>
      <c r="CC32" s="963"/>
      <c r="CD32" s="963"/>
      <c r="CE32" s="963"/>
      <c r="CF32" s="963"/>
      <c r="CG32" s="964"/>
      <c r="CH32" s="961"/>
      <c r="CI32" s="961"/>
      <c r="CJ32" s="961"/>
      <c r="CK32" s="961"/>
      <c r="CL32" s="961"/>
      <c r="CM32" s="961"/>
      <c r="CN32" s="961"/>
      <c r="CO32" s="961"/>
      <c r="CP32" s="961"/>
      <c r="CQ32" s="961"/>
      <c r="CR32" s="961"/>
      <c r="CS32" s="961"/>
      <c r="CT32" s="961"/>
      <c r="CU32" s="961"/>
      <c r="CV32" s="961"/>
      <c r="CW32" s="961"/>
      <c r="CX32" s="961"/>
      <c r="CY32" s="961"/>
      <c r="CZ32" s="961"/>
      <c r="DA32" s="961"/>
      <c r="DB32" s="961"/>
      <c r="DC32" s="961"/>
      <c r="DD32" s="961"/>
      <c r="DF32" s="378">
        <f ca="1">'Расчётная Ведомость'!$U26</f>
        <v>0</v>
      </c>
    </row>
    <row r="33" spans="1:110" s="96" customFormat="1" ht="11.25">
      <c r="A33" s="951" t="s">
        <v>406</v>
      </c>
      <c r="B33" s="952"/>
      <c r="C33" s="952"/>
      <c r="D33" s="952"/>
      <c r="E33" s="952"/>
      <c r="F33" s="952"/>
      <c r="G33" s="952"/>
      <c r="H33" s="952"/>
      <c r="I33" s="953" t="str">
        <f>IF('Настройки УИК'!$B$29=0," ",'Настройки УИК'!$B$29)</f>
        <v>Винительный</v>
      </c>
      <c r="J33" s="954"/>
      <c r="K33" s="954"/>
      <c r="L33" s="954"/>
      <c r="M33" s="954"/>
      <c r="N33" s="954"/>
      <c r="O33" s="954"/>
      <c r="P33" s="954"/>
      <c r="Q33" s="954"/>
      <c r="R33" s="954"/>
      <c r="S33" s="954"/>
      <c r="T33" s="954"/>
      <c r="U33" s="954"/>
      <c r="V33" s="954"/>
      <c r="W33" s="954"/>
      <c r="X33" s="954"/>
      <c r="Y33" s="954"/>
      <c r="Z33" s="954"/>
      <c r="AA33" s="954"/>
      <c r="AB33" s="954"/>
      <c r="AC33" s="954"/>
      <c r="AD33" s="954"/>
      <c r="AE33" s="954"/>
      <c r="AF33" s="954"/>
      <c r="AG33" s="954"/>
      <c r="AH33" s="954"/>
      <c r="AI33" s="954"/>
      <c r="AJ33" s="954"/>
      <c r="AK33" s="954"/>
      <c r="AL33" s="954"/>
      <c r="AM33" s="954"/>
      <c r="AN33" s="954"/>
      <c r="AO33" s="954"/>
      <c r="AP33" s="954"/>
      <c r="AQ33" s="955"/>
      <c r="AR33" s="965"/>
      <c r="AS33" s="965"/>
      <c r="AT33" s="965"/>
      <c r="AU33" s="965"/>
      <c r="AV33" s="965"/>
      <c r="AW33" s="965"/>
      <c r="AX33" s="965"/>
      <c r="AY33" s="965"/>
      <c r="AZ33" s="965"/>
      <c r="BA33" s="965"/>
      <c r="BB33" s="965"/>
      <c r="BC33" s="965"/>
      <c r="BD33" s="965"/>
      <c r="BE33" s="965"/>
      <c r="BF33" s="965"/>
      <c r="BG33" s="965"/>
      <c r="BH33" s="965"/>
      <c r="BI33" s="965"/>
      <c r="BJ33" s="965"/>
      <c r="BK33" s="965"/>
      <c r="BL33" s="965"/>
      <c r="BM33" s="965"/>
      <c r="BN33" s="965"/>
      <c r="BO33" s="965"/>
      <c r="BP33" s="965"/>
      <c r="BQ33" s="965"/>
      <c r="BR33" s="965"/>
      <c r="BS33" s="965"/>
      <c r="BT33" s="962" t="str">
        <f ca="1">IF('Расчётная Ведомость'!$U27=0," ",'Расчётная Ведомость'!$U27)</f>
        <v xml:space="preserve"> </v>
      </c>
      <c r="BU33" s="963"/>
      <c r="BV33" s="963"/>
      <c r="BW33" s="963"/>
      <c r="BX33" s="963"/>
      <c r="BY33" s="963"/>
      <c r="BZ33" s="963"/>
      <c r="CA33" s="963"/>
      <c r="CB33" s="963"/>
      <c r="CC33" s="963"/>
      <c r="CD33" s="963"/>
      <c r="CE33" s="963"/>
      <c r="CF33" s="963"/>
      <c r="CG33" s="964"/>
      <c r="CH33" s="961"/>
      <c r="CI33" s="961"/>
      <c r="CJ33" s="961"/>
      <c r="CK33" s="961"/>
      <c r="CL33" s="961"/>
      <c r="CM33" s="961"/>
      <c r="CN33" s="961"/>
      <c r="CO33" s="961"/>
      <c r="CP33" s="961"/>
      <c r="CQ33" s="961"/>
      <c r="CR33" s="961"/>
      <c r="CS33" s="961"/>
      <c r="CT33" s="961"/>
      <c r="CU33" s="961"/>
      <c r="CV33" s="961"/>
      <c r="CW33" s="961"/>
      <c r="CX33" s="961"/>
      <c r="CY33" s="961"/>
      <c r="CZ33" s="961"/>
      <c r="DA33" s="961"/>
      <c r="DB33" s="961"/>
      <c r="DC33" s="961"/>
      <c r="DD33" s="961"/>
      <c r="DF33" s="378">
        <f ca="1">'Расчётная Ведомость'!$U27</f>
        <v>0</v>
      </c>
    </row>
    <row r="34" spans="1:110" s="96" customFormat="1" ht="11.25">
      <c r="A34" s="951" t="s">
        <v>407</v>
      </c>
      <c r="B34" s="952"/>
      <c r="C34" s="952"/>
      <c r="D34" s="952"/>
      <c r="E34" s="952"/>
      <c r="F34" s="952"/>
      <c r="G34" s="952"/>
      <c r="H34" s="952"/>
      <c r="I34" s="953" t="str">
        <f>IF('Настройки УИК'!$B$30=0," ",'Настройки УИК'!$B$30)</f>
        <v xml:space="preserve"> </v>
      </c>
      <c r="J34" s="954"/>
      <c r="K34" s="954"/>
      <c r="L34" s="954"/>
      <c r="M34" s="954"/>
      <c r="N34" s="954"/>
      <c r="O34" s="954"/>
      <c r="P34" s="954"/>
      <c r="Q34" s="954"/>
      <c r="R34" s="954"/>
      <c r="S34" s="954"/>
      <c r="T34" s="954"/>
      <c r="U34" s="954"/>
      <c r="V34" s="954"/>
      <c r="W34" s="954"/>
      <c r="X34" s="954"/>
      <c r="Y34" s="954"/>
      <c r="Z34" s="954"/>
      <c r="AA34" s="954"/>
      <c r="AB34" s="954"/>
      <c r="AC34" s="954"/>
      <c r="AD34" s="954"/>
      <c r="AE34" s="954"/>
      <c r="AF34" s="954"/>
      <c r="AG34" s="954"/>
      <c r="AH34" s="954"/>
      <c r="AI34" s="954"/>
      <c r="AJ34" s="954"/>
      <c r="AK34" s="954"/>
      <c r="AL34" s="954"/>
      <c r="AM34" s="954"/>
      <c r="AN34" s="954"/>
      <c r="AO34" s="954"/>
      <c r="AP34" s="954"/>
      <c r="AQ34" s="955"/>
      <c r="AR34" s="965"/>
      <c r="AS34" s="965"/>
      <c r="AT34" s="965"/>
      <c r="AU34" s="965"/>
      <c r="AV34" s="965"/>
      <c r="AW34" s="965"/>
      <c r="AX34" s="965"/>
      <c r="AY34" s="965"/>
      <c r="AZ34" s="965"/>
      <c r="BA34" s="965"/>
      <c r="BB34" s="965"/>
      <c r="BC34" s="965"/>
      <c r="BD34" s="965"/>
      <c r="BE34" s="965"/>
      <c r="BF34" s="965"/>
      <c r="BG34" s="965"/>
      <c r="BH34" s="965"/>
      <c r="BI34" s="965"/>
      <c r="BJ34" s="965"/>
      <c r="BK34" s="965"/>
      <c r="BL34" s="965"/>
      <c r="BM34" s="965"/>
      <c r="BN34" s="965"/>
      <c r="BO34" s="965"/>
      <c r="BP34" s="965"/>
      <c r="BQ34" s="965"/>
      <c r="BR34" s="965"/>
      <c r="BS34" s="965"/>
      <c r="BT34" s="962" t="str">
        <f ca="1">IF('Расчётная Ведомость'!$U28=0," ",'Расчётная Ведомость'!$U28)</f>
        <v xml:space="preserve"> </v>
      </c>
      <c r="BU34" s="963"/>
      <c r="BV34" s="963"/>
      <c r="BW34" s="963"/>
      <c r="BX34" s="963"/>
      <c r="BY34" s="963"/>
      <c r="BZ34" s="963"/>
      <c r="CA34" s="963"/>
      <c r="CB34" s="963"/>
      <c r="CC34" s="963"/>
      <c r="CD34" s="963"/>
      <c r="CE34" s="963"/>
      <c r="CF34" s="963"/>
      <c r="CG34" s="964"/>
      <c r="CH34" s="961"/>
      <c r="CI34" s="961"/>
      <c r="CJ34" s="961"/>
      <c r="CK34" s="961"/>
      <c r="CL34" s="961"/>
      <c r="CM34" s="961"/>
      <c r="CN34" s="961"/>
      <c r="CO34" s="961"/>
      <c r="CP34" s="961"/>
      <c r="CQ34" s="961"/>
      <c r="CR34" s="961"/>
      <c r="CS34" s="961"/>
      <c r="CT34" s="961"/>
      <c r="CU34" s="961"/>
      <c r="CV34" s="961"/>
      <c r="CW34" s="961"/>
      <c r="CX34" s="961"/>
      <c r="CY34" s="961"/>
      <c r="CZ34" s="961"/>
      <c r="DA34" s="961"/>
      <c r="DB34" s="961"/>
      <c r="DC34" s="961"/>
      <c r="DD34" s="961"/>
      <c r="DF34" s="378">
        <f ca="1">'Расчётная Ведомость'!$U28</f>
        <v>0</v>
      </c>
    </row>
    <row r="35" spans="1:110" s="96" customFormat="1" ht="11.25">
      <c r="A35" s="951" t="s">
        <v>408</v>
      </c>
      <c r="B35" s="952"/>
      <c r="C35" s="952"/>
      <c r="D35" s="952"/>
      <c r="E35" s="952"/>
      <c r="F35" s="952"/>
      <c r="G35" s="952"/>
      <c r="H35" s="952"/>
      <c r="I35" s="953" t="str">
        <f>IF('Настройки УИК'!$B$31=0," ",'Настройки УИК'!$B$31)</f>
        <v xml:space="preserve"> </v>
      </c>
      <c r="J35" s="954"/>
      <c r="K35" s="954"/>
      <c r="L35" s="954"/>
      <c r="M35" s="954"/>
      <c r="N35" s="954"/>
      <c r="O35" s="954"/>
      <c r="P35" s="954"/>
      <c r="Q35" s="954"/>
      <c r="R35" s="954"/>
      <c r="S35" s="954"/>
      <c r="T35" s="954"/>
      <c r="U35" s="954"/>
      <c r="V35" s="954"/>
      <c r="W35" s="954"/>
      <c r="X35" s="954"/>
      <c r="Y35" s="954"/>
      <c r="Z35" s="954"/>
      <c r="AA35" s="954"/>
      <c r="AB35" s="954"/>
      <c r="AC35" s="954"/>
      <c r="AD35" s="954"/>
      <c r="AE35" s="954"/>
      <c r="AF35" s="954"/>
      <c r="AG35" s="954"/>
      <c r="AH35" s="954"/>
      <c r="AI35" s="954"/>
      <c r="AJ35" s="954"/>
      <c r="AK35" s="954"/>
      <c r="AL35" s="954"/>
      <c r="AM35" s="954"/>
      <c r="AN35" s="954"/>
      <c r="AO35" s="954"/>
      <c r="AP35" s="954"/>
      <c r="AQ35" s="955"/>
      <c r="AR35" s="965"/>
      <c r="AS35" s="965"/>
      <c r="AT35" s="965"/>
      <c r="AU35" s="965"/>
      <c r="AV35" s="965"/>
      <c r="AW35" s="965"/>
      <c r="AX35" s="965"/>
      <c r="AY35" s="965"/>
      <c r="AZ35" s="965"/>
      <c r="BA35" s="965"/>
      <c r="BB35" s="965"/>
      <c r="BC35" s="965"/>
      <c r="BD35" s="965"/>
      <c r="BE35" s="965"/>
      <c r="BF35" s="965"/>
      <c r="BG35" s="965"/>
      <c r="BH35" s="965"/>
      <c r="BI35" s="965"/>
      <c r="BJ35" s="965"/>
      <c r="BK35" s="965"/>
      <c r="BL35" s="965"/>
      <c r="BM35" s="965"/>
      <c r="BN35" s="965"/>
      <c r="BO35" s="965"/>
      <c r="BP35" s="965"/>
      <c r="BQ35" s="965"/>
      <c r="BR35" s="965"/>
      <c r="BS35" s="965"/>
      <c r="BT35" s="962" t="str">
        <f ca="1">IF('Расчётная Ведомость'!$U29=0," ",'Расчётная Ведомость'!$U29)</f>
        <v xml:space="preserve"> </v>
      </c>
      <c r="BU35" s="963"/>
      <c r="BV35" s="963"/>
      <c r="BW35" s="963"/>
      <c r="BX35" s="963"/>
      <c r="BY35" s="963"/>
      <c r="BZ35" s="963"/>
      <c r="CA35" s="963"/>
      <c r="CB35" s="963"/>
      <c r="CC35" s="963"/>
      <c r="CD35" s="963"/>
      <c r="CE35" s="963"/>
      <c r="CF35" s="963"/>
      <c r="CG35" s="964"/>
      <c r="CH35" s="961"/>
      <c r="CI35" s="961"/>
      <c r="CJ35" s="961"/>
      <c r="CK35" s="961"/>
      <c r="CL35" s="961"/>
      <c r="CM35" s="961"/>
      <c r="CN35" s="961"/>
      <c r="CO35" s="961"/>
      <c r="CP35" s="961"/>
      <c r="CQ35" s="961"/>
      <c r="CR35" s="961"/>
      <c r="CS35" s="961"/>
      <c r="CT35" s="961"/>
      <c r="CU35" s="961"/>
      <c r="CV35" s="961"/>
      <c r="CW35" s="961"/>
      <c r="CX35" s="961"/>
      <c r="CY35" s="961"/>
      <c r="CZ35" s="961"/>
      <c r="DA35" s="961"/>
      <c r="DB35" s="961"/>
      <c r="DC35" s="961"/>
      <c r="DD35" s="961"/>
      <c r="DF35" s="378">
        <f ca="1">'Расчётная Ведомость'!$U29</f>
        <v>0</v>
      </c>
    </row>
    <row r="36" spans="1:110" s="96" customFormat="1" ht="11.25">
      <c r="A36" s="951" t="s">
        <v>409</v>
      </c>
      <c r="B36" s="952"/>
      <c r="C36" s="952"/>
      <c r="D36" s="952"/>
      <c r="E36" s="952"/>
      <c r="F36" s="952"/>
      <c r="G36" s="952"/>
      <c r="H36" s="952"/>
      <c r="I36" s="953" t="str">
        <f>IF('Настройки УИК'!$B$32=0," ",'Настройки УИК'!$B$32)</f>
        <v xml:space="preserve"> </v>
      </c>
      <c r="J36" s="954"/>
      <c r="K36" s="954"/>
      <c r="L36" s="954"/>
      <c r="M36" s="954"/>
      <c r="N36" s="954"/>
      <c r="O36" s="954"/>
      <c r="P36" s="954"/>
      <c r="Q36" s="954"/>
      <c r="R36" s="954"/>
      <c r="S36" s="954"/>
      <c r="T36" s="954"/>
      <c r="U36" s="954"/>
      <c r="V36" s="954"/>
      <c r="W36" s="954"/>
      <c r="X36" s="954"/>
      <c r="Y36" s="954"/>
      <c r="Z36" s="954"/>
      <c r="AA36" s="954"/>
      <c r="AB36" s="954"/>
      <c r="AC36" s="954"/>
      <c r="AD36" s="954"/>
      <c r="AE36" s="954"/>
      <c r="AF36" s="954"/>
      <c r="AG36" s="954"/>
      <c r="AH36" s="954"/>
      <c r="AI36" s="954"/>
      <c r="AJ36" s="954"/>
      <c r="AK36" s="954"/>
      <c r="AL36" s="954"/>
      <c r="AM36" s="954"/>
      <c r="AN36" s="954"/>
      <c r="AO36" s="954"/>
      <c r="AP36" s="954"/>
      <c r="AQ36" s="955"/>
      <c r="AR36" s="965"/>
      <c r="AS36" s="965"/>
      <c r="AT36" s="965"/>
      <c r="AU36" s="965"/>
      <c r="AV36" s="965"/>
      <c r="AW36" s="965"/>
      <c r="AX36" s="965"/>
      <c r="AY36" s="965"/>
      <c r="AZ36" s="965"/>
      <c r="BA36" s="965"/>
      <c r="BB36" s="965"/>
      <c r="BC36" s="965"/>
      <c r="BD36" s="965"/>
      <c r="BE36" s="965"/>
      <c r="BF36" s="965"/>
      <c r="BG36" s="965"/>
      <c r="BH36" s="965"/>
      <c r="BI36" s="965"/>
      <c r="BJ36" s="965"/>
      <c r="BK36" s="965"/>
      <c r="BL36" s="965"/>
      <c r="BM36" s="965"/>
      <c r="BN36" s="965"/>
      <c r="BO36" s="965"/>
      <c r="BP36" s="965"/>
      <c r="BQ36" s="965"/>
      <c r="BR36" s="965"/>
      <c r="BS36" s="965"/>
      <c r="BT36" s="962" t="str">
        <f ca="1">IF('Расчётная Ведомость'!$U30=0," ",'Расчётная Ведомость'!$U30)</f>
        <v xml:space="preserve"> </v>
      </c>
      <c r="BU36" s="963"/>
      <c r="BV36" s="963"/>
      <c r="BW36" s="963"/>
      <c r="BX36" s="963"/>
      <c r="BY36" s="963"/>
      <c r="BZ36" s="963"/>
      <c r="CA36" s="963"/>
      <c r="CB36" s="963"/>
      <c r="CC36" s="963"/>
      <c r="CD36" s="963"/>
      <c r="CE36" s="963"/>
      <c r="CF36" s="963"/>
      <c r="CG36" s="964"/>
      <c r="CH36" s="961"/>
      <c r="CI36" s="961"/>
      <c r="CJ36" s="961"/>
      <c r="CK36" s="961"/>
      <c r="CL36" s="961"/>
      <c r="CM36" s="961"/>
      <c r="CN36" s="961"/>
      <c r="CO36" s="961"/>
      <c r="CP36" s="961"/>
      <c r="CQ36" s="961"/>
      <c r="CR36" s="961"/>
      <c r="CS36" s="961"/>
      <c r="CT36" s="961"/>
      <c r="CU36" s="961"/>
      <c r="CV36" s="961"/>
      <c r="CW36" s="961"/>
      <c r="CX36" s="961"/>
      <c r="CY36" s="961"/>
      <c r="CZ36" s="961"/>
      <c r="DA36" s="961"/>
      <c r="DB36" s="961"/>
      <c r="DC36" s="961"/>
      <c r="DD36" s="961"/>
      <c r="DF36" s="378">
        <f ca="1">'Расчётная Ведомость'!$U30</f>
        <v>0</v>
      </c>
    </row>
    <row r="37" spans="1:110" s="96" customFormat="1" ht="11.25">
      <c r="A37" s="951" t="s">
        <v>410</v>
      </c>
      <c r="B37" s="952"/>
      <c r="C37" s="952"/>
      <c r="D37" s="952"/>
      <c r="E37" s="952"/>
      <c r="F37" s="952"/>
      <c r="G37" s="952"/>
      <c r="H37" s="952"/>
      <c r="I37" s="953" t="str">
        <f>IF('Настройки УИК'!$B$33=0," ",'Настройки УИК'!$B$33)</f>
        <v>Должности</v>
      </c>
      <c r="J37" s="954"/>
      <c r="K37" s="954"/>
      <c r="L37" s="954"/>
      <c r="M37" s="954"/>
      <c r="N37" s="954"/>
      <c r="O37" s="954"/>
      <c r="P37" s="954"/>
      <c r="Q37" s="954"/>
      <c r="R37" s="954"/>
      <c r="S37" s="954"/>
      <c r="T37" s="954"/>
      <c r="U37" s="954"/>
      <c r="V37" s="954"/>
      <c r="W37" s="954"/>
      <c r="X37" s="954"/>
      <c r="Y37" s="954"/>
      <c r="Z37" s="954"/>
      <c r="AA37" s="954"/>
      <c r="AB37" s="954"/>
      <c r="AC37" s="954"/>
      <c r="AD37" s="954"/>
      <c r="AE37" s="954"/>
      <c r="AF37" s="954"/>
      <c r="AG37" s="954"/>
      <c r="AH37" s="954"/>
      <c r="AI37" s="954"/>
      <c r="AJ37" s="954"/>
      <c r="AK37" s="954"/>
      <c r="AL37" s="954"/>
      <c r="AM37" s="954"/>
      <c r="AN37" s="954"/>
      <c r="AO37" s="954"/>
      <c r="AP37" s="954"/>
      <c r="AQ37" s="955"/>
      <c r="AR37" s="965"/>
      <c r="AS37" s="965"/>
      <c r="AT37" s="965"/>
      <c r="AU37" s="965"/>
      <c r="AV37" s="965"/>
      <c r="AW37" s="965"/>
      <c r="AX37" s="965"/>
      <c r="AY37" s="965"/>
      <c r="AZ37" s="965"/>
      <c r="BA37" s="965"/>
      <c r="BB37" s="965"/>
      <c r="BC37" s="965"/>
      <c r="BD37" s="965"/>
      <c r="BE37" s="965"/>
      <c r="BF37" s="965"/>
      <c r="BG37" s="965"/>
      <c r="BH37" s="965"/>
      <c r="BI37" s="965"/>
      <c r="BJ37" s="965"/>
      <c r="BK37" s="965"/>
      <c r="BL37" s="965"/>
      <c r="BM37" s="965"/>
      <c r="BN37" s="965"/>
      <c r="BO37" s="965"/>
      <c r="BP37" s="965"/>
      <c r="BQ37" s="965"/>
      <c r="BR37" s="965"/>
      <c r="BS37" s="965"/>
      <c r="BT37" s="962" t="str">
        <f ca="1">IF('Расчётная Ведомость'!$U31=0," ",'Расчётная Ведомость'!$U31)</f>
        <v xml:space="preserve"> </v>
      </c>
      <c r="BU37" s="963"/>
      <c r="BV37" s="963"/>
      <c r="BW37" s="963"/>
      <c r="BX37" s="963"/>
      <c r="BY37" s="963"/>
      <c r="BZ37" s="963"/>
      <c r="CA37" s="963"/>
      <c r="CB37" s="963"/>
      <c r="CC37" s="963"/>
      <c r="CD37" s="963"/>
      <c r="CE37" s="963"/>
      <c r="CF37" s="963"/>
      <c r="CG37" s="964"/>
      <c r="CH37" s="961"/>
      <c r="CI37" s="961"/>
      <c r="CJ37" s="961"/>
      <c r="CK37" s="961"/>
      <c r="CL37" s="961"/>
      <c r="CM37" s="961"/>
      <c r="CN37" s="961"/>
      <c r="CO37" s="961"/>
      <c r="CP37" s="961"/>
      <c r="CQ37" s="961"/>
      <c r="CR37" s="961"/>
      <c r="CS37" s="961"/>
      <c r="CT37" s="961"/>
      <c r="CU37" s="961"/>
      <c r="CV37" s="961"/>
      <c r="CW37" s="961"/>
      <c r="CX37" s="961"/>
      <c r="CY37" s="961"/>
      <c r="CZ37" s="961"/>
      <c r="DA37" s="961"/>
      <c r="DB37" s="961"/>
      <c r="DC37" s="961"/>
      <c r="DD37" s="961"/>
      <c r="DF37" s="378">
        <f ca="1">'Расчётная Ведомость'!$U31</f>
        <v>0</v>
      </c>
    </row>
    <row r="38" spans="1:110" s="96" customFormat="1" ht="11.25">
      <c r="A38" s="951" t="s">
        <v>411</v>
      </c>
      <c r="B38" s="952"/>
      <c r="C38" s="952"/>
      <c r="D38" s="952"/>
      <c r="E38" s="952"/>
      <c r="F38" s="952"/>
      <c r="G38" s="952"/>
      <c r="H38" s="952"/>
      <c r="I38" s="953" t="str">
        <f>IF('Настройки УИК'!$B$34=0," ",'Настройки УИК'!$B$34)</f>
        <v xml:space="preserve"> </v>
      </c>
      <c r="J38" s="954"/>
      <c r="K38" s="954"/>
      <c r="L38" s="954"/>
      <c r="M38" s="954"/>
      <c r="N38" s="954"/>
      <c r="O38" s="954"/>
      <c r="P38" s="954"/>
      <c r="Q38" s="954"/>
      <c r="R38" s="954"/>
      <c r="S38" s="954"/>
      <c r="T38" s="954"/>
      <c r="U38" s="954"/>
      <c r="V38" s="954"/>
      <c r="W38" s="954"/>
      <c r="X38" s="954"/>
      <c r="Y38" s="954"/>
      <c r="Z38" s="954"/>
      <c r="AA38" s="954"/>
      <c r="AB38" s="954"/>
      <c r="AC38" s="954"/>
      <c r="AD38" s="954"/>
      <c r="AE38" s="954"/>
      <c r="AF38" s="954"/>
      <c r="AG38" s="954"/>
      <c r="AH38" s="954"/>
      <c r="AI38" s="954"/>
      <c r="AJ38" s="954"/>
      <c r="AK38" s="954"/>
      <c r="AL38" s="954"/>
      <c r="AM38" s="954"/>
      <c r="AN38" s="954"/>
      <c r="AO38" s="954"/>
      <c r="AP38" s="954"/>
      <c r="AQ38" s="955"/>
      <c r="AR38" s="965"/>
      <c r="AS38" s="965"/>
      <c r="AT38" s="965"/>
      <c r="AU38" s="965"/>
      <c r="AV38" s="965"/>
      <c r="AW38" s="965"/>
      <c r="AX38" s="965"/>
      <c r="AY38" s="965"/>
      <c r="AZ38" s="965"/>
      <c r="BA38" s="965"/>
      <c r="BB38" s="965"/>
      <c r="BC38" s="965"/>
      <c r="BD38" s="965"/>
      <c r="BE38" s="965"/>
      <c r="BF38" s="965"/>
      <c r="BG38" s="965"/>
      <c r="BH38" s="965"/>
      <c r="BI38" s="965"/>
      <c r="BJ38" s="965"/>
      <c r="BK38" s="965"/>
      <c r="BL38" s="965"/>
      <c r="BM38" s="965"/>
      <c r="BN38" s="965"/>
      <c r="BO38" s="965"/>
      <c r="BP38" s="965"/>
      <c r="BQ38" s="965"/>
      <c r="BR38" s="965"/>
      <c r="BS38" s="965"/>
      <c r="BT38" s="962" t="str">
        <f ca="1">IF('Расчётная Ведомость'!$U32=0," ",'Расчётная Ведомость'!$U32)</f>
        <v xml:space="preserve"> </v>
      </c>
      <c r="BU38" s="963"/>
      <c r="BV38" s="963"/>
      <c r="BW38" s="963"/>
      <c r="BX38" s="963"/>
      <c r="BY38" s="963"/>
      <c r="BZ38" s="963"/>
      <c r="CA38" s="963"/>
      <c r="CB38" s="963"/>
      <c r="CC38" s="963"/>
      <c r="CD38" s="963"/>
      <c r="CE38" s="963"/>
      <c r="CF38" s="963"/>
      <c r="CG38" s="964"/>
      <c r="CH38" s="961"/>
      <c r="CI38" s="961"/>
      <c r="CJ38" s="961"/>
      <c r="CK38" s="961"/>
      <c r="CL38" s="961"/>
      <c r="CM38" s="961"/>
      <c r="CN38" s="961"/>
      <c r="CO38" s="961"/>
      <c r="CP38" s="961"/>
      <c r="CQ38" s="961"/>
      <c r="CR38" s="961"/>
      <c r="CS38" s="961"/>
      <c r="CT38" s="961"/>
      <c r="CU38" s="961"/>
      <c r="CV38" s="961"/>
      <c r="CW38" s="961"/>
      <c r="CX38" s="961"/>
      <c r="CY38" s="961"/>
      <c r="CZ38" s="961"/>
      <c r="DA38" s="961"/>
      <c r="DB38" s="961"/>
      <c r="DC38" s="961"/>
      <c r="DD38" s="961"/>
      <c r="DF38" s="378">
        <f ca="1">'Расчётная Ведомость'!$U32</f>
        <v>0</v>
      </c>
    </row>
    <row r="39" spans="1:110" s="96" customFormat="1" ht="11.25">
      <c r="A39" s="951" t="s">
        <v>412</v>
      </c>
      <c r="B39" s="952"/>
      <c r="C39" s="952"/>
      <c r="D39" s="952"/>
      <c r="E39" s="952"/>
      <c r="F39" s="952"/>
      <c r="G39" s="952"/>
      <c r="H39" s="952"/>
      <c r="I39" s="953" t="str">
        <f>IF('Настройки УИК'!$B$35=0," ",'Настройки УИК'!$B$35)</f>
        <v>Председатель</v>
      </c>
      <c r="J39" s="954"/>
      <c r="K39" s="954"/>
      <c r="L39" s="954"/>
      <c r="M39" s="954"/>
      <c r="N39" s="954"/>
      <c r="O39" s="954"/>
      <c r="P39" s="954"/>
      <c r="Q39" s="954"/>
      <c r="R39" s="954"/>
      <c r="S39" s="954"/>
      <c r="T39" s="954"/>
      <c r="U39" s="954"/>
      <c r="V39" s="954"/>
      <c r="W39" s="954"/>
      <c r="X39" s="954"/>
      <c r="Y39" s="954"/>
      <c r="Z39" s="95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954"/>
      <c r="AO39" s="954"/>
      <c r="AP39" s="954"/>
      <c r="AQ39" s="955"/>
      <c r="AR39" s="965"/>
      <c r="AS39" s="965"/>
      <c r="AT39" s="965"/>
      <c r="AU39" s="965"/>
      <c r="AV39" s="965"/>
      <c r="AW39" s="965"/>
      <c r="AX39" s="965"/>
      <c r="AY39" s="965"/>
      <c r="AZ39" s="965"/>
      <c r="BA39" s="965"/>
      <c r="BB39" s="965"/>
      <c r="BC39" s="965"/>
      <c r="BD39" s="965"/>
      <c r="BE39" s="965"/>
      <c r="BF39" s="965"/>
      <c r="BG39" s="965"/>
      <c r="BH39" s="965"/>
      <c r="BI39" s="965"/>
      <c r="BJ39" s="965"/>
      <c r="BK39" s="965"/>
      <c r="BL39" s="965"/>
      <c r="BM39" s="965"/>
      <c r="BN39" s="965"/>
      <c r="BO39" s="965"/>
      <c r="BP39" s="965"/>
      <c r="BQ39" s="965"/>
      <c r="BR39" s="965"/>
      <c r="BS39" s="965"/>
      <c r="BT39" s="962" t="str">
        <f ca="1">IF('Расчётная Ведомость'!$U33=0," ",'Расчётная Ведомость'!$U33)</f>
        <v xml:space="preserve"> </v>
      </c>
      <c r="BU39" s="963"/>
      <c r="BV39" s="963"/>
      <c r="BW39" s="963"/>
      <c r="BX39" s="963"/>
      <c r="BY39" s="963"/>
      <c r="BZ39" s="963"/>
      <c r="CA39" s="963"/>
      <c r="CB39" s="963"/>
      <c r="CC39" s="963"/>
      <c r="CD39" s="963"/>
      <c r="CE39" s="963"/>
      <c r="CF39" s="963"/>
      <c r="CG39" s="964"/>
      <c r="CH39" s="961"/>
      <c r="CI39" s="961"/>
      <c r="CJ39" s="961"/>
      <c r="CK39" s="961"/>
      <c r="CL39" s="961"/>
      <c r="CM39" s="961"/>
      <c r="CN39" s="961"/>
      <c r="CO39" s="961"/>
      <c r="CP39" s="961"/>
      <c r="CQ39" s="961"/>
      <c r="CR39" s="961"/>
      <c r="CS39" s="961"/>
      <c r="CT39" s="961"/>
      <c r="CU39" s="961"/>
      <c r="CV39" s="961"/>
      <c r="CW39" s="961"/>
      <c r="CX39" s="961"/>
      <c r="CY39" s="961"/>
      <c r="CZ39" s="961"/>
      <c r="DA39" s="961"/>
      <c r="DB39" s="961"/>
      <c r="DC39" s="961"/>
      <c r="DD39" s="961"/>
      <c r="DF39" s="378">
        <f ca="1">'Расчётная Ведомость'!$U33</f>
        <v>0</v>
      </c>
    </row>
    <row r="40" spans="1:110" s="96" customFormat="1" ht="11.25">
      <c r="A40" s="951" t="s">
        <v>413</v>
      </c>
      <c r="B40" s="952"/>
      <c r="C40" s="952"/>
      <c r="D40" s="952"/>
      <c r="E40" s="952"/>
      <c r="F40" s="952"/>
      <c r="G40" s="952"/>
      <c r="H40" s="952"/>
      <c r="I40" s="953" t="str">
        <f>IF('Настройки УИК'!$B$36=0," ",'Настройки УИК'!$B$36)</f>
        <v xml:space="preserve"> </v>
      </c>
      <c r="J40" s="954"/>
      <c r="K40" s="954"/>
      <c r="L40" s="954"/>
      <c r="M40" s="954"/>
      <c r="N40" s="954"/>
      <c r="O40" s="954"/>
      <c r="P40" s="954"/>
      <c r="Q40" s="954"/>
      <c r="R40" s="954"/>
      <c r="S40" s="954"/>
      <c r="T40" s="954"/>
      <c r="U40" s="954"/>
      <c r="V40" s="954"/>
      <c r="W40" s="954"/>
      <c r="X40" s="954"/>
      <c r="Y40" s="954"/>
      <c r="Z40" s="954"/>
      <c r="AA40" s="954"/>
      <c r="AB40" s="954"/>
      <c r="AC40" s="954"/>
      <c r="AD40" s="954"/>
      <c r="AE40" s="954"/>
      <c r="AF40" s="954"/>
      <c r="AG40" s="954"/>
      <c r="AH40" s="954"/>
      <c r="AI40" s="954"/>
      <c r="AJ40" s="954"/>
      <c r="AK40" s="954"/>
      <c r="AL40" s="954"/>
      <c r="AM40" s="954"/>
      <c r="AN40" s="954"/>
      <c r="AO40" s="954"/>
      <c r="AP40" s="954"/>
      <c r="AQ40" s="955"/>
      <c r="AR40" s="965"/>
      <c r="AS40" s="965"/>
      <c r="AT40" s="965"/>
      <c r="AU40" s="965"/>
      <c r="AV40" s="965"/>
      <c r="AW40" s="965"/>
      <c r="AX40" s="965"/>
      <c r="AY40" s="965"/>
      <c r="AZ40" s="965"/>
      <c r="BA40" s="965"/>
      <c r="BB40" s="965"/>
      <c r="BC40" s="965"/>
      <c r="BD40" s="965"/>
      <c r="BE40" s="965"/>
      <c r="BF40" s="965"/>
      <c r="BG40" s="965"/>
      <c r="BH40" s="965"/>
      <c r="BI40" s="965"/>
      <c r="BJ40" s="965"/>
      <c r="BK40" s="965"/>
      <c r="BL40" s="965"/>
      <c r="BM40" s="965"/>
      <c r="BN40" s="965"/>
      <c r="BO40" s="965"/>
      <c r="BP40" s="965"/>
      <c r="BQ40" s="965"/>
      <c r="BR40" s="965"/>
      <c r="BS40" s="965"/>
      <c r="BT40" s="962" t="str">
        <f ca="1">IF('Расчётная Ведомость'!$U34=0," ",'Расчётная Ведомость'!$U34)</f>
        <v xml:space="preserve"> </v>
      </c>
      <c r="BU40" s="963"/>
      <c r="BV40" s="963"/>
      <c r="BW40" s="963"/>
      <c r="BX40" s="963"/>
      <c r="BY40" s="963"/>
      <c r="BZ40" s="963"/>
      <c r="CA40" s="963"/>
      <c r="CB40" s="963"/>
      <c r="CC40" s="963"/>
      <c r="CD40" s="963"/>
      <c r="CE40" s="963"/>
      <c r="CF40" s="963"/>
      <c r="CG40" s="964"/>
      <c r="CH40" s="961"/>
      <c r="CI40" s="961"/>
      <c r="CJ40" s="961"/>
      <c r="CK40" s="961"/>
      <c r="CL40" s="961"/>
      <c r="CM40" s="961"/>
      <c r="CN40" s="961"/>
      <c r="CO40" s="961"/>
      <c r="CP40" s="961"/>
      <c r="CQ40" s="961"/>
      <c r="CR40" s="961"/>
      <c r="CS40" s="961"/>
      <c r="CT40" s="961"/>
      <c r="CU40" s="961"/>
      <c r="CV40" s="961"/>
      <c r="CW40" s="961"/>
      <c r="CX40" s="961"/>
      <c r="CY40" s="961"/>
      <c r="CZ40" s="961"/>
      <c r="DA40" s="961"/>
      <c r="DB40" s="961"/>
      <c r="DC40" s="961"/>
      <c r="DD40" s="961"/>
      <c r="DF40" s="378">
        <f ca="1">'Расчётная Ведомость'!$U34</f>
        <v>0</v>
      </c>
    </row>
    <row r="41" spans="1:110" s="96" customFormat="1" ht="11.25">
      <c r="A41" s="951" t="s">
        <v>414</v>
      </c>
      <c r="B41" s="952"/>
      <c r="C41" s="952"/>
      <c r="D41" s="952"/>
      <c r="E41" s="952"/>
      <c r="F41" s="952"/>
      <c r="G41" s="952"/>
      <c r="H41" s="952"/>
      <c r="I41" s="953" t="str">
        <f>IF('Настройки УИК'!$B$37=0," ",'Настройки УИК'!$B$37)</f>
        <v xml:space="preserve"> </v>
      </c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5"/>
      <c r="AR41" s="965"/>
      <c r="AS41" s="965"/>
      <c r="AT41" s="965"/>
      <c r="AU41" s="965"/>
      <c r="AV41" s="965"/>
      <c r="AW41" s="965"/>
      <c r="AX41" s="965"/>
      <c r="AY41" s="965"/>
      <c r="AZ41" s="965"/>
      <c r="BA41" s="965"/>
      <c r="BB41" s="965"/>
      <c r="BC41" s="965"/>
      <c r="BD41" s="965"/>
      <c r="BE41" s="965"/>
      <c r="BF41" s="965"/>
      <c r="BG41" s="965"/>
      <c r="BH41" s="965"/>
      <c r="BI41" s="965"/>
      <c r="BJ41" s="965"/>
      <c r="BK41" s="965"/>
      <c r="BL41" s="965"/>
      <c r="BM41" s="965"/>
      <c r="BN41" s="965"/>
      <c r="BO41" s="965"/>
      <c r="BP41" s="965"/>
      <c r="BQ41" s="965"/>
      <c r="BR41" s="965"/>
      <c r="BS41" s="965"/>
      <c r="BT41" s="962" t="str">
        <f ca="1">IF('Расчётная Ведомость'!$U35=0," ",'Расчётная Ведомость'!$U35)</f>
        <v xml:space="preserve"> </v>
      </c>
      <c r="BU41" s="963"/>
      <c r="BV41" s="963"/>
      <c r="BW41" s="963"/>
      <c r="BX41" s="963"/>
      <c r="BY41" s="963"/>
      <c r="BZ41" s="963"/>
      <c r="CA41" s="963"/>
      <c r="CB41" s="963"/>
      <c r="CC41" s="963"/>
      <c r="CD41" s="963"/>
      <c r="CE41" s="963"/>
      <c r="CF41" s="963"/>
      <c r="CG41" s="964"/>
      <c r="CH41" s="961"/>
      <c r="CI41" s="961"/>
      <c r="CJ41" s="961"/>
      <c r="CK41" s="961"/>
      <c r="CL41" s="961"/>
      <c r="CM41" s="961"/>
      <c r="CN41" s="961"/>
      <c r="CO41" s="961"/>
      <c r="CP41" s="961"/>
      <c r="CQ41" s="961"/>
      <c r="CR41" s="961"/>
      <c r="CS41" s="961"/>
      <c r="CT41" s="961"/>
      <c r="CU41" s="961"/>
      <c r="CV41" s="961"/>
      <c r="CW41" s="961"/>
      <c r="CX41" s="961"/>
      <c r="CY41" s="961"/>
      <c r="CZ41" s="961"/>
      <c r="DA41" s="961"/>
      <c r="DB41" s="961"/>
      <c r="DC41" s="961"/>
      <c r="DD41" s="961"/>
      <c r="DF41" s="378">
        <f ca="1">'Расчётная Ведомость'!$U35</f>
        <v>0</v>
      </c>
    </row>
    <row r="42" spans="1:110" s="96" customFormat="1" ht="11.25">
      <c r="A42" s="951" t="s">
        <v>415</v>
      </c>
      <c r="B42" s="952"/>
      <c r="C42" s="952"/>
      <c r="D42" s="952"/>
      <c r="E42" s="952"/>
      <c r="F42" s="952"/>
      <c r="G42" s="952"/>
      <c r="H42" s="952"/>
      <c r="I42" s="953" t="str">
        <f>IF('Настройки УИК'!$B$38=0," ",'Настройки УИК'!$B$38)</f>
        <v xml:space="preserve"> </v>
      </c>
      <c r="J42" s="954"/>
      <c r="K42" s="954"/>
      <c r="L42" s="954"/>
      <c r="M42" s="954"/>
      <c r="N42" s="954"/>
      <c r="O42" s="954"/>
      <c r="P42" s="954"/>
      <c r="Q42" s="954"/>
      <c r="R42" s="954"/>
      <c r="S42" s="954"/>
      <c r="T42" s="954"/>
      <c r="U42" s="954"/>
      <c r="V42" s="954"/>
      <c r="W42" s="954"/>
      <c r="X42" s="954"/>
      <c r="Y42" s="954"/>
      <c r="Z42" s="954"/>
      <c r="AA42" s="954"/>
      <c r="AB42" s="954"/>
      <c r="AC42" s="954"/>
      <c r="AD42" s="954"/>
      <c r="AE42" s="954"/>
      <c r="AF42" s="954"/>
      <c r="AG42" s="954"/>
      <c r="AH42" s="954"/>
      <c r="AI42" s="954"/>
      <c r="AJ42" s="954"/>
      <c r="AK42" s="954"/>
      <c r="AL42" s="954"/>
      <c r="AM42" s="954"/>
      <c r="AN42" s="954"/>
      <c r="AO42" s="954"/>
      <c r="AP42" s="954"/>
      <c r="AQ42" s="955"/>
      <c r="AR42" s="965"/>
      <c r="AS42" s="965"/>
      <c r="AT42" s="965"/>
      <c r="AU42" s="965"/>
      <c r="AV42" s="965"/>
      <c r="AW42" s="965"/>
      <c r="AX42" s="965"/>
      <c r="AY42" s="965"/>
      <c r="AZ42" s="965"/>
      <c r="BA42" s="965"/>
      <c r="BB42" s="965"/>
      <c r="BC42" s="965"/>
      <c r="BD42" s="965"/>
      <c r="BE42" s="965"/>
      <c r="BF42" s="965"/>
      <c r="BG42" s="965"/>
      <c r="BH42" s="965"/>
      <c r="BI42" s="965"/>
      <c r="BJ42" s="965"/>
      <c r="BK42" s="965"/>
      <c r="BL42" s="965"/>
      <c r="BM42" s="965"/>
      <c r="BN42" s="965"/>
      <c r="BO42" s="965"/>
      <c r="BP42" s="965"/>
      <c r="BQ42" s="965"/>
      <c r="BR42" s="965"/>
      <c r="BS42" s="965"/>
      <c r="BT42" s="962" t="str">
        <f ca="1">IF('Расчётная Ведомость'!$U36=0," ",'Расчётная Ведомость'!$U36)</f>
        <v xml:space="preserve"> </v>
      </c>
      <c r="BU42" s="963"/>
      <c r="BV42" s="963"/>
      <c r="BW42" s="963"/>
      <c r="BX42" s="963"/>
      <c r="BY42" s="963"/>
      <c r="BZ42" s="963"/>
      <c r="CA42" s="963"/>
      <c r="CB42" s="963"/>
      <c r="CC42" s="963"/>
      <c r="CD42" s="963"/>
      <c r="CE42" s="963"/>
      <c r="CF42" s="963"/>
      <c r="CG42" s="964"/>
      <c r="CH42" s="961"/>
      <c r="CI42" s="961"/>
      <c r="CJ42" s="961"/>
      <c r="CK42" s="961"/>
      <c r="CL42" s="961"/>
      <c r="CM42" s="961"/>
      <c r="CN42" s="961"/>
      <c r="CO42" s="961"/>
      <c r="CP42" s="961"/>
      <c r="CQ42" s="961"/>
      <c r="CR42" s="961"/>
      <c r="CS42" s="961"/>
      <c r="CT42" s="961"/>
      <c r="CU42" s="961"/>
      <c r="CV42" s="961"/>
      <c r="CW42" s="961"/>
      <c r="CX42" s="961"/>
      <c r="CY42" s="961"/>
      <c r="CZ42" s="961"/>
      <c r="DA42" s="961"/>
      <c r="DB42" s="961"/>
      <c r="DC42" s="961"/>
      <c r="DD42" s="961"/>
      <c r="DF42" s="378">
        <f ca="1">'Расчётная Ведомость'!$U36</f>
        <v>0</v>
      </c>
    </row>
    <row r="43" spans="1:110" s="96" customFormat="1" ht="11.25">
      <c r="A43" s="951" t="s">
        <v>416</v>
      </c>
      <c r="B43" s="952"/>
      <c r="C43" s="952"/>
      <c r="D43" s="952"/>
      <c r="E43" s="952"/>
      <c r="F43" s="952"/>
      <c r="G43" s="952"/>
      <c r="H43" s="952"/>
      <c r="I43" s="953" t="str">
        <f>IF('Настройки УИК'!$B$39=0," ",'Настройки УИК'!$B$39)</f>
        <v xml:space="preserve"> </v>
      </c>
      <c r="J43" s="954"/>
      <c r="K43" s="954"/>
      <c r="L43" s="954"/>
      <c r="M43" s="954"/>
      <c r="N43" s="954"/>
      <c r="O43" s="954"/>
      <c r="P43" s="954"/>
      <c r="Q43" s="954"/>
      <c r="R43" s="954"/>
      <c r="S43" s="954"/>
      <c r="T43" s="954"/>
      <c r="U43" s="954"/>
      <c r="V43" s="954"/>
      <c r="W43" s="954"/>
      <c r="X43" s="954"/>
      <c r="Y43" s="954"/>
      <c r="Z43" s="954"/>
      <c r="AA43" s="954"/>
      <c r="AB43" s="954"/>
      <c r="AC43" s="954"/>
      <c r="AD43" s="954"/>
      <c r="AE43" s="954"/>
      <c r="AF43" s="954"/>
      <c r="AG43" s="954"/>
      <c r="AH43" s="954"/>
      <c r="AI43" s="954"/>
      <c r="AJ43" s="954"/>
      <c r="AK43" s="954"/>
      <c r="AL43" s="954"/>
      <c r="AM43" s="954"/>
      <c r="AN43" s="954"/>
      <c r="AO43" s="954"/>
      <c r="AP43" s="954"/>
      <c r="AQ43" s="955"/>
      <c r="AR43" s="965"/>
      <c r="AS43" s="965"/>
      <c r="AT43" s="965"/>
      <c r="AU43" s="965"/>
      <c r="AV43" s="965"/>
      <c r="AW43" s="965"/>
      <c r="AX43" s="965"/>
      <c r="AY43" s="965"/>
      <c r="AZ43" s="965"/>
      <c r="BA43" s="965"/>
      <c r="BB43" s="965"/>
      <c r="BC43" s="965"/>
      <c r="BD43" s="965"/>
      <c r="BE43" s="965"/>
      <c r="BF43" s="965"/>
      <c r="BG43" s="965"/>
      <c r="BH43" s="965"/>
      <c r="BI43" s="965"/>
      <c r="BJ43" s="965"/>
      <c r="BK43" s="965"/>
      <c r="BL43" s="965"/>
      <c r="BM43" s="965"/>
      <c r="BN43" s="965"/>
      <c r="BO43" s="965"/>
      <c r="BP43" s="965"/>
      <c r="BQ43" s="965"/>
      <c r="BR43" s="965"/>
      <c r="BS43" s="965"/>
      <c r="BT43" s="962" t="str">
        <f ca="1">IF('Расчётная Ведомость'!$U37=0," ",'Расчётная Ведомость'!$U37)</f>
        <v xml:space="preserve"> </v>
      </c>
      <c r="BU43" s="963"/>
      <c r="BV43" s="963"/>
      <c r="BW43" s="963"/>
      <c r="BX43" s="963"/>
      <c r="BY43" s="963"/>
      <c r="BZ43" s="963"/>
      <c r="CA43" s="963"/>
      <c r="CB43" s="963"/>
      <c r="CC43" s="963"/>
      <c r="CD43" s="963"/>
      <c r="CE43" s="963"/>
      <c r="CF43" s="963"/>
      <c r="CG43" s="964"/>
      <c r="CH43" s="961"/>
      <c r="CI43" s="961"/>
      <c r="CJ43" s="961"/>
      <c r="CK43" s="961"/>
      <c r="CL43" s="961"/>
      <c r="CM43" s="961"/>
      <c r="CN43" s="961"/>
      <c r="CO43" s="961"/>
      <c r="CP43" s="961"/>
      <c r="CQ43" s="961"/>
      <c r="CR43" s="961"/>
      <c r="CS43" s="961"/>
      <c r="CT43" s="961"/>
      <c r="CU43" s="961"/>
      <c r="CV43" s="961"/>
      <c r="CW43" s="961"/>
      <c r="CX43" s="961"/>
      <c r="CY43" s="961"/>
      <c r="CZ43" s="961"/>
      <c r="DA43" s="961"/>
      <c r="DB43" s="961"/>
      <c r="DC43" s="961"/>
      <c r="DD43" s="961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2">
        <f ca="1">SUM(BT26:CG43)</f>
        <v>0</v>
      </c>
      <c r="BU44" s="963"/>
      <c r="BV44" s="963"/>
      <c r="BW44" s="963"/>
      <c r="BX44" s="963"/>
      <c r="BY44" s="963"/>
      <c r="BZ44" s="963"/>
      <c r="CA44" s="963"/>
      <c r="CB44" s="963"/>
      <c r="CC44" s="963"/>
      <c r="CD44" s="963"/>
      <c r="CE44" s="963"/>
      <c r="CF44" s="963"/>
      <c r="CG44" s="964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56"/>
      <c r="AO46" s="957"/>
      <c r="AP46" s="957"/>
      <c r="AQ46" s="957"/>
      <c r="AR46" s="957"/>
      <c r="AS46" s="957"/>
      <c r="AT46" s="957"/>
      <c r="AU46" s="957"/>
      <c r="AV46" s="957"/>
      <c r="AW46" s="957"/>
      <c r="AX46" s="957"/>
      <c r="AY46" s="957"/>
      <c r="AZ46" s="957"/>
      <c r="BA46" s="957"/>
      <c r="BB46" s="957"/>
      <c r="BC46" s="957"/>
      <c r="BD46" s="957"/>
      <c r="BE46" s="957"/>
      <c r="BF46" s="957"/>
      <c r="BG46" s="957"/>
      <c r="BH46" s="957"/>
      <c r="BI46" s="957"/>
      <c r="BJ46" s="957"/>
      <c r="BK46" s="957"/>
      <c r="BL46" s="957"/>
      <c r="BM46" s="957"/>
      <c r="BN46" s="957"/>
      <c r="BO46" s="957"/>
      <c r="BP46" s="957"/>
      <c r="BQ46" s="957"/>
      <c r="BR46" s="957"/>
      <c r="BS46" s="957"/>
      <c r="BT46" s="957"/>
      <c r="BU46" s="957"/>
      <c r="BV46" s="957"/>
      <c r="BW46" s="957"/>
      <c r="BX46" s="957"/>
      <c r="BY46" s="957"/>
      <c r="BZ46" s="957"/>
      <c r="CA46" s="957"/>
      <c r="CB46" s="957"/>
      <c r="CC46" s="957"/>
      <c r="CD46" s="957"/>
      <c r="CE46" s="957"/>
      <c r="CF46" s="957"/>
      <c r="CG46" s="95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56"/>
      <c r="AO48" s="957"/>
      <c r="AP48" s="957"/>
      <c r="AQ48" s="957"/>
      <c r="AR48" s="957"/>
      <c r="AS48" s="957"/>
      <c r="AT48" s="957"/>
      <c r="AU48" s="957"/>
      <c r="AV48" s="957"/>
      <c r="AW48" s="957"/>
      <c r="AX48" s="957"/>
      <c r="AY48" s="957"/>
      <c r="AZ48" s="957"/>
      <c r="BA48" s="957"/>
      <c r="BB48" s="957"/>
      <c r="BC48" s="957"/>
      <c r="BD48" s="957"/>
      <c r="BE48" s="957"/>
      <c r="BF48" s="957"/>
      <c r="BG48" s="957"/>
      <c r="BH48" s="957"/>
      <c r="BI48" s="957"/>
      <c r="BJ48" s="957"/>
      <c r="BK48" s="957"/>
      <c r="BL48" s="957"/>
      <c r="BM48" s="957"/>
      <c r="BN48" s="957"/>
      <c r="BO48" s="957"/>
      <c r="BP48" s="957"/>
      <c r="BQ48" s="957"/>
      <c r="BR48" s="957"/>
      <c r="BS48" s="957"/>
      <c r="BT48" s="957"/>
      <c r="BU48" s="957"/>
      <c r="BV48" s="957"/>
      <c r="BW48" s="957"/>
      <c r="BX48" s="957"/>
      <c r="BY48" s="957"/>
      <c r="BZ48" s="957"/>
      <c r="CA48" s="957"/>
      <c r="CB48" s="957"/>
      <c r="CC48" s="957"/>
      <c r="CD48" s="957"/>
      <c r="CE48" s="957"/>
      <c r="CF48" s="957"/>
      <c r="CG48" s="958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56"/>
      <c r="AO50" s="957"/>
      <c r="AP50" s="957"/>
      <c r="AQ50" s="957"/>
      <c r="AR50" s="957"/>
      <c r="AS50" s="957"/>
      <c r="AT50" s="957"/>
      <c r="AU50" s="957"/>
      <c r="AV50" s="957"/>
      <c r="AW50" s="957"/>
      <c r="AX50" s="957"/>
      <c r="AY50" s="957"/>
      <c r="AZ50" s="957"/>
      <c r="BA50" s="957"/>
      <c r="BB50" s="957"/>
      <c r="BC50" s="957"/>
      <c r="BD50" s="957"/>
      <c r="BE50" s="957"/>
      <c r="BF50" s="957"/>
      <c r="BG50" s="957"/>
      <c r="BH50" s="957"/>
      <c r="BI50" s="957"/>
      <c r="BJ50" s="957"/>
      <c r="BK50" s="957"/>
      <c r="BL50" s="957"/>
      <c r="BM50" s="957"/>
      <c r="BN50" s="957"/>
      <c r="BO50" s="957"/>
      <c r="BP50" s="957"/>
      <c r="BQ50" s="957"/>
      <c r="BR50" s="957"/>
      <c r="BS50" s="957"/>
      <c r="BT50" s="957"/>
      <c r="BU50" s="957"/>
      <c r="BV50" s="957"/>
      <c r="BW50" s="957"/>
      <c r="BX50" s="957"/>
      <c r="BY50" s="957"/>
      <c r="BZ50" s="957"/>
      <c r="CA50" s="957"/>
      <c r="CB50" s="957"/>
      <c r="CC50" s="957"/>
      <c r="CD50" s="957"/>
      <c r="CE50" s="957"/>
      <c r="CF50" s="957"/>
      <c r="CG50" s="95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9"/>
      <c r="I52" s="949"/>
      <c r="J52" s="949"/>
      <c r="K52" s="949"/>
      <c r="L52" s="949"/>
      <c r="M52" s="949"/>
      <c r="N52" s="949"/>
      <c r="O52" s="949"/>
      <c r="P52" s="949"/>
      <c r="Q52" s="949"/>
      <c r="R52" s="949"/>
      <c r="S52" s="949"/>
      <c r="T52" s="949"/>
      <c r="U52" s="949"/>
      <c r="V52" s="949"/>
      <c r="W52" s="99"/>
      <c r="X52" s="99"/>
      <c r="Y52" s="949"/>
      <c r="Z52" s="949"/>
      <c r="AA52" s="949"/>
      <c r="AB52" s="949"/>
      <c r="AC52" s="949"/>
      <c r="AD52" s="949"/>
      <c r="AE52" s="949"/>
      <c r="AF52" s="949"/>
      <c r="AG52" s="949"/>
      <c r="AH52" s="949"/>
      <c r="AI52" s="949"/>
      <c r="AJ52" s="949"/>
      <c r="AK52" s="949"/>
      <c r="AL52" s="949"/>
      <c r="AM52" s="949"/>
      <c r="AN52" s="949"/>
      <c r="AO52" s="949"/>
      <c r="AP52" s="949"/>
      <c r="AQ52" s="949"/>
      <c r="AR52" s="949"/>
      <c r="AS52" s="949"/>
      <c r="AT52" s="949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47" t="s">
        <v>5</v>
      </c>
      <c r="I53" s="947"/>
      <c r="J53" s="947"/>
      <c r="K53" s="947"/>
      <c r="L53" s="947"/>
      <c r="M53" s="947"/>
      <c r="N53" s="947"/>
      <c r="O53" s="947"/>
      <c r="P53" s="947"/>
      <c r="Q53" s="947"/>
      <c r="R53" s="947"/>
      <c r="S53" s="947"/>
      <c r="T53" s="947"/>
      <c r="U53" s="947"/>
      <c r="V53" s="947"/>
      <c r="W53" s="100"/>
      <c r="X53" s="101"/>
      <c r="Y53" s="947" t="s">
        <v>6</v>
      </c>
      <c r="Z53" s="947"/>
      <c r="AA53" s="947"/>
      <c r="AB53" s="947"/>
      <c r="AC53" s="947"/>
      <c r="AD53" s="947"/>
      <c r="AE53" s="947"/>
      <c r="AF53" s="947"/>
      <c r="AG53" s="947"/>
      <c r="AH53" s="947"/>
      <c r="AI53" s="947"/>
      <c r="AJ53" s="947"/>
      <c r="AK53" s="947"/>
      <c r="AL53" s="947"/>
      <c r="AM53" s="947"/>
      <c r="AN53" s="947"/>
      <c r="AO53" s="947"/>
      <c r="AP53" s="947"/>
      <c r="AQ53" s="947"/>
      <c r="AR53" s="947"/>
      <c r="AS53" s="947"/>
      <c r="AT53" s="947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41" t="s">
        <v>179</v>
      </c>
      <c r="B54" s="941"/>
      <c r="C54" s="942"/>
      <c r="D54" s="942"/>
      <c r="E54" s="942"/>
      <c r="F54" s="942"/>
      <c r="G54" s="942"/>
      <c r="H54" s="943" t="s">
        <v>179</v>
      </c>
      <c r="I54" s="943"/>
      <c r="J54" s="943"/>
      <c r="K54" s="942"/>
      <c r="L54" s="942"/>
      <c r="M54" s="942"/>
      <c r="N54" s="942"/>
      <c r="O54" s="942"/>
      <c r="P54" s="942"/>
      <c r="Q54" s="942"/>
      <c r="R54" s="942"/>
      <c r="S54" s="942"/>
      <c r="T54" s="942"/>
      <c r="U54" s="942"/>
      <c r="V54" s="942"/>
      <c r="W54" s="942"/>
      <c r="X54" s="942"/>
      <c r="Y54" s="942"/>
      <c r="Z54" s="942"/>
      <c r="AA54" s="942"/>
      <c r="AB54" s="942"/>
      <c r="AC54" s="942"/>
      <c r="AD54" s="942"/>
      <c r="AE54" s="945" t="s">
        <v>905</v>
      </c>
      <c r="AF54" s="941"/>
      <c r="AG54" s="941"/>
      <c r="AH54" s="941"/>
      <c r="AI54" s="946"/>
      <c r="AJ54" s="946"/>
      <c r="AK54" s="946"/>
      <c r="AL54" s="944" t="s">
        <v>180</v>
      </c>
      <c r="AM54" s="944"/>
      <c r="AN54" s="944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9" t="s">
        <v>140</v>
      </c>
      <c r="L56" s="959"/>
      <c r="M56" s="959"/>
      <c r="N56" s="959"/>
      <c r="O56" s="959"/>
      <c r="P56" s="959"/>
      <c r="Q56" s="959"/>
      <c r="R56" s="959"/>
      <c r="S56" s="959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K56" s="960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80"/>
      <c r="BA56" s="94"/>
      <c r="BB56" s="959" t="e">
        <f>INDEX('Настройки УИК'!$B$22:B22,19-MATCH('Настройки ТИК'!B39,'Настройки УИК'!M22:M22,0),1)</f>
        <v>#N/A</v>
      </c>
      <c r="BC56" s="959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59"/>
      <c r="BV56" s="959"/>
      <c r="BW56" s="959"/>
      <c r="BX56" s="959"/>
      <c r="BY56" s="959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47" t="s">
        <v>142</v>
      </c>
      <c r="L57" s="947"/>
      <c r="M57" s="947"/>
      <c r="N57" s="947"/>
      <c r="O57" s="947"/>
      <c r="P57" s="947"/>
      <c r="Q57" s="947"/>
      <c r="R57" s="947"/>
      <c r="S57" s="947"/>
      <c r="T57" s="947"/>
      <c r="U57" s="947"/>
      <c r="V57" s="947"/>
      <c r="W57" s="947"/>
      <c r="X57" s="947"/>
      <c r="Y57" s="947"/>
      <c r="Z57" s="947"/>
      <c r="AA57" s="947"/>
      <c r="AB57" s="947"/>
      <c r="AC57" s="947"/>
      <c r="AD57" s="947"/>
      <c r="AE57" s="947"/>
      <c r="AF57" s="947"/>
      <c r="AG57" s="947"/>
      <c r="AH57" s="947"/>
      <c r="AK57" s="947" t="s">
        <v>5</v>
      </c>
      <c r="AL57" s="947"/>
      <c r="AM57" s="947"/>
      <c r="AN57" s="947"/>
      <c r="AO57" s="947"/>
      <c r="AP57" s="947"/>
      <c r="AQ57" s="947"/>
      <c r="AR57" s="947"/>
      <c r="AS57" s="947"/>
      <c r="AT57" s="947"/>
      <c r="AU57" s="947"/>
      <c r="AV57" s="947"/>
      <c r="AW57" s="947"/>
      <c r="AX57" s="947"/>
      <c r="AY57" s="947"/>
      <c r="AZ57" s="100"/>
      <c r="BA57" s="101"/>
      <c r="BB57" s="948" t="s">
        <v>6</v>
      </c>
      <c r="BC57" s="948"/>
      <c r="BD57" s="948"/>
      <c r="BE57" s="948"/>
      <c r="BF57" s="948"/>
      <c r="BG57" s="948"/>
      <c r="BH57" s="948"/>
      <c r="BI57" s="948"/>
      <c r="BJ57" s="948"/>
      <c r="BK57" s="948"/>
      <c r="BL57" s="948"/>
      <c r="BM57" s="948"/>
      <c r="BN57" s="948"/>
      <c r="BO57" s="948"/>
      <c r="BP57" s="948"/>
      <c r="BQ57" s="948"/>
      <c r="BR57" s="948"/>
      <c r="BS57" s="948"/>
      <c r="BT57" s="948"/>
      <c r="BU57" s="948"/>
      <c r="BV57" s="948"/>
      <c r="BW57" s="948"/>
      <c r="BX57" s="948"/>
      <c r="BY57" s="948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50" t="s">
        <v>179</v>
      </c>
      <c r="B58" s="950"/>
      <c r="C58" s="942"/>
      <c r="D58" s="942"/>
      <c r="E58" s="942"/>
      <c r="F58" s="942"/>
      <c r="G58" s="942"/>
      <c r="H58" s="943" t="s">
        <v>179</v>
      </c>
      <c r="I58" s="943"/>
      <c r="J58" s="943"/>
      <c r="K58" s="942"/>
      <c r="L58" s="942"/>
      <c r="M58" s="942"/>
      <c r="N58" s="942"/>
      <c r="O58" s="942"/>
      <c r="P58" s="942"/>
      <c r="Q58" s="942"/>
      <c r="R58" s="942"/>
      <c r="S58" s="942"/>
      <c r="T58" s="942"/>
      <c r="U58" s="942"/>
      <c r="V58" s="942"/>
      <c r="W58" s="942"/>
      <c r="X58" s="942"/>
      <c r="Y58" s="942"/>
      <c r="Z58" s="942"/>
      <c r="AA58" s="942"/>
      <c r="AB58" s="942"/>
      <c r="AC58" s="942"/>
      <c r="AD58" s="942"/>
      <c r="AE58" s="945" t="s">
        <v>905</v>
      </c>
      <c r="AF58" s="941"/>
      <c r="AG58" s="941"/>
      <c r="AH58" s="941"/>
      <c r="AI58" s="946"/>
      <c r="AJ58" s="946"/>
      <c r="AK58" s="946"/>
      <c r="AL58" s="944" t="s">
        <v>180</v>
      </c>
      <c r="AM58" s="944"/>
      <c r="AN58" s="944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9"/>
      <c r="K60" s="949"/>
      <c r="L60" s="949"/>
      <c r="M60" s="949"/>
      <c r="N60" s="949"/>
      <c r="O60" s="949"/>
      <c r="P60" s="949"/>
      <c r="Q60" s="949"/>
      <c r="R60" s="949"/>
      <c r="S60" s="949"/>
      <c r="T60" s="949"/>
      <c r="U60" s="949"/>
      <c r="V60" s="949"/>
      <c r="W60" s="949"/>
      <c r="X60" s="949"/>
      <c r="Y60" s="949"/>
      <c r="Z60" s="949"/>
      <c r="AA60" s="949"/>
      <c r="AB60" s="949"/>
      <c r="AC60" s="949"/>
      <c r="AD60" s="949"/>
      <c r="AE60" s="949"/>
      <c r="AF60" s="949"/>
      <c r="AG60" s="949"/>
      <c r="AJ60" s="949"/>
      <c r="AK60" s="949"/>
      <c r="AL60" s="949"/>
      <c r="AM60" s="949"/>
      <c r="AN60" s="949"/>
      <c r="AO60" s="949"/>
      <c r="AP60" s="949"/>
      <c r="AQ60" s="949"/>
      <c r="AR60" s="949"/>
      <c r="AS60" s="949"/>
      <c r="AT60" s="949"/>
      <c r="AU60" s="949"/>
      <c r="AV60" s="949"/>
      <c r="AW60" s="949"/>
      <c r="AX60" s="949"/>
      <c r="AY60" s="80"/>
      <c r="AZ60" s="94"/>
      <c r="BA60" s="949"/>
      <c r="BB60" s="949"/>
      <c r="BC60" s="949"/>
      <c r="BD60" s="949"/>
      <c r="BE60" s="949"/>
      <c r="BF60" s="949"/>
      <c r="BG60" s="949"/>
      <c r="BH60" s="949"/>
      <c r="BI60" s="949"/>
      <c r="BJ60" s="949"/>
      <c r="BK60" s="949"/>
      <c r="BL60" s="949"/>
      <c r="BM60" s="949"/>
      <c r="BN60" s="949"/>
      <c r="BO60" s="949"/>
      <c r="BP60" s="949"/>
      <c r="BQ60" s="949"/>
      <c r="BR60" s="949"/>
      <c r="BS60" s="949"/>
      <c r="BT60" s="949"/>
      <c r="BU60" s="949"/>
      <c r="BV60" s="949"/>
      <c r="BW60" s="949"/>
      <c r="BX60" s="949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47" t="s">
        <v>142</v>
      </c>
      <c r="K61" s="947"/>
      <c r="L61" s="947"/>
      <c r="M61" s="947"/>
      <c r="N61" s="947"/>
      <c r="O61" s="947"/>
      <c r="P61" s="947"/>
      <c r="Q61" s="947"/>
      <c r="R61" s="947"/>
      <c r="S61" s="947"/>
      <c r="T61" s="947"/>
      <c r="U61" s="947"/>
      <c r="V61" s="947"/>
      <c r="W61" s="947"/>
      <c r="X61" s="947"/>
      <c r="Y61" s="947"/>
      <c r="Z61" s="947"/>
      <c r="AA61" s="947"/>
      <c r="AB61" s="947"/>
      <c r="AC61" s="947"/>
      <c r="AD61" s="947"/>
      <c r="AE61" s="947"/>
      <c r="AF61" s="947"/>
      <c r="AG61" s="947"/>
      <c r="AJ61" s="947" t="s">
        <v>5</v>
      </c>
      <c r="AK61" s="947"/>
      <c r="AL61" s="947"/>
      <c r="AM61" s="947"/>
      <c r="AN61" s="947"/>
      <c r="AO61" s="947"/>
      <c r="AP61" s="947"/>
      <c r="AQ61" s="947"/>
      <c r="AR61" s="947"/>
      <c r="AS61" s="947"/>
      <c r="AT61" s="947"/>
      <c r="AU61" s="947"/>
      <c r="AV61" s="947"/>
      <c r="AW61" s="947"/>
      <c r="AX61" s="947"/>
      <c r="AY61" s="100"/>
      <c r="AZ61" s="101"/>
      <c r="BA61" s="947" t="s">
        <v>6</v>
      </c>
      <c r="BB61" s="947"/>
      <c r="BC61" s="947"/>
      <c r="BD61" s="947"/>
      <c r="BE61" s="947"/>
      <c r="BF61" s="947"/>
      <c r="BG61" s="947"/>
      <c r="BH61" s="947"/>
      <c r="BI61" s="947"/>
      <c r="BJ61" s="947"/>
      <c r="BK61" s="947"/>
      <c r="BL61" s="947"/>
      <c r="BM61" s="947"/>
      <c r="BN61" s="947"/>
      <c r="BO61" s="947"/>
      <c r="BP61" s="947"/>
      <c r="BQ61" s="947"/>
      <c r="BR61" s="947"/>
      <c r="BS61" s="947"/>
      <c r="BT61" s="947"/>
      <c r="BU61" s="947"/>
      <c r="BV61" s="947"/>
      <c r="BW61" s="947"/>
      <c r="BX61" s="947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  <c r="AA62" s="949"/>
      <c r="AB62" s="949"/>
      <c r="AC62" s="949"/>
      <c r="AD62" s="949"/>
      <c r="AE62" s="949"/>
      <c r="AF62" s="949"/>
      <c r="AG62" s="949"/>
      <c r="AH62" s="106"/>
      <c r="AI62" s="106"/>
      <c r="AJ62" s="949"/>
      <c r="AK62" s="949"/>
      <c r="AL62" s="949"/>
      <c r="AM62" s="949"/>
      <c r="AN62" s="949"/>
      <c r="AO62" s="949"/>
      <c r="AP62" s="949"/>
      <c r="AQ62" s="949"/>
      <c r="AR62" s="949"/>
      <c r="AS62" s="949"/>
      <c r="AT62" s="949"/>
      <c r="AU62" s="949"/>
      <c r="AV62" s="949"/>
      <c r="AW62" s="949"/>
      <c r="AX62" s="949"/>
      <c r="AY62" s="82"/>
      <c r="AZ62" s="107"/>
      <c r="BA62" s="949"/>
      <c r="BB62" s="949"/>
      <c r="BC62" s="949"/>
      <c r="BD62" s="949"/>
      <c r="BE62" s="949"/>
      <c r="BF62" s="949"/>
      <c r="BG62" s="949"/>
      <c r="BH62" s="949"/>
      <c r="BI62" s="949"/>
      <c r="BJ62" s="949"/>
      <c r="BK62" s="949"/>
      <c r="BL62" s="949"/>
      <c r="BM62" s="949"/>
      <c r="BN62" s="949"/>
      <c r="BO62" s="949"/>
      <c r="BP62" s="949"/>
      <c r="BQ62" s="949"/>
      <c r="BR62" s="949"/>
      <c r="BS62" s="949"/>
      <c r="BT62" s="949"/>
      <c r="BU62" s="949"/>
      <c r="BV62" s="949"/>
      <c r="BW62" s="949"/>
      <c r="BX62" s="949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47" t="s">
        <v>142</v>
      </c>
      <c r="K63" s="947"/>
      <c r="L63" s="947"/>
      <c r="M63" s="947"/>
      <c r="N63" s="947"/>
      <c r="O63" s="947"/>
      <c r="P63" s="947"/>
      <c r="Q63" s="947"/>
      <c r="R63" s="947"/>
      <c r="S63" s="947"/>
      <c r="T63" s="947"/>
      <c r="U63" s="947"/>
      <c r="V63" s="947"/>
      <c r="W63" s="947"/>
      <c r="X63" s="947"/>
      <c r="Y63" s="947"/>
      <c r="Z63" s="947"/>
      <c r="AA63" s="947"/>
      <c r="AB63" s="947"/>
      <c r="AC63" s="947"/>
      <c r="AD63" s="947"/>
      <c r="AE63" s="947"/>
      <c r="AF63" s="947"/>
      <c r="AG63" s="947"/>
      <c r="AJ63" s="947" t="s">
        <v>5</v>
      </c>
      <c r="AK63" s="947"/>
      <c r="AL63" s="947"/>
      <c r="AM63" s="947"/>
      <c r="AN63" s="947"/>
      <c r="AO63" s="947"/>
      <c r="AP63" s="947"/>
      <c r="AQ63" s="947"/>
      <c r="AR63" s="947"/>
      <c r="AS63" s="947"/>
      <c r="AT63" s="947"/>
      <c r="AU63" s="947"/>
      <c r="AV63" s="947"/>
      <c r="AW63" s="947"/>
      <c r="AX63" s="947"/>
      <c r="AY63" s="100"/>
      <c r="AZ63" s="101"/>
      <c r="BA63" s="947" t="s">
        <v>6</v>
      </c>
      <c r="BB63" s="947"/>
      <c r="BC63" s="947"/>
      <c r="BD63" s="947"/>
      <c r="BE63" s="947"/>
      <c r="BF63" s="947"/>
      <c r="BG63" s="947"/>
      <c r="BH63" s="947"/>
      <c r="BI63" s="947"/>
      <c r="BJ63" s="947"/>
      <c r="BK63" s="947"/>
      <c r="BL63" s="947"/>
      <c r="BM63" s="947"/>
      <c r="BN63" s="947"/>
      <c r="BO63" s="947"/>
      <c r="BP63" s="947"/>
      <c r="BQ63" s="947"/>
      <c r="BR63" s="947"/>
      <c r="BS63" s="947"/>
      <c r="BT63" s="947"/>
      <c r="BU63" s="947"/>
      <c r="BV63" s="947"/>
      <c r="BW63" s="947"/>
      <c r="BX63" s="947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41" t="s">
        <v>179</v>
      </c>
      <c r="B64" s="941"/>
      <c r="C64" s="942"/>
      <c r="D64" s="942"/>
      <c r="E64" s="942"/>
      <c r="F64" s="942"/>
      <c r="G64" s="942"/>
      <c r="H64" s="943" t="s">
        <v>179</v>
      </c>
      <c r="I64" s="943"/>
      <c r="J64" s="943"/>
      <c r="K64" s="942"/>
      <c r="L64" s="942"/>
      <c r="M64" s="942"/>
      <c r="N64" s="942"/>
      <c r="O64" s="942"/>
      <c r="P64" s="942"/>
      <c r="Q64" s="942"/>
      <c r="R64" s="942"/>
      <c r="S64" s="942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942"/>
      <c r="AE64" s="945" t="s">
        <v>905</v>
      </c>
      <c r="AF64" s="941"/>
      <c r="AG64" s="941"/>
      <c r="AH64" s="941"/>
      <c r="AI64" s="946"/>
      <c r="AJ64" s="946"/>
      <c r="AK64" s="946"/>
      <c r="AL64" s="944" t="s">
        <v>180</v>
      </c>
      <c r="AM64" s="944"/>
      <c r="AN64" s="944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4"/>
    </row>
  </sheetData>
  <sheetProtection password="C09F" sheet="1" objects="1" scenarios="1"/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I2" sqref="I2:AU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46" t="s">
        <v>519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349"/>
      <c r="AW1" s="1146" t="s">
        <v>519</v>
      </c>
      <c r="AX1" s="1146"/>
      <c r="AY1" s="1146"/>
      <c r="AZ1" s="1146"/>
      <c r="BA1" s="1146"/>
      <c r="BB1" s="1146"/>
      <c r="BC1" s="1146"/>
      <c r="BD1" s="1146"/>
      <c r="BE1" s="1146"/>
      <c r="BF1" s="1146"/>
      <c r="BG1" s="1146"/>
      <c r="BH1" s="1146"/>
      <c r="BI1" s="1146"/>
      <c r="BJ1" s="1146"/>
      <c r="BK1" s="1146"/>
      <c r="BL1" s="1146"/>
      <c r="BM1" s="1146"/>
      <c r="BN1" s="1146"/>
      <c r="BO1" s="1146"/>
      <c r="BP1" s="1146"/>
      <c r="BQ1" s="1146"/>
      <c r="BR1" s="1146"/>
      <c r="BS1" s="1146"/>
      <c r="BT1" s="1146"/>
      <c r="BU1" s="1146"/>
      <c r="BV1" s="1146"/>
      <c r="BW1" s="1146"/>
      <c r="BX1" s="1146"/>
      <c r="BY1" s="1146"/>
      <c r="BZ1" s="1146"/>
      <c r="CA1" s="1146"/>
      <c r="CB1" s="1146"/>
      <c r="CC1" s="1146"/>
      <c r="CD1" s="1146"/>
      <c r="CE1" s="1146"/>
      <c r="CF1" s="1146"/>
      <c r="CG1" s="1146"/>
      <c r="CH1" s="1146"/>
      <c r="CI1" s="1146"/>
      <c r="CJ1" s="1146"/>
      <c r="CK1" s="1146"/>
      <c r="CL1" s="1146"/>
      <c r="CM1" s="1146"/>
      <c r="CN1" s="1146"/>
      <c r="CO1" s="1146"/>
      <c r="CP1" s="1146"/>
      <c r="CQ1" s="1146"/>
      <c r="CR1" s="350"/>
      <c r="CS1" s="1146" t="s">
        <v>519</v>
      </c>
      <c r="CT1" s="1146"/>
      <c r="CU1" s="1146"/>
      <c r="CV1" s="1146"/>
      <c r="CW1" s="1146"/>
      <c r="CX1" s="1146"/>
      <c r="CY1" s="1146"/>
      <c r="CZ1" s="1146"/>
      <c r="DA1" s="1146"/>
      <c r="DB1" s="1146"/>
      <c r="DC1" s="1146"/>
      <c r="DD1" s="1146"/>
      <c r="DE1" s="1146"/>
      <c r="DF1" s="1146"/>
      <c r="DG1" s="1146"/>
      <c r="DH1" s="1146"/>
      <c r="DI1" s="1146"/>
      <c r="DJ1" s="1146"/>
      <c r="DK1" s="1146"/>
      <c r="DL1" s="1146"/>
      <c r="DM1" s="1146"/>
      <c r="DN1" s="1146"/>
      <c r="DO1" s="1146"/>
      <c r="DP1" s="1146"/>
      <c r="DQ1" s="1146"/>
      <c r="DR1" s="1146"/>
      <c r="DS1" s="1146"/>
      <c r="DT1" s="1146"/>
      <c r="DU1" s="1146"/>
      <c r="DV1" s="1146"/>
      <c r="DW1" s="1146"/>
      <c r="DX1" s="1146"/>
      <c r="DY1" s="1146"/>
      <c r="DZ1" s="1146"/>
      <c r="EA1" s="1146"/>
      <c r="EB1" s="1146"/>
      <c r="EC1" s="1146"/>
      <c r="ED1" s="1146"/>
      <c r="EE1" s="1146"/>
      <c r="EF1" s="1146"/>
      <c r="EG1" s="1146"/>
      <c r="EH1" s="1146"/>
      <c r="EI1" s="1146"/>
      <c r="EJ1" s="1146"/>
      <c r="EK1" s="1146"/>
      <c r="EL1" s="1146"/>
      <c r="EM1" s="1146"/>
    </row>
    <row r="2" spans="1:143" s="234" customFormat="1" ht="35.25" customHeight="1">
      <c r="A2" s="1026" t="s">
        <v>1040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49"/>
      <c r="AW2" s="1026" t="s">
        <v>1040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1040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6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49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22.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49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5" customFormat="1" ht="47.2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7" t="s">
        <v>523</v>
      </c>
      <c r="J5" s="1116"/>
      <c r="K5" s="1116"/>
      <c r="L5" s="1116"/>
      <c r="M5" s="488" t="s">
        <v>524</v>
      </c>
      <c r="N5" s="489"/>
      <c r="O5" s="1116"/>
      <c r="P5" s="1116"/>
      <c r="Q5" s="1116"/>
      <c r="R5" s="1116"/>
      <c r="S5" s="1116"/>
      <c r="T5" s="1116"/>
      <c r="U5" s="1116"/>
      <c r="V5" s="1116"/>
      <c r="W5" s="1116"/>
      <c r="X5" s="1116"/>
      <c r="Y5" s="1116"/>
      <c r="Z5" s="1116"/>
      <c r="AA5" s="1116"/>
      <c r="AB5" s="1116"/>
      <c r="AC5" s="1116"/>
      <c r="AD5" s="1116"/>
      <c r="AE5" s="1116"/>
      <c r="AF5" s="1116"/>
      <c r="AG5" s="1116"/>
      <c r="AH5" s="1116"/>
      <c r="AI5" s="1116"/>
      <c r="AJ5" s="489"/>
      <c r="AK5" s="1116"/>
      <c r="AL5" s="1116"/>
      <c r="AM5" s="1116"/>
      <c r="AN5" s="1116"/>
      <c r="AO5" s="1116"/>
      <c r="AP5" s="1116"/>
      <c r="AQ5" s="1116"/>
      <c r="AR5" s="1116"/>
      <c r="AS5" s="1116"/>
      <c r="AT5" s="489"/>
      <c r="AU5" s="490" t="s">
        <v>375</v>
      </c>
      <c r="AV5" s="494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7" t="s">
        <v>523</v>
      </c>
      <c r="BF5" s="1116"/>
      <c r="BG5" s="1116"/>
      <c r="BH5" s="1116"/>
      <c r="BI5" s="488" t="s">
        <v>524</v>
      </c>
      <c r="BJ5" s="489"/>
      <c r="BK5" s="1116"/>
      <c r="BL5" s="1116"/>
      <c r="BM5" s="1116"/>
      <c r="BN5" s="1116"/>
      <c r="BO5" s="1116"/>
      <c r="BP5" s="1116"/>
      <c r="BQ5" s="1116"/>
      <c r="BR5" s="1116"/>
      <c r="BS5" s="1116"/>
      <c r="BT5" s="1116"/>
      <c r="BU5" s="1116"/>
      <c r="BV5" s="1116"/>
      <c r="BW5" s="1116"/>
      <c r="BX5" s="1116"/>
      <c r="BY5" s="1116"/>
      <c r="BZ5" s="1116"/>
      <c r="CA5" s="1116"/>
      <c r="CB5" s="1116"/>
      <c r="CC5" s="1116"/>
      <c r="CD5" s="1116"/>
      <c r="CE5" s="1116"/>
      <c r="CF5" s="489"/>
      <c r="CG5" s="1116"/>
      <c r="CH5" s="1116"/>
      <c r="CI5" s="1116"/>
      <c r="CJ5" s="1116"/>
      <c r="CK5" s="1116"/>
      <c r="CL5" s="1116"/>
      <c r="CM5" s="1116"/>
      <c r="CN5" s="1116"/>
      <c r="CO5" s="1116"/>
      <c r="CP5" s="489"/>
      <c r="CQ5" s="490" t="s">
        <v>375</v>
      </c>
      <c r="CR5" s="493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7" t="s">
        <v>523</v>
      </c>
      <c r="DB5" s="1116"/>
      <c r="DC5" s="1116"/>
      <c r="DD5" s="1116"/>
      <c r="DE5" s="488" t="s">
        <v>524</v>
      </c>
      <c r="DF5" s="489"/>
      <c r="DG5" s="1116"/>
      <c r="DH5" s="1116"/>
      <c r="DI5" s="1116"/>
      <c r="DJ5" s="1116"/>
      <c r="DK5" s="1116"/>
      <c r="DL5" s="1116"/>
      <c r="DM5" s="1116"/>
      <c r="DN5" s="1116"/>
      <c r="DO5" s="1116"/>
      <c r="DP5" s="1116"/>
      <c r="DQ5" s="1116"/>
      <c r="DR5" s="1116"/>
      <c r="DS5" s="1116"/>
      <c r="DT5" s="1116"/>
      <c r="DU5" s="1116"/>
      <c r="DV5" s="1116"/>
      <c r="DW5" s="1116"/>
      <c r="DX5" s="1116"/>
      <c r="DY5" s="1116"/>
      <c r="DZ5" s="1116"/>
      <c r="EA5" s="1116"/>
      <c r="EB5" s="489"/>
      <c r="EC5" s="1116"/>
      <c r="ED5" s="1116"/>
      <c r="EE5" s="1116"/>
      <c r="EF5" s="1116"/>
      <c r="EG5" s="1116"/>
      <c r="EH5" s="1116"/>
      <c r="EI5" s="1116"/>
      <c r="EJ5" s="1116"/>
      <c r="EK5" s="1116"/>
      <c r="EL5" s="489"/>
      <c r="EM5" s="490" t="s">
        <v>375</v>
      </c>
    </row>
    <row r="6" spans="1:143" ht="33.75" customHeight="1">
      <c r="A6" s="1026" t="s">
        <v>525</v>
      </c>
      <c r="B6" s="1026"/>
      <c r="C6" s="1026"/>
      <c r="D6" s="1026"/>
      <c r="E6" s="1026"/>
      <c r="F6" s="1026"/>
      <c r="G6" s="1026"/>
      <c r="H6" s="1026"/>
      <c r="I6" s="1115" t="str">
        <f>'Настройки УИК'!$B$2</f>
        <v>${name_ik}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49"/>
      <c r="AW6" s="1026" t="s">
        <v>525</v>
      </c>
      <c r="AX6" s="1026"/>
      <c r="AY6" s="1026"/>
      <c r="AZ6" s="1026"/>
      <c r="BA6" s="1026"/>
      <c r="BB6" s="1026"/>
      <c r="BC6" s="1026"/>
      <c r="BD6" s="1026"/>
      <c r="BE6" s="1115" t="str">
        <f>'Настройки УИК'!$B$2</f>
        <v>${name_ik}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525</v>
      </c>
      <c r="CT6" s="1026"/>
      <c r="CU6" s="1026"/>
      <c r="CV6" s="1026"/>
      <c r="CW6" s="1026"/>
      <c r="CX6" s="1026"/>
      <c r="CY6" s="1026"/>
      <c r="CZ6" s="1026"/>
      <c r="DA6" s="1115" t="str">
        <f>'Настройки УИК'!$B$2</f>
        <v>${name_ik}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8.75" customHeight="1">
      <c r="A7" s="1026" t="s">
        <v>526</v>
      </c>
      <c r="B7" s="1026"/>
      <c r="C7" s="1026"/>
      <c r="D7" s="1026"/>
      <c r="E7" s="1026"/>
      <c r="F7" s="1026"/>
      <c r="G7" s="1026"/>
      <c r="H7" s="1026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349"/>
      <c r="AW7" s="1026" t="s">
        <v>526</v>
      </c>
      <c r="AX7" s="1026"/>
      <c r="AY7" s="1026"/>
      <c r="AZ7" s="1026"/>
      <c r="BA7" s="1026"/>
      <c r="BB7" s="1026"/>
      <c r="BC7" s="1026"/>
      <c r="BD7" s="1026"/>
      <c r="BE7" s="1025"/>
      <c r="BF7" s="1025"/>
      <c r="BG7" s="1025"/>
      <c r="BH7" s="1025"/>
      <c r="BI7" s="1025"/>
      <c r="BJ7" s="1025"/>
      <c r="BK7" s="1025"/>
      <c r="BL7" s="1025"/>
      <c r="BM7" s="1025"/>
      <c r="BN7" s="1025"/>
      <c r="BO7" s="1025"/>
      <c r="BP7" s="1025"/>
      <c r="BQ7" s="1025"/>
      <c r="BR7" s="1025"/>
      <c r="BS7" s="1025"/>
      <c r="BT7" s="1025"/>
      <c r="BU7" s="1025"/>
      <c r="BV7" s="1025"/>
      <c r="BW7" s="1025"/>
      <c r="BX7" s="1025"/>
      <c r="BY7" s="1025"/>
      <c r="BZ7" s="1025"/>
      <c r="CA7" s="1025"/>
      <c r="CB7" s="1025"/>
      <c r="CC7" s="1025"/>
      <c r="CD7" s="1025"/>
      <c r="CE7" s="1025"/>
      <c r="CF7" s="1025"/>
      <c r="CG7" s="1025"/>
      <c r="CH7" s="1025"/>
      <c r="CI7" s="1025"/>
      <c r="CJ7" s="1025"/>
      <c r="CK7" s="1025"/>
      <c r="CL7" s="1025"/>
      <c r="CM7" s="1025"/>
      <c r="CN7" s="1025"/>
      <c r="CO7" s="1025"/>
      <c r="CP7" s="1025"/>
      <c r="CQ7" s="1025"/>
      <c r="CR7" s="350"/>
      <c r="CS7" s="1026" t="s">
        <v>526</v>
      </c>
      <c r="CT7" s="1026"/>
      <c r="CU7" s="1026"/>
      <c r="CV7" s="1026"/>
      <c r="CW7" s="1026"/>
      <c r="CX7" s="1026"/>
      <c r="CY7" s="1026"/>
      <c r="CZ7" s="1026"/>
      <c r="DA7" s="1025"/>
      <c r="DB7" s="1025"/>
      <c r="DC7" s="1025"/>
      <c r="DD7" s="1025"/>
      <c r="DE7" s="1025"/>
      <c r="DF7" s="1025"/>
      <c r="DG7" s="1025"/>
      <c r="DH7" s="1025"/>
      <c r="DI7" s="1025"/>
      <c r="DJ7" s="1025"/>
      <c r="DK7" s="1025"/>
      <c r="DL7" s="1025"/>
      <c r="DM7" s="1025"/>
      <c r="DN7" s="1025"/>
      <c r="DO7" s="1025"/>
      <c r="DP7" s="1025"/>
      <c r="DQ7" s="1025"/>
      <c r="DR7" s="1025"/>
      <c r="DS7" s="1025"/>
      <c r="DT7" s="1025"/>
      <c r="DU7" s="1025"/>
      <c r="DV7" s="1025"/>
      <c r="DW7" s="1025"/>
      <c r="DX7" s="1025"/>
      <c r="DY7" s="1025"/>
      <c r="DZ7" s="1025"/>
      <c r="EA7" s="1025"/>
      <c r="EB7" s="1025"/>
      <c r="EC7" s="1025"/>
      <c r="ED7" s="1025"/>
      <c r="EE7" s="1025"/>
      <c r="EF7" s="1025"/>
      <c r="EG7" s="1025"/>
      <c r="EH7" s="1025"/>
      <c r="EI7" s="1025"/>
      <c r="EJ7" s="1025"/>
      <c r="EK7" s="1025"/>
      <c r="EL7" s="1025"/>
      <c r="EM7" s="1025"/>
    </row>
    <row r="8" spans="1:143" ht="18.7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49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6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349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7.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33.75" customHeight="1">
      <c r="A11" s="1026" t="s">
        <v>946</v>
      </c>
      <c r="B11" s="1026"/>
      <c r="C11" s="1026"/>
      <c r="D11" s="1026"/>
      <c r="E11" s="1026"/>
      <c r="F11" s="1026"/>
      <c r="G11" s="1026"/>
      <c r="H11" s="1026"/>
      <c r="I11" s="522" t="s">
        <v>523</v>
      </c>
      <c r="J11" s="1116"/>
      <c r="K11" s="1116"/>
      <c r="L11" s="1116"/>
      <c r="M11" s="523" t="s">
        <v>524</v>
      </c>
      <c r="N11" s="524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524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524"/>
      <c r="AU11" s="525" t="s">
        <v>375</v>
      </c>
      <c r="AV11" s="349"/>
      <c r="AW11" s="1026" t="s">
        <v>946</v>
      </c>
      <c r="AX11" s="1026"/>
      <c r="AY11" s="1026"/>
      <c r="AZ11" s="1026"/>
      <c r="BA11" s="1026"/>
      <c r="BB11" s="1026"/>
      <c r="BC11" s="1026"/>
      <c r="BD11" s="1026"/>
      <c r="BE11" s="522" t="s">
        <v>523</v>
      </c>
      <c r="BF11" s="1116"/>
      <c r="BG11" s="1116"/>
      <c r="BH11" s="1116"/>
      <c r="BI11" s="523" t="s">
        <v>524</v>
      </c>
      <c r="BJ11" s="524"/>
      <c r="BK11" s="1116"/>
      <c r="BL11" s="1116"/>
      <c r="BM11" s="1116"/>
      <c r="BN11" s="1116"/>
      <c r="BO11" s="1116"/>
      <c r="BP11" s="1116"/>
      <c r="BQ11" s="1116"/>
      <c r="BR11" s="1116"/>
      <c r="BS11" s="1116"/>
      <c r="BT11" s="1116"/>
      <c r="BU11" s="1116"/>
      <c r="BV11" s="1116"/>
      <c r="BW11" s="1116"/>
      <c r="BX11" s="1116"/>
      <c r="BY11" s="1116"/>
      <c r="BZ11" s="1116"/>
      <c r="CA11" s="1116"/>
      <c r="CB11" s="1116"/>
      <c r="CC11" s="1116"/>
      <c r="CD11" s="1116"/>
      <c r="CE11" s="1116"/>
      <c r="CF11" s="524"/>
      <c r="CG11" s="1116"/>
      <c r="CH11" s="1116"/>
      <c r="CI11" s="1116"/>
      <c r="CJ11" s="1116"/>
      <c r="CK11" s="1116"/>
      <c r="CL11" s="1116"/>
      <c r="CM11" s="1116"/>
      <c r="CN11" s="1116"/>
      <c r="CO11" s="1116"/>
      <c r="CP11" s="524"/>
      <c r="CQ11" s="525" t="s">
        <v>375</v>
      </c>
      <c r="CR11" s="350"/>
      <c r="CS11" s="1026" t="s">
        <v>946</v>
      </c>
      <c r="CT11" s="1026"/>
      <c r="CU11" s="1026"/>
      <c r="CV11" s="1026"/>
      <c r="CW11" s="1026"/>
      <c r="CX11" s="1026"/>
      <c r="CY11" s="1026"/>
      <c r="CZ11" s="1026"/>
      <c r="DA11" s="522" t="s">
        <v>523</v>
      </c>
      <c r="DB11" s="1116"/>
      <c r="DC11" s="1116"/>
      <c r="DD11" s="1116"/>
      <c r="DE11" s="523" t="s">
        <v>524</v>
      </c>
      <c r="DF11" s="524"/>
      <c r="DG11" s="1116"/>
      <c r="DH11" s="1116"/>
      <c r="DI11" s="1116"/>
      <c r="DJ11" s="1116"/>
      <c r="DK11" s="1116"/>
      <c r="DL11" s="1116"/>
      <c r="DM11" s="1116"/>
      <c r="DN11" s="1116"/>
      <c r="DO11" s="1116"/>
      <c r="DP11" s="1116"/>
      <c r="DQ11" s="1116"/>
      <c r="DR11" s="1116"/>
      <c r="DS11" s="1116"/>
      <c r="DT11" s="1116"/>
      <c r="DU11" s="1116"/>
      <c r="DV11" s="1116"/>
      <c r="DW11" s="1116"/>
      <c r="DX11" s="1116"/>
      <c r="DY11" s="1116"/>
      <c r="DZ11" s="1116"/>
      <c r="EA11" s="1116"/>
      <c r="EB11" s="524"/>
      <c r="EC11" s="1116"/>
      <c r="ED11" s="1116"/>
      <c r="EE11" s="1116"/>
      <c r="EF11" s="1116"/>
      <c r="EG11" s="1116"/>
      <c r="EH11" s="1116"/>
      <c r="EI11" s="1116"/>
      <c r="EJ11" s="1116"/>
      <c r="EK11" s="1116"/>
      <c r="EL11" s="524"/>
      <c r="EM11" s="525" t="s">
        <v>375</v>
      </c>
    </row>
    <row r="12" spans="1:143" ht="33.75" customHeight="1">
      <c r="A12" s="1026" t="s">
        <v>947</v>
      </c>
      <c r="B12" s="1026"/>
      <c r="C12" s="1026"/>
      <c r="D12" s="1026"/>
      <c r="E12" s="1026"/>
      <c r="F12" s="1026"/>
      <c r="G12" s="1026"/>
      <c r="H12" s="1026"/>
      <c r="I12" s="522" t="s">
        <v>523</v>
      </c>
      <c r="J12" s="1120"/>
      <c r="K12" s="1120"/>
      <c r="L12" s="1120"/>
      <c r="M12" s="526" t="s">
        <v>524</v>
      </c>
      <c r="N12" s="524"/>
      <c r="O12" s="1116"/>
      <c r="P12" s="1116"/>
      <c r="Q12" s="1116"/>
      <c r="R12" s="1116"/>
      <c r="S12" s="1116"/>
      <c r="T12" s="1116"/>
      <c r="U12" s="1116"/>
      <c r="V12" s="1116"/>
      <c r="W12" s="1116"/>
      <c r="X12" s="1116"/>
      <c r="Y12" s="1116"/>
      <c r="Z12" s="1116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524"/>
      <c r="AK12" s="1116"/>
      <c r="AL12" s="1116"/>
      <c r="AM12" s="1116"/>
      <c r="AN12" s="1116"/>
      <c r="AO12" s="1116"/>
      <c r="AP12" s="1116"/>
      <c r="AQ12" s="1116"/>
      <c r="AR12" s="1116"/>
      <c r="AS12" s="1116"/>
      <c r="AT12" s="524"/>
      <c r="AU12" s="525" t="s">
        <v>375</v>
      </c>
      <c r="AV12" s="349"/>
      <c r="AW12" s="1026" t="s">
        <v>947</v>
      </c>
      <c r="AX12" s="1026"/>
      <c r="AY12" s="1026"/>
      <c r="AZ12" s="1026"/>
      <c r="BA12" s="1026"/>
      <c r="BB12" s="1026"/>
      <c r="BC12" s="1026"/>
      <c r="BD12" s="1026"/>
      <c r="BE12" s="522" t="s">
        <v>523</v>
      </c>
      <c r="BF12" s="1120"/>
      <c r="BG12" s="1120"/>
      <c r="BH12" s="1120"/>
      <c r="BI12" s="526" t="s">
        <v>524</v>
      </c>
      <c r="BJ12" s="524"/>
      <c r="BK12" s="1116"/>
      <c r="BL12" s="1116"/>
      <c r="BM12" s="1116"/>
      <c r="BN12" s="1116"/>
      <c r="BO12" s="1116"/>
      <c r="BP12" s="1116"/>
      <c r="BQ12" s="1116"/>
      <c r="BR12" s="1116"/>
      <c r="BS12" s="1116"/>
      <c r="BT12" s="1116"/>
      <c r="BU12" s="1116"/>
      <c r="BV12" s="1116"/>
      <c r="BW12" s="1116"/>
      <c r="BX12" s="1116"/>
      <c r="BY12" s="1116"/>
      <c r="BZ12" s="1116"/>
      <c r="CA12" s="1116"/>
      <c r="CB12" s="1116"/>
      <c r="CC12" s="1116"/>
      <c r="CD12" s="1116"/>
      <c r="CE12" s="1116"/>
      <c r="CF12" s="524"/>
      <c r="CG12" s="1116"/>
      <c r="CH12" s="1116"/>
      <c r="CI12" s="1116"/>
      <c r="CJ12" s="1116"/>
      <c r="CK12" s="1116"/>
      <c r="CL12" s="1116"/>
      <c r="CM12" s="1116"/>
      <c r="CN12" s="1116"/>
      <c r="CO12" s="1116"/>
      <c r="CP12" s="524"/>
      <c r="CQ12" s="525" t="s">
        <v>375</v>
      </c>
      <c r="CR12" s="350"/>
      <c r="CS12" s="1026" t="s">
        <v>947</v>
      </c>
      <c r="CT12" s="1026"/>
      <c r="CU12" s="1026"/>
      <c r="CV12" s="1026"/>
      <c r="CW12" s="1026"/>
      <c r="CX12" s="1026"/>
      <c r="CY12" s="1026"/>
      <c r="CZ12" s="1026"/>
      <c r="DA12" s="522" t="s">
        <v>523</v>
      </c>
      <c r="DB12" s="1120"/>
      <c r="DC12" s="1120"/>
      <c r="DD12" s="1120"/>
      <c r="DE12" s="526" t="s">
        <v>524</v>
      </c>
      <c r="DF12" s="524"/>
      <c r="DG12" s="1116"/>
      <c r="DH12" s="1116"/>
      <c r="DI12" s="1116"/>
      <c r="DJ12" s="1116"/>
      <c r="DK12" s="1116"/>
      <c r="DL12" s="1116"/>
      <c r="DM12" s="1116"/>
      <c r="DN12" s="1116"/>
      <c r="DO12" s="1116"/>
      <c r="DP12" s="1116"/>
      <c r="DQ12" s="1116"/>
      <c r="DR12" s="1116"/>
      <c r="DS12" s="1116"/>
      <c r="DT12" s="1116"/>
      <c r="DU12" s="1116"/>
      <c r="DV12" s="1116"/>
      <c r="DW12" s="1116"/>
      <c r="DX12" s="1116"/>
      <c r="DY12" s="1116"/>
      <c r="DZ12" s="1116"/>
      <c r="EA12" s="1116"/>
      <c r="EB12" s="524"/>
      <c r="EC12" s="1116"/>
      <c r="ED12" s="1116"/>
      <c r="EE12" s="1116"/>
      <c r="EF12" s="1116"/>
      <c r="EG12" s="1116"/>
      <c r="EH12" s="1116"/>
      <c r="EI12" s="1116"/>
      <c r="EJ12" s="1116"/>
      <c r="EK12" s="1116"/>
      <c r="EL12" s="524"/>
      <c r="EM12" s="525" t="s">
        <v>375</v>
      </c>
    </row>
    <row r="13" spans="1:143" ht="33.75" customHeight="1">
      <c r="A13" s="1026" t="s">
        <v>530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49"/>
      <c r="AW13" s="1026" t="s">
        <v>530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530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531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49"/>
      <c r="AW14" s="1026" t="s">
        <v>531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531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.7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2" t="s">
        <v>523</v>
      </c>
      <c r="J15" s="1120"/>
      <c r="K15" s="1120"/>
      <c r="L15" s="1120"/>
      <c r="M15" s="526" t="s">
        <v>524</v>
      </c>
      <c r="N15" s="524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  <c r="AJ15" s="524"/>
      <c r="AK15" s="1116"/>
      <c r="AL15" s="1116"/>
      <c r="AM15" s="1116"/>
      <c r="AN15" s="1116"/>
      <c r="AO15" s="1116"/>
      <c r="AP15" s="1116"/>
      <c r="AQ15" s="1116"/>
      <c r="AR15" s="1116"/>
      <c r="AS15" s="1116"/>
      <c r="AT15" s="524"/>
      <c r="AU15" s="525" t="s">
        <v>375</v>
      </c>
      <c r="AV15" s="349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2" t="s">
        <v>523</v>
      </c>
      <c r="BF15" s="1120"/>
      <c r="BG15" s="1120"/>
      <c r="BH15" s="1120"/>
      <c r="BI15" s="526" t="s">
        <v>524</v>
      </c>
      <c r="BJ15" s="524"/>
      <c r="BK15" s="1116"/>
      <c r="BL15" s="1116"/>
      <c r="BM15" s="1116"/>
      <c r="BN15" s="1116"/>
      <c r="BO15" s="1116"/>
      <c r="BP15" s="1116"/>
      <c r="BQ15" s="1116"/>
      <c r="BR15" s="1116"/>
      <c r="BS15" s="1116"/>
      <c r="BT15" s="1116"/>
      <c r="BU15" s="1116"/>
      <c r="BV15" s="1116"/>
      <c r="BW15" s="1116"/>
      <c r="BX15" s="1116"/>
      <c r="BY15" s="1116"/>
      <c r="BZ15" s="1116"/>
      <c r="CA15" s="1116"/>
      <c r="CB15" s="1116"/>
      <c r="CC15" s="1116"/>
      <c r="CD15" s="1116"/>
      <c r="CE15" s="1116"/>
      <c r="CF15" s="524"/>
      <c r="CG15" s="1116"/>
      <c r="CH15" s="1116"/>
      <c r="CI15" s="1116"/>
      <c r="CJ15" s="1116"/>
      <c r="CK15" s="1116"/>
      <c r="CL15" s="1116"/>
      <c r="CM15" s="1116"/>
      <c r="CN15" s="1116"/>
      <c r="CO15" s="1116"/>
      <c r="CP15" s="524"/>
      <c r="CQ15" s="525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2" t="s">
        <v>523</v>
      </c>
      <c r="DB15" s="1120"/>
      <c r="DC15" s="1120"/>
      <c r="DD15" s="1120"/>
      <c r="DE15" s="526" t="s">
        <v>524</v>
      </c>
      <c r="DF15" s="524"/>
      <c r="DG15" s="1116"/>
      <c r="DH15" s="1116"/>
      <c r="DI15" s="1116"/>
      <c r="DJ15" s="1116"/>
      <c r="DK15" s="1116"/>
      <c r="DL15" s="1116"/>
      <c r="DM15" s="1116"/>
      <c r="DN15" s="1116"/>
      <c r="DO15" s="1116"/>
      <c r="DP15" s="1116"/>
      <c r="DQ15" s="1116"/>
      <c r="DR15" s="1116"/>
      <c r="DS15" s="1116"/>
      <c r="DT15" s="1116"/>
      <c r="DU15" s="1116"/>
      <c r="DV15" s="1116"/>
      <c r="DW15" s="1116"/>
      <c r="DX15" s="1116"/>
      <c r="DY15" s="1116"/>
      <c r="DZ15" s="1116"/>
      <c r="EA15" s="1116"/>
      <c r="EB15" s="524"/>
      <c r="EC15" s="1116"/>
      <c r="ED15" s="1116"/>
      <c r="EE15" s="1116"/>
      <c r="EF15" s="1116"/>
      <c r="EG15" s="1116"/>
      <c r="EH15" s="1116"/>
      <c r="EI15" s="1116"/>
      <c r="EJ15" s="1116"/>
      <c r="EK15" s="1116"/>
      <c r="EL15" s="524"/>
      <c r="EM15" s="525" t="s">
        <v>375</v>
      </c>
    </row>
    <row r="16" spans="1:143" ht="34.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49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8.7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49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8.7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49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8.7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49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2.2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49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8.7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49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8.7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49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8.7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49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8.7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49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53.25" customHeight="1">
      <c r="A25" s="1026" t="s">
        <v>541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49"/>
      <c r="AW25" s="1026" t="s">
        <v>541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541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53.25" customHeight="1">
      <c r="A26" s="1026" t="s">
        <v>542</v>
      </c>
      <c r="B26" s="1026"/>
      <c r="C26" s="1026"/>
      <c r="D26" s="1026"/>
      <c r="E26" s="1026"/>
      <c r="F26" s="1026"/>
      <c r="G26" s="1026"/>
      <c r="H26" s="1026"/>
      <c r="I26" s="522" t="s">
        <v>523</v>
      </c>
      <c r="J26" s="1025"/>
      <c r="K26" s="1025"/>
      <c r="L26" s="1025"/>
      <c r="M26" s="526" t="s">
        <v>524</v>
      </c>
      <c r="N26" s="524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4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4"/>
      <c r="AU26" s="525" t="s">
        <v>375</v>
      </c>
      <c r="AV26" s="349"/>
      <c r="AW26" s="1026" t="s">
        <v>542</v>
      </c>
      <c r="AX26" s="1026"/>
      <c r="AY26" s="1026"/>
      <c r="AZ26" s="1026"/>
      <c r="BA26" s="1026"/>
      <c r="BB26" s="1026"/>
      <c r="BC26" s="1026"/>
      <c r="BD26" s="1026"/>
      <c r="BE26" s="522" t="s">
        <v>523</v>
      </c>
      <c r="BF26" s="1025"/>
      <c r="BG26" s="1025"/>
      <c r="BH26" s="1025"/>
      <c r="BI26" s="526" t="s">
        <v>524</v>
      </c>
      <c r="BJ26" s="524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4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4"/>
      <c r="CQ26" s="525" t="s">
        <v>375</v>
      </c>
      <c r="CR26" s="350"/>
      <c r="CS26" s="1026" t="s">
        <v>542</v>
      </c>
      <c r="CT26" s="1026"/>
      <c r="CU26" s="1026"/>
      <c r="CV26" s="1026"/>
      <c r="CW26" s="1026"/>
      <c r="CX26" s="1026"/>
      <c r="CY26" s="1026"/>
      <c r="CZ26" s="1026"/>
      <c r="DA26" s="522" t="s">
        <v>523</v>
      </c>
      <c r="DB26" s="1025"/>
      <c r="DC26" s="1025"/>
      <c r="DD26" s="1025"/>
      <c r="DE26" s="526" t="s">
        <v>524</v>
      </c>
      <c r="DF26" s="524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4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4"/>
      <c r="EM26" s="525" t="s">
        <v>375</v>
      </c>
    </row>
    <row r="27" spans="1:143" ht="53.25" customHeight="1">
      <c r="A27" s="1026" t="s">
        <v>543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49"/>
      <c r="AW27" s="1026" t="s">
        <v>543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543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53.25" customHeight="1">
      <c r="A28" s="1026" t="s">
        <v>544</v>
      </c>
      <c r="B28" s="1026"/>
      <c r="C28" s="1026"/>
      <c r="D28" s="1026"/>
      <c r="E28" s="1026"/>
      <c r="F28" s="1026"/>
      <c r="G28" s="1026"/>
      <c r="H28" s="1026"/>
      <c r="I28" s="522" t="s">
        <v>523</v>
      </c>
      <c r="J28" s="1025"/>
      <c r="K28" s="1025"/>
      <c r="L28" s="1025"/>
      <c r="M28" s="526" t="s">
        <v>524</v>
      </c>
      <c r="N28" s="524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  <c r="AA28" s="1025"/>
      <c r="AB28" s="1025"/>
      <c r="AC28" s="1025"/>
      <c r="AD28" s="1025"/>
      <c r="AE28" s="1025"/>
      <c r="AF28" s="1025"/>
      <c r="AG28" s="1025"/>
      <c r="AH28" s="1025"/>
      <c r="AI28" s="1025"/>
      <c r="AJ28" s="524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524"/>
      <c r="AU28" s="525" t="s">
        <v>375</v>
      </c>
      <c r="AV28" s="349"/>
      <c r="AW28" s="1026" t="s">
        <v>544</v>
      </c>
      <c r="AX28" s="1026"/>
      <c r="AY28" s="1026"/>
      <c r="AZ28" s="1026"/>
      <c r="BA28" s="1026"/>
      <c r="BB28" s="1026"/>
      <c r="BC28" s="1026"/>
      <c r="BD28" s="1026"/>
      <c r="BE28" s="522" t="s">
        <v>523</v>
      </c>
      <c r="BF28" s="1025"/>
      <c r="BG28" s="1025"/>
      <c r="BH28" s="1025"/>
      <c r="BI28" s="526" t="s">
        <v>524</v>
      </c>
      <c r="BJ28" s="524"/>
      <c r="BK28" s="1025"/>
      <c r="BL28" s="1025"/>
      <c r="BM28" s="1025"/>
      <c r="BN28" s="1025"/>
      <c r="BO28" s="1025"/>
      <c r="BP28" s="1025"/>
      <c r="BQ28" s="1025"/>
      <c r="BR28" s="1025"/>
      <c r="BS28" s="1025"/>
      <c r="BT28" s="1025"/>
      <c r="BU28" s="1025"/>
      <c r="BV28" s="1025"/>
      <c r="BW28" s="1025"/>
      <c r="BX28" s="1025"/>
      <c r="BY28" s="1025"/>
      <c r="BZ28" s="1025"/>
      <c r="CA28" s="1025"/>
      <c r="CB28" s="1025"/>
      <c r="CC28" s="1025"/>
      <c r="CD28" s="1025"/>
      <c r="CE28" s="1025"/>
      <c r="CF28" s="524"/>
      <c r="CG28" s="1025"/>
      <c r="CH28" s="1025"/>
      <c r="CI28" s="1025"/>
      <c r="CJ28" s="1025"/>
      <c r="CK28" s="1025"/>
      <c r="CL28" s="1025"/>
      <c r="CM28" s="1025"/>
      <c r="CN28" s="1025"/>
      <c r="CO28" s="1025"/>
      <c r="CP28" s="524"/>
      <c r="CQ28" s="525" t="s">
        <v>375</v>
      </c>
      <c r="CR28" s="350"/>
      <c r="CS28" s="1026" t="s">
        <v>544</v>
      </c>
      <c r="CT28" s="1026"/>
      <c r="CU28" s="1026"/>
      <c r="CV28" s="1026"/>
      <c r="CW28" s="1026"/>
      <c r="CX28" s="1026"/>
      <c r="CY28" s="1026"/>
      <c r="CZ28" s="1026"/>
      <c r="DA28" s="522" t="s">
        <v>523</v>
      </c>
      <c r="DB28" s="1025"/>
      <c r="DC28" s="1025"/>
      <c r="DD28" s="1025"/>
      <c r="DE28" s="526" t="s">
        <v>524</v>
      </c>
      <c r="DF28" s="524"/>
      <c r="DG28" s="1025"/>
      <c r="DH28" s="1025"/>
      <c r="DI28" s="1025"/>
      <c r="DJ28" s="1025"/>
      <c r="DK28" s="1025"/>
      <c r="DL28" s="1025"/>
      <c r="DM28" s="1025"/>
      <c r="DN28" s="1025"/>
      <c r="DO28" s="1025"/>
      <c r="DP28" s="1025"/>
      <c r="DQ28" s="1025"/>
      <c r="DR28" s="1025"/>
      <c r="DS28" s="1025"/>
      <c r="DT28" s="1025"/>
      <c r="DU28" s="1025"/>
      <c r="DV28" s="1025"/>
      <c r="DW28" s="1025"/>
      <c r="DX28" s="1025"/>
      <c r="DY28" s="1025"/>
      <c r="DZ28" s="1025"/>
      <c r="EA28" s="1025"/>
      <c r="EB28" s="524"/>
      <c r="EC28" s="1025"/>
      <c r="ED28" s="1025"/>
      <c r="EE28" s="1025"/>
      <c r="EF28" s="1025"/>
      <c r="EG28" s="1025"/>
      <c r="EH28" s="1025"/>
      <c r="EI28" s="1025"/>
      <c r="EJ28" s="1025"/>
      <c r="EK28" s="1025"/>
      <c r="EL28" s="524"/>
      <c r="EM28" s="525" t="s">
        <v>375</v>
      </c>
    </row>
    <row r="29" spans="1:143" ht="145.5" customHeight="1">
      <c r="A29" s="1026" t="s">
        <v>545</v>
      </c>
      <c r="B29" s="1026"/>
      <c r="C29" s="1026"/>
      <c r="D29" s="1026"/>
      <c r="E29" s="1026"/>
      <c r="F29" s="1026"/>
      <c r="G29" s="1026"/>
      <c r="H29" s="1026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  <c r="AA29" s="1025"/>
      <c r="AB29" s="1025"/>
      <c r="AC29" s="1025"/>
      <c r="AD29" s="1025"/>
      <c r="AE29" s="1025"/>
      <c r="AF29" s="1025"/>
      <c r="AG29" s="1025"/>
      <c r="AH29" s="1025"/>
      <c r="AI29" s="1025"/>
      <c r="AJ29" s="1025"/>
      <c r="AK29" s="1025"/>
      <c r="AL29" s="1025"/>
      <c r="AM29" s="1025"/>
      <c r="AN29" s="1025"/>
      <c r="AO29" s="1025"/>
      <c r="AP29" s="1025"/>
      <c r="AQ29" s="1025"/>
      <c r="AR29" s="1025"/>
      <c r="AS29" s="1025"/>
      <c r="AT29" s="1025"/>
      <c r="AU29" s="1025"/>
      <c r="AV29" s="349"/>
      <c r="AW29" s="1026" t="s">
        <v>545</v>
      </c>
      <c r="AX29" s="1026"/>
      <c r="AY29" s="1026"/>
      <c r="AZ29" s="1026"/>
      <c r="BA29" s="1026"/>
      <c r="BB29" s="1026"/>
      <c r="BC29" s="1026"/>
      <c r="BD29" s="1026"/>
      <c r="BE29" s="1025"/>
      <c r="BF29" s="1025"/>
      <c r="BG29" s="1025"/>
      <c r="BH29" s="1025"/>
      <c r="BI29" s="1025"/>
      <c r="BJ29" s="1025"/>
      <c r="BK29" s="1025"/>
      <c r="BL29" s="1025"/>
      <c r="BM29" s="1025"/>
      <c r="BN29" s="1025"/>
      <c r="BO29" s="1025"/>
      <c r="BP29" s="1025"/>
      <c r="BQ29" s="1025"/>
      <c r="BR29" s="1025"/>
      <c r="BS29" s="1025"/>
      <c r="BT29" s="1025"/>
      <c r="BU29" s="1025"/>
      <c r="BV29" s="1025"/>
      <c r="BW29" s="1025"/>
      <c r="BX29" s="1025"/>
      <c r="BY29" s="1025"/>
      <c r="BZ29" s="1025"/>
      <c r="CA29" s="1025"/>
      <c r="CB29" s="1025"/>
      <c r="CC29" s="1025"/>
      <c r="CD29" s="1025"/>
      <c r="CE29" s="1025"/>
      <c r="CF29" s="1025"/>
      <c r="CG29" s="1025"/>
      <c r="CH29" s="1025"/>
      <c r="CI29" s="1025"/>
      <c r="CJ29" s="1025"/>
      <c r="CK29" s="1025"/>
      <c r="CL29" s="1025"/>
      <c r="CM29" s="1025"/>
      <c r="CN29" s="1025"/>
      <c r="CO29" s="1025"/>
      <c r="CP29" s="1025"/>
      <c r="CQ29" s="1025"/>
      <c r="CR29" s="350"/>
      <c r="CS29" s="1026" t="s">
        <v>545</v>
      </c>
      <c r="CT29" s="1026"/>
      <c r="CU29" s="1026"/>
      <c r="CV29" s="1026"/>
      <c r="CW29" s="1026"/>
      <c r="CX29" s="1026"/>
      <c r="CY29" s="1026"/>
      <c r="CZ29" s="1026"/>
      <c r="DA29" s="1025"/>
      <c r="DB29" s="1025"/>
      <c r="DC29" s="1025"/>
      <c r="DD29" s="1025"/>
      <c r="DE29" s="1025"/>
      <c r="DF29" s="1025"/>
      <c r="DG29" s="1025"/>
      <c r="DH29" s="1025"/>
      <c r="DI29" s="1025"/>
      <c r="DJ29" s="1025"/>
      <c r="DK29" s="1025"/>
      <c r="DL29" s="1025"/>
      <c r="DM29" s="1025"/>
      <c r="DN29" s="1025"/>
      <c r="DO29" s="1025"/>
      <c r="DP29" s="1025"/>
      <c r="DQ29" s="1025"/>
      <c r="DR29" s="1025"/>
      <c r="DS29" s="1025"/>
      <c r="DT29" s="1025"/>
      <c r="DU29" s="1025"/>
      <c r="DV29" s="1025"/>
      <c r="DW29" s="1025"/>
      <c r="DX29" s="1025"/>
      <c r="DY29" s="1025"/>
      <c r="DZ29" s="1025"/>
      <c r="EA29" s="1025"/>
      <c r="EB29" s="1025"/>
      <c r="EC29" s="1025"/>
      <c r="ED29" s="1025"/>
      <c r="EE29" s="1025"/>
      <c r="EF29" s="1025"/>
      <c r="EG29" s="1025"/>
      <c r="EH29" s="1025"/>
      <c r="EI29" s="1025"/>
      <c r="EJ29" s="1025"/>
      <c r="EK29" s="1025"/>
      <c r="EL29" s="1025"/>
      <c r="EM29" s="1025"/>
    </row>
    <row r="30" spans="1:143" ht="118.5" customHeight="1">
      <c r="A30" s="1026" t="s">
        <v>546</v>
      </c>
      <c r="B30" s="1026"/>
      <c r="C30" s="1026"/>
      <c r="D30" s="1026"/>
      <c r="E30" s="1026"/>
      <c r="F30" s="1026"/>
      <c r="G30" s="1026"/>
      <c r="H30" s="1026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  <c r="AA30" s="1025"/>
      <c r="AB30" s="1025"/>
      <c r="AC30" s="1025"/>
      <c r="AD30" s="1025"/>
      <c r="AE30" s="1025"/>
      <c r="AF30" s="1025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349"/>
      <c r="AW30" s="1026" t="s">
        <v>546</v>
      </c>
      <c r="AX30" s="1026"/>
      <c r="AY30" s="1026"/>
      <c r="AZ30" s="1026"/>
      <c r="BA30" s="1026"/>
      <c r="BB30" s="1026"/>
      <c r="BC30" s="1026"/>
      <c r="BD30" s="1026"/>
      <c r="BE30" s="1025"/>
      <c r="BF30" s="1025"/>
      <c r="BG30" s="1025"/>
      <c r="BH30" s="1025"/>
      <c r="BI30" s="1025"/>
      <c r="BJ30" s="1025"/>
      <c r="BK30" s="1025"/>
      <c r="BL30" s="1025"/>
      <c r="BM30" s="1025"/>
      <c r="BN30" s="1025"/>
      <c r="BO30" s="1025"/>
      <c r="BP30" s="1025"/>
      <c r="BQ30" s="1025"/>
      <c r="BR30" s="1025"/>
      <c r="BS30" s="1025"/>
      <c r="BT30" s="1025"/>
      <c r="BU30" s="1025"/>
      <c r="BV30" s="1025"/>
      <c r="BW30" s="1025"/>
      <c r="BX30" s="1025"/>
      <c r="BY30" s="1025"/>
      <c r="BZ30" s="1025"/>
      <c r="CA30" s="1025"/>
      <c r="CB30" s="1025"/>
      <c r="CC30" s="1025"/>
      <c r="CD30" s="1025"/>
      <c r="CE30" s="1025"/>
      <c r="CF30" s="1025"/>
      <c r="CG30" s="1025"/>
      <c r="CH30" s="1025"/>
      <c r="CI30" s="1025"/>
      <c r="CJ30" s="1025"/>
      <c r="CK30" s="1025"/>
      <c r="CL30" s="1025"/>
      <c r="CM30" s="1025"/>
      <c r="CN30" s="1025"/>
      <c r="CO30" s="1025"/>
      <c r="CP30" s="1025"/>
      <c r="CQ30" s="1025"/>
      <c r="CR30" s="350"/>
      <c r="CS30" s="1026" t="s">
        <v>546</v>
      </c>
      <c r="CT30" s="1026"/>
      <c r="CU30" s="1026"/>
      <c r="CV30" s="1026"/>
      <c r="CW30" s="1026"/>
      <c r="CX30" s="1026"/>
      <c r="CY30" s="1026"/>
      <c r="CZ30" s="1026"/>
      <c r="DA30" s="1025"/>
      <c r="DB30" s="1025"/>
      <c r="DC30" s="1025"/>
      <c r="DD30" s="1025"/>
      <c r="DE30" s="1025"/>
      <c r="DF30" s="1025"/>
      <c r="DG30" s="1025"/>
      <c r="DH30" s="1025"/>
      <c r="DI30" s="1025"/>
      <c r="DJ30" s="1025"/>
      <c r="DK30" s="1025"/>
      <c r="DL30" s="1025"/>
      <c r="DM30" s="1025"/>
      <c r="DN30" s="1025"/>
      <c r="DO30" s="1025"/>
      <c r="DP30" s="1025"/>
      <c r="DQ30" s="1025"/>
      <c r="DR30" s="1025"/>
      <c r="DS30" s="1025"/>
      <c r="DT30" s="1025"/>
      <c r="DU30" s="1025"/>
      <c r="DV30" s="1025"/>
      <c r="DW30" s="1025"/>
      <c r="DX30" s="1025"/>
      <c r="DY30" s="1025"/>
      <c r="DZ30" s="1025"/>
      <c r="EA30" s="1025"/>
      <c r="EB30" s="1025"/>
      <c r="EC30" s="1025"/>
      <c r="ED30" s="1025"/>
      <c r="EE30" s="1025"/>
      <c r="EF30" s="1025"/>
      <c r="EG30" s="1025"/>
      <c r="EH30" s="1025"/>
      <c r="EI30" s="1025"/>
      <c r="EJ30" s="1025"/>
      <c r="EK30" s="1025"/>
      <c r="EL30" s="1025"/>
      <c r="EM30" s="1025"/>
    </row>
    <row r="31" spans="1:143" ht="30.75" customHeight="1">
      <c r="A31" s="1026" t="s">
        <v>547</v>
      </c>
      <c r="B31" s="1026"/>
      <c r="C31" s="1026"/>
      <c r="D31" s="1026"/>
      <c r="E31" s="1026"/>
      <c r="F31" s="1026"/>
      <c r="G31" s="1026"/>
      <c r="H31" s="1026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349"/>
      <c r="AW31" s="1026" t="s">
        <v>547</v>
      </c>
      <c r="AX31" s="1026"/>
      <c r="AY31" s="1026"/>
      <c r="AZ31" s="1026"/>
      <c r="BA31" s="1026"/>
      <c r="BB31" s="1026"/>
      <c r="BC31" s="1026"/>
      <c r="BD31" s="1026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  <c r="BU31" s="1025"/>
      <c r="BV31" s="1025"/>
      <c r="BW31" s="1025"/>
      <c r="BX31" s="1025"/>
      <c r="BY31" s="1025"/>
      <c r="BZ31" s="1025"/>
      <c r="CA31" s="1025"/>
      <c r="CB31" s="1025"/>
      <c r="CC31" s="1025"/>
      <c r="CD31" s="1025"/>
      <c r="CE31" s="1025"/>
      <c r="CF31" s="1025"/>
      <c r="CG31" s="1025"/>
      <c r="CH31" s="1025"/>
      <c r="CI31" s="1025"/>
      <c r="CJ31" s="1025"/>
      <c r="CK31" s="1025"/>
      <c r="CL31" s="1025"/>
      <c r="CM31" s="1025"/>
      <c r="CN31" s="1025"/>
      <c r="CO31" s="1025"/>
      <c r="CP31" s="1025"/>
      <c r="CQ31" s="1025"/>
      <c r="CR31" s="350"/>
      <c r="CS31" s="1026" t="s">
        <v>547</v>
      </c>
      <c r="CT31" s="1026"/>
      <c r="CU31" s="1026"/>
      <c r="CV31" s="1026"/>
      <c r="CW31" s="1026"/>
      <c r="CX31" s="1026"/>
      <c r="CY31" s="1026"/>
      <c r="CZ31" s="1026"/>
      <c r="DA31" s="1025"/>
      <c r="DB31" s="1025"/>
      <c r="DC31" s="1025"/>
      <c r="DD31" s="1025"/>
      <c r="DE31" s="1025"/>
      <c r="DF31" s="1025"/>
      <c r="DG31" s="1025"/>
      <c r="DH31" s="1025"/>
      <c r="DI31" s="1025"/>
      <c r="DJ31" s="1025"/>
      <c r="DK31" s="1025"/>
      <c r="DL31" s="1025"/>
      <c r="DM31" s="1025"/>
      <c r="DN31" s="1025"/>
      <c r="DO31" s="1025"/>
      <c r="DP31" s="1025"/>
      <c r="DQ31" s="1025"/>
      <c r="DR31" s="1025"/>
      <c r="DS31" s="1025"/>
      <c r="DT31" s="1025"/>
      <c r="DU31" s="1025"/>
      <c r="DV31" s="1025"/>
      <c r="DW31" s="1025"/>
      <c r="DX31" s="1025"/>
      <c r="DY31" s="1025"/>
      <c r="DZ31" s="1025"/>
      <c r="EA31" s="1025"/>
      <c r="EB31" s="1025"/>
      <c r="EC31" s="1025"/>
      <c r="ED31" s="1025"/>
      <c r="EE31" s="1025"/>
      <c r="EF31" s="1025"/>
      <c r="EG31" s="1025"/>
      <c r="EH31" s="1025"/>
      <c r="EI31" s="1025"/>
      <c r="EJ31" s="1025"/>
      <c r="EK31" s="1025"/>
      <c r="EL31" s="1025"/>
      <c r="EM31" s="1025"/>
    </row>
    <row r="32" spans="1:143" ht="29.25" customHeight="1">
      <c r="A32" s="1026" t="s">
        <v>548</v>
      </c>
      <c r="B32" s="1026"/>
      <c r="C32" s="1026"/>
      <c r="D32" s="1026"/>
      <c r="E32" s="1026"/>
      <c r="F32" s="1026"/>
      <c r="G32" s="1026"/>
      <c r="H32" s="1026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349"/>
      <c r="AW32" s="1026" t="s">
        <v>548</v>
      </c>
      <c r="AX32" s="1026"/>
      <c r="AY32" s="1026"/>
      <c r="AZ32" s="1026"/>
      <c r="BA32" s="1026"/>
      <c r="BB32" s="1026"/>
      <c r="BC32" s="1026"/>
      <c r="BD32" s="1026"/>
      <c r="BE32" s="1025"/>
      <c r="BF32" s="1025"/>
      <c r="BG32" s="1025"/>
      <c r="BH32" s="1025"/>
      <c r="BI32" s="1025"/>
      <c r="BJ32" s="1025"/>
      <c r="BK32" s="1025"/>
      <c r="BL32" s="1025"/>
      <c r="BM32" s="1025"/>
      <c r="BN32" s="1025"/>
      <c r="BO32" s="1025"/>
      <c r="BP32" s="1025"/>
      <c r="BQ32" s="1025"/>
      <c r="BR32" s="1025"/>
      <c r="BS32" s="1025"/>
      <c r="BT32" s="1025"/>
      <c r="BU32" s="1025"/>
      <c r="BV32" s="1025"/>
      <c r="BW32" s="1025"/>
      <c r="BX32" s="1025"/>
      <c r="BY32" s="1025"/>
      <c r="BZ32" s="1025"/>
      <c r="CA32" s="1025"/>
      <c r="CB32" s="1025"/>
      <c r="CC32" s="1025"/>
      <c r="CD32" s="1025"/>
      <c r="CE32" s="1025"/>
      <c r="CF32" s="1025"/>
      <c r="CG32" s="1025"/>
      <c r="CH32" s="1025"/>
      <c r="CI32" s="1025"/>
      <c r="CJ32" s="1025"/>
      <c r="CK32" s="1025"/>
      <c r="CL32" s="1025"/>
      <c r="CM32" s="1025"/>
      <c r="CN32" s="1025"/>
      <c r="CO32" s="1025"/>
      <c r="CP32" s="1025"/>
      <c r="CQ32" s="1025"/>
      <c r="CR32" s="350"/>
      <c r="CS32" s="1026" t="s">
        <v>548</v>
      </c>
      <c r="CT32" s="1026"/>
      <c r="CU32" s="1026"/>
      <c r="CV32" s="1026"/>
      <c r="CW32" s="1026"/>
      <c r="CX32" s="1026"/>
      <c r="CY32" s="1026"/>
      <c r="CZ32" s="1026"/>
      <c r="DA32" s="1025"/>
      <c r="DB32" s="1025"/>
      <c r="DC32" s="1025"/>
      <c r="DD32" s="1025"/>
      <c r="DE32" s="1025"/>
      <c r="DF32" s="1025"/>
      <c r="DG32" s="1025"/>
      <c r="DH32" s="1025"/>
      <c r="DI32" s="1025"/>
      <c r="DJ32" s="1025"/>
      <c r="DK32" s="1025"/>
      <c r="DL32" s="1025"/>
      <c r="DM32" s="1025"/>
      <c r="DN32" s="1025"/>
      <c r="DO32" s="1025"/>
      <c r="DP32" s="1025"/>
      <c r="DQ32" s="1025"/>
      <c r="DR32" s="1025"/>
      <c r="DS32" s="1025"/>
      <c r="DT32" s="1025"/>
      <c r="DU32" s="1025"/>
      <c r="DV32" s="1025"/>
      <c r="DW32" s="1025"/>
      <c r="DX32" s="1025"/>
      <c r="DY32" s="1025"/>
      <c r="DZ32" s="1025"/>
      <c r="EA32" s="1025"/>
      <c r="EB32" s="1025"/>
      <c r="EC32" s="1025"/>
      <c r="ED32" s="1025"/>
      <c r="EE32" s="1025"/>
      <c r="EF32" s="1025"/>
      <c r="EG32" s="1025"/>
      <c r="EH32" s="1025"/>
      <c r="EI32" s="1025"/>
      <c r="EJ32" s="1025"/>
      <c r="EK32" s="1025"/>
      <c r="EL32" s="1025"/>
      <c r="EM32" s="1025"/>
    </row>
    <row r="33" spans="1:143" ht="236.25" customHeight="1">
      <c r="A33" s="1026" t="s">
        <v>549</v>
      </c>
      <c r="B33" s="1026"/>
      <c r="C33" s="1026"/>
      <c r="D33" s="1026"/>
      <c r="E33" s="1026"/>
      <c r="F33" s="1026"/>
      <c r="G33" s="1026"/>
      <c r="H33" s="1026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349"/>
      <c r="AW33" s="1026" t="s">
        <v>549</v>
      </c>
      <c r="AX33" s="1026"/>
      <c r="AY33" s="1026"/>
      <c r="AZ33" s="1026"/>
      <c r="BA33" s="1026"/>
      <c r="BB33" s="1026"/>
      <c r="BC33" s="1026"/>
      <c r="BD33" s="1026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  <c r="BU33" s="1025"/>
      <c r="BV33" s="1025"/>
      <c r="BW33" s="1025"/>
      <c r="BX33" s="1025"/>
      <c r="BY33" s="1025"/>
      <c r="BZ33" s="1025"/>
      <c r="CA33" s="1025"/>
      <c r="CB33" s="1025"/>
      <c r="CC33" s="1025"/>
      <c r="CD33" s="1025"/>
      <c r="CE33" s="1025"/>
      <c r="CF33" s="1025"/>
      <c r="CG33" s="1025"/>
      <c r="CH33" s="1025"/>
      <c r="CI33" s="1025"/>
      <c r="CJ33" s="1025"/>
      <c r="CK33" s="1025"/>
      <c r="CL33" s="1025"/>
      <c r="CM33" s="1025"/>
      <c r="CN33" s="1025"/>
      <c r="CO33" s="1025"/>
      <c r="CP33" s="1025"/>
      <c r="CQ33" s="1025"/>
      <c r="CR33" s="350"/>
      <c r="CS33" s="1026" t="s">
        <v>549</v>
      </c>
      <c r="CT33" s="1026"/>
      <c r="CU33" s="1026"/>
      <c r="CV33" s="1026"/>
      <c r="CW33" s="1026"/>
      <c r="CX33" s="1026"/>
      <c r="CY33" s="1026"/>
      <c r="CZ33" s="1026"/>
      <c r="DA33" s="1025"/>
      <c r="DB33" s="1025"/>
      <c r="DC33" s="1025"/>
      <c r="DD33" s="1025"/>
      <c r="DE33" s="1025"/>
      <c r="DF33" s="1025"/>
      <c r="DG33" s="1025"/>
      <c r="DH33" s="1025"/>
      <c r="DI33" s="1025"/>
      <c r="DJ33" s="1025"/>
      <c r="DK33" s="1025"/>
      <c r="DL33" s="1025"/>
      <c r="DM33" s="1025"/>
      <c r="DN33" s="1025"/>
      <c r="DO33" s="1025"/>
      <c r="DP33" s="1025"/>
      <c r="DQ33" s="1025"/>
      <c r="DR33" s="1025"/>
      <c r="DS33" s="1025"/>
      <c r="DT33" s="1025"/>
      <c r="DU33" s="1025"/>
      <c r="DV33" s="1025"/>
      <c r="DW33" s="1025"/>
      <c r="DX33" s="1025"/>
      <c r="DY33" s="1025"/>
      <c r="DZ33" s="1025"/>
      <c r="EA33" s="1025"/>
      <c r="EB33" s="1025"/>
      <c r="EC33" s="1025"/>
      <c r="ED33" s="1025"/>
      <c r="EE33" s="1025"/>
      <c r="EF33" s="1025"/>
      <c r="EG33" s="1025"/>
      <c r="EH33" s="1025"/>
      <c r="EI33" s="1025"/>
      <c r="EJ33" s="1025"/>
      <c r="EK33" s="1025"/>
      <c r="EL33" s="1025"/>
      <c r="EM33" s="1025"/>
    </row>
    <row r="34" spans="1:143" ht="13.5" customHeight="1">
      <c r="A34" s="178"/>
      <c r="B34" s="1125"/>
      <c r="C34" s="1125"/>
      <c r="D34" s="1125"/>
      <c r="E34" s="1125"/>
      <c r="F34" s="1125"/>
      <c r="G34" s="1125"/>
      <c r="H34" s="1125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5"/>
      <c r="AY34" s="1125"/>
      <c r="AZ34" s="1125"/>
      <c r="BA34" s="1125"/>
      <c r="BB34" s="1125"/>
      <c r="BC34" s="1125"/>
      <c r="BD34" s="1125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5"/>
      <c r="CU34" s="1125"/>
      <c r="CV34" s="1125"/>
      <c r="CW34" s="1125"/>
      <c r="CX34" s="1125"/>
      <c r="CY34" s="1125"/>
      <c r="CZ34" s="1125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6">
        <f>I$4</f>
        <v>0</v>
      </c>
      <c r="AR35" s="1126"/>
      <c r="AS35" s="1126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6">
        <f>BE$4</f>
        <v>0</v>
      </c>
      <c r="CN35" s="1126"/>
      <c r="CO35" s="1126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6">
        <f>DA$4</f>
        <v>0</v>
      </c>
      <c r="EJ35" s="1126"/>
      <c r="EK35" s="1126"/>
      <c r="EL35" s="182"/>
      <c r="EM35" s="182"/>
    </row>
    <row r="36" spans="1:143" ht="18.75" customHeight="1">
      <c r="A36" s="178"/>
      <c r="B36" s="1109">
        <f>I$3</f>
        <v>0</v>
      </c>
      <c r="C36" s="1109"/>
      <c r="D36" s="1109"/>
      <c r="E36" s="1109"/>
      <c r="F36" s="1109"/>
      <c r="G36" s="1109"/>
      <c r="H36" s="1109"/>
      <c r="I36" s="1109"/>
      <c r="J36" s="1109"/>
      <c r="K36" s="1109"/>
      <c r="L36" s="1109"/>
      <c r="M36" s="1109"/>
      <c r="N36" s="1109"/>
      <c r="O36" s="1109"/>
      <c r="P36" s="1109"/>
      <c r="Q36" s="1109"/>
      <c r="R36" s="1109"/>
      <c r="S36" s="1109"/>
      <c r="T36" s="1109"/>
      <c r="U36" s="1109"/>
      <c r="V36" s="1109"/>
      <c r="W36" s="1109"/>
      <c r="X36" s="1109"/>
      <c r="Y36" s="1109"/>
      <c r="Z36" s="178"/>
      <c r="AA36" s="178"/>
      <c r="AB36" s="178"/>
      <c r="AC36" s="1122" t="s">
        <v>551</v>
      </c>
      <c r="AD36" s="1122"/>
      <c r="AE36" s="1122"/>
      <c r="AF36" s="1123">
        <f>J$5</f>
        <v>0</v>
      </c>
      <c r="AG36" s="1123"/>
      <c r="AH36" s="183" t="s">
        <v>524</v>
      </c>
      <c r="AI36" s="1123">
        <f>O$5</f>
        <v>0</v>
      </c>
      <c r="AJ36" s="1123"/>
      <c r="AK36" s="1123"/>
      <c r="AL36" s="1123"/>
      <c r="AM36" s="1123"/>
      <c r="AN36" s="1123"/>
      <c r="AO36" s="1123"/>
      <c r="AP36" s="1123">
        <f>AK$5</f>
        <v>0</v>
      </c>
      <c r="AQ36" s="1123"/>
      <c r="AR36" s="1123"/>
      <c r="AS36" s="1123"/>
      <c r="AT36" s="1124" t="s">
        <v>375</v>
      </c>
      <c r="AU36" s="1124"/>
      <c r="AV36" s="178"/>
      <c r="AW36" s="178"/>
      <c r="AX36" s="1109">
        <f>BE$3</f>
        <v>0</v>
      </c>
      <c r="AY36" s="1109"/>
      <c r="AZ36" s="1109"/>
      <c r="BA36" s="1109"/>
      <c r="BB36" s="1109"/>
      <c r="BC36" s="1109"/>
      <c r="BD36" s="1109"/>
      <c r="BE36" s="1109"/>
      <c r="BF36" s="1109"/>
      <c r="BG36" s="1109"/>
      <c r="BH36" s="1109"/>
      <c r="BI36" s="1109"/>
      <c r="BJ36" s="1109"/>
      <c r="BK36" s="1109"/>
      <c r="BL36" s="1109"/>
      <c r="BM36" s="1109"/>
      <c r="BN36" s="1109"/>
      <c r="BO36" s="1109"/>
      <c r="BP36" s="1109"/>
      <c r="BQ36" s="1109"/>
      <c r="BR36" s="1109"/>
      <c r="BS36" s="1109"/>
      <c r="BT36" s="1109"/>
      <c r="BU36" s="1109"/>
      <c r="BV36" s="178"/>
      <c r="BW36" s="178"/>
      <c r="BX36" s="178"/>
      <c r="BY36" s="1122" t="s">
        <v>551</v>
      </c>
      <c r="BZ36" s="1122"/>
      <c r="CA36" s="1122"/>
      <c r="CB36" s="1123">
        <f>BF$5</f>
        <v>0</v>
      </c>
      <c r="CC36" s="1123"/>
      <c r="CD36" s="183" t="s">
        <v>524</v>
      </c>
      <c r="CE36" s="1123">
        <f>BK$5</f>
        <v>0</v>
      </c>
      <c r="CF36" s="1123"/>
      <c r="CG36" s="1123"/>
      <c r="CH36" s="1123"/>
      <c r="CI36" s="1123"/>
      <c r="CJ36" s="1123"/>
      <c r="CK36" s="1123"/>
      <c r="CL36" s="1123">
        <f>CG$5</f>
        <v>0</v>
      </c>
      <c r="CM36" s="1123"/>
      <c r="CN36" s="1123"/>
      <c r="CO36" s="1123"/>
      <c r="CP36" s="1124" t="s">
        <v>375</v>
      </c>
      <c r="CQ36" s="1124"/>
      <c r="CS36" s="178"/>
      <c r="CT36" s="1109">
        <f>DA$3</f>
        <v>0</v>
      </c>
      <c r="CU36" s="1109"/>
      <c r="CV36" s="1109"/>
      <c r="CW36" s="1109"/>
      <c r="CX36" s="1109"/>
      <c r="CY36" s="1109"/>
      <c r="CZ36" s="1109"/>
      <c r="DA36" s="1109"/>
      <c r="DB36" s="1109"/>
      <c r="DC36" s="1109"/>
      <c r="DD36" s="1109"/>
      <c r="DE36" s="1109"/>
      <c r="DF36" s="1109"/>
      <c r="DG36" s="1109"/>
      <c r="DH36" s="1109"/>
      <c r="DI36" s="1109"/>
      <c r="DJ36" s="1109"/>
      <c r="DK36" s="1109"/>
      <c r="DL36" s="1109"/>
      <c r="DM36" s="1109"/>
      <c r="DN36" s="1109"/>
      <c r="DO36" s="1109"/>
      <c r="DP36" s="1109"/>
      <c r="DQ36" s="1109"/>
      <c r="DR36" s="178"/>
      <c r="DS36" s="178"/>
      <c r="DT36" s="178"/>
      <c r="DU36" s="1122" t="s">
        <v>551</v>
      </c>
      <c r="DV36" s="1122"/>
      <c r="DW36" s="1122"/>
      <c r="DX36" s="1123">
        <f>DB$5</f>
        <v>0</v>
      </c>
      <c r="DY36" s="1123"/>
      <c r="DZ36" s="183" t="s">
        <v>524</v>
      </c>
      <c r="EA36" s="1123">
        <f>DG$5</f>
        <v>0</v>
      </c>
      <c r="EB36" s="1123"/>
      <c r="EC36" s="1123"/>
      <c r="ED36" s="1123"/>
      <c r="EE36" s="1123"/>
      <c r="EF36" s="1123"/>
      <c r="EG36" s="1123"/>
      <c r="EH36" s="1123">
        <f>EC$5</f>
        <v>0</v>
      </c>
      <c r="EI36" s="1123"/>
      <c r="EJ36" s="1123"/>
      <c r="EK36" s="1123"/>
      <c r="EL36" s="1124" t="s">
        <v>375</v>
      </c>
      <c r="EM36" s="1124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2">
        <f>I$16</f>
        <v>0</v>
      </c>
      <c r="AB38" s="1102"/>
      <c r="AC38" s="1102"/>
      <c r="AD38" s="1102"/>
      <c r="AE38" s="1102"/>
      <c r="AF38" s="1102"/>
      <c r="AG38" s="1102"/>
      <c r="AH38" s="1102"/>
      <c r="AI38" s="1102"/>
      <c r="AJ38" s="1102"/>
      <c r="AK38" s="1102"/>
      <c r="AL38" s="1102"/>
      <c r="AM38" s="1102"/>
      <c r="AN38" s="1102"/>
      <c r="AO38" s="1102"/>
      <c r="AP38" s="1102"/>
      <c r="AQ38" s="1102"/>
      <c r="AR38" s="1102"/>
      <c r="AS38" s="1102"/>
      <c r="AT38" s="1102"/>
      <c r="AU38" s="1102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2">
        <f>BE$16</f>
        <v>0</v>
      </c>
      <c r="BX38" s="1102"/>
      <c r="BY38" s="1102"/>
      <c r="BZ38" s="1102"/>
      <c r="CA38" s="1102"/>
      <c r="CB38" s="1102"/>
      <c r="CC38" s="1102"/>
      <c r="CD38" s="1102"/>
      <c r="CE38" s="1102"/>
      <c r="CF38" s="1102"/>
      <c r="CG38" s="1102"/>
      <c r="CH38" s="1102"/>
      <c r="CI38" s="1102"/>
      <c r="CJ38" s="1102"/>
      <c r="CK38" s="1102"/>
      <c r="CL38" s="1102"/>
      <c r="CM38" s="1102"/>
      <c r="CN38" s="1102"/>
      <c r="CO38" s="1102"/>
      <c r="CP38" s="1102"/>
      <c r="CQ38" s="1102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2">
        <f>DA$16</f>
        <v>0</v>
      </c>
      <c r="DT38" s="1102"/>
      <c r="DU38" s="1102"/>
      <c r="DV38" s="1102"/>
      <c r="DW38" s="1102"/>
      <c r="DX38" s="1102"/>
      <c r="DY38" s="1102"/>
      <c r="DZ38" s="1102"/>
      <c r="EA38" s="1102"/>
      <c r="EB38" s="1102"/>
      <c r="EC38" s="1102"/>
      <c r="ED38" s="1102"/>
      <c r="EE38" s="1102"/>
      <c r="EF38" s="1102"/>
      <c r="EG38" s="1102"/>
      <c r="EH38" s="1102"/>
      <c r="EI38" s="1102"/>
      <c r="EJ38" s="1102"/>
      <c r="EK38" s="1102"/>
      <c r="EL38" s="1102"/>
      <c r="EM38" s="1102"/>
    </row>
    <row r="39" spans="1:143" ht="18.75" customHeight="1">
      <c r="A39" s="178"/>
      <c r="B39" s="1079" t="s">
        <v>553</v>
      </c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78"/>
      <c r="AW39" s="178"/>
      <c r="AX39" s="1079" t="s">
        <v>553</v>
      </c>
      <c r="AY39" s="1079"/>
      <c r="AZ39" s="1079"/>
      <c r="BA39" s="1079"/>
      <c r="BB39" s="1079"/>
      <c r="BC39" s="1079"/>
      <c r="BD39" s="1079"/>
      <c r="BE39" s="1079"/>
      <c r="BF39" s="1079"/>
      <c r="BG39" s="1079"/>
      <c r="BH39" s="1079"/>
      <c r="BI39" s="1079"/>
      <c r="BJ39" s="1079"/>
      <c r="BK39" s="1079"/>
      <c r="BL39" s="1079"/>
      <c r="BM39" s="1079"/>
      <c r="BN39" s="1079"/>
      <c r="BO39" s="1079"/>
      <c r="BP39" s="1079"/>
      <c r="BQ39" s="1079"/>
      <c r="BR39" s="1079"/>
      <c r="BS39" s="1079"/>
      <c r="BT39" s="1079"/>
      <c r="BU39" s="1079"/>
      <c r="BV39" s="1079"/>
      <c r="BW39" s="1079"/>
      <c r="BX39" s="1079"/>
      <c r="BY39" s="1079"/>
      <c r="BZ39" s="1079"/>
      <c r="CA39" s="1079"/>
      <c r="CB39" s="1079"/>
      <c r="CC39" s="1079"/>
      <c r="CD39" s="1079"/>
      <c r="CE39" s="1079"/>
      <c r="CF39" s="1079"/>
      <c r="CG39" s="1079"/>
      <c r="CH39" s="1079"/>
      <c r="CI39" s="1079"/>
      <c r="CJ39" s="1079"/>
      <c r="CK39" s="1079"/>
      <c r="CL39" s="1079"/>
      <c r="CM39" s="1079"/>
      <c r="CN39" s="1079"/>
      <c r="CO39" s="1079"/>
      <c r="CP39" s="1079"/>
      <c r="CQ39" s="1079"/>
      <c r="CS39" s="178"/>
      <c r="CT39" s="1079" t="s">
        <v>553</v>
      </c>
      <c r="CU39" s="1079"/>
      <c r="CV39" s="1079"/>
      <c r="CW39" s="1079"/>
      <c r="CX39" s="1079"/>
      <c r="CY39" s="1079"/>
      <c r="CZ39" s="1079"/>
      <c r="DA39" s="1079"/>
      <c r="DB39" s="1079"/>
      <c r="DC39" s="1079"/>
      <c r="DD39" s="1079"/>
      <c r="DE39" s="1079"/>
      <c r="DF39" s="1079"/>
      <c r="DG39" s="1079"/>
      <c r="DH39" s="1079"/>
      <c r="DI39" s="1079"/>
      <c r="DJ39" s="1079"/>
      <c r="DK39" s="1079"/>
      <c r="DL39" s="1079"/>
      <c r="DM39" s="1079"/>
      <c r="DN39" s="1079"/>
      <c r="DO39" s="1079"/>
      <c r="DP39" s="1079"/>
      <c r="DQ39" s="1079"/>
      <c r="DR39" s="1079"/>
      <c r="DS39" s="1079"/>
      <c r="DT39" s="1079"/>
      <c r="DU39" s="1079"/>
      <c r="DV39" s="1079"/>
      <c r="DW39" s="1079"/>
      <c r="DX39" s="1079"/>
      <c r="DY39" s="1079"/>
      <c r="DZ39" s="1079"/>
      <c r="EA39" s="1079"/>
      <c r="EB39" s="1079"/>
      <c r="EC39" s="1079"/>
      <c r="ED39" s="1079"/>
      <c r="EE39" s="1079"/>
      <c r="EF39" s="1079"/>
      <c r="EG39" s="1079"/>
      <c r="EH39" s="1079"/>
      <c r="EI39" s="1079"/>
      <c r="EJ39" s="1079"/>
      <c r="EK39" s="1079"/>
      <c r="EL39" s="1079"/>
      <c r="EM39" s="1079"/>
    </row>
    <row r="40" spans="1:143" ht="18.75" customHeight="1">
      <c r="A40" s="178"/>
      <c r="B40" s="1103" t="str">
        <f>I6</f>
        <v>${name_ik}</v>
      </c>
      <c r="C40" s="1103"/>
      <c r="D40" s="1103"/>
      <c r="E40" s="1103"/>
      <c r="F40" s="1103"/>
      <c r="G40" s="1103"/>
      <c r="H40" s="1103"/>
      <c r="I40" s="1103"/>
      <c r="J40" s="1103"/>
      <c r="K40" s="1103"/>
      <c r="L40" s="1103"/>
      <c r="M40" s="1103"/>
      <c r="N40" s="1103"/>
      <c r="O40" s="1103"/>
      <c r="P40" s="1103"/>
      <c r="Q40" s="1103"/>
      <c r="R40" s="1103"/>
      <c r="S40" s="1103"/>
      <c r="T40" s="1103"/>
      <c r="U40" s="1103"/>
      <c r="V40" s="1103"/>
      <c r="W40" s="1103"/>
      <c r="X40" s="1103"/>
      <c r="Y40" s="1103"/>
      <c r="Z40" s="1103"/>
      <c r="AA40" s="1103"/>
      <c r="AB40" s="1103"/>
      <c r="AC40" s="1103"/>
      <c r="AD40" s="1103"/>
      <c r="AE40" s="1103"/>
      <c r="AF40" s="1103"/>
      <c r="AG40" s="1103"/>
      <c r="AH40" s="1103"/>
      <c r="AI40" s="1103"/>
      <c r="AJ40" s="1103"/>
      <c r="AK40" s="1103"/>
      <c r="AL40" s="1103"/>
      <c r="AM40" s="1103"/>
      <c r="AN40" s="1103"/>
      <c r="AO40" s="1103"/>
      <c r="AP40" s="1103"/>
      <c r="AQ40" s="1103"/>
      <c r="AR40" s="1103"/>
      <c r="AS40" s="1103"/>
      <c r="AT40" s="1103"/>
      <c r="AU40" s="1103"/>
      <c r="AV40" s="178"/>
      <c r="AW40" s="178"/>
      <c r="AX40" s="1103" t="str">
        <f>BE6</f>
        <v>${name_ik}</v>
      </c>
      <c r="AY40" s="1103"/>
      <c r="AZ40" s="1103"/>
      <c r="BA40" s="1103"/>
      <c r="BB40" s="1103"/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  <c r="BX40" s="1103"/>
      <c r="BY40" s="1103"/>
      <c r="BZ40" s="1103"/>
      <c r="CA40" s="1103"/>
      <c r="CB40" s="1103"/>
      <c r="CC40" s="1103"/>
      <c r="CD40" s="1103"/>
      <c r="CE40" s="1103"/>
      <c r="CF40" s="1103"/>
      <c r="CG40" s="1103"/>
      <c r="CH40" s="1103"/>
      <c r="CI40" s="1103"/>
      <c r="CJ40" s="1103"/>
      <c r="CK40" s="1103"/>
      <c r="CL40" s="1103"/>
      <c r="CM40" s="1103"/>
      <c r="CN40" s="1103"/>
      <c r="CO40" s="1103"/>
      <c r="CP40" s="1103"/>
      <c r="CQ40" s="1103"/>
      <c r="CS40" s="178"/>
      <c r="CT40" s="1103" t="str">
        <f>DA6</f>
        <v>${name_ik}</v>
      </c>
      <c r="CU40" s="1103"/>
      <c r="CV40" s="1103"/>
      <c r="CW40" s="1103"/>
      <c r="CX40" s="1103"/>
      <c r="CY40" s="1103"/>
      <c r="CZ40" s="1103"/>
      <c r="DA40" s="1103"/>
      <c r="DB40" s="1103"/>
      <c r="DC40" s="1103"/>
      <c r="DD40" s="1103"/>
      <c r="DE40" s="1103"/>
      <c r="DF40" s="1103"/>
      <c r="DG40" s="1103"/>
      <c r="DH40" s="1103"/>
      <c r="DI40" s="1103"/>
      <c r="DJ40" s="1103"/>
      <c r="DK40" s="1103"/>
      <c r="DL40" s="1103"/>
      <c r="DM40" s="1103"/>
      <c r="DN40" s="1103"/>
      <c r="DO40" s="1103"/>
      <c r="DP40" s="1103"/>
      <c r="DQ40" s="1103"/>
      <c r="DR40" s="1103"/>
      <c r="DS40" s="1103"/>
      <c r="DT40" s="1103"/>
      <c r="DU40" s="1103"/>
      <c r="DV40" s="1103"/>
      <c r="DW40" s="1103"/>
      <c r="DX40" s="1103"/>
      <c r="DY40" s="1103"/>
      <c r="DZ40" s="1103"/>
      <c r="EA40" s="1103"/>
      <c r="EB40" s="1103"/>
      <c r="EC40" s="1103"/>
      <c r="ED40" s="1103"/>
      <c r="EE40" s="1103"/>
      <c r="EF40" s="1103"/>
      <c r="EG40" s="1103"/>
      <c r="EH40" s="1103"/>
      <c r="EI40" s="1103"/>
      <c r="EJ40" s="1103"/>
      <c r="EK40" s="1103"/>
      <c r="EL40" s="1103"/>
      <c r="EM40" s="1103"/>
    </row>
    <row r="41" spans="1:143" ht="18.75" customHeight="1">
      <c r="A41" s="178"/>
      <c r="B41" s="1073" t="s">
        <v>554</v>
      </c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104">
        <f>I$9</f>
        <v>0</v>
      </c>
      <c r="O41" s="1104"/>
      <c r="P41" s="1104"/>
      <c r="Q41" s="1104"/>
      <c r="R41" s="1104"/>
      <c r="S41" s="1104"/>
      <c r="T41" s="1104"/>
      <c r="U41" s="1104"/>
      <c r="V41" s="1104"/>
      <c r="W41" s="1104"/>
      <c r="X41" s="1104"/>
      <c r="Y41" s="1104"/>
      <c r="Z41" s="1104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104"/>
      <c r="AO41" s="1104"/>
      <c r="AP41" s="1104"/>
      <c r="AQ41" s="1104"/>
      <c r="AR41" s="1104"/>
      <c r="AS41" s="1104"/>
      <c r="AT41" s="1104"/>
      <c r="AU41" s="1104"/>
      <c r="AV41" s="178"/>
      <c r="AW41" s="178"/>
      <c r="AX41" s="1073" t="s">
        <v>554</v>
      </c>
      <c r="AY41" s="1073"/>
      <c r="AZ41" s="1073"/>
      <c r="BA41" s="1073"/>
      <c r="BB41" s="1073"/>
      <c r="BC41" s="1073"/>
      <c r="BD41" s="1073"/>
      <c r="BE41" s="1073"/>
      <c r="BF41" s="1073"/>
      <c r="BG41" s="1073"/>
      <c r="BH41" s="1073"/>
      <c r="BI41" s="1073"/>
      <c r="BJ41" s="1104">
        <f>BE$9</f>
        <v>0</v>
      </c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  <c r="BX41" s="1104"/>
      <c r="BY41" s="1104"/>
      <c r="BZ41" s="1104"/>
      <c r="CA41" s="1104"/>
      <c r="CB41" s="1104"/>
      <c r="CC41" s="1104"/>
      <c r="CD41" s="1104"/>
      <c r="CE41" s="1104"/>
      <c r="CF41" s="1104"/>
      <c r="CG41" s="1104"/>
      <c r="CH41" s="1104"/>
      <c r="CI41" s="1104"/>
      <c r="CJ41" s="1104"/>
      <c r="CK41" s="1104"/>
      <c r="CL41" s="1104"/>
      <c r="CM41" s="1104"/>
      <c r="CN41" s="1104"/>
      <c r="CO41" s="1104"/>
      <c r="CP41" s="1104"/>
      <c r="CQ41" s="1104"/>
      <c r="CS41" s="178"/>
      <c r="CT41" s="1073" t="s">
        <v>554</v>
      </c>
      <c r="CU41" s="1073"/>
      <c r="CV41" s="1073"/>
      <c r="CW41" s="1073"/>
      <c r="CX41" s="1073"/>
      <c r="CY41" s="1073"/>
      <c r="CZ41" s="1073"/>
      <c r="DA41" s="1073"/>
      <c r="DB41" s="1073"/>
      <c r="DC41" s="1073"/>
      <c r="DD41" s="1073"/>
      <c r="DE41" s="1073"/>
      <c r="DF41" s="1104">
        <f>DA$9</f>
        <v>0</v>
      </c>
      <c r="DG41" s="1104"/>
      <c r="DH41" s="1104"/>
      <c r="DI41" s="1104"/>
      <c r="DJ41" s="1104"/>
      <c r="DK41" s="1104"/>
      <c r="DL41" s="1104"/>
      <c r="DM41" s="1104"/>
      <c r="DN41" s="1104"/>
      <c r="DO41" s="1104"/>
      <c r="DP41" s="1104"/>
      <c r="DQ41" s="1104"/>
      <c r="DR41" s="1104"/>
      <c r="DS41" s="1104"/>
      <c r="DT41" s="1104"/>
      <c r="DU41" s="1104"/>
      <c r="DV41" s="1104"/>
      <c r="DW41" s="1104"/>
      <c r="DX41" s="1104"/>
      <c r="DY41" s="1104"/>
      <c r="DZ41" s="1104"/>
      <c r="EA41" s="1104"/>
      <c r="EB41" s="1104"/>
      <c r="EC41" s="1104"/>
      <c r="ED41" s="1104"/>
      <c r="EE41" s="1104"/>
      <c r="EF41" s="1104"/>
      <c r="EG41" s="1104"/>
      <c r="EH41" s="1104"/>
      <c r="EI41" s="1104"/>
      <c r="EJ41" s="1104"/>
      <c r="EK41" s="1104"/>
      <c r="EL41" s="1104"/>
      <c r="EM41" s="1104"/>
    </row>
    <row r="42" spans="1:143" ht="98.25" customHeight="1">
      <c r="A42" s="178"/>
      <c r="B42" s="1077" t="s">
        <v>555</v>
      </c>
      <c r="C42" s="1077"/>
      <c r="D42" s="1077"/>
      <c r="E42" s="1077"/>
      <c r="F42" s="1077"/>
      <c r="G42" s="1077"/>
      <c r="H42" s="1077"/>
      <c r="I42" s="1077"/>
      <c r="J42" s="1077"/>
      <c r="K42" s="1077"/>
      <c r="L42" s="1077"/>
      <c r="M42" s="1077"/>
      <c r="N42" s="1077"/>
      <c r="O42" s="1077"/>
      <c r="P42" s="1077"/>
      <c r="Q42" s="1077"/>
      <c r="R42" s="1077"/>
      <c r="S42" s="1077"/>
      <c r="T42" s="1077"/>
      <c r="U42" s="1077"/>
      <c r="V42" s="1077"/>
      <c r="W42" s="1077"/>
      <c r="X42" s="1077"/>
      <c r="Y42" s="1077"/>
      <c r="Z42" s="1077"/>
      <c r="AA42" s="1077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1077"/>
      <c r="AO42" s="1077"/>
      <c r="AP42" s="1077"/>
      <c r="AQ42" s="1077"/>
      <c r="AR42" s="1077"/>
      <c r="AS42" s="1077"/>
      <c r="AT42" s="1077"/>
      <c r="AU42" s="1077"/>
      <c r="AV42" s="178"/>
      <c r="AW42" s="178"/>
      <c r="AX42" s="1077" t="s">
        <v>555</v>
      </c>
      <c r="AY42" s="1077"/>
      <c r="AZ42" s="1077"/>
      <c r="BA42" s="1077"/>
      <c r="BB42" s="1077"/>
      <c r="BC42" s="1077"/>
      <c r="BD42" s="1077"/>
      <c r="BE42" s="1077"/>
      <c r="BF42" s="1077"/>
      <c r="BG42" s="1077"/>
      <c r="BH42" s="1077"/>
      <c r="BI42" s="1077"/>
      <c r="BJ42" s="1077"/>
      <c r="BK42" s="1077"/>
      <c r="BL42" s="1077"/>
      <c r="BM42" s="1077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  <c r="BX42" s="1077"/>
      <c r="BY42" s="1077"/>
      <c r="BZ42" s="1077"/>
      <c r="CA42" s="1077"/>
      <c r="CB42" s="1077"/>
      <c r="CC42" s="1077"/>
      <c r="CD42" s="1077"/>
      <c r="CE42" s="1077"/>
      <c r="CF42" s="1077"/>
      <c r="CG42" s="1077"/>
      <c r="CH42" s="1077"/>
      <c r="CI42" s="1077"/>
      <c r="CJ42" s="1077"/>
      <c r="CK42" s="1077"/>
      <c r="CL42" s="1077"/>
      <c r="CM42" s="1077"/>
      <c r="CN42" s="1077"/>
      <c r="CO42" s="1077"/>
      <c r="CP42" s="1077"/>
      <c r="CQ42" s="1077"/>
      <c r="CS42" s="178"/>
      <c r="CT42" s="1077" t="s">
        <v>555</v>
      </c>
      <c r="CU42" s="1077"/>
      <c r="CV42" s="1077"/>
      <c r="CW42" s="1077"/>
      <c r="CX42" s="1077"/>
      <c r="CY42" s="1077"/>
      <c r="CZ42" s="1077"/>
      <c r="DA42" s="1077"/>
      <c r="DB42" s="1077"/>
      <c r="DC42" s="1077"/>
      <c r="DD42" s="1077"/>
      <c r="DE42" s="1077"/>
      <c r="DF42" s="1077"/>
      <c r="DG42" s="1077"/>
      <c r="DH42" s="1077"/>
      <c r="DI42" s="1077"/>
      <c r="DJ42" s="1077"/>
      <c r="DK42" s="1077"/>
      <c r="DL42" s="1077"/>
      <c r="DM42" s="1077"/>
      <c r="DN42" s="1077"/>
      <c r="DO42" s="1077"/>
      <c r="DP42" s="1077"/>
      <c r="DQ42" s="1077"/>
      <c r="DR42" s="1077"/>
      <c r="DS42" s="1077"/>
      <c r="DT42" s="1077"/>
      <c r="DU42" s="1077"/>
      <c r="DV42" s="1077"/>
      <c r="DW42" s="1077"/>
      <c r="DX42" s="1077"/>
      <c r="DY42" s="1077"/>
      <c r="DZ42" s="1077"/>
      <c r="EA42" s="1077"/>
      <c r="EB42" s="1077"/>
      <c r="EC42" s="1077"/>
      <c r="ED42" s="1077"/>
      <c r="EE42" s="1077"/>
      <c r="EF42" s="1077"/>
      <c r="EG42" s="1077"/>
      <c r="EH42" s="1077"/>
      <c r="EI42" s="1077"/>
      <c r="EJ42" s="1077"/>
      <c r="EK42" s="1077"/>
      <c r="EL42" s="1077"/>
      <c r="EM42" s="1077"/>
    </row>
    <row r="43" spans="1:143" ht="18.75" customHeight="1">
      <c r="A43" s="178"/>
      <c r="B43" s="1128" t="s">
        <v>556</v>
      </c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78"/>
      <c r="AW43" s="178"/>
      <c r="AX43" s="1128" t="s">
        <v>556</v>
      </c>
      <c r="AY43" s="1128"/>
      <c r="AZ43" s="1128"/>
      <c r="BA43" s="1128"/>
      <c r="BB43" s="1128"/>
      <c r="BC43" s="1128"/>
      <c r="BD43" s="1128"/>
      <c r="BE43" s="1128"/>
      <c r="BF43" s="1128"/>
      <c r="BG43" s="1128"/>
      <c r="BH43" s="1128"/>
      <c r="BI43" s="1128"/>
      <c r="BJ43" s="1128"/>
      <c r="BK43" s="1128"/>
      <c r="BL43" s="1128"/>
      <c r="BM43" s="1128"/>
      <c r="BN43" s="1128"/>
      <c r="BO43" s="1128"/>
      <c r="BP43" s="1128"/>
      <c r="BQ43" s="1128"/>
      <c r="BR43" s="1128"/>
      <c r="BS43" s="1128"/>
      <c r="BT43" s="1128"/>
      <c r="BU43" s="1128"/>
      <c r="BV43" s="1128"/>
      <c r="BW43" s="1128"/>
      <c r="BX43" s="1128"/>
      <c r="BY43" s="1128"/>
      <c r="BZ43" s="1128"/>
      <c r="CA43" s="1128"/>
      <c r="CB43" s="1128"/>
      <c r="CC43" s="1128"/>
      <c r="CD43" s="1128"/>
      <c r="CE43" s="1128"/>
      <c r="CF43" s="1128"/>
      <c r="CG43" s="1128"/>
      <c r="CH43" s="1128"/>
      <c r="CI43" s="1128"/>
      <c r="CJ43" s="1128"/>
      <c r="CK43" s="1128"/>
      <c r="CL43" s="1128"/>
      <c r="CM43" s="1128"/>
      <c r="CN43" s="1128"/>
      <c r="CO43" s="1128"/>
      <c r="CP43" s="1128"/>
      <c r="CQ43" s="1128"/>
      <c r="CS43" s="178"/>
      <c r="CT43" s="1128" t="s">
        <v>556</v>
      </c>
      <c r="CU43" s="1128"/>
      <c r="CV43" s="1128"/>
      <c r="CW43" s="1128"/>
      <c r="CX43" s="1128"/>
      <c r="CY43" s="1128"/>
      <c r="CZ43" s="1128"/>
      <c r="DA43" s="1128"/>
      <c r="DB43" s="1128"/>
      <c r="DC43" s="1128"/>
      <c r="DD43" s="1128"/>
      <c r="DE43" s="1128"/>
      <c r="DF43" s="1128"/>
      <c r="DG43" s="1128"/>
      <c r="DH43" s="1128"/>
      <c r="DI43" s="1128"/>
      <c r="DJ43" s="1128"/>
      <c r="DK43" s="1128"/>
      <c r="DL43" s="1128"/>
      <c r="DM43" s="1128"/>
      <c r="DN43" s="1128"/>
      <c r="DO43" s="1128"/>
      <c r="DP43" s="1128"/>
      <c r="DQ43" s="1128"/>
      <c r="DR43" s="1128"/>
      <c r="DS43" s="1128"/>
      <c r="DT43" s="1128"/>
      <c r="DU43" s="1128"/>
      <c r="DV43" s="1128"/>
      <c r="DW43" s="1128"/>
      <c r="DX43" s="1128"/>
      <c r="DY43" s="1128"/>
      <c r="DZ43" s="1128"/>
      <c r="EA43" s="1128"/>
      <c r="EB43" s="1128"/>
      <c r="EC43" s="1128"/>
      <c r="ED43" s="1128"/>
      <c r="EE43" s="1128"/>
      <c r="EF43" s="1128"/>
      <c r="EG43" s="1128"/>
      <c r="EH43" s="1128"/>
      <c r="EI43" s="1128"/>
      <c r="EJ43" s="1128"/>
      <c r="EK43" s="1128"/>
      <c r="EL43" s="1128"/>
      <c r="EM43" s="1128"/>
    </row>
    <row r="44" spans="1:143" ht="18.75" customHeight="1">
      <c r="A44" s="178"/>
      <c r="B44" s="186"/>
      <c r="C44" s="186"/>
      <c r="D44" s="1127" t="s">
        <v>557</v>
      </c>
      <c r="E44" s="1127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7" t="s">
        <v>557</v>
      </c>
      <c r="BA44" s="1127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557</v>
      </c>
      <c r="CW44" s="1127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129" t="s">
        <v>559</v>
      </c>
      <c r="C45" s="1129"/>
      <c r="D45" s="1129"/>
      <c r="E45" s="1129"/>
      <c r="F45" s="1129"/>
      <c r="G45" s="1129"/>
      <c r="H45" s="1129"/>
      <c r="I45" s="1129"/>
      <c r="J45" s="1129"/>
      <c r="K45" s="1129"/>
      <c r="L45" s="1129"/>
      <c r="M45" s="1129"/>
      <c r="N45" s="1129"/>
      <c r="O45" s="1129"/>
      <c r="P45" s="1129"/>
      <c r="Q45" s="1129"/>
      <c r="R45" s="1129"/>
      <c r="S45" s="1129"/>
      <c r="T45" s="1129"/>
      <c r="U45" s="1129"/>
      <c r="V45" s="1129"/>
      <c r="W45" s="1129"/>
      <c r="X45" s="1129"/>
      <c r="Y45" s="1129"/>
      <c r="Z45" s="1129"/>
      <c r="AA45" s="1129"/>
      <c r="AB45" s="1129"/>
      <c r="AC45" s="1129"/>
      <c r="AD45" s="1129"/>
      <c r="AE45" s="1129"/>
      <c r="AF45" s="1129"/>
      <c r="AG45" s="1129"/>
      <c r="AH45" s="1129"/>
      <c r="AI45" s="1129"/>
      <c r="AJ45" s="1129"/>
      <c r="AK45" s="1129"/>
      <c r="AL45" s="1129"/>
      <c r="AM45" s="1129"/>
      <c r="AN45" s="1129"/>
      <c r="AO45" s="1129"/>
      <c r="AP45" s="1129"/>
      <c r="AQ45" s="1129"/>
      <c r="AR45" s="1129"/>
      <c r="AS45" s="1129"/>
      <c r="AT45" s="1129"/>
      <c r="AU45" s="1129"/>
      <c r="AV45" s="485"/>
      <c r="AW45" s="485"/>
      <c r="AX45" s="1129" t="s">
        <v>559</v>
      </c>
      <c r="AY45" s="1129"/>
      <c r="AZ45" s="1129"/>
      <c r="BA45" s="1129"/>
      <c r="BB45" s="1129"/>
      <c r="BC45" s="1129"/>
      <c r="BD45" s="1129"/>
      <c r="BE45" s="1129"/>
      <c r="BF45" s="1129"/>
      <c r="BG45" s="1129"/>
      <c r="BH45" s="1129"/>
      <c r="BI45" s="1129"/>
      <c r="BJ45" s="1129"/>
      <c r="BK45" s="1129"/>
      <c r="BL45" s="1129"/>
      <c r="BM45" s="1129"/>
      <c r="BN45" s="1129"/>
      <c r="BO45" s="1129"/>
      <c r="BP45" s="1129"/>
      <c r="BQ45" s="1129"/>
      <c r="BR45" s="1129"/>
      <c r="BS45" s="1129"/>
      <c r="BT45" s="1129"/>
      <c r="BU45" s="1129"/>
      <c r="BV45" s="1129"/>
      <c r="BW45" s="1129"/>
      <c r="BX45" s="1129"/>
      <c r="BY45" s="1129"/>
      <c r="BZ45" s="1129"/>
      <c r="CA45" s="1129"/>
      <c r="CB45" s="1129"/>
      <c r="CC45" s="1129"/>
      <c r="CD45" s="1129"/>
      <c r="CE45" s="1129"/>
      <c r="CF45" s="1129"/>
      <c r="CG45" s="1129"/>
      <c r="CH45" s="1129"/>
      <c r="CI45" s="1129"/>
      <c r="CJ45" s="1129"/>
      <c r="CK45" s="1129"/>
      <c r="CL45" s="1129"/>
      <c r="CM45" s="1129"/>
      <c r="CN45" s="1129"/>
      <c r="CO45" s="1129"/>
      <c r="CP45" s="1129"/>
      <c r="CQ45" s="1129"/>
      <c r="CR45" s="486"/>
      <c r="CS45" s="485"/>
      <c r="CT45" s="1129" t="s">
        <v>559</v>
      </c>
      <c r="CU45" s="1129"/>
      <c r="CV45" s="1129"/>
      <c r="CW45" s="1129"/>
      <c r="CX45" s="1129"/>
      <c r="CY45" s="1129"/>
      <c r="CZ45" s="1129"/>
      <c r="DA45" s="1129"/>
      <c r="DB45" s="1129"/>
      <c r="DC45" s="1129"/>
      <c r="DD45" s="1129"/>
      <c r="DE45" s="1129"/>
      <c r="DF45" s="1129"/>
      <c r="DG45" s="1129"/>
      <c r="DH45" s="1129"/>
      <c r="DI45" s="1129"/>
      <c r="DJ45" s="1129"/>
      <c r="DK45" s="1129"/>
      <c r="DL45" s="1129"/>
      <c r="DM45" s="1129"/>
      <c r="DN45" s="1129"/>
      <c r="DO45" s="1129"/>
      <c r="DP45" s="1129"/>
      <c r="DQ45" s="1129"/>
      <c r="DR45" s="1129"/>
      <c r="DS45" s="1129"/>
      <c r="DT45" s="1129"/>
      <c r="DU45" s="1129"/>
      <c r="DV45" s="1129"/>
      <c r="DW45" s="1129"/>
      <c r="DX45" s="1129"/>
      <c r="DY45" s="1129"/>
      <c r="DZ45" s="1129"/>
      <c r="EA45" s="1129"/>
      <c r="EB45" s="1129"/>
      <c r="EC45" s="1129"/>
      <c r="ED45" s="1129"/>
      <c r="EE45" s="1129"/>
      <c r="EF45" s="1129"/>
      <c r="EG45" s="1129"/>
      <c r="EH45" s="1129"/>
      <c r="EI45" s="1129"/>
      <c r="EJ45" s="1129"/>
      <c r="EK45" s="1129"/>
      <c r="EL45" s="1129"/>
      <c r="EM45" s="1129"/>
    </row>
    <row r="46" spans="1:143" ht="18.75" customHeight="1">
      <c r="A46" s="178"/>
      <c r="B46" s="186"/>
      <c r="C46" s="186"/>
      <c r="D46" s="1127" t="s">
        <v>560</v>
      </c>
      <c r="E46" s="1127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7" t="s">
        <v>560</v>
      </c>
      <c r="BA46" s="1127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7" t="s">
        <v>560</v>
      </c>
      <c r="CW46" s="1127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105">
        <f>I$30</f>
        <v>0</v>
      </c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105"/>
      <c r="AO47" s="1105"/>
      <c r="AP47" s="1105"/>
      <c r="AQ47" s="1105"/>
      <c r="AR47" s="1105"/>
      <c r="AS47" s="1105"/>
      <c r="AT47" s="1105"/>
      <c r="AU47" s="1105"/>
      <c r="AV47" s="178"/>
      <c r="AW47" s="178"/>
      <c r="AX47" s="1105">
        <f>BE$30</f>
        <v>0</v>
      </c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  <c r="BX47" s="1105"/>
      <c r="BY47" s="1105"/>
      <c r="BZ47" s="1105"/>
      <c r="CA47" s="1105"/>
      <c r="CB47" s="1105"/>
      <c r="CC47" s="1105"/>
      <c r="CD47" s="1105"/>
      <c r="CE47" s="1105"/>
      <c r="CF47" s="1105"/>
      <c r="CG47" s="1105"/>
      <c r="CH47" s="1105"/>
      <c r="CI47" s="1105"/>
      <c r="CJ47" s="1105"/>
      <c r="CK47" s="1105"/>
      <c r="CL47" s="1105"/>
      <c r="CM47" s="1105"/>
      <c r="CN47" s="1105"/>
      <c r="CO47" s="1105"/>
      <c r="CP47" s="1105"/>
      <c r="CQ47" s="1105"/>
      <c r="CS47" s="178"/>
      <c r="CT47" s="1105">
        <f>DA$30</f>
        <v>0</v>
      </c>
      <c r="CU47" s="1105"/>
      <c r="CV47" s="1105"/>
      <c r="CW47" s="1105"/>
      <c r="CX47" s="1105"/>
      <c r="CY47" s="1105"/>
      <c r="CZ47" s="1105"/>
      <c r="DA47" s="1105"/>
      <c r="DB47" s="1105"/>
      <c r="DC47" s="1105"/>
      <c r="DD47" s="1105"/>
      <c r="DE47" s="1105"/>
      <c r="DF47" s="1105"/>
      <c r="DG47" s="1105"/>
      <c r="DH47" s="1105"/>
      <c r="DI47" s="1105"/>
      <c r="DJ47" s="1105"/>
      <c r="DK47" s="1105"/>
      <c r="DL47" s="1105"/>
      <c r="DM47" s="1105"/>
      <c r="DN47" s="1105"/>
      <c r="DO47" s="1105"/>
      <c r="DP47" s="1105"/>
      <c r="DQ47" s="1105"/>
      <c r="DR47" s="1105"/>
      <c r="DS47" s="1105"/>
      <c r="DT47" s="1105"/>
      <c r="DU47" s="1105"/>
      <c r="DV47" s="1105"/>
      <c r="DW47" s="1105"/>
      <c r="DX47" s="1105"/>
      <c r="DY47" s="1105"/>
      <c r="DZ47" s="1105"/>
      <c r="EA47" s="1105"/>
      <c r="EB47" s="1105"/>
      <c r="EC47" s="1105"/>
      <c r="ED47" s="1105"/>
      <c r="EE47" s="1105"/>
      <c r="EF47" s="1105"/>
      <c r="EG47" s="1105"/>
      <c r="EH47" s="1105"/>
      <c r="EI47" s="1105"/>
      <c r="EJ47" s="1105"/>
      <c r="EK47" s="1105"/>
      <c r="EL47" s="1105"/>
      <c r="EM47" s="1105"/>
    </row>
    <row r="48" spans="1:143" ht="18.75" customHeight="1">
      <c r="A48" s="178"/>
      <c r="B48" s="186"/>
      <c r="C48" s="186"/>
      <c r="D48" s="1127" t="s">
        <v>562</v>
      </c>
      <c r="E48" s="1127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7" t="s">
        <v>562</v>
      </c>
      <c r="BA48" s="1127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7" t="s">
        <v>562</v>
      </c>
      <c r="CW48" s="1127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94" t="s">
        <v>834</v>
      </c>
      <c r="C49" s="1094"/>
      <c r="D49" s="1094"/>
      <c r="E49" s="1094"/>
      <c r="F49" s="1094"/>
      <c r="G49" s="1094"/>
      <c r="H49" s="1094"/>
      <c r="I49" s="1094"/>
      <c r="J49" s="1094"/>
      <c r="K49" s="1094"/>
      <c r="L49" s="1094"/>
      <c r="M49" s="1094"/>
      <c r="N49" s="1094"/>
      <c r="O49" s="1094"/>
      <c r="P49" s="1094"/>
      <c r="Q49" s="1094"/>
      <c r="R49" s="1094"/>
      <c r="S49" s="1094"/>
      <c r="T49" s="1094"/>
      <c r="U49" s="1094"/>
      <c r="V49" s="1094"/>
      <c r="W49" s="1094"/>
      <c r="X49" s="1094"/>
      <c r="Y49" s="1094"/>
      <c r="Z49" s="1094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78"/>
      <c r="AW49" s="178"/>
      <c r="AX49" s="1094" t="s">
        <v>834</v>
      </c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  <c r="BX49" s="1094"/>
      <c r="BY49" s="1094"/>
      <c r="BZ49" s="1094"/>
      <c r="CA49" s="1094"/>
      <c r="CB49" s="1094"/>
      <c r="CC49" s="1094"/>
      <c r="CD49" s="1094"/>
      <c r="CE49" s="1094"/>
      <c r="CF49" s="1094"/>
      <c r="CG49" s="1094"/>
      <c r="CH49" s="1094"/>
      <c r="CI49" s="1094"/>
      <c r="CJ49" s="1094"/>
      <c r="CK49" s="1094"/>
      <c r="CL49" s="1094"/>
      <c r="CM49" s="1094"/>
      <c r="CN49" s="1094"/>
      <c r="CO49" s="1094"/>
      <c r="CP49" s="1094"/>
      <c r="CQ49" s="1094"/>
      <c r="CS49" s="178"/>
      <c r="CT49" s="1094" t="s">
        <v>834</v>
      </c>
      <c r="CU49" s="1094"/>
      <c r="CV49" s="1094"/>
      <c r="CW49" s="1094"/>
      <c r="CX49" s="1094"/>
      <c r="CY49" s="1094"/>
      <c r="CZ49" s="1094"/>
      <c r="DA49" s="1094"/>
      <c r="DB49" s="1094"/>
      <c r="DC49" s="1094"/>
      <c r="DD49" s="1094"/>
      <c r="DE49" s="1094"/>
      <c r="DF49" s="1094"/>
      <c r="DG49" s="1094"/>
      <c r="DH49" s="1094"/>
      <c r="DI49" s="1094"/>
      <c r="DJ49" s="1094"/>
      <c r="DK49" s="1094"/>
      <c r="DL49" s="1094"/>
      <c r="DM49" s="1094"/>
      <c r="DN49" s="1094"/>
      <c r="DO49" s="1094"/>
      <c r="DP49" s="1094"/>
      <c r="DQ49" s="1094"/>
      <c r="DR49" s="1094"/>
      <c r="DS49" s="1094"/>
      <c r="DT49" s="1094"/>
      <c r="DU49" s="1094"/>
      <c r="DV49" s="1094"/>
      <c r="DW49" s="1094"/>
      <c r="DX49" s="1094"/>
      <c r="DY49" s="1094"/>
      <c r="DZ49" s="1094"/>
      <c r="EA49" s="1094"/>
      <c r="EB49" s="1094"/>
      <c r="EC49" s="1094"/>
      <c r="ED49" s="1094"/>
      <c r="EE49" s="1094"/>
      <c r="EF49" s="1094"/>
      <c r="EG49" s="1094"/>
      <c r="EH49" s="1094"/>
      <c r="EI49" s="1094"/>
      <c r="EJ49" s="1094"/>
      <c r="EK49" s="1094"/>
      <c r="EL49" s="1094"/>
      <c r="EM49" s="1094"/>
    </row>
    <row r="50" spans="1:143" ht="18.75" customHeight="1">
      <c r="A50" s="178"/>
      <c r="B50" s="1079" t="s">
        <v>564</v>
      </c>
      <c r="C50" s="1079"/>
      <c r="D50" s="1079"/>
      <c r="E50" s="1079"/>
      <c r="F50" s="1079"/>
      <c r="G50" s="1079"/>
      <c r="H50" s="1113">
        <f>I$31</f>
        <v>0</v>
      </c>
      <c r="I50" s="1113"/>
      <c r="J50" s="1113"/>
      <c r="K50" s="1113"/>
      <c r="L50" s="1113"/>
      <c r="M50" s="1113"/>
      <c r="N50" s="1113"/>
      <c r="O50" s="1113"/>
      <c r="P50" s="1113"/>
      <c r="Q50" s="1113"/>
      <c r="R50" s="1113"/>
      <c r="S50" s="1113"/>
      <c r="T50" s="1113"/>
      <c r="U50" s="1113"/>
      <c r="V50" s="1113"/>
      <c r="W50" s="1113"/>
      <c r="X50" s="1113"/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78"/>
      <c r="AW50" s="178"/>
      <c r="AX50" s="1079" t="s">
        <v>564</v>
      </c>
      <c r="AY50" s="1079"/>
      <c r="AZ50" s="1079"/>
      <c r="BA50" s="1079"/>
      <c r="BB50" s="1079"/>
      <c r="BC50" s="1079"/>
      <c r="BD50" s="1113">
        <f>BE$31</f>
        <v>0</v>
      </c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  <c r="BX50" s="1113"/>
      <c r="BY50" s="1113"/>
      <c r="BZ50" s="1113"/>
      <c r="CA50" s="1113"/>
      <c r="CB50" s="1113"/>
      <c r="CC50" s="1113"/>
      <c r="CD50" s="1113"/>
      <c r="CE50" s="1113"/>
      <c r="CF50" s="1113"/>
      <c r="CG50" s="1113"/>
      <c r="CH50" s="1113"/>
      <c r="CI50" s="1113"/>
      <c r="CJ50" s="1113"/>
      <c r="CK50" s="1113"/>
      <c r="CL50" s="1113"/>
      <c r="CM50" s="1113"/>
      <c r="CN50" s="1113"/>
      <c r="CO50" s="1113"/>
      <c r="CP50" s="1113"/>
      <c r="CQ50" s="1113"/>
      <c r="CS50" s="178"/>
      <c r="CT50" s="1079" t="s">
        <v>564</v>
      </c>
      <c r="CU50" s="1079"/>
      <c r="CV50" s="1079"/>
      <c r="CW50" s="1079"/>
      <c r="CX50" s="1079"/>
      <c r="CY50" s="1079"/>
      <c r="CZ50" s="1113">
        <f>DA$31</f>
        <v>0</v>
      </c>
      <c r="DA50" s="1113"/>
      <c r="DB50" s="1113"/>
      <c r="DC50" s="1113"/>
      <c r="DD50" s="1113"/>
      <c r="DE50" s="1113"/>
      <c r="DF50" s="1113"/>
      <c r="DG50" s="1113"/>
      <c r="DH50" s="1113"/>
      <c r="DI50" s="1113"/>
      <c r="DJ50" s="1113"/>
      <c r="DK50" s="1113"/>
      <c r="DL50" s="1113"/>
      <c r="DM50" s="1113"/>
      <c r="DN50" s="1113"/>
      <c r="DO50" s="1113"/>
      <c r="DP50" s="1113"/>
      <c r="DQ50" s="1113"/>
      <c r="DR50" s="1113"/>
      <c r="DS50" s="1113"/>
      <c r="DT50" s="1113"/>
      <c r="DU50" s="1113"/>
      <c r="DV50" s="1113"/>
      <c r="DW50" s="1113"/>
      <c r="DX50" s="1113"/>
      <c r="DY50" s="1113"/>
      <c r="DZ50" s="1113"/>
      <c r="EA50" s="1113"/>
      <c r="EB50" s="1113"/>
      <c r="EC50" s="1113"/>
      <c r="ED50" s="1113"/>
      <c r="EE50" s="1113"/>
      <c r="EF50" s="1113"/>
      <c r="EG50" s="1113"/>
      <c r="EH50" s="1113"/>
      <c r="EI50" s="1113"/>
      <c r="EJ50" s="1113"/>
      <c r="EK50" s="1113"/>
      <c r="EL50" s="1113"/>
      <c r="EM50" s="1113"/>
    </row>
    <row r="51" spans="1:143" ht="18.75" customHeight="1">
      <c r="A51" s="178"/>
      <c r="B51" s="186"/>
      <c r="C51" s="186"/>
      <c r="D51" s="1127" t="s">
        <v>565</v>
      </c>
      <c r="E51" s="1127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7" t="s">
        <v>565</v>
      </c>
      <c r="BA51" s="1127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7" t="s">
        <v>565</v>
      </c>
      <c r="CW51" s="1127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105">
        <f>I$29</f>
        <v>0</v>
      </c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  <c r="AR52" s="1105"/>
      <c r="AS52" s="1105"/>
      <c r="AT52" s="1105"/>
      <c r="AU52" s="1105"/>
      <c r="AV52" s="178"/>
      <c r="AW52" s="178"/>
      <c r="AX52" s="1105">
        <f>BE$29</f>
        <v>0</v>
      </c>
      <c r="AY52" s="1105"/>
      <c r="AZ52" s="1105"/>
      <c r="BA52" s="1105"/>
      <c r="BB52" s="1105"/>
      <c r="BC52" s="1105"/>
      <c r="BD52" s="1105"/>
      <c r="BE52" s="1105"/>
      <c r="BF52" s="1105"/>
      <c r="BG52" s="1105"/>
      <c r="BH52" s="1105"/>
      <c r="BI52" s="1105"/>
      <c r="BJ52" s="1105"/>
      <c r="BK52" s="1105"/>
      <c r="BL52" s="1105"/>
      <c r="BM52" s="1105"/>
      <c r="BN52" s="1105"/>
      <c r="BO52" s="1105"/>
      <c r="BP52" s="1105"/>
      <c r="BQ52" s="1105"/>
      <c r="BR52" s="1105"/>
      <c r="BS52" s="1105"/>
      <c r="BT52" s="1105"/>
      <c r="BU52" s="1105"/>
      <c r="BV52" s="1105"/>
      <c r="BW52" s="1105"/>
      <c r="BX52" s="1105"/>
      <c r="BY52" s="1105"/>
      <c r="BZ52" s="1105"/>
      <c r="CA52" s="1105"/>
      <c r="CB52" s="1105"/>
      <c r="CC52" s="1105"/>
      <c r="CD52" s="1105"/>
      <c r="CE52" s="1105"/>
      <c r="CF52" s="1105"/>
      <c r="CG52" s="1105"/>
      <c r="CH52" s="1105"/>
      <c r="CI52" s="1105"/>
      <c r="CJ52" s="1105"/>
      <c r="CK52" s="1105"/>
      <c r="CL52" s="1105"/>
      <c r="CM52" s="1105"/>
      <c r="CN52" s="1105"/>
      <c r="CO52" s="1105"/>
      <c r="CP52" s="1105"/>
      <c r="CQ52" s="1105"/>
      <c r="CS52" s="178"/>
      <c r="CT52" s="1105">
        <f>DA$29</f>
        <v>0</v>
      </c>
      <c r="CU52" s="1105"/>
      <c r="CV52" s="1105"/>
      <c r="CW52" s="1105"/>
      <c r="CX52" s="1105"/>
      <c r="CY52" s="1105"/>
      <c r="CZ52" s="1105"/>
      <c r="DA52" s="1105"/>
      <c r="DB52" s="1105"/>
      <c r="DC52" s="1105"/>
      <c r="DD52" s="1105"/>
      <c r="DE52" s="1105"/>
      <c r="DF52" s="1105"/>
      <c r="DG52" s="1105"/>
      <c r="DH52" s="1105"/>
      <c r="DI52" s="1105"/>
      <c r="DJ52" s="1105"/>
      <c r="DK52" s="1105"/>
      <c r="DL52" s="1105"/>
      <c r="DM52" s="1105"/>
      <c r="DN52" s="1105"/>
      <c r="DO52" s="1105"/>
      <c r="DP52" s="1105"/>
      <c r="DQ52" s="1105"/>
      <c r="DR52" s="1105"/>
      <c r="DS52" s="1105"/>
      <c r="DT52" s="1105"/>
      <c r="DU52" s="1105"/>
      <c r="DV52" s="1105"/>
      <c r="DW52" s="1105"/>
      <c r="DX52" s="1105"/>
      <c r="DY52" s="1105"/>
      <c r="DZ52" s="1105"/>
      <c r="EA52" s="1105"/>
      <c r="EB52" s="1105"/>
      <c r="EC52" s="1105"/>
      <c r="ED52" s="1105"/>
      <c r="EE52" s="1105"/>
      <c r="EF52" s="1105"/>
      <c r="EG52" s="1105"/>
      <c r="EH52" s="1105"/>
      <c r="EI52" s="1105"/>
      <c r="EJ52" s="1105"/>
      <c r="EK52" s="1105"/>
      <c r="EL52" s="1105"/>
      <c r="EM52" s="1105"/>
    </row>
    <row r="53" spans="1:143" ht="23.25" customHeight="1">
      <c r="A53" s="178"/>
      <c r="B53" s="1098" t="s">
        <v>941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V53" s="178"/>
      <c r="AW53" s="178"/>
      <c r="AX53" s="1098" t="s">
        <v>941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941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46.5" customHeight="1">
      <c r="A54" s="178"/>
      <c r="B54" s="1132">
        <f>'Настройки ТИК'!$B$9</f>
        <v>0</v>
      </c>
      <c r="C54" s="1132"/>
      <c r="D54" s="1132"/>
      <c r="E54" s="1132"/>
      <c r="F54" s="1132"/>
      <c r="G54" s="1132"/>
      <c r="H54" s="1132"/>
      <c r="I54" s="1132"/>
      <c r="J54" s="1132"/>
      <c r="K54" s="1132"/>
      <c r="L54" s="1132"/>
      <c r="M54" s="1132"/>
      <c r="N54" s="1132"/>
      <c r="O54" s="1132"/>
      <c r="P54" s="1132"/>
      <c r="Q54" s="1132"/>
      <c r="R54" s="1132"/>
      <c r="S54" s="1132"/>
      <c r="T54" s="1132"/>
      <c r="U54" s="1132"/>
      <c r="V54" s="1132"/>
      <c r="W54" s="1132"/>
      <c r="X54" s="1132"/>
      <c r="Y54" s="1132"/>
      <c r="Z54" s="1132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132"/>
      <c r="AO54" s="1132"/>
      <c r="AP54" s="1132"/>
      <c r="AQ54" s="1132"/>
      <c r="AR54" s="1132"/>
      <c r="AS54" s="1132"/>
      <c r="AT54" s="1132"/>
      <c r="AU54" s="1132"/>
      <c r="AV54" s="178"/>
      <c r="AW54" s="178"/>
      <c r="AX54" s="1132">
        <f>'Настройки ТИК'!$B$9</f>
        <v>0</v>
      </c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  <c r="BX54" s="1132"/>
      <c r="BY54" s="1132"/>
      <c r="BZ54" s="1132"/>
      <c r="CA54" s="1132"/>
      <c r="CB54" s="1132"/>
      <c r="CC54" s="1132"/>
      <c r="CD54" s="1132"/>
      <c r="CE54" s="1132"/>
      <c r="CF54" s="1132"/>
      <c r="CG54" s="1132"/>
      <c r="CH54" s="1132"/>
      <c r="CI54" s="1132"/>
      <c r="CJ54" s="1132"/>
      <c r="CK54" s="1132"/>
      <c r="CL54" s="1132"/>
      <c r="CM54" s="1132"/>
      <c r="CN54" s="1132"/>
      <c r="CO54" s="1132"/>
      <c r="CP54" s="1132"/>
      <c r="CQ54" s="1132"/>
      <c r="CS54" s="178"/>
      <c r="CT54" s="1132">
        <f>'Настройки ТИК'!$B$9</f>
        <v>0</v>
      </c>
      <c r="CU54" s="1132"/>
      <c r="CV54" s="1132"/>
      <c r="CW54" s="1132"/>
      <c r="CX54" s="1132"/>
      <c r="CY54" s="1132"/>
      <c r="CZ54" s="1132"/>
      <c r="DA54" s="1132"/>
      <c r="DB54" s="1132"/>
      <c r="DC54" s="1132"/>
      <c r="DD54" s="1132"/>
      <c r="DE54" s="1132"/>
      <c r="DF54" s="1132"/>
      <c r="DG54" s="1132"/>
      <c r="DH54" s="1132"/>
      <c r="DI54" s="1132"/>
      <c r="DJ54" s="1132"/>
      <c r="DK54" s="1132"/>
      <c r="DL54" s="1132"/>
      <c r="DM54" s="1132"/>
      <c r="DN54" s="1132"/>
      <c r="DO54" s="1132"/>
      <c r="DP54" s="1132"/>
      <c r="DQ54" s="1132"/>
      <c r="DR54" s="1132"/>
      <c r="DS54" s="1132"/>
      <c r="DT54" s="1132"/>
      <c r="DU54" s="1132"/>
      <c r="DV54" s="1132"/>
      <c r="DW54" s="1132"/>
      <c r="DX54" s="1132"/>
      <c r="DY54" s="1132"/>
      <c r="DZ54" s="1132"/>
      <c r="EA54" s="1132"/>
      <c r="EB54" s="1132"/>
      <c r="EC54" s="1132"/>
      <c r="ED54" s="1132"/>
      <c r="EE54" s="1132"/>
      <c r="EF54" s="1132"/>
      <c r="EG54" s="1132"/>
      <c r="EH54" s="1132"/>
      <c r="EI54" s="1132"/>
      <c r="EJ54" s="1132"/>
      <c r="EK54" s="1132"/>
      <c r="EL54" s="1132"/>
      <c r="EM54" s="1132"/>
    </row>
    <row r="55" spans="1:143" ht="18.75" customHeight="1">
      <c r="A55" s="178"/>
      <c r="B55" s="186"/>
      <c r="C55" s="186"/>
      <c r="D55" s="1127" t="s">
        <v>567</v>
      </c>
      <c r="E55" s="1127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7" t="s">
        <v>567</v>
      </c>
      <c r="BA55" s="1127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7" t="s">
        <v>567</v>
      </c>
      <c r="CW55" s="1127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97">
        <f>I$32</f>
        <v>0</v>
      </c>
      <c r="C56" s="1097"/>
      <c r="D56" s="1097"/>
      <c r="E56" s="1097"/>
      <c r="F56" s="1097"/>
      <c r="G56" s="1097"/>
      <c r="H56" s="1097"/>
      <c r="I56" s="1097"/>
      <c r="J56" s="1097"/>
      <c r="K56" s="1097"/>
      <c r="L56" s="1097"/>
      <c r="M56" s="1097"/>
      <c r="N56" s="1097"/>
      <c r="O56" s="1097"/>
      <c r="P56" s="1097"/>
      <c r="Q56" s="1097"/>
      <c r="R56" s="1097"/>
      <c r="S56" s="1097"/>
      <c r="T56" s="1097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7">
        <f>BE$32</f>
        <v>0</v>
      </c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7">
        <f>DA$32</f>
        <v>0</v>
      </c>
      <c r="CU56" s="1097"/>
      <c r="CV56" s="1097"/>
      <c r="CW56" s="1097"/>
      <c r="CX56" s="1097"/>
      <c r="CY56" s="1097"/>
      <c r="CZ56" s="1097"/>
      <c r="DA56" s="1097"/>
      <c r="DB56" s="1097"/>
      <c r="DC56" s="1097"/>
      <c r="DD56" s="1097"/>
      <c r="DE56" s="1097"/>
      <c r="DF56" s="1097"/>
      <c r="DG56" s="1097"/>
      <c r="DH56" s="1097"/>
      <c r="DI56" s="1097"/>
      <c r="DJ56" s="1097"/>
      <c r="DK56" s="1097"/>
      <c r="DL56" s="1097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129" t="s">
        <v>570</v>
      </c>
      <c r="C57" s="1129"/>
      <c r="D57" s="1129"/>
      <c r="E57" s="1129"/>
      <c r="F57" s="1129"/>
      <c r="G57" s="1129"/>
      <c r="H57" s="1129"/>
      <c r="I57" s="1129"/>
      <c r="J57" s="1129"/>
      <c r="K57" s="1129"/>
      <c r="L57" s="1129"/>
      <c r="M57" s="1129"/>
      <c r="N57" s="1129"/>
      <c r="O57" s="1129"/>
      <c r="P57" s="1129"/>
      <c r="Q57" s="1129"/>
      <c r="R57" s="1129"/>
      <c r="S57" s="1129"/>
      <c r="T57" s="1129"/>
      <c r="U57" s="1129"/>
      <c r="V57" s="1129"/>
      <c r="W57" s="1129"/>
      <c r="X57" s="1129"/>
      <c r="Y57" s="1129"/>
      <c r="Z57" s="1129"/>
      <c r="AA57" s="1129"/>
      <c r="AB57" s="1129"/>
      <c r="AC57" s="1129"/>
      <c r="AD57" s="1129"/>
      <c r="AE57" s="1129"/>
      <c r="AF57" s="1129"/>
      <c r="AG57" s="1129"/>
      <c r="AH57" s="1129"/>
      <c r="AI57" s="1129"/>
      <c r="AJ57" s="1129"/>
      <c r="AK57" s="1129"/>
      <c r="AL57" s="1129"/>
      <c r="AM57" s="1129"/>
      <c r="AN57" s="1129"/>
      <c r="AO57" s="1129"/>
      <c r="AP57" s="1129"/>
      <c r="AQ57" s="1129"/>
      <c r="AR57" s="1129"/>
      <c r="AS57" s="1129"/>
      <c r="AT57" s="1129"/>
      <c r="AU57" s="1129"/>
      <c r="AV57" s="178"/>
      <c r="AW57" s="178"/>
      <c r="AX57" s="1129" t="s">
        <v>570</v>
      </c>
      <c r="AY57" s="1129"/>
      <c r="AZ57" s="1129"/>
      <c r="BA57" s="1129"/>
      <c r="BB57" s="1129"/>
      <c r="BC57" s="1129"/>
      <c r="BD57" s="1129"/>
      <c r="BE57" s="1129"/>
      <c r="BF57" s="1129"/>
      <c r="BG57" s="1129"/>
      <c r="BH57" s="1129"/>
      <c r="BI57" s="1129"/>
      <c r="BJ57" s="1129"/>
      <c r="BK57" s="1129"/>
      <c r="BL57" s="1129"/>
      <c r="BM57" s="1129"/>
      <c r="BN57" s="1129"/>
      <c r="BO57" s="1129"/>
      <c r="BP57" s="1129"/>
      <c r="BQ57" s="1129"/>
      <c r="BR57" s="1129"/>
      <c r="BS57" s="1129"/>
      <c r="BT57" s="1129"/>
      <c r="BU57" s="1129"/>
      <c r="BV57" s="1129"/>
      <c r="BW57" s="1129"/>
      <c r="BX57" s="1129"/>
      <c r="BY57" s="1129"/>
      <c r="BZ57" s="1129"/>
      <c r="CA57" s="1129"/>
      <c r="CB57" s="1129"/>
      <c r="CC57" s="1129"/>
      <c r="CD57" s="1129"/>
      <c r="CE57" s="1129"/>
      <c r="CF57" s="1129"/>
      <c r="CG57" s="1129"/>
      <c r="CH57" s="1129"/>
      <c r="CI57" s="1129"/>
      <c r="CJ57" s="1129"/>
      <c r="CK57" s="1129"/>
      <c r="CL57" s="1129"/>
      <c r="CM57" s="1129"/>
      <c r="CN57" s="1129"/>
      <c r="CO57" s="1129"/>
      <c r="CP57" s="1129"/>
      <c r="CQ57" s="1129"/>
      <c r="CS57" s="178"/>
      <c r="CT57" s="1129" t="s">
        <v>570</v>
      </c>
      <c r="CU57" s="1129"/>
      <c r="CV57" s="1129"/>
      <c r="CW57" s="1129"/>
      <c r="CX57" s="1129"/>
      <c r="CY57" s="1129"/>
      <c r="CZ57" s="1129"/>
      <c r="DA57" s="1129"/>
      <c r="DB57" s="1129"/>
      <c r="DC57" s="1129"/>
      <c r="DD57" s="1129"/>
      <c r="DE57" s="1129"/>
      <c r="DF57" s="1129"/>
      <c r="DG57" s="1129"/>
      <c r="DH57" s="1129"/>
      <c r="DI57" s="1129"/>
      <c r="DJ57" s="1129"/>
      <c r="DK57" s="1129"/>
      <c r="DL57" s="1129"/>
      <c r="DM57" s="1129"/>
      <c r="DN57" s="1129"/>
      <c r="DO57" s="1129"/>
      <c r="DP57" s="1129"/>
      <c r="DQ57" s="1129"/>
      <c r="DR57" s="1129"/>
      <c r="DS57" s="1129"/>
      <c r="DT57" s="1129"/>
      <c r="DU57" s="1129"/>
      <c r="DV57" s="1129"/>
      <c r="DW57" s="1129"/>
      <c r="DX57" s="1129"/>
      <c r="DY57" s="1129"/>
      <c r="DZ57" s="1129"/>
      <c r="EA57" s="1129"/>
      <c r="EB57" s="1129"/>
      <c r="EC57" s="1129"/>
      <c r="ED57" s="1129"/>
      <c r="EE57" s="1129"/>
      <c r="EF57" s="1129"/>
      <c r="EG57" s="1129"/>
      <c r="EH57" s="1129"/>
      <c r="EI57" s="1129"/>
      <c r="EJ57" s="1129"/>
      <c r="EK57" s="1129"/>
      <c r="EL57" s="1129"/>
      <c r="EM57" s="1129"/>
    </row>
    <row r="58" spans="1:143" ht="18.75" customHeight="1">
      <c r="A58" s="178"/>
      <c r="B58" s="186"/>
      <c r="C58" s="186"/>
      <c r="D58" s="1127" t="s">
        <v>571</v>
      </c>
      <c r="E58" s="1127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7" t="s">
        <v>571</v>
      </c>
      <c r="BA58" s="1127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7" t="s">
        <v>571</v>
      </c>
      <c r="CW58" s="1127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98" t="s">
        <v>573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V59" s="178"/>
      <c r="AW59" s="178"/>
      <c r="AX59" s="1098" t="s">
        <v>573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573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18.75" customHeight="1">
      <c r="A60" s="178"/>
      <c r="B60" s="1105">
        <f>I$33</f>
        <v>0</v>
      </c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78"/>
      <c r="AW60" s="178"/>
      <c r="AX60" s="1105">
        <f>BE$33</f>
        <v>0</v>
      </c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  <c r="BX60" s="1105"/>
      <c r="BY60" s="1105"/>
      <c r="BZ60" s="1105"/>
      <c r="CA60" s="1105"/>
      <c r="CB60" s="1105"/>
      <c r="CC60" s="1105"/>
      <c r="CD60" s="1105"/>
      <c r="CE60" s="1105"/>
      <c r="CF60" s="1105"/>
      <c r="CG60" s="1105"/>
      <c r="CH60" s="1105"/>
      <c r="CI60" s="1105"/>
      <c r="CJ60" s="1105"/>
      <c r="CK60" s="1105"/>
      <c r="CL60" s="1105"/>
      <c r="CM60" s="1105"/>
      <c r="CN60" s="1105"/>
      <c r="CO60" s="1105"/>
      <c r="CP60" s="1105"/>
      <c r="CQ60" s="1105"/>
      <c r="CS60" s="178"/>
      <c r="CT60" s="1105">
        <f>DA$33</f>
        <v>0</v>
      </c>
      <c r="CU60" s="1105"/>
      <c r="CV60" s="1105"/>
      <c r="CW60" s="1105"/>
      <c r="CX60" s="1105"/>
      <c r="CY60" s="1105"/>
      <c r="CZ60" s="1105"/>
      <c r="DA60" s="1105"/>
      <c r="DB60" s="1105"/>
      <c r="DC60" s="1105"/>
      <c r="DD60" s="1105"/>
      <c r="DE60" s="1105"/>
      <c r="DF60" s="1105"/>
      <c r="DG60" s="1105"/>
      <c r="DH60" s="1105"/>
      <c r="DI60" s="1105"/>
      <c r="DJ60" s="1105"/>
      <c r="DK60" s="1105"/>
      <c r="DL60" s="1105"/>
      <c r="DM60" s="1105"/>
      <c r="DN60" s="1105"/>
      <c r="DO60" s="1105"/>
      <c r="DP60" s="1105"/>
      <c r="DQ60" s="1105"/>
      <c r="DR60" s="1105"/>
      <c r="DS60" s="1105"/>
      <c r="DT60" s="1105"/>
      <c r="DU60" s="1105"/>
      <c r="DV60" s="1105"/>
      <c r="DW60" s="1105"/>
      <c r="DX60" s="1105"/>
      <c r="DY60" s="1105"/>
      <c r="DZ60" s="1105"/>
      <c r="EA60" s="1105"/>
      <c r="EB60" s="1105"/>
      <c r="EC60" s="1105"/>
      <c r="ED60" s="1105"/>
      <c r="EE60" s="1105"/>
      <c r="EF60" s="1105"/>
      <c r="EG60" s="1105"/>
      <c r="EH60" s="1105"/>
      <c r="EI60" s="1105"/>
      <c r="EJ60" s="1105"/>
      <c r="EK60" s="1105"/>
      <c r="EL60" s="1105"/>
      <c r="EM60" s="1105"/>
    </row>
    <row r="61" spans="1:143" ht="18.75" customHeight="1">
      <c r="A61" s="178"/>
      <c r="B61" s="186"/>
      <c r="C61" s="186"/>
      <c r="D61" s="1127" t="s">
        <v>574</v>
      </c>
      <c r="E61" s="1127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7" t="s">
        <v>574</v>
      </c>
      <c r="BA61" s="1127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7" t="s">
        <v>574</v>
      </c>
      <c r="CW61" s="1127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98" t="s">
        <v>576</v>
      </c>
      <c r="C62" s="1098"/>
      <c r="D62" s="1098"/>
      <c r="E62" s="1098"/>
      <c r="F62" s="1098"/>
      <c r="G62" s="1098"/>
      <c r="H62" s="1098"/>
      <c r="I62" s="1098"/>
      <c r="J62" s="1098"/>
      <c r="K62" s="1098"/>
      <c r="L62" s="1098"/>
      <c r="M62" s="1098"/>
      <c r="N62" s="1098"/>
      <c r="O62" s="1098"/>
      <c r="P62" s="1098"/>
      <c r="Q62" s="1098"/>
      <c r="R62" s="1098"/>
      <c r="S62" s="1098"/>
      <c r="T62" s="1098"/>
      <c r="U62" s="1098"/>
      <c r="V62" s="1098"/>
      <c r="W62" s="1098"/>
      <c r="X62" s="1098"/>
      <c r="Y62" s="1098"/>
      <c r="Z62" s="1098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78"/>
      <c r="AW62" s="178"/>
      <c r="AX62" s="1098" t="s">
        <v>576</v>
      </c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  <c r="BX62" s="1098"/>
      <c r="BY62" s="1098"/>
      <c r="BZ62" s="1098"/>
      <c r="CA62" s="1098"/>
      <c r="CB62" s="1098"/>
      <c r="CC62" s="1098"/>
      <c r="CD62" s="1098"/>
      <c r="CE62" s="1098"/>
      <c r="CF62" s="1098"/>
      <c r="CG62" s="1098"/>
      <c r="CH62" s="1098"/>
      <c r="CI62" s="1098"/>
      <c r="CJ62" s="1098"/>
      <c r="CK62" s="1098"/>
      <c r="CL62" s="1098"/>
      <c r="CM62" s="1098"/>
      <c r="CN62" s="1098"/>
      <c r="CO62" s="1098"/>
      <c r="CP62" s="1098"/>
      <c r="CQ62" s="1098"/>
      <c r="CS62" s="178"/>
      <c r="CT62" s="1098" t="s">
        <v>576</v>
      </c>
      <c r="CU62" s="1098"/>
      <c r="CV62" s="1098"/>
      <c r="CW62" s="1098"/>
      <c r="CX62" s="1098"/>
      <c r="CY62" s="1098"/>
      <c r="CZ62" s="1098"/>
      <c r="DA62" s="1098"/>
      <c r="DB62" s="1098"/>
      <c r="DC62" s="1098"/>
      <c r="DD62" s="1098"/>
      <c r="DE62" s="1098"/>
      <c r="DF62" s="1098"/>
      <c r="DG62" s="1098"/>
      <c r="DH62" s="1098"/>
      <c r="DI62" s="1098"/>
      <c r="DJ62" s="1098"/>
      <c r="DK62" s="1098"/>
      <c r="DL62" s="1098"/>
      <c r="DM62" s="1098"/>
      <c r="DN62" s="1098"/>
      <c r="DO62" s="1098"/>
      <c r="DP62" s="1098"/>
      <c r="DQ62" s="1098"/>
      <c r="DR62" s="1098"/>
      <c r="DS62" s="1098"/>
      <c r="DT62" s="1098"/>
      <c r="DU62" s="1098"/>
      <c r="DV62" s="1098"/>
      <c r="DW62" s="1098"/>
      <c r="DX62" s="1098"/>
      <c r="DY62" s="1098"/>
      <c r="DZ62" s="1098"/>
      <c r="EA62" s="1098"/>
      <c r="EB62" s="1098"/>
      <c r="EC62" s="1098"/>
      <c r="ED62" s="1098"/>
      <c r="EE62" s="1098"/>
      <c r="EF62" s="1098"/>
      <c r="EG62" s="1098"/>
      <c r="EH62" s="1098"/>
      <c r="EI62" s="1098"/>
      <c r="EJ62" s="1098"/>
      <c r="EK62" s="1098"/>
      <c r="EL62" s="1098"/>
      <c r="EM62" s="1098"/>
    </row>
    <row r="63" spans="1:143" ht="18.75" customHeight="1">
      <c r="A63" s="178"/>
      <c r="B63" s="186"/>
      <c r="C63" s="186"/>
      <c r="D63" s="1127" t="s">
        <v>577</v>
      </c>
      <c r="E63" s="1127"/>
      <c r="F63" s="178"/>
      <c r="G63" s="1079" t="s">
        <v>578</v>
      </c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V63" s="1079"/>
      <c r="W63" s="1079"/>
      <c r="X63" s="1079"/>
      <c r="Y63" s="1079"/>
      <c r="Z63" s="1079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78"/>
      <c r="AW63" s="178"/>
      <c r="AX63" s="186"/>
      <c r="AY63" s="186"/>
      <c r="AZ63" s="1127" t="s">
        <v>577</v>
      </c>
      <c r="BA63" s="1127"/>
      <c r="BB63" s="178"/>
      <c r="BC63" s="1079" t="s">
        <v>578</v>
      </c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  <c r="BX63" s="1079"/>
      <c r="BY63" s="1079"/>
      <c r="BZ63" s="1079"/>
      <c r="CA63" s="1079"/>
      <c r="CB63" s="1079"/>
      <c r="CC63" s="1079"/>
      <c r="CD63" s="1079"/>
      <c r="CE63" s="1079"/>
      <c r="CF63" s="1079"/>
      <c r="CG63" s="1079"/>
      <c r="CH63" s="1079"/>
      <c r="CI63" s="1079"/>
      <c r="CJ63" s="1079"/>
      <c r="CK63" s="1079"/>
      <c r="CL63" s="1079"/>
      <c r="CM63" s="1079"/>
      <c r="CN63" s="1079"/>
      <c r="CO63" s="1079"/>
      <c r="CP63" s="1079"/>
      <c r="CQ63" s="1079"/>
      <c r="CS63" s="178"/>
      <c r="CT63" s="186"/>
      <c r="CU63" s="186"/>
      <c r="CV63" s="1127" t="s">
        <v>577</v>
      </c>
      <c r="CW63" s="1127"/>
      <c r="CX63" s="178"/>
      <c r="CY63" s="1079" t="s">
        <v>578</v>
      </c>
      <c r="CZ63" s="1079"/>
      <c r="DA63" s="1079"/>
      <c r="DB63" s="1079"/>
      <c r="DC63" s="1079"/>
      <c r="DD63" s="1079"/>
      <c r="DE63" s="1079"/>
      <c r="DF63" s="1079"/>
      <c r="DG63" s="1079"/>
      <c r="DH63" s="1079"/>
      <c r="DI63" s="1079"/>
      <c r="DJ63" s="1079"/>
      <c r="DK63" s="1079"/>
      <c r="DL63" s="1079"/>
      <c r="DM63" s="1079"/>
      <c r="DN63" s="1079"/>
      <c r="DO63" s="1079"/>
      <c r="DP63" s="1079"/>
      <c r="DQ63" s="1079"/>
      <c r="DR63" s="1079"/>
      <c r="DS63" s="1079"/>
      <c r="DT63" s="1079"/>
      <c r="DU63" s="1079"/>
      <c r="DV63" s="1079"/>
      <c r="DW63" s="1079"/>
      <c r="DX63" s="1079"/>
      <c r="DY63" s="1079"/>
      <c r="DZ63" s="1079"/>
      <c r="EA63" s="1079"/>
      <c r="EB63" s="1079"/>
      <c r="EC63" s="1079"/>
      <c r="ED63" s="1079"/>
      <c r="EE63" s="1079"/>
      <c r="EF63" s="1079"/>
      <c r="EG63" s="1079"/>
      <c r="EH63" s="1079"/>
      <c r="EI63" s="1079"/>
      <c r="EJ63" s="1079"/>
      <c r="EK63" s="1079"/>
      <c r="EL63" s="1079"/>
      <c r="EM63" s="1079"/>
    </row>
    <row r="64" spans="1:143" ht="18.75" customHeight="1">
      <c r="A64" s="178"/>
      <c r="B64" s="1131" t="s">
        <v>579</v>
      </c>
      <c r="C64" s="1131"/>
      <c r="D64" s="1107">
        <f>J$11</f>
        <v>0</v>
      </c>
      <c r="E64" s="1107"/>
      <c r="F64" s="191" t="s">
        <v>524</v>
      </c>
      <c r="G64" s="1107">
        <f>O$11</f>
        <v>0</v>
      </c>
      <c r="H64" s="1107"/>
      <c r="I64" s="1107"/>
      <c r="J64" s="1107"/>
      <c r="K64" s="1107"/>
      <c r="L64" s="1107"/>
      <c r="M64" s="1107"/>
      <c r="N64" s="1107"/>
      <c r="O64" s="170"/>
      <c r="P64" s="1130">
        <f>AK$11</f>
        <v>0</v>
      </c>
      <c r="Q64" s="1130"/>
      <c r="R64" s="1130"/>
      <c r="S64" s="1130"/>
      <c r="T64" s="1133" t="s">
        <v>580</v>
      </c>
      <c r="U64" s="1133"/>
      <c r="V64" s="1133"/>
      <c r="W64" s="1133"/>
      <c r="X64" s="1133"/>
      <c r="Y64" s="1107">
        <f>J$12</f>
        <v>0</v>
      </c>
      <c r="Z64" s="1107"/>
      <c r="AA64" s="191" t="s">
        <v>524</v>
      </c>
      <c r="AB64" s="1107">
        <f>O$12</f>
        <v>0</v>
      </c>
      <c r="AC64" s="1107"/>
      <c r="AD64" s="1107"/>
      <c r="AE64" s="1107"/>
      <c r="AF64" s="1107"/>
      <c r="AG64" s="1107"/>
      <c r="AH64" s="1107"/>
      <c r="AI64" s="1107"/>
      <c r="AJ64" s="170"/>
      <c r="AK64" s="1130">
        <f>AK$12</f>
        <v>0</v>
      </c>
      <c r="AL64" s="1130"/>
      <c r="AM64" s="1130"/>
      <c r="AN64" s="1130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1" t="s">
        <v>579</v>
      </c>
      <c r="AY64" s="1131"/>
      <c r="AZ64" s="1107">
        <f>BF$11</f>
        <v>0</v>
      </c>
      <c r="BA64" s="1107"/>
      <c r="BB64" s="191" t="s">
        <v>524</v>
      </c>
      <c r="BC64" s="1107">
        <f>BK$11</f>
        <v>0</v>
      </c>
      <c r="BD64" s="1107"/>
      <c r="BE64" s="1107"/>
      <c r="BF64" s="1107"/>
      <c r="BG64" s="1107"/>
      <c r="BH64" s="1107"/>
      <c r="BI64" s="1107"/>
      <c r="BJ64" s="1107"/>
      <c r="BK64" s="170"/>
      <c r="BL64" s="1130">
        <f>CG$11</f>
        <v>0</v>
      </c>
      <c r="BM64" s="1130"/>
      <c r="BN64" s="1130"/>
      <c r="BO64" s="1130"/>
      <c r="BP64" s="1133" t="s">
        <v>580</v>
      </c>
      <c r="BQ64" s="1133"/>
      <c r="BR64" s="1133"/>
      <c r="BS64" s="1133"/>
      <c r="BT64" s="1133"/>
      <c r="BU64" s="1107">
        <f>BF$12</f>
        <v>0</v>
      </c>
      <c r="BV64" s="1107"/>
      <c r="BW64" s="191" t="s">
        <v>524</v>
      </c>
      <c r="BX64" s="1107">
        <f>BK$12</f>
        <v>0</v>
      </c>
      <c r="BY64" s="1107"/>
      <c r="BZ64" s="1107"/>
      <c r="CA64" s="1107"/>
      <c r="CB64" s="1107"/>
      <c r="CC64" s="1107"/>
      <c r="CD64" s="1107"/>
      <c r="CE64" s="1107"/>
      <c r="CF64" s="170"/>
      <c r="CG64" s="1130">
        <f>CG$12</f>
        <v>0</v>
      </c>
      <c r="CH64" s="1130"/>
      <c r="CI64" s="1130"/>
      <c r="CJ64" s="1130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1" t="s">
        <v>579</v>
      </c>
      <c r="CU64" s="1131"/>
      <c r="CV64" s="1107">
        <f>DB$11</f>
        <v>0</v>
      </c>
      <c r="CW64" s="1107"/>
      <c r="CX64" s="191" t="s">
        <v>524</v>
      </c>
      <c r="CY64" s="1107">
        <f>DG$11</f>
        <v>0</v>
      </c>
      <c r="CZ64" s="1107"/>
      <c r="DA64" s="1107"/>
      <c r="DB64" s="1107"/>
      <c r="DC64" s="1107"/>
      <c r="DD64" s="1107"/>
      <c r="DE64" s="1107"/>
      <c r="DF64" s="1107"/>
      <c r="DG64" s="170"/>
      <c r="DH64" s="1130">
        <f>EC$11</f>
        <v>0</v>
      </c>
      <c r="DI64" s="1130"/>
      <c r="DJ64" s="1130"/>
      <c r="DK64" s="1130"/>
      <c r="DL64" s="1133" t="s">
        <v>580</v>
      </c>
      <c r="DM64" s="1133"/>
      <c r="DN64" s="1133"/>
      <c r="DO64" s="1133"/>
      <c r="DP64" s="1133"/>
      <c r="DQ64" s="1107">
        <f>DB$12</f>
        <v>0</v>
      </c>
      <c r="DR64" s="1107"/>
      <c r="DS64" s="191" t="s">
        <v>524</v>
      </c>
      <c r="DT64" s="1107">
        <f>DG$12</f>
        <v>0</v>
      </c>
      <c r="DU64" s="1107"/>
      <c r="DV64" s="1107"/>
      <c r="DW64" s="1107"/>
      <c r="DX64" s="1107"/>
      <c r="DY64" s="1107"/>
      <c r="DZ64" s="1107"/>
      <c r="EA64" s="1107"/>
      <c r="EB64" s="170"/>
      <c r="EC64" s="1130">
        <f>EC$12</f>
        <v>0</v>
      </c>
      <c r="ED64" s="1130"/>
      <c r="EE64" s="1130"/>
      <c r="EF64" s="1130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134" t="s">
        <v>581</v>
      </c>
      <c r="C65" s="1134"/>
      <c r="D65" s="1134"/>
      <c r="E65" s="1134"/>
      <c r="F65" s="1134"/>
      <c r="G65" s="1134"/>
      <c r="H65" s="1134"/>
      <c r="I65" s="1134"/>
      <c r="J65" s="1134"/>
      <c r="K65" s="1134"/>
      <c r="L65" s="1134"/>
      <c r="M65" s="1134"/>
      <c r="N65" s="1134"/>
      <c r="O65" s="1134"/>
      <c r="P65" s="1134"/>
      <c r="Q65" s="1134"/>
      <c r="R65" s="1134"/>
      <c r="S65" s="1134"/>
      <c r="T65" s="1134"/>
      <c r="U65" s="1134"/>
      <c r="V65" s="1134"/>
      <c r="W65" s="1134"/>
      <c r="X65" s="1134"/>
      <c r="Y65" s="1134"/>
      <c r="Z65" s="1134"/>
      <c r="AA65" s="1134"/>
      <c r="AB65" s="1134"/>
      <c r="AC65" s="1134"/>
      <c r="AD65" s="1134"/>
      <c r="AE65" s="1134"/>
      <c r="AF65" s="1134"/>
      <c r="AG65" s="1134"/>
      <c r="AH65" s="1134"/>
      <c r="AI65" s="1134"/>
      <c r="AJ65" s="1134"/>
      <c r="AK65" s="1134"/>
      <c r="AL65" s="1134"/>
      <c r="AM65" s="1134"/>
      <c r="AN65" s="1134"/>
      <c r="AO65" s="1134"/>
      <c r="AP65" s="1134"/>
      <c r="AQ65" s="1134"/>
      <c r="AR65" s="1134"/>
      <c r="AS65" s="1134"/>
      <c r="AT65" s="1134"/>
      <c r="AU65" s="1134"/>
      <c r="AV65" s="178"/>
      <c r="AW65" s="178"/>
      <c r="AX65" s="1134" t="s">
        <v>581</v>
      </c>
      <c r="AY65" s="1134"/>
      <c r="AZ65" s="1134"/>
      <c r="BA65" s="1134"/>
      <c r="BB65" s="1134"/>
      <c r="BC65" s="1134"/>
      <c r="BD65" s="1134"/>
      <c r="BE65" s="1134"/>
      <c r="BF65" s="1134"/>
      <c r="BG65" s="1134"/>
      <c r="BH65" s="1134"/>
      <c r="BI65" s="1134"/>
      <c r="BJ65" s="1134"/>
      <c r="BK65" s="1134"/>
      <c r="BL65" s="1134"/>
      <c r="BM65" s="1134"/>
      <c r="BN65" s="1134"/>
      <c r="BO65" s="1134"/>
      <c r="BP65" s="1134"/>
      <c r="BQ65" s="1134"/>
      <c r="BR65" s="1134"/>
      <c r="BS65" s="1134"/>
      <c r="BT65" s="1134"/>
      <c r="BU65" s="1134"/>
      <c r="BV65" s="1134"/>
      <c r="BW65" s="1134"/>
      <c r="BX65" s="1134"/>
      <c r="BY65" s="1134"/>
      <c r="BZ65" s="1134"/>
      <c r="CA65" s="1134"/>
      <c r="CB65" s="1134"/>
      <c r="CC65" s="1134"/>
      <c r="CD65" s="1134"/>
      <c r="CE65" s="1134"/>
      <c r="CF65" s="1134"/>
      <c r="CG65" s="1134"/>
      <c r="CH65" s="1134"/>
      <c r="CI65" s="1134"/>
      <c r="CJ65" s="1134"/>
      <c r="CK65" s="1134"/>
      <c r="CL65" s="1134"/>
      <c r="CM65" s="1134"/>
      <c r="CN65" s="1134"/>
      <c r="CO65" s="1134"/>
      <c r="CP65" s="1134"/>
      <c r="CQ65" s="1134"/>
      <c r="CS65" s="178"/>
      <c r="CT65" s="1134" t="s">
        <v>581</v>
      </c>
      <c r="CU65" s="1134"/>
      <c r="CV65" s="1134"/>
      <c r="CW65" s="1134"/>
      <c r="CX65" s="1134"/>
      <c r="CY65" s="1134"/>
      <c r="CZ65" s="1134"/>
      <c r="DA65" s="1134"/>
      <c r="DB65" s="1134"/>
      <c r="DC65" s="1134"/>
      <c r="DD65" s="1134"/>
      <c r="DE65" s="1134"/>
      <c r="DF65" s="1134"/>
      <c r="DG65" s="1134"/>
      <c r="DH65" s="1134"/>
      <c r="DI65" s="1134"/>
      <c r="DJ65" s="1134"/>
      <c r="DK65" s="1134"/>
      <c r="DL65" s="1134"/>
      <c r="DM65" s="1134"/>
      <c r="DN65" s="1134"/>
      <c r="DO65" s="1134"/>
      <c r="DP65" s="1134"/>
      <c r="DQ65" s="1134"/>
      <c r="DR65" s="1134"/>
      <c r="DS65" s="1134"/>
      <c r="DT65" s="1134"/>
      <c r="DU65" s="1134"/>
      <c r="DV65" s="1134"/>
      <c r="DW65" s="1134"/>
      <c r="DX65" s="1134"/>
      <c r="DY65" s="1134"/>
      <c r="DZ65" s="1134"/>
      <c r="EA65" s="1134"/>
      <c r="EB65" s="1134"/>
      <c r="EC65" s="1134"/>
      <c r="ED65" s="1134"/>
      <c r="EE65" s="1134"/>
      <c r="EF65" s="1134"/>
      <c r="EG65" s="1134"/>
      <c r="EH65" s="1134"/>
      <c r="EI65" s="1134"/>
      <c r="EJ65" s="1134"/>
      <c r="EK65" s="1134"/>
      <c r="EL65" s="1134"/>
      <c r="EM65" s="1134"/>
    </row>
    <row r="66" spans="1:143" ht="18.75" customHeight="1">
      <c r="A66" s="178"/>
      <c r="B66" s="190"/>
      <c r="C66" s="190"/>
      <c r="D66" s="1094" t="s">
        <v>582</v>
      </c>
      <c r="E66" s="1094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4" t="s">
        <v>582</v>
      </c>
      <c r="BA66" s="1094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4" t="s">
        <v>582</v>
      </c>
      <c r="CW66" s="1094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94" t="s">
        <v>584</v>
      </c>
      <c r="C67" s="1094"/>
      <c r="D67" s="1094"/>
      <c r="E67" s="1094"/>
      <c r="F67" s="1094"/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1094"/>
      <c r="S67" s="1094"/>
      <c r="T67" s="1094"/>
      <c r="U67" s="1094"/>
      <c r="V67" s="1094"/>
      <c r="W67" s="1094"/>
      <c r="X67" s="1094"/>
      <c r="Y67" s="1094"/>
      <c r="Z67" s="1094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78"/>
      <c r="AW67" s="178"/>
      <c r="AX67" s="1094" t="s">
        <v>584</v>
      </c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  <c r="BX67" s="1094"/>
      <c r="BY67" s="1094"/>
      <c r="BZ67" s="1094"/>
      <c r="CA67" s="1094"/>
      <c r="CB67" s="1094"/>
      <c r="CC67" s="1094"/>
      <c r="CD67" s="1094"/>
      <c r="CE67" s="1094"/>
      <c r="CF67" s="1094"/>
      <c r="CG67" s="1094"/>
      <c r="CH67" s="1094"/>
      <c r="CI67" s="1094"/>
      <c r="CJ67" s="1094"/>
      <c r="CK67" s="1094"/>
      <c r="CL67" s="1094"/>
      <c r="CM67" s="1094"/>
      <c r="CN67" s="1094"/>
      <c r="CO67" s="1094"/>
      <c r="CP67" s="1094"/>
      <c r="CQ67" s="1094"/>
      <c r="CS67" s="178"/>
      <c r="CT67" s="1094" t="s">
        <v>584</v>
      </c>
      <c r="CU67" s="1094"/>
      <c r="CV67" s="1094"/>
      <c r="CW67" s="1094"/>
      <c r="CX67" s="1094"/>
      <c r="CY67" s="1094"/>
      <c r="CZ67" s="1094"/>
      <c r="DA67" s="1094"/>
      <c r="DB67" s="1094"/>
      <c r="DC67" s="1094"/>
      <c r="DD67" s="1094"/>
      <c r="DE67" s="1094"/>
      <c r="DF67" s="1094"/>
      <c r="DG67" s="1094"/>
      <c r="DH67" s="1094"/>
      <c r="DI67" s="1094"/>
      <c r="DJ67" s="1094"/>
      <c r="DK67" s="1094"/>
      <c r="DL67" s="1094"/>
      <c r="DM67" s="1094"/>
      <c r="DN67" s="1094"/>
      <c r="DO67" s="1094"/>
      <c r="DP67" s="1094"/>
      <c r="DQ67" s="1094"/>
      <c r="DR67" s="1094"/>
      <c r="DS67" s="1094"/>
      <c r="DT67" s="1094"/>
      <c r="DU67" s="1094"/>
      <c r="DV67" s="1094"/>
      <c r="DW67" s="1094"/>
      <c r="DX67" s="1094"/>
      <c r="DY67" s="1094"/>
      <c r="DZ67" s="1094"/>
      <c r="EA67" s="1094"/>
      <c r="EB67" s="1094"/>
      <c r="EC67" s="1094"/>
      <c r="ED67" s="1094"/>
      <c r="EE67" s="1094"/>
      <c r="EF67" s="1094"/>
      <c r="EG67" s="1094"/>
      <c r="EH67" s="1094"/>
      <c r="EI67" s="1094"/>
      <c r="EJ67" s="1094"/>
      <c r="EK67" s="1094"/>
      <c r="EL67" s="1094"/>
      <c r="EM67" s="1094"/>
    </row>
    <row r="68" spans="1:143" ht="18.75" customHeight="1">
      <c r="A68" s="178"/>
      <c r="B68" s="1094" t="s">
        <v>585</v>
      </c>
      <c r="C68" s="1094"/>
      <c r="D68" s="1094"/>
      <c r="E68" s="1094"/>
      <c r="F68" s="1094"/>
      <c r="G68" s="1094"/>
      <c r="H68" s="1094"/>
      <c r="I68" s="1094"/>
      <c r="J68" s="1094"/>
      <c r="K68" s="1094"/>
      <c r="L68" s="1106">
        <f>I$13</f>
        <v>0</v>
      </c>
      <c r="M68" s="1106"/>
      <c r="N68" s="1106"/>
      <c r="O68" s="1106"/>
      <c r="P68" s="1106"/>
      <c r="Q68" s="195" t="s">
        <v>586</v>
      </c>
      <c r="R68" s="1107">
        <f>I14</f>
        <v>0</v>
      </c>
      <c r="S68" s="1107"/>
      <c r="T68" s="1107"/>
      <c r="U68" s="1107"/>
      <c r="V68" s="1107"/>
      <c r="W68" s="1107"/>
      <c r="X68" s="1107"/>
      <c r="Y68" s="1107"/>
      <c r="Z68" s="1107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107"/>
      <c r="AO68" s="1107"/>
      <c r="AP68" s="1107"/>
      <c r="AQ68" s="1107"/>
      <c r="AR68" s="1107"/>
      <c r="AS68" s="1107"/>
      <c r="AT68" s="1107"/>
      <c r="AU68" s="195" t="s">
        <v>587</v>
      </c>
      <c r="AV68" s="178"/>
      <c r="AW68" s="178"/>
      <c r="AX68" s="1094" t="s">
        <v>585</v>
      </c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106">
        <f>BE$13</f>
        <v>0</v>
      </c>
      <c r="BI68" s="1106"/>
      <c r="BJ68" s="1106"/>
      <c r="BK68" s="1106"/>
      <c r="BL68" s="1106"/>
      <c r="BM68" s="195" t="s">
        <v>586</v>
      </c>
      <c r="BN68" s="1107">
        <f>BE14</f>
        <v>0</v>
      </c>
      <c r="BO68" s="1107"/>
      <c r="BP68" s="1107"/>
      <c r="BQ68" s="1107"/>
      <c r="BR68" s="1107"/>
      <c r="BS68" s="1107"/>
      <c r="BT68" s="1107"/>
      <c r="BU68" s="1107"/>
      <c r="BV68" s="1107"/>
      <c r="BW68" s="1107"/>
      <c r="BX68" s="1107"/>
      <c r="BY68" s="1107"/>
      <c r="BZ68" s="1107"/>
      <c r="CA68" s="1107"/>
      <c r="CB68" s="1107"/>
      <c r="CC68" s="1107"/>
      <c r="CD68" s="1107"/>
      <c r="CE68" s="1107"/>
      <c r="CF68" s="1107"/>
      <c r="CG68" s="1107"/>
      <c r="CH68" s="1107"/>
      <c r="CI68" s="1107"/>
      <c r="CJ68" s="1107"/>
      <c r="CK68" s="1107"/>
      <c r="CL68" s="1107"/>
      <c r="CM68" s="1107"/>
      <c r="CN68" s="1107"/>
      <c r="CO68" s="1107"/>
      <c r="CP68" s="1107"/>
      <c r="CQ68" s="195" t="s">
        <v>587</v>
      </c>
      <c r="CS68" s="178"/>
      <c r="CT68" s="1094" t="s">
        <v>585</v>
      </c>
      <c r="CU68" s="1094"/>
      <c r="CV68" s="1094"/>
      <c r="CW68" s="1094"/>
      <c r="CX68" s="1094"/>
      <c r="CY68" s="1094"/>
      <c r="CZ68" s="1094"/>
      <c r="DA68" s="1094"/>
      <c r="DB68" s="1094"/>
      <c r="DC68" s="1094"/>
      <c r="DD68" s="1106">
        <f>DA$13</f>
        <v>0</v>
      </c>
      <c r="DE68" s="1106"/>
      <c r="DF68" s="1106"/>
      <c r="DG68" s="1106"/>
      <c r="DH68" s="1106"/>
      <c r="DI68" s="195" t="s">
        <v>586</v>
      </c>
      <c r="DJ68" s="1107">
        <f>DA14</f>
        <v>0</v>
      </c>
      <c r="DK68" s="1107"/>
      <c r="DL68" s="1107"/>
      <c r="DM68" s="1107"/>
      <c r="DN68" s="1107"/>
      <c r="DO68" s="1107"/>
      <c r="DP68" s="1107"/>
      <c r="DQ68" s="1107"/>
      <c r="DR68" s="1107"/>
      <c r="DS68" s="1107"/>
      <c r="DT68" s="1107"/>
      <c r="DU68" s="1107"/>
      <c r="DV68" s="1107"/>
      <c r="DW68" s="1107"/>
      <c r="DX68" s="1107"/>
      <c r="DY68" s="1107"/>
      <c r="DZ68" s="1107"/>
      <c r="EA68" s="1107"/>
      <c r="EB68" s="1107"/>
      <c r="EC68" s="1107"/>
      <c r="ED68" s="1107"/>
      <c r="EE68" s="1107"/>
      <c r="EF68" s="1107"/>
      <c r="EG68" s="1107"/>
      <c r="EH68" s="1107"/>
      <c r="EI68" s="1107"/>
      <c r="EJ68" s="1107"/>
      <c r="EK68" s="1107"/>
      <c r="EL68" s="1107"/>
      <c r="EM68" s="195" t="s">
        <v>587</v>
      </c>
    </row>
    <row r="69" spans="1:143" ht="18.75" customHeight="1">
      <c r="A69" s="178"/>
      <c r="B69" s="1098" t="s">
        <v>588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78"/>
      <c r="AW69" s="178"/>
      <c r="AX69" s="1098" t="s">
        <v>588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588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ht="18.75" customHeight="1">
      <c r="A70" s="178"/>
      <c r="B70" s="190"/>
      <c r="C70" s="190"/>
      <c r="D70" s="1094" t="s">
        <v>589</v>
      </c>
      <c r="E70" s="1094"/>
      <c r="F70" s="193"/>
      <c r="G70" s="1079" t="s">
        <v>590</v>
      </c>
      <c r="H70" s="1079"/>
      <c r="I70" s="1079"/>
      <c r="J70" s="1079"/>
      <c r="K70" s="1079"/>
      <c r="L70" s="1079"/>
      <c r="M70" s="1079"/>
      <c r="N70" s="1079"/>
      <c r="O70" s="1079"/>
      <c r="P70" s="1079"/>
      <c r="Q70" s="1079"/>
      <c r="R70" s="1079"/>
      <c r="S70" s="1079"/>
      <c r="T70" s="1079"/>
      <c r="U70" s="1079"/>
      <c r="V70" s="1079"/>
      <c r="W70" s="1079"/>
      <c r="X70" s="1079"/>
      <c r="Y70" s="1079"/>
      <c r="Z70" s="1079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78"/>
      <c r="AW70" s="178"/>
      <c r="AX70" s="190"/>
      <c r="AY70" s="190"/>
      <c r="AZ70" s="1094" t="s">
        <v>589</v>
      </c>
      <c r="BA70" s="1094"/>
      <c r="BB70" s="313"/>
      <c r="BC70" s="1079" t="s">
        <v>590</v>
      </c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  <c r="BX70" s="1079"/>
      <c r="BY70" s="1079"/>
      <c r="BZ70" s="1079"/>
      <c r="CA70" s="1079"/>
      <c r="CB70" s="1079"/>
      <c r="CC70" s="1079"/>
      <c r="CD70" s="1079"/>
      <c r="CE70" s="1079"/>
      <c r="CF70" s="1079"/>
      <c r="CG70" s="1079"/>
      <c r="CH70" s="1079"/>
      <c r="CI70" s="1079"/>
      <c r="CJ70" s="1079"/>
      <c r="CK70" s="1079"/>
      <c r="CL70" s="1079"/>
      <c r="CM70" s="1079"/>
      <c r="CN70" s="1079"/>
      <c r="CO70" s="1079"/>
      <c r="CP70" s="1079"/>
      <c r="CQ70" s="1079"/>
      <c r="CS70" s="178"/>
      <c r="CT70" s="190"/>
      <c r="CU70" s="190"/>
      <c r="CV70" s="1094" t="s">
        <v>589</v>
      </c>
      <c r="CW70" s="1094"/>
      <c r="CX70" s="313"/>
      <c r="CY70" s="1079" t="s">
        <v>590</v>
      </c>
      <c r="CZ70" s="1079"/>
      <c r="DA70" s="1079"/>
      <c r="DB70" s="1079"/>
      <c r="DC70" s="1079"/>
      <c r="DD70" s="1079"/>
      <c r="DE70" s="1079"/>
      <c r="DF70" s="1079"/>
      <c r="DG70" s="1079"/>
      <c r="DH70" s="1079"/>
      <c r="DI70" s="1079"/>
      <c r="DJ70" s="1079"/>
      <c r="DK70" s="1079"/>
      <c r="DL70" s="1079"/>
      <c r="DM70" s="1079"/>
      <c r="DN70" s="1079"/>
      <c r="DO70" s="1079"/>
      <c r="DP70" s="1079"/>
      <c r="DQ70" s="1079"/>
      <c r="DR70" s="1079"/>
      <c r="DS70" s="1079"/>
      <c r="DT70" s="1079"/>
      <c r="DU70" s="1079"/>
      <c r="DV70" s="1079"/>
      <c r="DW70" s="1079"/>
      <c r="DX70" s="1079"/>
      <c r="DY70" s="1079"/>
      <c r="DZ70" s="1079"/>
      <c r="EA70" s="1079"/>
      <c r="EB70" s="1079"/>
      <c r="EC70" s="1079"/>
      <c r="ED70" s="1079"/>
      <c r="EE70" s="1079"/>
      <c r="EF70" s="1079"/>
      <c r="EG70" s="1079"/>
      <c r="EH70" s="1079"/>
      <c r="EI70" s="1079"/>
      <c r="EJ70" s="1079"/>
      <c r="EK70" s="1079"/>
      <c r="EL70" s="1079"/>
      <c r="EM70" s="1079"/>
    </row>
    <row r="71" spans="1:143" ht="18.75" customHeight="1">
      <c r="A71" s="178"/>
      <c r="B71" s="1098" t="s">
        <v>942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78"/>
      <c r="AW71" s="178"/>
      <c r="AX71" s="1098" t="s">
        <v>942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942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s="234" customFormat="1" ht="51.75" customHeight="1">
      <c r="A72" s="178"/>
      <c r="B72" s="1105">
        <f>B54</f>
        <v>0</v>
      </c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78"/>
      <c r="AW72" s="178"/>
      <c r="AX72" s="1105">
        <f>AX54</f>
        <v>0</v>
      </c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  <c r="BX72" s="1105"/>
      <c r="BY72" s="1105"/>
      <c r="BZ72" s="1105"/>
      <c r="CA72" s="1105"/>
      <c r="CB72" s="1105"/>
      <c r="CC72" s="1105"/>
      <c r="CD72" s="1105"/>
      <c r="CE72" s="1105"/>
      <c r="CF72" s="1105"/>
      <c r="CG72" s="1105"/>
      <c r="CH72" s="1105"/>
      <c r="CI72" s="1105"/>
      <c r="CJ72" s="1105"/>
      <c r="CK72" s="1105"/>
      <c r="CL72" s="1105"/>
      <c r="CM72" s="1105"/>
      <c r="CN72" s="1105"/>
      <c r="CO72" s="1105"/>
      <c r="CP72" s="1105"/>
      <c r="CQ72" s="1105"/>
      <c r="CS72" s="178"/>
      <c r="CT72" s="1105">
        <f>CT54</f>
        <v>0</v>
      </c>
      <c r="CU72" s="1105"/>
      <c r="CV72" s="1105"/>
      <c r="CW72" s="1105"/>
      <c r="CX72" s="1105"/>
      <c r="CY72" s="1105"/>
      <c r="CZ72" s="1105"/>
      <c r="DA72" s="1105"/>
      <c r="DB72" s="1105"/>
      <c r="DC72" s="1105"/>
      <c r="DD72" s="1105"/>
      <c r="DE72" s="1105"/>
      <c r="DF72" s="1105"/>
      <c r="DG72" s="1105"/>
      <c r="DH72" s="1105"/>
      <c r="DI72" s="1105"/>
      <c r="DJ72" s="1105"/>
      <c r="DK72" s="1105"/>
      <c r="DL72" s="1105"/>
      <c r="DM72" s="1105"/>
      <c r="DN72" s="1105"/>
      <c r="DO72" s="1105"/>
      <c r="DP72" s="1105"/>
      <c r="DQ72" s="1105"/>
      <c r="DR72" s="1105"/>
      <c r="DS72" s="1105"/>
      <c r="DT72" s="1105"/>
      <c r="DU72" s="1105"/>
      <c r="DV72" s="1105"/>
      <c r="DW72" s="1105"/>
      <c r="DX72" s="1105"/>
      <c r="DY72" s="1105"/>
      <c r="DZ72" s="1105"/>
      <c r="EA72" s="1105"/>
      <c r="EB72" s="1105"/>
      <c r="EC72" s="1105"/>
      <c r="ED72" s="1105"/>
      <c r="EE72" s="1105"/>
      <c r="EF72" s="1105"/>
      <c r="EG72" s="1105"/>
      <c r="EH72" s="1105"/>
      <c r="EI72" s="1105"/>
      <c r="EJ72" s="1105"/>
      <c r="EK72" s="1105"/>
      <c r="EL72" s="1105"/>
      <c r="EM72" s="1105"/>
    </row>
    <row r="73" spans="1:143" ht="18.75" customHeight="1">
      <c r="A73" s="178"/>
      <c r="B73" s="190"/>
      <c r="C73" s="190"/>
      <c r="D73" s="1094" t="s">
        <v>591</v>
      </c>
      <c r="E73" s="1094"/>
      <c r="F73" s="193"/>
      <c r="G73" s="1079" t="s">
        <v>592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78"/>
      <c r="AW73" s="178"/>
      <c r="AX73" s="190"/>
      <c r="AY73" s="190"/>
      <c r="AZ73" s="1094" t="s">
        <v>591</v>
      </c>
      <c r="BA73" s="1094"/>
      <c r="BB73" s="313"/>
      <c r="BC73" s="1079" t="s">
        <v>592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591</v>
      </c>
      <c r="CW73" s="1094"/>
      <c r="CX73" s="313"/>
      <c r="CY73" s="1079" t="s">
        <v>592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18.75" customHeight="1">
      <c r="A74" s="178"/>
      <c r="B74" s="1098" t="s">
        <v>593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78"/>
      <c r="AW74" s="178"/>
      <c r="AX74" s="1098" t="s">
        <v>593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593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8.75" customHeight="1">
      <c r="A75" s="178"/>
      <c r="B75" s="190"/>
      <c r="C75" s="190"/>
      <c r="D75" s="1094" t="s">
        <v>594</v>
      </c>
      <c r="E75" s="1094"/>
      <c r="F75" s="193"/>
      <c r="G75" s="1079" t="s">
        <v>595</v>
      </c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78"/>
      <c r="AW75" s="178"/>
      <c r="AX75" s="190"/>
      <c r="AY75" s="190"/>
      <c r="AZ75" s="1094" t="s">
        <v>594</v>
      </c>
      <c r="BA75" s="1094"/>
      <c r="BB75" s="313"/>
      <c r="BC75" s="1079" t="s">
        <v>595</v>
      </c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594</v>
      </c>
      <c r="CW75" s="1094"/>
      <c r="CX75" s="313"/>
      <c r="CY75" s="1079" t="s">
        <v>595</v>
      </c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56.25" customHeight="1">
      <c r="A76" s="178"/>
      <c r="B76" s="1098" t="s">
        <v>596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78"/>
      <c r="AW76" s="178"/>
      <c r="AX76" s="1098" t="s">
        <v>596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596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7.25" customHeight="1">
      <c r="A77" s="178"/>
      <c r="B77" s="190"/>
      <c r="C77" s="190"/>
      <c r="D77" s="1094" t="s">
        <v>597</v>
      </c>
      <c r="E77" s="1094"/>
      <c r="F77" s="193"/>
      <c r="G77" s="1079" t="s">
        <v>598</v>
      </c>
      <c r="H77" s="1079"/>
      <c r="I77" s="1079"/>
      <c r="J77" s="1079"/>
      <c r="K77" s="1079"/>
      <c r="L77" s="1079"/>
      <c r="M77" s="1079"/>
      <c r="N77" s="1079"/>
      <c r="O77" s="1079"/>
      <c r="P77" s="1079"/>
      <c r="Q77" s="1079"/>
      <c r="R77" s="1079"/>
      <c r="S77" s="1079"/>
      <c r="T77" s="1079"/>
      <c r="U77" s="1079"/>
      <c r="V77" s="1079"/>
      <c r="W77" s="1079"/>
      <c r="X77" s="1079"/>
      <c r="Y77" s="1079"/>
      <c r="Z77" s="1079"/>
      <c r="AA77" s="1079"/>
      <c r="AB77" s="1079"/>
      <c r="AC77" s="1079"/>
      <c r="AD77" s="1079"/>
      <c r="AE77" s="1079"/>
      <c r="AF77" s="1079"/>
      <c r="AG77" s="1079"/>
      <c r="AH77" s="1079"/>
      <c r="AI77" s="1079"/>
      <c r="AJ77" s="1079"/>
      <c r="AK77" s="1079"/>
      <c r="AL77" s="1079"/>
      <c r="AM77" s="1079"/>
      <c r="AN77" s="1079"/>
      <c r="AO77" s="1079"/>
      <c r="AP77" s="1079"/>
      <c r="AQ77" s="1079"/>
      <c r="AR77" s="1079"/>
      <c r="AS77" s="1079"/>
      <c r="AT77" s="1079"/>
      <c r="AU77" s="1079"/>
      <c r="AV77" s="178"/>
      <c r="AW77" s="178"/>
      <c r="AX77" s="190"/>
      <c r="AY77" s="190"/>
      <c r="AZ77" s="1094" t="s">
        <v>597</v>
      </c>
      <c r="BA77" s="1094"/>
      <c r="BB77" s="313"/>
      <c r="BC77" s="1079" t="s">
        <v>598</v>
      </c>
      <c r="BD77" s="1079"/>
      <c r="BE77" s="1079"/>
      <c r="BF77" s="1079"/>
      <c r="BG77" s="1079"/>
      <c r="BH77" s="1079"/>
      <c r="BI77" s="1079"/>
      <c r="BJ77" s="1079"/>
      <c r="BK77" s="1079"/>
      <c r="BL77" s="1079"/>
      <c r="BM77" s="1079"/>
      <c r="BN77" s="1079"/>
      <c r="BO77" s="1079"/>
      <c r="BP77" s="1079"/>
      <c r="BQ77" s="1079"/>
      <c r="BR77" s="1079"/>
      <c r="BS77" s="1079"/>
      <c r="BT77" s="1079"/>
      <c r="BU77" s="1079"/>
      <c r="BV77" s="1079"/>
      <c r="BW77" s="1079"/>
      <c r="BX77" s="1079"/>
      <c r="BY77" s="1079"/>
      <c r="BZ77" s="1079"/>
      <c r="CA77" s="1079"/>
      <c r="CB77" s="1079"/>
      <c r="CC77" s="1079"/>
      <c r="CD77" s="1079"/>
      <c r="CE77" s="1079"/>
      <c r="CF77" s="1079"/>
      <c r="CG77" s="1079"/>
      <c r="CH77" s="1079"/>
      <c r="CI77" s="1079"/>
      <c r="CJ77" s="1079"/>
      <c r="CK77" s="1079"/>
      <c r="CL77" s="1079"/>
      <c r="CM77" s="1079"/>
      <c r="CN77" s="1079"/>
      <c r="CO77" s="1079"/>
      <c r="CP77" s="1079"/>
      <c r="CQ77" s="1079"/>
      <c r="CS77" s="178"/>
      <c r="CT77" s="190"/>
      <c r="CU77" s="190"/>
      <c r="CV77" s="1094" t="s">
        <v>597</v>
      </c>
      <c r="CW77" s="1094"/>
      <c r="CX77" s="313"/>
      <c r="CY77" s="1079" t="s">
        <v>598</v>
      </c>
      <c r="CZ77" s="1079"/>
      <c r="DA77" s="1079"/>
      <c r="DB77" s="1079"/>
      <c r="DC77" s="1079"/>
      <c r="DD77" s="1079"/>
      <c r="DE77" s="1079"/>
      <c r="DF77" s="1079"/>
      <c r="DG77" s="1079"/>
      <c r="DH77" s="1079"/>
      <c r="DI77" s="1079"/>
      <c r="DJ77" s="1079"/>
      <c r="DK77" s="1079"/>
      <c r="DL77" s="1079"/>
      <c r="DM77" s="1079"/>
      <c r="DN77" s="1079"/>
      <c r="DO77" s="1079"/>
      <c r="DP77" s="1079"/>
      <c r="DQ77" s="1079"/>
      <c r="DR77" s="1079"/>
      <c r="DS77" s="1079"/>
      <c r="DT77" s="1079"/>
      <c r="DU77" s="1079"/>
      <c r="DV77" s="1079"/>
      <c r="DW77" s="1079"/>
      <c r="DX77" s="1079"/>
      <c r="DY77" s="1079"/>
      <c r="DZ77" s="1079"/>
      <c r="EA77" s="1079"/>
      <c r="EB77" s="1079"/>
      <c r="EC77" s="1079"/>
      <c r="ED77" s="1079"/>
      <c r="EE77" s="1079"/>
      <c r="EF77" s="1079"/>
      <c r="EG77" s="1079"/>
      <c r="EH77" s="1079"/>
      <c r="EI77" s="1079"/>
      <c r="EJ77" s="1079"/>
      <c r="EK77" s="1079"/>
      <c r="EL77" s="1079"/>
      <c r="EM77" s="1079"/>
    </row>
    <row r="78" spans="1:143" ht="39.75" customHeight="1">
      <c r="A78" s="178"/>
      <c r="B78" s="1098" t="s">
        <v>599</v>
      </c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1098"/>
      <c r="AO78" s="1098"/>
      <c r="AP78" s="1098"/>
      <c r="AQ78" s="1098"/>
      <c r="AR78" s="1098"/>
      <c r="AS78" s="1098"/>
      <c r="AT78" s="1098"/>
      <c r="AU78" s="1098"/>
      <c r="AV78" s="178"/>
      <c r="AW78" s="178"/>
      <c r="AX78" s="1098" t="s">
        <v>599</v>
      </c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  <c r="BX78" s="1098"/>
      <c r="BY78" s="1098"/>
      <c r="BZ78" s="1098"/>
      <c r="CA78" s="1098"/>
      <c r="CB78" s="1098"/>
      <c r="CC78" s="1098"/>
      <c r="CD78" s="1098"/>
      <c r="CE78" s="1098"/>
      <c r="CF78" s="1098"/>
      <c r="CG78" s="1098"/>
      <c r="CH78" s="1098"/>
      <c r="CI78" s="1098"/>
      <c r="CJ78" s="1098"/>
      <c r="CK78" s="1098"/>
      <c r="CL78" s="1098"/>
      <c r="CM78" s="1098"/>
      <c r="CN78" s="1098"/>
      <c r="CO78" s="1098"/>
      <c r="CP78" s="1098"/>
      <c r="CQ78" s="1098"/>
      <c r="CS78" s="178"/>
      <c r="CT78" s="1098" t="s">
        <v>599</v>
      </c>
      <c r="CU78" s="1098"/>
      <c r="CV78" s="1098"/>
      <c r="CW78" s="1098"/>
      <c r="CX78" s="1098"/>
      <c r="CY78" s="1098"/>
      <c r="CZ78" s="1098"/>
      <c r="DA78" s="1098"/>
      <c r="DB78" s="1098"/>
      <c r="DC78" s="1098"/>
      <c r="DD78" s="1098"/>
      <c r="DE78" s="1098"/>
      <c r="DF78" s="1098"/>
      <c r="DG78" s="1098"/>
      <c r="DH78" s="1098"/>
      <c r="DI78" s="1098"/>
      <c r="DJ78" s="1098"/>
      <c r="DK78" s="1098"/>
      <c r="DL78" s="1098"/>
      <c r="DM78" s="1098"/>
      <c r="DN78" s="1098"/>
      <c r="DO78" s="1098"/>
      <c r="DP78" s="1098"/>
      <c r="DQ78" s="1098"/>
      <c r="DR78" s="1098"/>
      <c r="DS78" s="1098"/>
      <c r="DT78" s="1098"/>
      <c r="DU78" s="1098"/>
      <c r="DV78" s="1098"/>
      <c r="DW78" s="1098"/>
      <c r="DX78" s="1098"/>
      <c r="DY78" s="1098"/>
      <c r="DZ78" s="1098"/>
      <c r="EA78" s="1098"/>
      <c r="EB78" s="1098"/>
      <c r="EC78" s="1098"/>
      <c r="ED78" s="1098"/>
      <c r="EE78" s="1098"/>
      <c r="EF78" s="1098"/>
      <c r="EG78" s="1098"/>
      <c r="EH78" s="1098"/>
      <c r="EI78" s="1098"/>
      <c r="EJ78" s="1098"/>
      <c r="EK78" s="1098"/>
      <c r="EL78" s="1098"/>
      <c r="EM78" s="1098"/>
    </row>
    <row r="79" spans="1:143" ht="18.75" customHeight="1">
      <c r="A79" s="178"/>
      <c r="B79" s="1134" t="s">
        <v>600</v>
      </c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78"/>
      <c r="AW79" s="178"/>
      <c r="AX79" s="1134" t="s">
        <v>600</v>
      </c>
      <c r="AY79" s="1134"/>
      <c r="AZ79" s="1134"/>
      <c r="BA79" s="1134"/>
      <c r="BB79" s="1134"/>
      <c r="BC79" s="1134"/>
      <c r="BD79" s="1134"/>
      <c r="BE79" s="1134"/>
      <c r="BF79" s="1134"/>
      <c r="BG79" s="1134"/>
      <c r="BH79" s="1134"/>
      <c r="BI79" s="1134"/>
      <c r="BJ79" s="1134"/>
      <c r="BK79" s="1134"/>
      <c r="BL79" s="1134"/>
      <c r="BM79" s="1134"/>
      <c r="BN79" s="1134"/>
      <c r="BO79" s="1134"/>
      <c r="BP79" s="1134"/>
      <c r="BQ79" s="1134"/>
      <c r="BR79" s="1134"/>
      <c r="BS79" s="1134"/>
      <c r="BT79" s="1134"/>
      <c r="BU79" s="1134"/>
      <c r="BV79" s="1134"/>
      <c r="BW79" s="1134"/>
      <c r="BX79" s="1134"/>
      <c r="BY79" s="1134"/>
      <c r="BZ79" s="1134"/>
      <c r="CA79" s="1134"/>
      <c r="CB79" s="1134"/>
      <c r="CC79" s="1134"/>
      <c r="CD79" s="1134"/>
      <c r="CE79" s="1134"/>
      <c r="CF79" s="1134"/>
      <c r="CG79" s="1134"/>
      <c r="CH79" s="1134"/>
      <c r="CI79" s="1134"/>
      <c r="CJ79" s="1134"/>
      <c r="CK79" s="1134"/>
      <c r="CL79" s="1134"/>
      <c r="CM79" s="1134"/>
      <c r="CN79" s="1134"/>
      <c r="CO79" s="1134"/>
      <c r="CP79" s="1134"/>
      <c r="CQ79" s="1134"/>
      <c r="CS79" s="178"/>
      <c r="CT79" s="1134" t="s">
        <v>600</v>
      </c>
      <c r="CU79" s="1134"/>
      <c r="CV79" s="1134"/>
      <c r="CW79" s="1134"/>
      <c r="CX79" s="1134"/>
      <c r="CY79" s="1134"/>
      <c r="CZ79" s="1134"/>
      <c r="DA79" s="1134"/>
      <c r="DB79" s="1134"/>
      <c r="DC79" s="1134"/>
      <c r="DD79" s="1134"/>
      <c r="DE79" s="1134"/>
      <c r="DF79" s="1134"/>
      <c r="DG79" s="1134"/>
      <c r="DH79" s="1134"/>
      <c r="DI79" s="1134"/>
      <c r="DJ79" s="1134"/>
      <c r="DK79" s="1134"/>
      <c r="DL79" s="1134"/>
      <c r="DM79" s="1134"/>
      <c r="DN79" s="1134"/>
      <c r="DO79" s="1134"/>
      <c r="DP79" s="1134"/>
      <c r="DQ79" s="1134"/>
      <c r="DR79" s="1134"/>
      <c r="DS79" s="1134"/>
      <c r="DT79" s="1134"/>
      <c r="DU79" s="1134"/>
      <c r="DV79" s="1134"/>
      <c r="DW79" s="1134"/>
      <c r="DX79" s="1134"/>
      <c r="DY79" s="1134"/>
      <c r="DZ79" s="1134"/>
      <c r="EA79" s="1134"/>
      <c r="EB79" s="1134"/>
      <c r="EC79" s="1134"/>
      <c r="ED79" s="1134"/>
      <c r="EE79" s="1134"/>
      <c r="EF79" s="1134"/>
      <c r="EG79" s="1134"/>
      <c r="EH79" s="1134"/>
      <c r="EI79" s="1134"/>
      <c r="EJ79" s="1134"/>
      <c r="EK79" s="1134"/>
      <c r="EL79" s="1134"/>
      <c r="EM79" s="1134"/>
    </row>
    <row r="80" spans="1:143" ht="18.75" customHeight="1">
      <c r="A80" s="178"/>
      <c r="B80" s="190"/>
      <c r="C80" s="190"/>
      <c r="D80" s="1094" t="s">
        <v>601</v>
      </c>
      <c r="E80" s="1094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4" t="s">
        <v>601</v>
      </c>
      <c r="BA80" s="1094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4" t="s">
        <v>601</v>
      </c>
      <c r="CW80" s="1094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135" t="s">
        <v>603</v>
      </c>
      <c r="E81" s="1135"/>
      <c r="F81" s="1135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5" t="s">
        <v>603</v>
      </c>
      <c r="BA81" s="1135"/>
      <c r="BB81" s="1135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5" t="s">
        <v>603</v>
      </c>
      <c r="CW81" s="1135"/>
      <c r="CX81" s="1135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98" t="s">
        <v>605</v>
      </c>
      <c r="C82" s="1098"/>
      <c r="D82" s="1098"/>
      <c r="E82" s="1098"/>
      <c r="F82" s="1098"/>
      <c r="G82" s="1098"/>
      <c r="H82" s="1098"/>
      <c r="I82" s="1098"/>
      <c r="J82" s="1098"/>
      <c r="K82" s="1098"/>
      <c r="L82" s="1098"/>
      <c r="M82" s="1098"/>
      <c r="N82" s="1098"/>
      <c r="O82" s="1098"/>
      <c r="P82" s="1098"/>
      <c r="Q82" s="1098"/>
      <c r="R82" s="1098"/>
      <c r="S82" s="1098"/>
      <c r="T82" s="1098"/>
      <c r="U82" s="1098"/>
      <c r="V82" s="1098"/>
      <c r="W82" s="1098"/>
      <c r="X82" s="1098"/>
      <c r="Y82" s="1098"/>
      <c r="Z82" s="1098"/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1098"/>
      <c r="AO82" s="1098"/>
      <c r="AP82" s="1098"/>
      <c r="AQ82" s="1098"/>
      <c r="AR82" s="1098"/>
      <c r="AS82" s="1098"/>
      <c r="AT82" s="1098"/>
      <c r="AU82" s="1098"/>
      <c r="AV82" s="178"/>
      <c r="AW82" s="178"/>
      <c r="AX82" s="1098" t="s">
        <v>605</v>
      </c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  <c r="BX82" s="1098"/>
      <c r="BY82" s="1098"/>
      <c r="BZ82" s="1098"/>
      <c r="CA82" s="1098"/>
      <c r="CB82" s="1098"/>
      <c r="CC82" s="1098"/>
      <c r="CD82" s="1098"/>
      <c r="CE82" s="1098"/>
      <c r="CF82" s="1098"/>
      <c r="CG82" s="1098"/>
      <c r="CH82" s="1098"/>
      <c r="CI82" s="1098"/>
      <c r="CJ82" s="1098"/>
      <c r="CK82" s="1098"/>
      <c r="CL82" s="1098"/>
      <c r="CM82" s="1098"/>
      <c r="CN82" s="1098"/>
      <c r="CO82" s="1098"/>
      <c r="CP82" s="1098"/>
      <c r="CQ82" s="1098"/>
      <c r="CS82" s="178"/>
      <c r="CT82" s="1098" t="s">
        <v>605</v>
      </c>
      <c r="CU82" s="1098"/>
      <c r="CV82" s="1098"/>
      <c r="CW82" s="1098"/>
      <c r="CX82" s="1098"/>
      <c r="CY82" s="1098"/>
      <c r="CZ82" s="1098"/>
      <c r="DA82" s="1098"/>
      <c r="DB82" s="1098"/>
      <c r="DC82" s="1098"/>
      <c r="DD82" s="1098"/>
      <c r="DE82" s="1098"/>
      <c r="DF82" s="1098"/>
      <c r="DG82" s="1098"/>
      <c r="DH82" s="1098"/>
      <c r="DI82" s="1098"/>
      <c r="DJ82" s="1098"/>
      <c r="DK82" s="1098"/>
      <c r="DL82" s="1098"/>
      <c r="DM82" s="1098"/>
      <c r="DN82" s="1098"/>
      <c r="DO82" s="1098"/>
      <c r="DP82" s="1098"/>
      <c r="DQ82" s="1098"/>
      <c r="DR82" s="1098"/>
      <c r="DS82" s="1098"/>
      <c r="DT82" s="1098"/>
      <c r="DU82" s="1098"/>
      <c r="DV82" s="1098"/>
      <c r="DW82" s="1098"/>
      <c r="DX82" s="1098"/>
      <c r="DY82" s="1098"/>
      <c r="DZ82" s="1098"/>
      <c r="EA82" s="1098"/>
      <c r="EB82" s="1098"/>
      <c r="EC82" s="1098"/>
      <c r="ED82" s="1098"/>
      <c r="EE82" s="1098"/>
      <c r="EF82" s="1098"/>
      <c r="EG82" s="1098"/>
      <c r="EH82" s="1098"/>
      <c r="EI82" s="1098"/>
      <c r="EJ82" s="1098"/>
      <c r="EK82" s="1098"/>
      <c r="EL82" s="1098"/>
      <c r="EM82" s="1098"/>
    </row>
    <row r="83" spans="1:143" ht="18.75" customHeight="1">
      <c r="A83" s="178"/>
      <c r="B83" s="190"/>
      <c r="C83" s="190"/>
      <c r="D83" s="1135" t="s">
        <v>606</v>
      </c>
      <c r="E83" s="1135"/>
      <c r="F83" s="1135"/>
      <c r="G83" s="170"/>
      <c r="H83" s="170"/>
      <c r="I83" s="1079" t="s">
        <v>607</v>
      </c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V83" s="178"/>
      <c r="AW83" s="178"/>
      <c r="AX83" s="190"/>
      <c r="AY83" s="190"/>
      <c r="AZ83" s="1135" t="s">
        <v>606</v>
      </c>
      <c r="BA83" s="1135"/>
      <c r="BB83" s="1135"/>
      <c r="BC83" s="170"/>
      <c r="BD83" s="170"/>
      <c r="BE83" s="1079" t="s">
        <v>607</v>
      </c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135" t="s">
        <v>606</v>
      </c>
      <c r="CW83" s="1135"/>
      <c r="CX83" s="1135"/>
      <c r="CY83" s="170"/>
      <c r="CZ83" s="170"/>
      <c r="DA83" s="1079" t="s">
        <v>607</v>
      </c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18.75" customHeight="1">
      <c r="A84" s="178"/>
      <c r="B84" s="1098" t="s">
        <v>608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V84" s="178"/>
      <c r="AW84" s="178"/>
      <c r="AX84" s="1098" t="s">
        <v>608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608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136" t="s">
        <v>609</v>
      </c>
      <c r="E85" s="1136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6" t="s">
        <v>609</v>
      </c>
      <c r="BA85" s="1136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6" t="s">
        <v>609</v>
      </c>
      <c r="CW85" s="1136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135" t="s">
        <v>611</v>
      </c>
      <c r="E86" s="1135"/>
      <c r="F86" s="1135"/>
      <c r="G86" s="170"/>
      <c r="H86" s="178"/>
      <c r="I86" s="1079" t="s">
        <v>612</v>
      </c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78"/>
      <c r="AW86" s="178"/>
      <c r="AX86" s="190"/>
      <c r="AY86" s="190"/>
      <c r="AZ86" s="1135" t="s">
        <v>611</v>
      </c>
      <c r="BA86" s="1135"/>
      <c r="BB86" s="1135"/>
      <c r="BC86" s="170"/>
      <c r="BD86" s="178"/>
      <c r="BE86" s="1079" t="s">
        <v>612</v>
      </c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135" t="s">
        <v>611</v>
      </c>
      <c r="CW86" s="1135"/>
      <c r="CX86" s="1135"/>
      <c r="CY86" s="170"/>
      <c r="CZ86" s="178"/>
      <c r="DA86" s="1079" t="s">
        <v>612</v>
      </c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61.5" customHeight="1">
      <c r="A87" s="178"/>
      <c r="B87" s="1098" t="s">
        <v>613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78"/>
      <c r="AW87" s="178"/>
      <c r="AX87" s="1098" t="s">
        <v>613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613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8.75" customHeight="1">
      <c r="A88" s="178"/>
      <c r="B88" s="190"/>
      <c r="C88" s="190"/>
      <c r="D88" s="1135" t="s">
        <v>614</v>
      </c>
      <c r="E88" s="1135"/>
      <c r="F88" s="1135"/>
      <c r="G88" s="1137" t="s">
        <v>615</v>
      </c>
      <c r="H88" s="1137"/>
      <c r="I88" s="1137"/>
      <c r="J88" s="1137"/>
      <c r="K88" s="1137"/>
      <c r="L88" s="1137"/>
      <c r="M88" s="1137"/>
      <c r="N88" s="1137"/>
      <c r="O88" s="1137"/>
      <c r="P88" s="1137"/>
      <c r="Q88" s="1137"/>
      <c r="R88" s="1137"/>
      <c r="S88" s="1137"/>
      <c r="T88" s="1137"/>
      <c r="U88" s="1137"/>
      <c r="V88" s="1137"/>
      <c r="W88" s="1137"/>
      <c r="X88" s="1137"/>
      <c r="Y88" s="1137"/>
      <c r="Z88" s="1137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137"/>
      <c r="AO88" s="1137"/>
      <c r="AP88" s="1137"/>
      <c r="AQ88" s="1137"/>
      <c r="AR88" s="1137"/>
      <c r="AS88" s="1137"/>
      <c r="AT88" s="1137"/>
      <c r="AU88" s="1137"/>
      <c r="AV88" s="178"/>
      <c r="AW88" s="178"/>
      <c r="AX88" s="190"/>
      <c r="AY88" s="190"/>
      <c r="AZ88" s="1135" t="s">
        <v>614</v>
      </c>
      <c r="BA88" s="1135"/>
      <c r="BB88" s="1135"/>
      <c r="BC88" s="1137" t="s">
        <v>615</v>
      </c>
      <c r="BD88" s="1137"/>
      <c r="BE88" s="1137"/>
      <c r="BF88" s="1137"/>
      <c r="BG88" s="1137"/>
      <c r="BH88" s="1137"/>
      <c r="BI88" s="1137"/>
      <c r="BJ88" s="1137"/>
      <c r="BK88" s="1137"/>
      <c r="BL88" s="1137"/>
      <c r="BM88" s="1137"/>
      <c r="BN88" s="1137"/>
      <c r="BO88" s="1137"/>
      <c r="BP88" s="1137"/>
      <c r="BQ88" s="1137"/>
      <c r="BR88" s="1137"/>
      <c r="BS88" s="1137"/>
      <c r="BT88" s="1137"/>
      <c r="BU88" s="1137"/>
      <c r="BV88" s="1137"/>
      <c r="BW88" s="1137"/>
      <c r="BX88" s="1137"/>
      <c r="BY88" s="1137"/>
      <c r="BZ88" s="1137"/>
      <c r="CA88" s="1137"/>
      <c r="CB88" s="1137"/>
      <c r="CC88" s="1137"/>
      <c r="CD88" s="1137"/>
      <c r="CE88" s="1137"/>
      <c r="CF88" s="1137"/>
      <c r="CG88" s="1137"/>
      <c r="CH88" s="1137"/>
      <c r="CI88" s="1137"/>
      <c r="CJ88" s="1137"/>
      <c r="CK88" s="1137"/>
      <c r="CL88" s="1137"/>
      <c r="CM88" s="1137"/>
      <c r="CN88" s="1137"/>
      <c r="CO88" s="1137"/>
      <c r="CP88" s="1137"/>
      <c r="CQ88" s="1137"/>
      <c r="CS88" s="178"/>
      <c r="CT88" s="190"/>
      <c r="CU88" s="190"/>
      <c r="CV88" s="1135" t="s">
        <v>614</v>
      </c>
      <c r="CW88" s="1135"/>
      <c r="CX88" s="1135"/>
      <c r="CY88" s="1137" t="s">
        <v>615</v>
      </c>
      <c r="CZ88" s="1137"/>
      <c r="DA88" s="1137"/>
      <c r="DB88" s="1137"/>
      <c r="DC88" s="1137"/>
      <c r="DD88" s="1137"/>
      <c r="DE88" s="1137"/>
      <c r="DF88" s="1137"/>
      <c r="DG88" s="1137"/>
      <c r="DH88" s="1137"/>
      <c r="DI88" s="1137"/>
      <c r="DJ88" s="1137"/>
      <c r="DK88" s="1137"/>
      <c r="DL88" s="1137"/>
      <c r="DM88" s="1137"/>
      <c r="DN88" s="1137"/>
      <c r="DO88" s="1137"/>
      <c r="DP88" s="1137"/>
      <c r="DQ88" s="1137"/>
      <c r="DR88" s="1137"/>
      <c r="DS88" s="1137"/>
      <c r="DT88" s="1137"/>
      <c r="DU88" s="1137"/>
      <c r="DV88" s="1137"/>
      <c r="DW88" s="1137"/>
      <c r="DX88" s="1137"/>
      <c r="DY88" s="1137"/>
      <c r="DZ88" s="1137"/>
      <c r="EA88" s="1137"/>
      <c r="EB88" s="1137"/>
      <c r="EC88" s="1137"/>
      <c r="ED88" s="1137"/>
      <c r="EE88" s="1137"/>
      <c r="EF88" s="1137"/>
      <c r="EG88" s="1137"/>
      <c r="EH88" s="1137"/>
      <c r="EI88" s="1137"/>
      <c r="EJ88" s="1137"/>
      <c r="EK88" s="1137"/>
      <c r="EL88" s="1137"/>
      <c r="EM88" s="1137"/>
    </row>
    <row r="89" spans="1:143" ht="98.25" customHeight="1">
      <c r="A89" s="178"/>
      <c r="B89" s="1129" t="s">
        <v>616</v>
      </c>
      <c r="C89" s="1129"/>
      <c r="D89" s="1129"/>
      <c r="E89" s="1129"/>
      <c r="F89" s="1129"/>
      <c r="G89" s="1129"/>
      <c r="H89" s="1129"/>
      <c r="I89" s="1129"/>
      <c r="J89" s="1129"/>
      <c r="K89" s="1129"/>
      <c r="L89" s="1129"/>
      <c r="M89" s="1129"/>
      <c r="N89" s="1129"/>
      <c r="O89" s="1129"/>
      <c r="P89" s="1129"/>
      <c r="Q89" s="1129"/>
      <c r="R89" s="1129"/>
      <c r="S89" s="1129"/>
      <c r="T89" s="1129"/>
      <c r="U89" s="1129"/>
      <c r="V89" s="1129"/>
      <c r="W89" s="1129"/>
      <c r="X89" s="1129"/>
      <c r="Y89" s="1129"/>
      <c r="Z89" s="1129"/>
      <c r="AA89" s="1129"/>
      <c r="AB89" s="1129"/>
      <c r="AC89" s="1129"/>
      <c r="AD89" s="1129"/>
      <c r="AE89" s="1129"/>
      <c r="AF89" s="1129"/>
      <c r="AG89" s="1129"/>
      <c r="AH89" s="1129"/>
      <c r="AI89" s="1129"/>
      <c r="AJ89" s="1129"/>
      <c r="AK89" s="1129"/>
      <c r="AL89" s="1129"/>
      <c r="AM89" s="1129"/>
      <c r="AN89" s="1129"/>
      <c r="AO89" s="1129"/>
      <c r="AP89" s="1129"/>
      <c r="AQ89" s="1129"/>
      <c r="AR89" s="1129"/>
      <c r="AS89" s="1129"/>
      <c r="AT89" s="1129"/>
      <c r="AU89" s="1129"/>
      <c r="AV89" s="485"/>
      <c r="AW89" s="485"/>
      <c r="AX89" s="1129" t="s">
        <v>616</v>
      </c>
      <c r="AY89" s="1129"/>
      <c r="AZ89" s="1129"/>
      <c r="BA89" s="1129"/>
      <c r="BB89" s="1129"/>
      <c r="BC89" s="1129"/>
      <c r="BD89" s="1129"/>
      <c r="BE89" s="1129"/>
      <c r="BF89" s="1129"/>
      <c r="BG89" s="1129"/>
      <c r="BH89" s="1129"/>
      <c r="BI89" s="1129"/>
      <c r="BJ89" s="1129"/>
      <c r="BK89" s="1129"/>
      <c r="BL89" s="1129"/>
      <c r="BM89" s="1129"/>
      <c r="BN89" s="1129"/>
      <c r="BO89" s="1129"/>
      <c r="BP89" s="1129"/>
      <c r="BQ89" s="1129"/>
      <c r="BR89" s="1129"/>
      <c r="BS89" s="1129"/>
      <c r="BT89" s="1129"/>
      <c r="BU89" s="1129"/>
      <c r="BV89" s="1129"/>
      <c r="BW89" s="1129"/>
      <c r="BX89" s="1129"/>
      <c r="BY89" s="1129"/>
      <c r="BZ89" s="1129"/>
      <c r="CA89" s="1129"/>
      <c r="CB89" s="1129"/>
      <c r="CC89" s="1129"/>
      <c r="CD89" s="1129"/>
      <c r="CE89" s="1129"/>
      <c r="CF89" s="1129"/>
      <c r="CG89" s="1129"/>
      <c r="CH89" s="1129"/>
      <c r="CI89" s="1129"/>
      <c r="CJ89" s="1129"/>
      <c r="CK89" s="1129"/>
      <c r="CL89" s="1129"/>
      <c r="CM89" s="1129"/>
      <c r="CN89" s="1129"/>
      <c r="CO89" s="1129"/>
      <c r="CP89" s="1129"/>
      <c r="CQ89" s="1129"/>
      <c r="CR89" s="486"/>
      <c r="CS89" s="485"/>
      <c r="CT89" s="1129" t="s">
        <v>616</v>
      </c>
      <c r="CU89" s="1129"/>
      <c r="CV89" s="1129"/>
      <c r="CW89" s="1129"/>
      <c r="CX89" s="1129"/>
      <c r="CY89" s="1129"/>
      <c r="CZ89" s="1129"/>
      <c r="DA89" s="1129"/>
      <c r="DB89" s="1129"/>
      <c r="DC89" s="1129"/>
      <c r="DD89" s="1129"/>
      <c r="DE89" s="1129"/>
      <c r="DF89" s="1129"/>
      <c r="DG89" s="1129"/>
      <c r="DH89" s="1129"/>
      <c r="DI89" s="1129"/>
      <c r="DJ89" s="1129"/>
      <c r="DK89" s="1129"/>
      <c r="DL89" s="1129"/>
      <c r="DM89" s="1129"/>
      <c r="DN89" s="1129"/>
      <c r="DO89" s="1129"/>
      <c r="DP89" s="1129"/>
      <c r="DQ89" s="1129"/>
      <c r="DR89" s="1129"/>
      <c r="DS89" s="1129"/>
      <c r="DT89" s="1129"/>
      <c r="DU89" s="1129"/>
      <c r="DV89" s="1129"/>
      <c r="DW89" s="1129"/>
      <c r="DX89" s="1129"/>
      <c r="DY89" s="1129"/>
      <c r="DZ89" s="1129"/>
      <c r="EA89" s="1129"/>
      <c r="EB89" s="1129"/>
      <c r="EC89" s="1129"/>
      <c r="ED89" s="1129"/>
      <c r="EE89" s="1129"/>
      <c r="EF89" s="1129"/>
      <c r="EG89" s="1129"/>
      <c r="EH89" s="1129"/>
      <c r="EI89" s="1129"/>
      <c r="EJ89" s="1129"/>
      <c r="EK89" s="1129"/>
      <c r="EL89" s="1129"/>
      <c r="EM89" s="1129"/>
    </row>
    <row r="90" spans="1:143" ht="18.75" customHeight="1">
      <c r="A90" s="178"/>
      <c r="B90" s="190"/>
      <c r="C90" s="190"/>
      <c r="D90" s="1135" t="s">
        <v>617</v>
      </c>
      <c r="E90" s="1135"/>
      <c r="F90" s="1135"/>
      <c r="G90" s="1079" t="s">
        <v>618</v>
      </c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78"/>
      <c r="AW90" s="178"/>
      <c r="AX90" s="190"/>
      <c r="AY90" s="190"/>
      <c r="AZ90" s="1135" t="s">
        <v>617</v>
      </c>
      <c r="BA90" s="1135"/>
      <c r="BB90" s="1135"/>
      <c r="BC90" s="1079" t="s">
        <v>618</v>
      </c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135" t="s">
        <v>617</v>
      </c>
      <c r="CW90" s="1135"/>
      <c r="CX90" s="1135"/>
      <c r="CY90" s="1079" t="s">
        <v>618</v>
      </c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8.75" customHeight="1">
      <c r="A91" s="178"/>
      <c r="B91" s="1098" t="s">
        <v>619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78"/>
      <c r="AW91" s="178"/>
      <c r="AX91" s="1098" t="s">
        <v>619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619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135" t="s">
        <v>620</v>
      </c>
      <c r="E92" s="1135"/>
      <c r="F92" s="1135"/>
      <c r="G92" s="1079" t="s">
        <v>621</v>
      </c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78"/>
      <c r="AW92" s="178"/>
      <c r="AX92" s="190"/>
      <c r="AY92" s="190"/>
      <c r="AZ92" s="1135" t="s">
        <v>620</v>
      </c>
      <c r="BA92" s="1135"/>
      <c r="BB92" s="1135"/>
      <c r="BC92" s="1079" t="s">
        <v>621</v>
      </c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135" t="s">
        <v>620</v>
      </c>
      <c r="CW92" s="1135"/>
      <c r="CX92" s="1135"/>
      <c r="CY92" s="1079" t="s">
        <v>621</v>
      </c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39.75" customHeight="1">
      <c r="A93" s="178"/>
      <c r="B93" s="1098" t="s">
        <v>622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V93" s="178"/>
      <c r="AW93" s="178"/>
      <c r="AX93" s="1098" t="s">
        <v>622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622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8.75" customHeight="1">
      <c r="A94" s="178"/>
      <c r="B94" s="190"/>
      <c r="C94" s="190"/>
      <c r="D94" s="1135" t="s">
        <v>623</v>
      </c>
      <c r="E94" s="1135"/>
      <c r="F94" s="1135"/>
      <c r="G94" s="1079" t="s">
        <v>624</v>
      </c>
      <c r="H94" s="1079"/>
      <c r="I94" s="1079"/>
      <c r="J94" s="1079"/>
      <c r="K94" s="1079"/>
      <c r="L94" s="1079"/>
      <c r="M94" s="1079"/>
      <c r="N94" s="1079"/>
      <c r="O94" s="1079"/>
      <c r="P94" s="1079"/>
      <c r="Q94" s="1079"/>
      <c r="R94" s="1079"/>
      <c r="S94" s="1079"/>
      <c r="T94" s="1079"/>
      <c r="U94" s="1079"/>
      <c r="V94" s="1079"/>
      <c r="W94" s="1079"/>
      <c r="X94" s="1079"/>
      <c r="Y94" s="1079"/>
      <c r="Z94" s="1079"/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78"/>
      <c r="AW94" s="178"/>
      <c r="AX94" s="190"/>
      <c r="AY94" s="190"/>
      <c r="AZ94" s="1135" t="s">
        <v>623</v>
      </c>
      <c r="BA94" s="1135"/>
      <c r="BB94" s="1135"/>
      <c r="BC94" s="1079" t="s">
        <v>624</v>
      </c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  <c r="BX94" s="1079"/>
      <c r="BY94" s="1079"/>
      <c r="BZ94" s="1079"/>
      <c r="CA94" s="1079"/>
      <c r="CB94" s="1079"/>
      <c r="CC94" s="1079"/>
      <c r="CD94" s="1079"/>
      <c r="CE94" s="1079"/>
      <c r="CF94" s="1079"/>
      <c r="CG94" s="1079"/>
      <c r="CH94" s="1079"/>
      <c r="CI94" s="1079"/>
      <c r="CJ94" s="1079"/>
      <c r="CK94" s="1079"/>
      <c r="CL94" s="1079"/>
      <c r="CM94" s="1079"/>
      <c r="CN94" s="1079"/>
      <c r="CO94" s="1079"/>
      <c r="CP94" s="1079"/>
      <c r="CQ94" s="1079"/>
      <c r="CS94" s="178"/>
      <c r="CT94" s="190"/>
      <c r="CU94" s="190"/>
      <c r="CV94" s="1135" t="s">
        <v>623</v>
      </c>
      <c r="CW94" s="1135"/>
      <c r="CX94" s="1135"/>
      <c r="CY94" s="1079" t="s">
        <v>624</v>
      </c>
      <c r="CZ94" s="1079"/>
      <c r="DA94" s="1079"/>
      <c r="DB94" s="1079"/>
      <c r="DC94" s="1079"/>
      <c r="DD94" s="1079"/>
      <c r="DE94" s="1079"/>
      <c r="DF94" s="1079"/>
      <c r="DG94" s="1079"/>
      <c r="DH94" s="1079"/>
      <c r="DI94" s="1079"/>
      <c r="DJ94" s="1079"/>
      <c r="DK94" s="1079"/>
      <c r="DL94" s="1079"/>
      <c r="DM94" s="1079"/>
      <c r="DN94" s="1079"/>
      <c r="DO94" s="1079"/>
      <c r="DP94" s="1079"/>
      <c r="DQ94" s="1079"/>
      <c r="DR94" s="1079"/>
      <c r="DS94" s="1079"/>
      <c r="DT94" s="1079"/>
      <c r="DU94" s="1079"/>
      <c r="DV94" s="1079"/>
      <c r="DW94" s="1079"/>
      <c r="DX94" s="1079"/>
      <c r="DY94" s="1079"/>
      <c r="DZ94" s="1079"/>
      <c r="EA94" s="1079"/>
      <c r="EB94" s="1079"/>
      <c r="EC94" s="1079"/>
      <c r="ED94" s="1079"/>
      <c r="EE94" s="1079"/>
      <c r="EF94" s="1079"/>
      <c r="EG94" s="1079"/>
      <c r="EH94" s="1079"/>
      <c r="EI94" s="1079"/>
      <c r="EJ94" s="1079"/>
      <c r="EK94" s="1079"/>
      <c r="EL94" s="1079"/>
      <c r="EM94" s="1079"/>
    </row>
    <row r="95" spans="1:143" ht="39.75" customHeight="1">
      <c r="A95" s="178"/>
      <c r="B95" s="1098" t="s">
        <v>625</v>
      </c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8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78"/>
      <c r="AW95" s="178"/>
      <c r="AX95" s="1098" t="s">
        <v>625</v>
      </c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  <c r="BX95" s="1098"/>
      <c r="BY95" s="1098"/>
      <c r="BZ95" s="1098"/>
      <c r="CA95" s="1098"/>
      <c r="CB95" s="1098"/>
      <c r="CC95" s="1098"/>
      <c r="CD95" s="1098"/>
      <c r="CE95" s="1098"/>
      <c r="CF95" s="1098"/>
      <c r="CG95" s="1098"/>
      <c r="CH95" s="1098"/>
      <c r="CI95" s="1098"/>
      <c r="CJ95" s="1098"/>
      <c r="CK95" s="1098"/>
      <c r="CL95" s="1098"/>
      <c r="CM95" s="1098"/>
      <c r="CN95" s="1098"/>
      <c r="CO95" s="1098"/>
      <c r="CP95" s="1098"/>
      <c r="CQ95" s="1098"/>
      <c r="CS95" s="178"/>
      <c r="CT95" s="1098" t="s">
        <v>625</v>
      </c>
      <c r="CU95" s="1098"/>
      <c r="CV95" s="1098"/>
      <c r="CW95" s="1098"/>
      <c r="CX95" s="1098"/>
      <c r="CY95" s="1098"/>
      <c r="CZ95" s="1098"/>
      <c r="DA95" s="1098"/>
      <c r="DB95" s="1098"/>
      <c r="DC95" s="1098"/>
      <c r="DD95" s="1098"/>
      <c r="DE95" s="1098"/>
      <c r="DF95" s="1098"/>
      <c r="DG95" s="1098"/>
      <c r="DH95" s="1098"/>
      <c r="DI95" s="1098"/>
      <c r="DJ95" s="1098"/>
      <c r="DK95" s="1098"/>
      <c r="DL95" s="1098"/>
      <c r="DM95" s="1098"/>
      <c r="DN95" s="1098"/>
      <c r="DO95" s="1098"/>
      <c r="DP95" s="1098"/>
      <c r="DQ95" s="1098"/>
      <c r="DR95" s="1098"/>
      <c r="DS95" s="1098"/>
      <c r="DT95" s="1098"/>
      <c r="DU95" s="1098"/>
      <c r="DV95" s="1098"/>
      <c r="DW95" s="1098"/>
      <c r="DX95" s="1098"/>
      <c r="DY95" s="1098"/>
      <c r="DZ95" s="1098"/>
      <c r="EA95" s="1098"/>
      <c r="EB95" s="1098"/>
      <c r="EC95" s="1098"/>
      <c r="ED95" s="1098"/>
      <c r="EE95" s="1098"/>
      <c r="EF95" s="1098"/>
      <c r="EG95" s="1098"/>
      <c r="EH95" s="1098"/>
      <c r="EI95" s="1098"/>
      <c r="EJ95" s="1098"/>
      <c r="EK95" s="1098"/>
      <c r="EL95" s="1098"/>
      <c r="EM95" s="1098"/>
    </row>
    <row r="96" spans="1:143" ht="18.75" customHeight="1">
      <c r="A96" s="178"/>
      <c r="B96" s="190"/>
      <c r="C96" s="190"/>
      <c r="D96" s="1135" t="s">
        <v>626</v>
      </c>
      <c r="E96" s="1135"/>
      <c r="F96" s="1135"/>
      <c r="G96" s="1079" t="s">
        <v>627</v>
      </c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1079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78"/>
      <c r="AW96" s="178"/>
      <c r="AX96" s="190"/>
      <c r="AY96" s="190"/>
      <c r="AZ96" s="1135" t="s">
        <v>626</v>
      </c>
      <c r="BA96" s="1135"/>
      <c r="BB96" s="1135"/>
      <c r="BC96" s="1079" t="s">
        <v>627</v>
      </c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  <c r="BX96" s="1079"/>
      <c r="BY96" s="1079"/>
      <c r="BZ96" s="1079"/>
      <c r="CA96" s="1079"/>
      <c r="CB96" s="1079"/>
      <c r="CC96" s="1079"/>
      <c r="CD96" s="1079"/>
      <c r="CE96" s="1079"/>
      <c r="CF96" s="1079"/>
      <c r="CG96" s="1079"/>
      <c r="CH96" s="1079"/>
      <c r="CI96" s="1079"/>
      <c r="CJ96" s="1079"/>
      <c r="CK96" s="1079"/>
      <c r="CL96" s="1079"/>
      <c r="CM96" s="1079"/>
      <c r="CN96" s="1079"/>
      <c r="CO96" s="1079"/>
      <c r="CP96" s="1079"/>
      <c r="CQ96" s="1079"/>
      <c r="CS96" s="178"/>
      <c r="CT96" s="190"/>
      <c r="CU96" s="190"/>
      <c r="CV96" s="1135" t="s">
        <v>626</v>
      </c>
      <c r="CW96" s="1135"/>
      <c r="CX96" s="1135"/>
      <c r="CY96" s="1079" t="s">
        <v>627</v>
      </c>
      <c r="CZ96" s="1079"/>
      <c r="DA96" s="1079"/>
      <c r="DB96" s="1079"/>
      <c r="DC96" s="1079"/>
      <c r="DD96" s="1079"/>
      <c r="DE96" s="1079"/>
      <c r="DF96" s="1079"/>
      <c r="DG96" s="1079"/>
      <c r="DH96" s="1079"/>
      <c r="DI96" s="1079"/>
      <c r="DJ96" s="1079"/>
      <c r="DK96" s="1079"/>
      <c r="DL96" s="1079"/>
      <c r="DM96" s="1079"/>
      <c r="DN96" s="1079"/>
      <c r="DO96" s="1079"/>
      <c r="DP96" s="1079"/>
      <c r="DQ96" s="1079"/>
      <c r="DR96" s="1079"/>
      <c r="DS96" s="1079"/>
      <c r="DT96" s="1079"/>
      <c r="DU96" s="1079"/>
      <c r="DV96" s="1079"/>
      <c r="DW96" s="1079"/>
      <c r="DX96" s="1079"/>
      <c r="DY96" s="1079"/>
      <c r="DZ96" s="1079"/>
      <c r="EA96" s="1079"/>
      <c r="EB96" s="1079"/>
      <c r="EC96" s="1079"/>
      <c r="ED96" s="1079"/>
      <c r="EE96" s="1079"/>
      <c r="EF96" s="1079"/>
      <c r="EG96" s="1079"/>
      <c r="EH96" s="1079"/>
      <c r="EI96" s="1079"/>
      <c r="EJ96" s="1079"/>
      <c r="EK96" s="1079"/>
      <c r="EL96" s="1079"/>
      <c r="EM96" s="1079"/>
    </row>
    <row r="97" spans="1:143" ht="18.75" customHeight="1">
      <c r="A97" s="178"/>
      <c r="B97" s="1098" t="s">
        <v>628</v>
      </c>
      <c r="C97" s="1098"/>
      <c r="D97" s="1098"/>
      <c r="E97" s="1098"/>
      <c r="F97" s="1098"/>
      <c r="G97" s="1098"/>
      <c r="H97" s="1098"/>
      <c r="I97" s="1098"/>
      <c r="J97" s="1098"/>
      <c r="K97" s="1098"/>
      <c r="L97" s="1098"/>
      <c r="M97" s="1098"/>
      <c r="N97" s="1098"/>
      <c r="O97" s="1098"/>
      <c r="P97" s="1098"/>
      <c r="Q97" s="1098"/>
      <c r="R97" s="1098"/>
      <c r="S97" s="1098"/>
      <c r="T97" s="1098"/>
      <c r="U97" s="1098"/>
      <c r="V97" s="1098"/>
      <c r="W97" s="1098"/>
      <c r="X97" s="1098"/>
      <c r="Y97" s="1098"/>
      <c r="Z97" s="1098"/>
      <c r="AA97" s="1098"/>
      <c r="AB97" s="1098"/>
      <c r="AC97" s="1098"/>
      <c r="AD97" s="1098"/>
      <c r="AE97" s="1098"/>
      <c r="AF97" s="1098"/>
      <c r="AG97" s="1098"/>
      <c r="AH97" s="1098"/>
      <c r="AI97" s="1098"/>
      <c r="AJ97" s="1098"/>
      <c r="AK97" s="1098"/>
      <c r="AL97" s="1098"/>
      <c r="AM97" s="1098"/>
      <c r="AN97" s="1098"/>
      <c r="AO97" s="1098"/>
      <c r="AP97" s="1098"/>
      <c r="AQ97" s="1098"/>
      <c r="AR97" s="1098"/>
      <c r="AS97" s="1098"/>
      <c r="AT97" s="1098"/>
      <c r="AU97" s="1098"/>
      <c r="AV97" s="178"/>
      <c r="AW97" s="178"/>
      <c r="AX97" s="1098" t="s">
        <v>628</v>
      </c>
      <c r="AY97" s="1098"/>
      <c r="AZ97" s="1098"/>
      <c r="BA97" s="1098"/>
      <c r="BB97" s="1098"/>
      <c r="BC97" s="1098"/>
      <c r="BD97" s="1098"/>
      <c r="BE97" s="1098"/>
      <c r="BF97" s="1098"/>
      <c r="BG97" s="1098"/>
      <c r="BH97" s="1098"/>
      <c r="BI97" s="1098"/>
      <c r="BJ97" s="1098"/>
      <c r="BK97" s="1098"/>
      <c r="BL97" s="1098"/>
      <c r="BM97" s="1098"/>
      <c r="BN97" s="1098"/>
      <c r="BO97" s="1098"/>
      <c r="BP97" s="1098"/>
      <c r="BQ97" s="1098"/>
      <c r="BR97" s="1098"/>
      <c r="BS97" s="1098"/>
      <c r="BT97" s="1098"/>
      <c r="BU97" s="1098"/>
      <c r="BV97" s="1098"/>
      <c r="BW97" s="1098"/>
      <c r="BX97" s="1098"/>
      <c r="BY97" s="1098"/>
      <c r="BZ97" s="1098"/>
      <c r="CA97" s="1098"/>
      <c r="CB97" s="1098"/>
      <c r="CC97" s="1098"/>
      <c r="CD97" s="1098"/>
      <c r="CE97" s="1098"/>
      <c r="CF97" s="1098"/>
      <c r="CG97" s="1098"/>
      <c r="CH97" s="1098"/>
      <c r="CI97" s="1098"/>
      <c r="CJ97" s="1098"/>
      <c r="CK97" s="1098"/>
      <c r="CL97" s="1098"/>
      <c r="CM97" s="1098"/>
      <c r="CN97" s="1098"/>
      <c r="CO97" s="1098"/>
      <c r="CP97" s="1098"/>
      <c r="CQ97" s="1098"/>
      <c r="CS97" s="178"/>
      <c r="CT97" s="1098" t="s">
        <v>628</v>
      </c>
      <c r="CU97" s="1098"/>
      <c r="CV97" s="1098"/>
      <c r="CW97" s="1098"/>
      <c r="CX97" s="1098"/>
      <c r="CY97" s="1098"/>
      <c r="CZ97" s="1098"/>
      <c r="DA97" s="1098"/>
      <c r="DB97" s="1098"/>
      <c r="DC97" s="1098"/>
      <c r="DD97" s="1098"/>
      <c r="DE97" s="1098"/>
      <c r="DF97" s="1098"/>
      <c r="DG97" s="1098"/>
      <c r="DH97" s="1098"/>
      <c r="DI97" s="1098"/>
      <c r="DJ97" s="1098"/>
      <c r="DK97" s="1098"/>
      <c r="DL97" s="1098"/>
      <c r="DM97" s="1098"/>
      <c r="DN97" s="1098"/>
      <c r="DO97" s="1098"/>
      <c r="DP97" s="1098"/>
      <c r="DQ97" s="1098"/>
      <c r="DR97" s="1098"/>
      <c r="DS97" s="1098"/>
      <c r="DT97" s="1098"/>
      <c r="DU97" s="1098"/>
      <c r="DV97" s="1098"/>
      <c r="DW97" s="1098"/>
      <c r="DX97" s="1098"/>
      <c r="DY97" s="1098"/>
      <c r="DZ97" s="1098"/>
      <c r="EA97" s="1098"/>
      <c r="EB97" s="1098"/>
      <c r="EC97" s="1098"/>
      <c r="ED97" s="1098"/>
      <c r="EE97" s="1098"/>
      <c r="EF97" s="1098"/>
      <c r="EG97" s="1098"/>
      <c r="EH97" s="1098"/>
      <c r="EI97" s="1098"/>
      <c r="EJ97" s="1098"/>
      <c r="EK97" s="1098"/>
      <c r="EL97" s="1098"/>
      <c r="EM97" s="1098"/>
    </row>
    <row r="98" spans="1:143" ht="18.75" customHeight="1">
      <c r="A98" s="178"/>
      <c r="B98" s="190"/>
      <c r="C98" s="190"/>
      <c r="D98" s="1135" t="s">
        <v>629</v>
      </c>
      <c r="E98" s="1135"/>
      <c r="F98" s="1135"/>
      <c r="G98" s="1079" t="s">
        <v>630</v>
      </c>
      <c r="H98" s="1079"/>
      <c r="I98" s="1079"/>
      <c r="J98" s="1079"/>
      <c r="K98" s="1079"/>
      <c r="L98" s="1079"/>
      <c r="M98" s="1079"/>
      <c r="N98" s="1079"/>
      <c r="O98" s="1079"/>
      <c r="P98" s="1079"/>
      <c r="Q98" s="1079"/>
      <c r="R98" s="1079"/>
      <c r="S98" s="1079"/>
      <c r="T98" s="1079"/>
      <c r="U98" s="1079"/>
      <c r="V98" s="1079"/>
      <c r="W98" s="1079"/>
      <c r="X98" s="1079"/>
      <c r="Y98" s="1079"/>
      <c r="Z98" s="1079"/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78"/>
      <c r="AW98" s="178"/>
      <c r="AX98" s="190"/>
      <c r="AY98" s="190"/>
      <c r="AZ98" s="1135" t="s">
        <v>629</v>
      </c>
      <c r="BA98" s="1135"/>
      <c r="BB98" s="1135"/>
      <c r="BC98" s="1079" t="s">
        <v>630</v>
      </c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  <c r="BX98" s="1079"/>
      <c r="BY98" s="1079"/>
      <c r="BZ98" s="1079"/>
      <c r="CA98" s="1079"/>
      <c r="CB98" s="1079"/>
      <c r="CC98" s="1079"/>
      <c r="CD98" s="1079"/>
      <c r="CE98" s="1079"/>
      <c r="CF98" s="1079"/>
      <c r="CG98" s="1079"/>
      <c r="CH98" s="1079"/>
      <c r="CI98" s="1079"/>
      <c r="CJ98" s="1079"/>
      <c r="CK98" s="1079"/>
      <c r="CL98" s="1079"/>
      <c r="CM98" s="1079"/>
      <c r="CN98" s="1079"/>
      <c r="CO98" s="1079"/>
      <c r="CP98" s="1079"/>
      <c r="CQ98" s="1079"/>
      <c r="CS98" s="178"/>
      <c r="CT98" s="190"/>
      <c r="CU98" s="190"/>
      <c r="CV98" s="1135" t="s">
        <v>629</v>
      </c>
      <c r="CW98" s="1135"/>
      <c r="CX98" s="1135"/>
      <c r="CY98" s="1079" t="s">
        <v>630</v>
      </c>
      <c r="CZ98" s="1079"/>
      <c r="DA98" s="1079"/>
      <c r="DB98" s="1079"/>
      <c r="DC98" s="1079"/>
      <c r="DD98" s="1079"/>
      <c r="DE98" s="1079"/>
      <c r="DF98" s="1079"/>
      <c r="DG98" s="1079"/>
      <c r="DH98" s="1079"/>
      <c r="DI98" s="1079"/>
      <c r="DJ98" s="1079"/>
      <c r="DK98" s="1079"/>
      <c r="DL98" s="1079"/>
      <c r="DM98" s="1079"/>
      <c r="DN98" s="1079"/>
      <c r="DO98" s="1079"/>
      <c r="DP98" s="1079"/>
      <c r="DQ98" s="1079"/>
      <c r="DR98" s="1079"/>
      <c r="DS98" s="1079"/>
      <c r="DT98" s="1079"/>
      <c r="DU98" s="1079"/>
      <c r="DV98" s="1079"/>
      <c r="DW98" s="1079"/>
      <c r="DX98" s="1079"/>
      <c r="DY98" s="1079"/>
      <c r="DZ98" s="1079"/>
      <c r="EA98" s="1079"/>
      <c r="EB98" s="1079"/>
      <c r="EC98" s="1079"/>
      <c r="ED98" s="1079"/>
      <c r="EE98" s="1079"/>
      <c r="EF98" s="1079"/>
      <c r="EG98" s="1079"/>
      <c r="EH98" s="1079"/>
      <c r="EI98" s="1079"/>
      <c r="EJ98" s="1079"/>
      <c r="EK98" s="1079"/>
      <c r="EL98" s="1079"/>
      <c r="EM98" s="1079"/>
    </row>
    <row r="99" spans="1:143" ht="37.5" customHeight="1">
      <c r="A99" s="178"/>
      <c r="B99" s="1098" t="s">
        <v>631</v>
      </c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8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78"/>
      <c r="AW99" s="178"/>
      <c r="AX99" s="1098" t="s">
        <v>631</v>
      </c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  <c r="BX99" s="1098"/>
      <c r="BY99" s="1098"/>
      <c r="BZ99" s="1098"/>
      <c r="CA99" s="1098"/>
      <c r="CB99" s="1098"/>
      <c r="CC99" s="1098"/>
      <c r="CD99" s="1098"/>
      <c r="CE99" s="1098"/>
      <c r="CF99" s="1098"/>
      <c r="CG99" s="1098"/>
      <c r="CH99" s="1098"/>
      <c r="CI99" s="1098"/>
      <c r="CJ99" s="1098"/>
      <c r="CK99" s="1098"/>
      <c r="CL99" s="1098"/>
      <c r="CM99" s="1098"/>
      <c r="CN99" s="1098"/>
      <c r="CO99" s="1098"/>
      <c r="CP99" s="1098"/>
      <c r="CQ99" s="1098"/>
      <c r="CS99" s="178"/>
      <c r="CT99" s="1098" t="s">
        <v>631</v>
      </c>
      <c r="CU99" s="1098"/>
      <c r="CV99" s="1098"/>
      <c r="CW99" s="1098"/>
      <c r="CX99" s="1098"/>
      <c r="CY99" s="1098"/>
      <c r="CZ99" s="1098"/>
      <c r="DA99" s="1098"/>
      <c r="DB99" s="1098"/>
      <c r="DC99" s="1098"/>
      <c r="DD99" s="1098"/>
      <c r="DE99" s="1098"/>
      <c r="DF99" s="1098"/>
      <c r="DG99" s="1098"/>
      <c r="DH99" s="1098"/>
      <c r="DI99" s="1098"/>
      <c r="DJ99" s="1098"/>
      <c r="DK99" s="1098"/>
      <c r="DL99" s="1098"/>
      <c r="DM99" s="1098"/>
      <c r="DN99" s="1098"/>
      <c r="DO99" s="1098"/>
      <c r="DP99" s="1098"/>
      <c r="DQ99" s="1098"/>
      <c r="DR99" s="1098"/>
      <c r="DS99" s="1098"/>
      <c r="DT99" s="1098"/>
      <c r="DU99" s="1098"/>
      <c r="DV99" s="1098"/>
      <c r="DW99" s="1098"/>
      <c r="DX99" s="1098"/>
      <c r="DY99" s="1098"/>
      <c r="DZ99" s="1098"/>
      <c r="EA99" s="1098"/>
      <c r="EB99" s="1098"/>
      <c r="EC99" s="1098"/>
      <c r="ED99" s="1098"/>
      <c r="EE99" s="1098"/>
      <c r="EF99" s="1098"/>
      <c r="EG99" s="1098"/>
      <c r="EH99" s="1098"/>
      <c r="EI99" s="1098"/>
      <c r="EJ99" s="1098"/>
      <c r="EK99" s="1098"/>
      <c r="EL99" s="1098"/>
      <c r="EM99" s="1098"/>
    </row>
    <row r="100" spans="1:143" ht="18.75" customHeight="1">
      <c r="A100" s="178"/>
      <c r="B100" s="190"/>
      <c r="C100" s="190"/>
      <c r="D100" s="1135" t="s">
        <v>632</v>
      </c>
      <c r="E100" s="1135"/>
      <c r="F100" s="1135"/>
      <c r="G100" s="1079" t="s">
        <v>633</v>
      </c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1079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78"/>
      <c r="AW100" s="178"/>
      <c r="AX100" s="190"/>
      <c r="AY100" s="190"/>
      <c r="AZ100" s="1135" t="s">
        <v>632</v>
      </c>
      <c r="BA100" s="1135"/>
      <c r="BB100" s="1135"/>
      <c r="BC100" s="1079" t="s">
        <v>633</v>
      </c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  <c r="BX100" s="1079"/>
      <c r="BY100" s="1079"/>
      <c r="BZ100" s="1079"/>
      <c r="CA100" s="1079"/>
      <c r="CB100" s="1079"/>
      <c r="CC100" s="1079"/>
      <c r="CD100" s="1079"/>
      <c r="CE100" s="1079"/>
      <c r="CF100" s="1079"/>
      <c r="CG100" s="1079"/>
      <c r="CH100" s="1079"/>
      <c r="CI100" s="1079"/>
      <c r="CJ100" s="1079"/>
      <c r="CK100" s="1079"/>
      <c r="CL100" s="1079"/>
      <c r="CM100" s="1079"/>
      <c r="CN100" s="1079"/>
      <c r="CO100" s="1079"/>
      <c r="CP100" s="1079"/>
      <c r="CQ100" s="1079"/>
      <c r="CS100" s="178"/>
      <c r="CT100" s="190"/>
      <c r="CU100" s="190"/>
      <c r="CV100" s="1135" t="s">
        <v>632</v>
      </c>
      <c r="CW100" s="1135"/>
      <c r="CX100" s="1135"/>
      <c r="CY100" s="1079" t="s">
        <v>633</v>
      </c>
      <c r="CZ100" s="1079"/>
      <c r="DA100" s="1079"/>
      <c r="DB100" s="1079"/>
      <c r="DC100" s="1079"/>
      <c r="DD100" s="1079"/>
      <c r="DE100" s="1079"/>
      <c r="DF100" s="1079"/>
      <c r="DG100" s="1079"/>
      <c r="DH100" s="1079"/>
      <c r="DI100" s="1079"/>
      <c r="DJ100" s="1079"/>
      <c r="DK100" s="1079"/>
      <c r="DL100" s="1079"/>
      <c r="DM100" s="1079"/>
      <c r="DN100" s="1079"/>
      <c r="DO100" s="1079"/>
      <c r="DP100" s="1079"/>
      <c r="DQ100" s="1079"/>
      <c r="DR100" s="1079"/>
      <c r="DS100" s="1079"/>
      <c r="DT100" s="1079"/>
      <c r="DU100" s="1079"/>
      <c r="DV100" s="1079"/>
      <c r="DW100" s="1079"/>
      <c r="DX100" s="1079"/>
      <c r="DY100" s="1079"/>
      <c r="DZ100" s="1079"/>
      <c r="EA100" s="1079"/>
      <c r="EB100" s="1079"/>
      <c r="EC100" s="1079"/>
      <c r="ED100" s="1079"/>
      <c r="EE100" s="1079"/>
      <c r="EF100" s="1079"/>
      <c r="EG100" s="1079"/>
      <c r="EH100" s="1079"/>
      <c r="EI100" s="1079"/>
      <c r="EJ100" s="1079"/>
      <c r="EK100" s="1079"/>
      <c r="EL100" s="1079"/>
      <c r="EM100" s="1079"/>
    </row>
    <row r="101" spans="1:143" ht="18.75" customHeight="1">
      <c r="A101" s="178"/>
      <c r="B101" s="1098" t="s">
        <v>634</v>
      </c>
      <c r="C101" s="1098"/>
      <c r="D101" s="1098"/>
      <c r="E101" s="1098"/>
      <c r="F101" s="1098"/>
      <c r="G101" s="1098"/>
      <c r="H101" s="1098"/>
      <c r="I101" s="1098"/>
      <c r="J101" s="1098"/>
      <c r="K101" s="1098"/>
      <c r="L101" s="1098"/>
      <c r="M101" s="1098"/>
      <c r="N101" s="1098"/>
      <c r="O101" s="1098"/>
      <c r="P101" s="1098"/>
      <c r="Q101" s="1098"/>
      <c r="R101" s="1098"/>
      <c r="S101" s="1098"/>
      <c r="T101" s="1098"/>
      <c r="U101" s="1098"/>
      <c r="V101" s="1098"/>
      <c r="W101" s="1098"/>
      <c r="X101" s="1098"/>
      <c r="Y101" s="1098"/>
      <c r="Z101" s="1098"/>
      <c r="AA101" s="1098"/>
      <c r="AB101" s="1098"/>
      <c r="AC101" s="1098"/>
      <c r="AD101" s="1098"/>
      <c r="AE101" s="1098"/>
      <c r="AF101" s="1098"/>
      <c r="AG101" s="1098"/>
      <c r="AH101" s="1098"/>
      <c r="AI101" s="1098"/>
      <c r="AJ101" s="1098"/>
      <c r="AK101" s="1098"/>
      <c r="AL101" s="1098"/>
      <c r="AM101" s="1098"/>
      <c r="AN101" s="1098"/>
      <c r="AO101" s="1098"/>
      <c r="AP101" s="1098"/>
      <c r="AQ101" s="1098"/>
      <c r="AR101" s="1098"/>
      <c r="AS101" s="1098"/>
      <c r="AT101" s="1098"/>
      <c r="AU101" s="1098"/>
      <c r="AV101" s="178"/>
      <c r="AW101" s="178"/>
      <c r="AX101" s="1098" t="s">
        <v>634</v>
      </c>
      <c r="AY101" s="1098"/>
      <c r="AZ101" s="1098"/>
      <c r="BA101" s="1098"/>
      <c r="BB101" s="1098"/>
      <c r="BC101" s="1098"/>
      <c r="BD101" s="1098"/>
      <c r="BE101" s="1098"/>
      <c r="BF101" s="1098"/>
      <c r="BG101" s="1098"/>
      <c r="BH101" s="1098"/>
      <c r="BI101" s="1098"/>
      <c r="BJ101" s="1098"/>
      <c r="BK101" s="1098"/>
      <c r="BL101" s="1098"/>
      <c r="BM101" s="1098"/>
      <c r="BN101" s="1098"/>
      <c r="BO101" s="1098"/>
      <c r="BP101" s="1098"/>
      <c r="BQ101" s="1098"/>
      <c r="BR101" s="1098"/>
      <c r="BS101" s="1098"/>
      <c r="BT101" s="1098"/>
      <c r="BU101" s="1098"/>
      <c r="BV101" s="1098"/>
      <c r="BW101" s="1098"/>
      <c r="BX101" s="1098"/>
      <c r="BY101" s="1098"/>
      <c r="BZ101" s="1098"/>
      <c r="CA101" s="1098"/>
      <c r="CB101" s="1098"/>
      <c r="CC101" s="1098"/>
      <c r="CD101" s="1098"/>
      <c r="CE101" s="1098"/>
      <c r="CF101" s="1098"/>
      <c r="CG101" s="1098"/>
      <c r="CH101" s="1098"/>
      <c r="CI101" s="1098"/>
      <c r="CJ101" s="1098"/>
      <c r="CK101" s="1098"/>
      <c r="CL101" s="1098"/>
      <c r="CM101" s="1098"/>
      <c r="CN101" s="1098"/>
      <c r="CO101" s="1098"/>
      <c r="CP101" s="1098"/>
      <c r="CQ101" s="1098"/>
      <c r="CS101" s="178"/>
      <c r="CT101" s="1098" t="s">
        <v>634</v>
      </c>
      <c r="CU101" s="1098"/>
      <c r="CV101" s="1098"/>
      <c r="CW101" s="1098"/>
      <c r="CX101" s="1098"/>
      <c r="CY101" s="1098"/>
      <c r="CZ101" s="1098"/>
      <c r="DA101" s="1098"/>
      <c r="DB101" s="1098"/>
      <c r="DC101" s="1098"/>
      <c r="DD101" s="1098"/>
      <c r="DE101" s="1098"/>
      <c r="DF101" s="1098"/>
      <c r="DG101" s="1098"/>
      <c r="DH101" s="1098"/>
      <c r="DI101" s="1098"/>
      <c r="DJ101" s="1098"/>
      <c r="DK101" s="1098"/>
      <c r="DL101" s="1098"/>
      <c r="DM101" s="1098"/>
      <c r="DN101" s="1098"/>
      <c r="DO101" s="1098"/>
      <c r="DP101" s="1098"/>
      <c r="DQ101" s="1098"/>
      <c r="DR101" s="1098"/>
      <c r="DS101" s="1098"/>
      <c r="DT101" s="1098"/>
      <c r="DU101" s="1098"/>
      <c r="DV101" s="1098"/>
      <c r="DW101" s="1098"/>
      <c r="DX101" s="1098"/>
      <c r="DY101" s="1098"/>
      <c r="DZ101" s="1098"/>
      <c r="EA101" s="1098"/>
      <c r="EB101" s="1098"/>
      <c r="EC101" s="1098"/>
      <c r="ED101" s="1098"/>
      <c r="EE101" s="1098"/>
      <c r="EF101" s="1098"/>
      <c r="EG101" s="1098"/>
      <c r="EH101" s="1098"/>
      <c r="EI101" s="1098"/>
      <c r="EJ101" s="1098"/>
      <c r="EK101" s="1098"/>
      <c r="EL101" s="1098"/>
      <c r="EM101" s="1098"/>
    </row>
    <row r="102" spans="1:143" ht="18.75" customHeight="1">
      <c r="A102" s="178"/>
      <c r="B102" s="190"/>
      <c r="C102" s="190"/>
      <c r="D102" s="1136" t="s">
        <v>635</v>
      </c>
      <c r="E102" s="1136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6" t="s">
        <v>635</v>
      </c>
      <c r="BA102" s="1136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6" t="s">
        <v>635</v>
      </c>
      <c r="CW102" s="1136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135" t="s">
        <v>637</v>
      </c>
      <c r="E103" s="1135"/>
      <c r="F103" s="1135"/>
      <c r="G103" s="1079" t="s">
        <v>638</v>
      </c>
      <c r="H103" s="1079"/>
      <c r="I103" s="1079"/>
      <c r="J103" s="1079"/>
      <c r="K103" s="1079"/>
      <c r="L103" s="1079"/>
      <c r="M103" s="1079"/>
      <c r="N103" s="1079"/>
      <c r="O103" s="1079"/>
      <c r="P103" s="1079"/>
      <c r="Q103" s="1079"/>
      <c r="R103" s="1079"/>
      <c r="S103" s="1079"/>
      <c r="T103" s="1079"/>
      <c r="U103" s="1079"/>
      <c r="V103" s="1079"/>
      <c r="W103" s="1079"/>
      <c r="X103" s="1079"/>
      <c r="Y103" s="1079"/>
      <c r="Z103" s="1079"/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079"/>
      <c r="AO103" s="1079"/>
      <c r="AP103" s="1079"/>
      <c r="AQ103" s="1079"/>
      <c r="AR103" s="1079"/>
      <c r="AS103" s="1079"/>
      <c r="AT103" s="1079"/>
      <c r="AU103" s="1079"/>
      <c r="AV103" s="178"/>
      <c r="AW103" s="178"/>
      <c r="AX103" s="190"/>
      <c r="AY103" s="190"/>
      <c r="AZ103" s="1135" t="s">
        <v>637</v>
      </c>
      <c r="BA103" s="1135"/>
      <c r="BB103" s="1135"/>
      <c r="BC103" s="1079" t="s">
        <v>638</v>
      </c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  <c r="BX103" s="1079"/>
      <c r="BY103" s="1079"/>
      <c r="BZ103" s="1079"/>
      <c r="CA103" s="1079"/>
      <c r="CB103" s="1079"/>
      <c r="CC103" s="1079"/>
      <c r="CD103" s="1079"/>
      <c r="CE103" s="1079"/>
      <c r="CF103" s="1079"/>
      <c r="CG103" s="1079"/>
      <c r="CH103" s="1079"/>
      <c r="CI103" s="1079"/>
      <c r="CJ103" s="1079"/>
      <c r="CK103" s="1079"/>
      <c r="CL103" s="1079"/>
      <c r="CM103" s="1079"/>
      <c r="CN103" s="1079"/>
      <c r="CO103" s="1079"/>
      <c r="CP103" s="1079"/>
      <c r="CQ103" s="1079"/>
      <c r="CS103" s="178"/>
      <c r="CT103" s="190"/>
      <c r="CU103" s="190"/>
      <c r="CV103" s="1135" t="s">
        <v>637</v>
      </c>
      <c r="CW103" s="1135"/>
      <c r="CX103" s="1135"/>
      <c r="CY103" s="1079" t="s">
        <v>638</v>
      </c>
      <c r="CZ103" s="1079"/>
      <c r="DA103" s="1079"/>
      <c r="DB103" s="1079"/>
      <c r="DC103" s="1079"/>
      <c r="DD103" s="1079"/>
      <c r="DE103" s="1079"/>
      <c r="DF103" s="1079"/>
      <c r="DG103" s="1079"/>
      <c r="DH103" s="1079"/>
      <c r="DI103" s="1079"/>
      <c r="DJ103" s="1079"/>
      <c r="DK103" s="1079"/>
      <c r="DL103" s="1079"/>
      <c r="DM103" s="1079"/>
      <c r="DN103" s="1079"/>
      <c r="DO103" s="1079"/>
      <c r="DP103" s="1079"/>
      <c r="DQ103" s="1079"/>
      <c r="DR103" s="1079"/>
      <c r="DS103" s="1079"/>
      <c r="DT103" s="1079"/>
      <c r="DU103" s="1079"/>
      <c r="DV103" s="1079"/>
      <c r="DW103" s="1079"/>
      <c r="DX103" s="1079"/>
      <c r="DY103" s="1079"/>
      <c r="DZ103" s="1079"/>
      <c r="EA103" s="1079"/>
      <c r="EB103" s="1079"/>
      <c r="EC103" s="1079"/>
      <c r="ED103" s="1079"/>
      <c r="EE103" s="1079"/>
      <c r="EF103" s="1079"/>
      <c r="EG103" s="1079"/>
      <c r="EH103" s="1079"/>
      <c r="EI103" s="1079"/>
      <c r="EJ103" s="1079"/>
      <c r="EK103" s="1079"/>
      <c r="EL103" s="1079"/>
      <c r="EM103" s="1079"/>
    </row>
    <row r="104" spans="1:143" ht="42" customHeight="1">
      <c r="A104" s="178"/>
      <c r="B104" s="1098" t="s">
        <v>639</v>
      </c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1098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098"/>
      <c r="AO104" s="1098"/>
      <c r="AP104" s="1098"/>
      <c r="AQ104" s="1098"/>
      <c r="AR104" s="1098"/>
      <c r="AS104" s="1098"/>
      <c r="AT104" s="1098"/>
      <c r="AU104" s="1098"/>
      <c r="AV104" s="178"/>
      <c r="AW104" s="178"/>
      <c r="AX104" s="1098" t="s">
        <v>639</v>
      </c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  <c r="BX104" s="1098"/>
      <c r="BY104" s="1098"/>
      <c r="BZ104" s="1098"/>
      <c r="CA104" s="1098"/>
      <c r="CB104" s="1098"/>
      <c r="CC104" s="1098"/>
      <c r="CD104" s="1098"/>
      <c r="CE104" s="1098"/>
      <c r="CF104" s="1098"/>
      <c r="CG104" s="1098"/>
      <c r="CH104" s="1098"/>
      <c r="CI104" s="1098"/>
      <c r="CJ104" s="1098"/>
      <c r="CK104" s="1098"/>
      <c r="CL104" s="1098"/>
      <c r="CM104" s="1098"/>
      <c r="CN104" s="1098"/>
      <c r="CO104" s="1098"/>
      <c r="CP104" s="1098"/>
      <c r="CQ104" s="1098"/>
      <c r="CS104" s="178"/>
      <c r="CT104" s="1098" t="s">
        <v>639</v>
      </c>
      <c r="CU104" s="1098"/>
      <c r="CV104" s="1098"/>
      <c r="CW104" s="1098"/>
      <c r="CX104" s="1098"/>
      <c r="CY104" s="1098"/>
      <c r="CZ104" s="1098"/>
      <c r="DA104" s="1098"/>
      <c r="DB104" s="1098"/>
      <c r="DC104" s="1098"/>
      <c r="DD104" s="1098"/>
      <c r="DE104" s="1098"/>
      <c r="DF104" s="1098"/>
      <c r="DG104" s="1098"/>
      <c r="DH104" s="1098"/>
      <c r="DI104" s="1098"/>
      <c r="DJ104" s="1098"/>
      <c r="DK104" s="1098"/>
      <c r="DL104" s="1098"/>
      <c r="DM104" s="1098"/>
      <c r="DN104" s="1098"/>
      <c r="DO104" s="1098"/>
      <c r="DP104" s="1098"/>
      <c r="DQ104" s="1098"/>
      <c r="DR104" s="1098"/>
      <c r="DS104" s="1098"/>
      <c r="DT104" s="1098"/>
      <c r="DU104" s="1098"/>
      <c r="DV104" s="1098"/>
      <c r="DW104" s="1098"/>
      <c r="DX104" s="1098"/>
      <c r="DY104" s="1098"/>
      <c r="DZ104" s="1098"/>
      <c r="EA104" s="1098"/>
      <c r="EB104" s="1098"/>
      <c r="EC104" s="1098"/>
      <c r="ED104" s="1098"/>
      <c r="EE104" s="1098"/>
      <c r="EF104" s="1098"/>
      <c r="EG104" s="1098"/>
      <c r="EH104" s="1098"/>
      <c r="EI104" s="1098"/>
      <c r="EJ104" s="1098"/>
      <c r="EK104" s="1098"/>
      <c r="EL104" s="1098"/>
      <c r="EM104" s="1098"/>
    </row>
    <row r="105" spans="1:143" ht="18.75" customHeight="1">
      <c r="A105" s="178"/>
      <c r="B105" s="190"/>
      <c r="C105" s="190"/>
      <c r="D105" s="1136" t="s">
        <v>640</v>
      </c>
      <c r="E105" s="1136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6" t="s">
        <v>640</v>
      </c>
      <c r="BA105" s="1136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6" t="s">
        <v>640</v>
      </c>
      <c r="CW105" s="1136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135" t="s">
        <v>642</v>
      </c>
      <c r="E106" s="1135"/>
      <c r="F106" s="1135"/>
      <c r="G106" s="1079" t="s">
        <v>643</v>
      </c>
      <c r="H106" s="1079"/>
      <c r="I106" s="1079"/>
      <c r="J106" s="1079"/>
      <c r="K106" s="1079"/>
      <c r="L106" s="1079"/>
      <c r="M106" s="1079"/>
      <c r="N106" s="1079"/>
      <c r="O106" s="1079"/>
      <c r="P106" s="1079"/>
      <c r="Q106" s="1079"/>
      <c r="R106" s="1079"/>
      <c r="S106" s="1079"/>
      <c r="T106" s="1079"/>
      <c r="U106" s="1079"/>
      <c r="V106" s="1079"/>
      <c r="W106" s="1079"/>
      <c r="X106" s="1079"/>
      <c r="Y106" s="1079"/>
      <c r="Z106" s="1079"/>
      <c r="AA106" s="1079"/>
      <c r="AB106" s="1079"/>
      <c r="AC106" s="1079"/>
      <c r="AD106" s="1079"/>
      <c r="AE106" s="1079"/>
      <c r="AF106" s="1079"/>
      <c r="AG106" s="1079"/>
      <c r="AH106" s="1079"/>
      <c r="AI106" s="1079"/>
      <c r="AJ106" s="1079"/>
      <c r="AK106" s="1079"/>
      <c r="AL106" s="1079"/>
      <c r="AM106" s="1079"/>
      <c r="AN106" s="1079"/>
      <c r="AO106" s="1079"/>
      <c r="AP106" s="1079"/>
      <c r="AQ106" s="1079"/>
      <c r="AR106" s="1079"/>
      <c r="AS106" s="1079"/>
      <c r="AT106" s="1079"/>
      <c r="AU106" s="1079"/>
      <c r="AV106" s="178"/>
      <c r="AW106" s="178"/>
      <c r="AX106" s="190"/>
      <c r="AY106" s="190"/>
      <c r="AZ106" s="1135" t="s">
        <v>642</v>
      </c>
      <c r="BA106" s="1135"/>
      <c r="BB106" s="1135"/>
      <c r="BC106" s="1079" t="s">
        <v>643</v>
      </c>
      <c r="BD106" s="1079"/>
      <c r="BE106" s="1079"/>
      <c r="BF106" s="1079"/>
      <c r="BG106" s="1079"/>
      <c r="BH106" s="1079"/>
      <c r="BI106" s="1079"/>
      <c r="BJ106" s="1079"/>
      <c r="BK106" s="1079"/>
      <c r="BL106" s="1079"/>
      <c r="BM106" s="1079"/>
      <c r="BN106" s="1079"/>
      <c r="BO106" s="1079"/>
      <c r="BP106" s="1079"/>
      <c r="BQ106" s="1079"/>
      <c r="BR106" s="1079"/>
      <c r="BS106" s="1079"/>
      <c r="BT106" s="1079"/>
      <c r="BU106" s="1079"/>
      <c r="BV106" s="1079"/>
      <c r="BW106" s="1079"/>
      <c r="BX106" s="1079"/>
      <c r="BY106" s="1079"/>
      <c r="BZ106" s="1079"/>
      <c r="CA106" s="1079"/>
      <c r="CB106" s="1079"/>
      <c r="CC106" s="1079"/>
      <c r="CD106" s="1079"/>
      <c r="CE106" s="1079"/>
      <c r="CF106" s="1079"/>
      <c r="CG106" s="1079"/>
      <c r="CH106" s="1079"/>
      <c r="CI106" s="1079"/>
      <c r="CJ106" s="1079"/>
      <c r="CK106" s="1079"/>
      <c r="CL106" s="1079"/>
      <c r="CM106" s="1079"/>
      <c r="CN106" s="1079"/>
      <c r="CO106" s="1079"/>
      <c r="CP106" s="1079"/>
      <c r="CQ106" s="1079"/>
      <c r="CS106" s="178"/>
      <c r="CT106" s="190"/>
      <c r="CU106" s="190"/>
      <c r="CV106" s="1135" t="s">
        <v>642</v>
      </c>
      <c r="CW106" s="1135"/>
      <c r="CX106" s="1135"/>
      <c r="CY106" s="1079" t="s">
        <v>643</v>
      </c>
      <c r="CZ106" s="1079"/>
      <c r="DA106" s="1079"/>
      <c r="DB106" s="1079"/>
      <c r="DC106" s="1079"/>
      <c r="DD106" s="1079"/>
      <c r="DE106" s="1079"/>
      <c r="DF106" s="1079"/>
      <c r="DG106" s="1079"/>
      <c r="DH106" s="1079"/>
      <c r="DI106" s="1079"/>
      <c r="DJ106" s="1079"/>
      <c r="DK106" s="1079"/>
      <c r="DL106" s="1079"/>
      <c r="DM106" s="1079"/>
      <c r="DN106" s="1079"/>
      <c r="DO106" s="1079"/>
      <c r="DP106" s="1079"/>
      <c r="DQ106" s="1079"/>
      <c r="DR106" s="1079"/>
      <c r="DS106" s="1079"/>
      <c r="DT106" s="1079"/>
      <c r="DU106" s="1079"/>
      <c r="DV106" s="1079"/>
      <c r="DW106" s="1079"/>
      <c r="DX106" s="1079"/>
      <c r="DY106" s="1079"/>
      <c r="DZ106" s="1079"/>
      <c r="EA106" s="1079"/>
      <c r="EB106" s="1079"/>
      <c r="EC106" s="1079"/>
      <c r="ED106" s="1079"/>
      <c r="EE106" s="1079"/>
      <c r="EF106" s="1079"/>
      <c r="EG106" s="1079"/>
      <c r="EH106" s="1079"/>
      <c r="EI106" s="1079"/>
      <c r="EJ106" s="1079"/>
      <c r="EK106" s="1079"/>
      <c r="EL106" s="1079"/>
      <c r="EM106" s="1079"/>
    </row>
    <row r="107" spans="1:143" ht="37.5" customHeight="1">
      <c r="A107" s="178"/>
      <c r="B107" s="1098" t="s">
        <v>644</v>
      </c>
      <c r="C107" s="1098"/>
      <c r="D107" s="1098"/>
      <c r="E107" s="1098"/>
      <c r="F107" s="1098"/>
      <c r="G107" s="1098"/>
      <c r="H107" s="1098"/>
      <c r="I107" s="1098"/>
      <c r="J107" s="1098"/>
      <c r="K107" s="1098"/>
      <c r="L107" s="1098"/>
      <c r="M107" s="1098"/>
      <c r="N107" s="1098"/>
      <c r="O107" s="1098"/>
      <c r="P107" s="1098"/>
      <c r="Q107" s="1098"/>
      <c r="R107" s="1098"/>
      <c r="S107" s="1098"/>
      <c r="T107" s="1098"/>
      <c r="U107" s="1098"/>
      <c r="V107" s="1098"/>
      <c r="W107" s="1098"/>
      <c r="X107" s="1098"/>
      <c r="Y107" s="1098"/>
      <c r="Z107" s="1098"/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098"/>
      <c r="AO107" s="1098"/>
      <c r="AP107" s="1098"/>
      <c r="AQ107" s="1098"/>
      <c r="AR107" s="1098"/>
      <c r="AS107" s="1098"/>
      <c r="AT107" s="1098"/>
      <c r="AU107" s="1098"/>
      <c r="AV107" s="178"/>
      <c r="AW107" s="178"/>
      <c r="AX107" s="1098" t="s">
        <v>644</v>
      </c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  <c r="BX107" s="1098"/>
      <c r="BY107" s="1098"/>
      <c r="BZ107" s="1098"/>
      <c r="CA107" s="1098"/>
      <c r="CB107" s="1098"/>
      <c r="CC107" s="1098"/>
      <c r="CD107" s="1098"/>
      <c r="CE107" s="1098"/>
      <c r="CF107" s="1098"/>
      <c r="CG107" s="1098"/>
      <c r="CH107" s="1098"/>
      <c r="CI107" s="1098"/>
      <c r="CJ107" s="1098"/>
      <c r="CK107" s="1098"/>
      <c r="CL107" s="1098"/>
      <c r="CM107" s="1098"/>
      <c r="CN107" s="1098"/>
      <c r="CO107" s="1098"/>
      <c r="CP107" s="1098"/>
      <c r="CQ107" s="1098"/>
      <c r="CS107" s="178"/>
      <c r="CT107" s="1098" t="s">
        <v>644</v>
      </c>
      <c r="CU107" s="1098"/>
      <c r="CV107" s="1098"/>
      <c r="CW107" s="1098"/>
      <c r="CX107" s="1098"/>
      <c r="CY107" s="1098"/>
      <c r="CZ107" s="1098"/>
      <c r="DA107" s="1098"/>
      <c r="DB107" s="1098"/>
      <c r="DC107" s="1098"/>
      <c r="DD107" s="1098"/>
      <c r="DE107" s="1098"/>
      <c r="DF107" s="1098"/>
      <c r="DG107" s="1098"/>
      <c r="DH107" s="1098"/>
      <c r="DI107" s="1098"/>
      <c r="DJ107" s="1098"/>
      <c r="DK107" s="1098"/>
      <c r="DL107" s="1098"/>
      <c r="DM107" s="1098"/>
      <c r="DN107" s="1098"/>
      <c r="DO107" s="1098"/>
      <c r="DP107" s="1098"/>
      <c r="DQ107" s="1098"/>
      <c r="DR107" s="1098"/>
      <c r="DS107" s="1098"/>
      <c r="DT107" s="1098"/>
      <c r="DU107" s="1098"/>
      <c r="DV107" s="1098"/>
      <c r="DW107" s="1098"/>
      <c r="DX107" s="1098"/>
      <c r="DY107" s="1098"/>
      <c r="DZ107" s="1098"/>
      <c r="EA107" s="1098"/>
      <c r="EB107" s="1098"/>
      <c r="EC107" s="1098"/>
      <c r="ED107" s="1098"/>
      <c r="EE107" s="1098"/>
      <c r="EF107" s="1098"/>
      <c r="EG107" s="1098"/>
      <c r="EH107" s="1098"/>
      <c r="EI107" s="1098"/>
      <c r="EJ107" s="1098"/>
      <c r="EK107" s="1098"/>
      <c r="EL107" s="1098"/>
      <c r="EM107" s="1098"/>
    </row>
    <row r="108" spans="1:143" ht="18.75" customHeight="1">
      <c r="A108" s="178"/>
      <c r="B108" s="190"/>
      <c r="C108" s="190"/>
      <c r="D108" s="1135" t="s">
        <v>645</v>
      </c>
      <c r="E108" s="1135"/>
      <c r="F108" s="1135"/>
      <c r="G108" s="1079" t="s">
        <v>646</v>
      </c>
      <c r="H108" s="1079"/>
      <c r="I108" s="1079"/>
      <c r="J108" s="1079"/>
      <c r="K108" s="1079"/>
      <c r="L108" s="1079"/>
      <c r="M108" s="1079"/>
      <c r="N108" s="1079"/>
      <c r="O108" s="1079"/>
      <c r="P108" s="1079"/>
      <c r="Q108" s="1079"/>
      <c r="R108" s="1079"/>
      <c r="S108" s="1079"/>
      <c r="T108" s="1079"/>
      <c r="U108" s="1079"/>
      <c r="V108" s="1079"/>
      <c r="W108" s="1079"/>
      <c r="X108" s="1079"/>
      <c r="Y108" s="1079"/>
      <c r="Z108" s="1079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079"/>
      <c r="AO108" s="1079"/>
      <c r="AP108" s="1079"/>
      <c r="AQ108" s="1079"/>
      <c r="AR108" s="1079"/>
      <c r="AS108" s="1079"/>
      <c r="AT108" s="1079"/>
      <c r="AU108" s="1079"/>
      <c r="AV108" s="178"/>
      <c r="AW108" s="178"/>
      <c r="AX108" s="190"/>
      <c r="AY108" s="190"/>
      <c r="AZ108" s="1135" t="s">
        <v>645</v>
      </c>
      <c r="BA108" s="1135"/>
      <c r="BB108" s="1135"/>
      <c r="BC108" s="1079" t="s">
        <v>646</v>
      </c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  <c r="BX108" s="1079"/>
      <c r="BY108" s="1079"/>
      <c r="BZ108" s="1079"/>
      <c r="CA108" s="1079"/>
      <c r="CB108" s="1079"/>
      <c r="CC108" s="1079"/>
      <c r="CD108" s="1079"/>
      <c r="CE108" s="1079"/>
      <c r="CF108" s="1079"/>
      <c r="CG108" s="1079"/>
      <c r="CH108" s="1079"/>
      <c r="CI108" s="1079"/>
      <c r="CJ108" s="1079"/>
      <c r="CK108" s="1079"/>
      <c r="CL108" s="1079"/>
      <c r="CM108" s="1079"/>
      <c r="CN108" s="1079"/>
      <c r="CO108" s="1079"/>
      <c r="CP108" s="1079"/>
      <c r="CQ108" s="1079"/>
      <c r="CS108" s="178"/>
      <c r="CT108" s="190"/>
      <c r="CU108" s="190"/>
      <c r="CV108" s="1135" t="s">
        <v>645</v>
      </c>
      <c r="CW108" s="1135"/>
      <c r="CX108" s="1135"/>
      <c r="CY108" s="1079" t="s">
        <v>646</v>
      </c>
      <c r="CZ108" s="1079"/>
      <c r="DA108" s="1079"/>
      <c r="DB108" s="1079"/>
      <c r="DC108" s="1079"/>
      <c r="DD108" s="1079"/>
      <c r="DE108" s="1079"/>
      <c r="DF108" s="1079"/>
      <c r="DG108" s="1079"/>
      <c r="DH108" s="1079"/>
      <c r="DI108" s="1079"/>
      <c r="DJ108" s="1079"/>
      <c r="DK108" s="1079"/>
      <c r="DL108" s="1079"/>
      <c r="DM108" s="1079"/>
      <c r="DN108" s="1079"/>
      <c r="DO108" s="1079"/>
      <c r="DP108" s="1079"/>
      <c r="DQ108" s="1079"/>
      <c r="DR108" s="1079"/>
      <c r="DS108" s="1079"/>
      <c r="DT108" s="1079"/>
      <c r="DU108" s="1079"/>
      <c r="DV108" s="1079"/>
      <c r="DW108" s="1079"/>
      <c r="DX108" s="1079"/>
      <c r="DY108" s="1079"/>
      <c r="DZ108" s="1079"/>
      <c r="EA108" s="1079"/>
      <c r="EB108" s="1079"/>
      <c r="EC108" s="1079"/>
      <c r="ED108" s="1079"/>
      <c r="EE108" s="1079"/>
      <c r="EF108" s="1079"/>
      <c r="EG108" s="1079"/>
      <c r="EH108" s="1079"/>
      <c r="EI108" s="1079"/>
      <c r="EJ108" s="1079"/>
      <c r="EK108" s="1079"/>
      <c r="EL108" s="1079"/>
      <c r="EM108" s="1079"/>
    </row>
    <row r="109" spans="1:143" ht="118.5" customHeight="1">
      <c r="A109" s="178"/>
      <c r="B109" s="1129" t="s">
        <v>647</v>
      </c>
      <c r="C109" s="1129"/>
      <c r="D109" s="1129"/>
      <c r="E109" s="1129"/>
      <c r="F109" s="1129"/>
      <c r="G109" s="1129"/>
      <c r="H109" s="1129"/>
      <c r="I109" s="1129"/>
      <c r="J109" s="1129"/>
      <c r="K109" s="1129"/>
      <c r="L109" s="1129"/>
      <c r="M109" s="1129"/>
      <c r="N109" s="1129"/>
      <c r="O109" s="1129"/>
      <c r="P109" s="1129"/>
      <c r="Q109" s="1129"/>
      <c r="R109" s="1129"/>
      <c r="S109" s="1129"/>
      <c r="T109" s="1129"/>
      <c r="U109" s="1129"/>
      <c r="V109" s="1129"/>
      <c r="W109" s="1129"/>
      <c r="X109" s="1129"/>
      <c r="Y109" s="1129"/>
      <c r="Z109" s="1129"/>
      <c r="AA109" s="1129"/>
      <c r="AB109" s="1129"/>
      <c r="AC109" s="1129"/>
      <c r="AD109" s="1129"/>
      <c r="AE109" s="1129"/>
      <c r="AF109" s="1129"/>
      <c r="AG109" s="1129"/>
      <c r="AH109" s="1129"/>
      <c r="AI109" s="1129"/>
      <c r="AJ109" s="1129"/>
      <c r="AK109" s="1129"/>
      <c r="AL109" s="1129"/>
      <c r="AM109" s="1129"/>
      <c r="AN109" s="1129"/>
      <c r="AO109" s="1129"/>
      <c r="AP109" s="1129"/>
      <c r="AQ109" s="1129"/>
      <c r="AR109" s="1129"/>
      <c r="AS109" s="1129"/>
      <c r="AT109" s="1129"/>
      <c r="AU109" s="1129"/>
      <c r="AV109" s="485"/>
      <c r="AW109" s="485"/>
      <c r="AX109" s="1129" t="s">
        <v>647</v>
      </c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I109" s="1129"/>
      <c r="BJ109" s="1129"/>
      <c r="BK109" s="1129"/>
      <c r="BL109" s="1129"/>
      <c r="BM109" s="1129"/>
      <c r="BN109" s="1129"/>
      <c r="BO109" s="1129"/>
      <c r="BP109" s="1129"/>
      <c r="BQ109" s="1129"/>
      <c r="BR109" s="1129"/>
      <c r="BS109" s="1129"/>
      <c r="BT109" s="1129"/>
      <c r="BU109" s="1129"/>
      <c r="BV109" s="1129"/>
      <c r="BW109" s="1129"/>
      <c r="BX109" s="1129"/>
      <c r="BY109" s="1129"/>
      <c r="BZ109" s="1129"/>
      <c r="CA109" s="1129"/>
      <c r="CB109" s="1129"/>
      <c r="CC109" s="1129"/>
      <c r="CD109" s="1129"/>
      <c r="CE109" s="1129"/>
      <c r="CF109" s="1129"/>
      <c r="CG109" s="1129"/>
      <c r="CH109" s="1129"/>
      <c r="CI109" s="1129"/>
      <c r="CJ109" s="1129"/>
      <c r="CK109" s="1129"/>
      <c r="CL109" s="1129"/>
      <c r="CM109" s="1129"/>
      <c r="CN109" s="1129"/>
      <c r="CO109" s="1129"/>
      <c r="CP109" s="1129"/>
      <c r="CQ109" s="1129"/>
      <c r="CR109" s="486"/>
      <c r="CS109" s="485"/>
      <c r="CT109" s="1129" t="s">
        <v>647</v>
      </c>
      <c r="CU109" s="1129"/>
      <c r="CV109" s="1129"/>
      <c r="CW109" s="1129"/>
      <c r="CX109" s="1129"/>
      <c r="CY109" s="1129"/>
      <c r="CZ109" s="1129"/>
      <c r="DA109" s="1129"/>
      <c r="DB109" s="1129"/>
      <c r="DC109" s="1129"/>
      <c r="DD109" s="1129"/>
      <c r="DE109" s="1129"/>
      <c r="DF109" s="1129"/>
      <c r="DG109" s="1129"/>
      <c r="DH109" s="1129"/>
      <c r="DI109" s="1129"/>
      <c r="DJ109" s="1129"/>
      <c r="DK109" s="1129"/>
      <c r="DL109" s="1129"/>
      <c r="DM109" s="1129"/>
      <c r="DN109" s="1129"/>
      <c r="DO109" s="1129"/>
      <c r="DP109" s="1129"/>
      <c r="DQ109" s="1129"/>
      <c r="DR109" s="1129"/>
      <c r="DS109" s="1129"/>
      <c r="DT109" s="1129"/>
      <c r="DU109" s="1129"/>
      <c r="DV109" s="1129"/>
      <c r="DW109" s="1129"/>
      <c r="DX109" s="1129"/>
      <c r="DY109" s="1129"/>
      <c r="DZ109" s="1129"/>
      <c r="EA109" s="1129"/>
      <c r="EB109" s="1129"/>
      <c r="EC109" s="1129"/>
      <c r="ED109" s="1129"/>
      <c r="EE109" s="1129"/>
      <c r="EF109" s="1129"/>
      <c r="EG109" s="1129"/>
      <c r="EH109" s="1129"/>
      <c r="EI109" s="1129"/>
      <c r="EJ109" s="1129"/>
      <c r="EK109" s="1129"/>
      <c r="EL109" s="1129"/>
      <c r="EM109" s="1129"/>
    </row>
    <row r="110" spans="1:143" ht="18.75" customHeight="1">
      <c r="A110" s="178"/>
      <c r="B110" s="1134" t="s">
        <v>648</v>
      </c>
      <c r="C110" s="1134"/>
      <c r="D110" s="1134"/>
      <c r="E110" s="1134"/>
      <c r="F110" s="1134"/>
      <c r="G110" s="1134"/>
      <c r="H110" s="1134"/>
      <c r="I110" s="1134"/>
      <c r="J110" s="1134"/>
      <c r="K110" s="1134"/>
      <c r="L110" s="1134"/>
      <c r="M110" s="1134"/>
      <c r="N110" s="1134"/>
      <c r="O110" s="1134"/>
      <c r="P110" s="1134"/>
      <c r="Q110" s="1134"/>
      <c r="R110" s="1134"/>
      <c r="S110" s="1134"/>
      <c r="T110" s="1134"/>
      <c r="U110" s="1134"/>
      <c r="V110" s="1134"/>
      <c r="W110" s="1134"/>
      <c r="X110" s="1134"/>
      <c r="Y110" s="1134"/>
      <c r="Z110" s="1134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134"/>
      <c r="AO110" s="1134"/>
      <c r="AP110" s="1134"/>
      <c r="AQ110" s="1134"/>
      <c r="AR110" s="1134"/>
      <c r="AS110" s="1134"/>
      <c r="AT110" s="1134"/>
      <c r="AU110" s="1134"/>
      <c r="AV110" s="178"/>
      <c r="AW110" s="178"/>
      <c r="AX110" s="1134" t="s">
        <v>648</v>
      </c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  <c r="BX110" s="1134"/>
      <c r="BY110" s="1134"/>
      <c r="BZ110" s="1134"/>
      <c r="CA110" s="1134"/>
      <c r="CB110" s="1134"/>
      <c r="CC110" s="1134"/>
      <c r="CD110" s="1134"/>
      <c r="CE110" s="1134"/>
      <c r="CF110" s="1134"/>
      <c r="CG110" s="1134"/>
      <c r="CH110" s="1134"/>
      <c r="CI110" s="1134"/>
      <c r="CJ110" s="1134"/>
      <c r="CK110" s="1134"/>
      <c r="CL110" s="1134"/>
      <c r="CM110" s="1134"/>
      <c r="CN110" s="1134"/>
      <c r="CO110" s="1134"/>
      <c r="CP110" s="1134"/>
      <c r="CQ110" s="1134"/>
      <c r="CS110" s="178"/>
      <c r="CT110" s="1134" t="s">
        <v>648</v>
      </c>
      <c r="CU110" s="1134"/>
      <c r="CV110" s="1134"/>
      <c r="CW110" s="1134"/>
      <c r="CX110" s="1134"/>
      <c r="CY110" s="1134"/>
      <c r="CZ110" s="1134"/>
      <c r="DA110" s="1134"/>
      <c r="DB110" s="1134"/>
      <c r="DC110" s="1134"/>
      <c r="DD110" s="1134"/>
      <c r="DE110" s="1134"/>
      <c r="DF110" s="1134"/>
      <c r="DG110" s="1134"/>
      <c r="DH110" s="1134"/>
      <c r="DI110" s="1134"/>
      <c r="DJ110" s="1134"/>
      <c r="DK110" s="1134"/>
      <c r="DL110" s="1134"/>
      <c r="DM110" s="1134"/>
      <c r="DN110" s="1134"/>
      <c r="DO110" s="1134"/>
      <c r="DP110" s="1134"/>
      <c r="DQ110" s="1134"/>
      <c r="DR110" s="1134"/>
      <c r="DS110" s="1134"/>
      <c r="DT110" s="1134"/>
      <c r="DU110" s="1134"/>
      <c r="DV110" s="1134"/>
      <c r="DW110" s="1134"/>
      <c r="DX110" s="1134"/>
      <c r="DY110" s="1134"/>
      <c r="DZ110" s="1134"/>
      <c r="EA110" s="1134"/>
      <c r="EB110" s="1134"/>
      <c r="EC110" s="1134"/>
      <c r="ED110" s="1134"/>
      <c r="EE110" s="1134"/>
      <c r="EF110" s="1134"/>
      <c r="EG110" s="1134"/>
      <c r="EH110" s="1134"/>
      <c r="EI110" s="1134"/>
      <c r="EJ110" s="1134"/>
      <c r="EK110" s="1134"/>
      <c r="EL110" s="1134"/>
      <c r="EM110" s="1134"/>
    </row>
    <row r="111" spans="1:143" ht="18.75" customHeight="1">
      <c r="A111" s="178"/>
      <c r="B111" s="190"/>
      <c r="C111" s="190"/>
      <c r="D111" s="1094" t="s">
        <v>273</v>
      </c>
      <c r="E111" s="1094"/>
      <c r="F111" s="1079" t="s">
        <v>649</v>
      </c>
      <c r="G111" s="1079"/>
      <c r="H111" s="1079"/>
      <c r="I111" s="1079"/>
      <c r="J111" s="1079"/>
      <c r="K111" s="1079"/>
      <c r="L111" s="1079"/>
      <c r="M111" s="1079"/>
      <c r="N111" s="1079"/>
      <c r="O111" s="1079"/>
      <c r="P111" s="1079"/>
      <c r="Q111" s="1079"/>
      <c r="R111" s="1079"/>
      <c r="S111" s="1079"/>
      <c r="T111" s="1079"/>
      <c r="U111" s="1079"/>
      <c r="V111" s="1079"/>
      <c r="W111" s="1079"/>
      <c r="X111" s="1079"/>
      <c r="Y111" s="1079"/>
      <c r="Z111" s="1079"/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78"/>
      <c r="AW111" s="178"/>
      <c r="AX111" s="190"/>
      <c r="AY111" s="190"/>
      <c r="AZ111" s="1094" t="s">
        <v>273</v>
      </c>
      <c r="BA111" s="1094"/>
      <c r="BB111" s="1079" t="s">
        <v>649</v>
      </c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  <c r="BX111" s="1079"/>
      <c r="BY111" s="1079"/>
      <c r="BZ111" s="1079"/>
      <c r="CA111" s="1079"/>
      <c r="CB111" s="1079"/>
      <c r="CC111" s="1079"/>
      <c r="CD111" s="1079"/>
      <c r="CE111" s="1079"/>
      <c r="CF111" s="1079"/>
      <c r="CG111" s="1079"/>
      <c r="CH111" s="1079"/>
      <c r="CI111" s="1079"/>
      <c r="CJ111" s="1079"/>
      <c r="CK111" s="1079"/>
      <c r="CL111" s="1079"/>
      <c r="CM111" s="1079"/>
      <c r="CN111" s="1079"/>
      <c r="CO111" s="1079"/>
      <c r="CP111" s="1079"/>
      <c r="CQ111" s="1079"/>
      <c r="CS111" s="178"/>
      <c r="CT111" s="190"/>
      <c r="CU111" s="190"/>
      <c r="CV111" s="1094" t="s">
        <v>273</v>
      </c>
      <c r="CW111" s="1094"/>
      <c r="CX111" s="1079" t="s">
        <v>649</v>
      </c>
      <c r="CY111" s="1079"/>
      <c r="CZ111" s="1079"/>
      <c r="DA111" s="1079"/>
      <c r="DB111" s="1079"/>
      <c r="DC111" s="1079"/>
      <c r="DD111" s="1079"/>
      <c r="DE111" s="1079"/>
      <c r="DF111" s="1079"/>
      <c r="DG111" s="1079"/>
      <c r="DH111" s="1079"/>
      <c r="DI111" s="1079"/>
      <c r="DJ111" s="1079"/>
      <c r="DK111" s="1079"/>
      <c r="DL111" s="1079"/>
      <c r="DM111" s="1079"/>
      <c r="DN111" s="1079"/>
      <c r="DO111" s="1079"/>
      <c r="DP111" s="1079"/>
      <c r="DQ111" s="1079"/>
      <c r="DR111" s="1079"/>
      <c r="DS111" s="1079"/>
      <c r="DT111" s="1079"/>
      <c r="DU111" s="1079"/>
      <c r="DV111" s="1079"/>
      <c r="DW111" s="1079"/>
      <c r="DX111" s="1079"/>
      <c r="DY111" s="1079"/>
      <c r="DZ111" s="1079"/>
      <c r="EA111" s="1079"/>
      <c r="EB111" s="1079"/>
      <c r="EC111" s="1079"/>
      <c r="ED111" s="1079"/>
      <c r="EE111" s="1079"/>
      <c r="EF111" s="1079"/>
      <c r="EG111" s="1079"/>
      <c r="EH111" s="1079"/>
      <c r="EI111" s="1079"/>
      <c r="EJ111" s="1079"/>
      <c r="EK111" s="1079"/>
      <c r="EL111" s="1079"/>
      <c r="EM111" s="1079"/>
    </row>
    <row r="112" spans="1:143" ht="38.25" customHeight="1">
      <c r="A112" s="178"/>
      <c r="B112" s="1098" t="s">
        <v>650</v>
      </c>
      <c r="C112" s="1098"/>
      <c r="D112" s="1098"/>
      <c r="E112" s="1098"/>
      <c r="F112" s="1098"/>
      <c r="G112" s="1098"/>
      <c r="H112" s="1098"/>
      <c r="I112" s="1098"/>
      <c r="J112" s="1098"/>
      <c r="K112" s="1098"/>
      <c r="L112" s="1098"/>
      <c r="M112" s="1098"/>
      <c r="N112" s="1098"/>
      <c r="O112" s="1098"/>
      <c r="P112" s="1098"/>
      <c r="Q112" s="1098"/>
      <c r="R112" s="1098"/>
      <c r="S112" s="1098"/>
      <c r="T112" s="1098"/>
      <c r="U112" s="1098"/>
      <c r="V112" s="1098"/>
      <c r="W112" s="1098"/>
      <c r="X112" s="1098"/>
      <c r="Y112" s="1098"/>
      <c r="Z112" s="1098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78"/>
      <c r="AW112" s="178"/>
      <c r="AX112" s="1098" t="s">
        <v>650</v>
      </c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  <c r="BX112" s="1098"/>
      <c r="BY112" s="1098"/>
      <c r="BZ112" s="1098"/>
      <c r="CA112" s="1098"/>
      <c r="CB112" s="1098"/>
      <c r="CC112" s="1098"/>
      <c r="CD112" s="1098"/>
      <c r="CE112" s="1098"/>
      <c r="CF112" s="1098"/>
      <c r="CG112" s="1098"/>
      <c r="CH112" s="1098"/>
      <c r="CI112" s="1098"/>
      <c r="CJ112" s="1098"/>
      <c r="CK112" s="1098"/>
      <c r="CL112" s="1098"/>
      <c r="CM112" s="1098"/>
      <c r="CN112" s="1098"/>
      <c r="CO112" s="1098"/>
      <c r="CP112" s="1098"/>
      <c r="CQ112" s="1098"/>
      <c r="CS112" s="178"/>
      <c r="CT112" s="1098" t="s">
        <v>650</v>
      </c>
      <c r="CU112" s="1098"/>
      <c r="CV112" s="1098"/>
      <c r="CW112" s="1098"/>
      <c r="CX112" s="1098"/>
      <c r="CY112" s="1098"/>
      <c r="CZ112" s="1098"/>
      <c r="DA112" s="1098"/>
      <c r="DB112" s="1098"/>
      <c r="DC112" s="1098"/>
      <c r="DD112" s="1098"/>
      <c r="DE112" s="1098"/>
      <c r="DF112" s="1098"/>
      <c r="DG112" s="1098"/>
      <c r="DH112" s="1098"/>
      <c r="DI112" s="1098"/>
      <c r="DJ112" s="1098"/>
      <c r="DK112" s="1098"/>
      <c r="DL112" s="1098"/>
      <c r="DM112" s="1098"/>
      <c r="DN112" s="1098"/>
      <c r="DO112" s="1098"/>
      <c r="DP112" s="1098"/>
      <c r="DQ112" s="1098"/>
      <c r="DR112" s="1098"/>
      <c r="DS112" s="1098"/>
      <c r="DT112" s="1098"/>
      <c r="DU112" s="1098"/>
      <c r="DV112" s="1098"/>
      <c r="DW112" s="1098"/>
      <c r="DX112" s="1098"/>
      <c r="DY112" s="1098"/>
      <c r="DZ112" s="1098"/>
      <c r="EA112" s="1098"/>
      <c r="EB112" s="1098"/>
      <c r="EC112" s="1098"/>
      <c r="ED112" s="1098"/>
      <c r="EE112" s="1098"/>
      <c r="EF112" s="1098"/>
      <c r="EG112" s="1098"/>
      <c r="EH112" s="1098"/>
      <c r="EI112" s="1098"/>
      <c r="EJ112" s="1098"/>
      <c r="EK112" s="1098"/>
      <c r="EL112" s="1098"/>
      <c r="EM112" s="1098"/>
    </row>
    <row r="113" spans="1:143" ht="18.75" customHeight="1">
      <c r="A113" s="178"/>
      <c r="B113" s="190"/>
      <c r="C113" s="190"/>
      <c r="D113" s="1094" t="s">
        <v>274</v>
      </c>
      <c r="E113" s="1094"/>
      <c r="F113" s="1079" t="s">
        <v>651</v>
      </c>
      <c r="G113" s="1079"/>
      <c r="H113" s="1079"/>
      <c r="I113" s="1079"/>
      <c r="J113" s="1079"/>
      <c r="K113" s="1079"/>
      <c r="L113" s="1079"/>
      <c r="M113" s="1079"/>
      <c r="N113" s="1079"/>
      <c r="O113" s="1079"/>
      <c r="P113" s="1079"/>
      <c r="Q113" s="1079"/>
      <c r="R113" s="1079"/>
      <c r="S113" s="1079"/>
      <c r="T113" s="1079"/>
      <c r="U113" s="1079"/>
      <c r="V113" s="1079"/>
      <c r="W113" s="1079"/>
      <c r="X113" s="1079"/>
      <c r="Y113" s="1079"/>
      <c r="Z113" s="1079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78"/>
      <c r="AW113" s="178"/>
      <c r="AX113" s="190"/>
      <c r="AY113" s="190"/>
      <c r="AZ113" s="1094" t="s">
        <v>274</v>
      </c>
      <c r="BA113" s="1094"/>
      <c r="BB113" s="1079" t="s">
        <v>651</v>
      </c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  <c r="BX113" s="1079"/>
      <c r="BY113" s="1079"/>
      <c r="BZ113" s="1079"/>
      <c r="CA113" s="1079"/>
      <c r="CB113" s="1079"/>
      <c r="CC113" s="1079"/>
      <c r="CD113" s="1079"/>
      <c r="CE113" s="1079"/>
      <c r="CF113" s="1079"/>
      <c r="CG113" s="1079"/>
      <c r="CH113" s="1079"/>
      <c r="CI113" s="1079"/>
      <c r="CJ113" s="1079"/>
      <c r="CK113" s="1079"/>
      <c r="CL113" s="1079"/>
      <c r="CM113" s="1079"/>
      <c r="CN113" s="1079"/>
      <c r="CO113" s="1079"/>
      <c r="CP113" s="1079"/>
      <c r="CQ113" s="1079"/>
      <c r="CS113" s="178"/>
      <c r="CT113" s="190"/>
      <c r="CU113" s="190"/>
      <c r="CV113" s="1094" t="s">
        <v>274</v>
      </c>
      <c r="CW113" s="1094"/>
      <c r="CX113" s="1079" t="s">
        <v>651</v>
      </c>
      <c r="CY113" s="1079"/>
      <c r="CZ113" s="1079"/>
      <c r="DA113" s="1079"/>
      <c r="DB113" s="1079"/>
      <c r="DC113" s="1079"/>
      <c r="DD113" s="1079"/>
      <c r="DE113" s="1079"/>
      <c r="DF113" s="1079"/>
      <c r="DG113" s="1079"/>
      <c r="DH113" s="1079"/>
      <c r="DI113" s="1079"/>
      <c r="DJ113" s="1079"/>
      <c r="DK113" s="1079"/>
      <c r="DL113" s="1079"/>
      <c r="DM113" s="1079"/>
      <c r="DN113" s="1079"/>
      <c r="DO113" s="1079"/>
      <c r="DP113" s="1079"/>
      <c r="DQ113" s="1079"/>
      <c r="DR113" s="1079"/>
      <c r="DS113" s="1079"/>
      <c r="DT113" s="1079"/>
      <c r="DU113" s="1079"/>
      <c r="DV113" s="1079"/>
      <c r="DW113" s="1079"/>
      <c r="DX113" s="1079"/>
      <c r="DY113" s="1079"/>
      <c r="DZ113" s="1079"/>
      <c r="EA113" s="1079"/>
      <c r="EB113" s="1079"/>
      <c r="EC113" s="1079"/>
      <c r="ED113" s="1079"/>
      <c r="EE113" s="1079"/>
      <c r="EF113" s="1079"/>
      <c r="EG113" s="1079"/>
      <c r="EH113" s="1079"/>
      <c r="EI113" s="1079"/>
      <c r="EJ113" s="1079"/>
      <c r="EK113" s="1079"/>
      <c r="EL113" s="1079"/>
      <c r="EM113" s="1079"/>
    </row>
    <row r="114" spans="1:143" ht="62.25" customHeight="1">
      <c r="A114" s="178"/>
      <c r="B114" s="1098" t="s">
        <v>652</v>
      </c>
      <c r="C114" s="1098"/>
      <c r="D114" s="1098"/>
      <c r="E114" s="1098"/>
      <c r="F114" s="1098"/>
      <c r="G114" s="1098"/>
      <c r="H114" s="1098"/>
      <c r="I114" s="1098"/>
      <c r="J114" s="1098"/>
      <c r="K114" s="1098"/>
      <c r="L114" s="1098"/>
      <c r="M114" s="1098"/>
      <c r="N114" s="1098"/>
      <c r="O114" s="1098"/>
      <c r="P114" s="1098"/>
      <c r="Q114" s="1098"/>
      <c r="R114" s="1098"/>
      <c r="S114" s="1098"/>
      <c r="T114" s="1098"/>
      <c r="U114" s="1098"/>
      <c r="V114" s="1098"/>
      <c r="W114" s="1098"/>
      <c r="X114" s="1098"/>
      <c r="Y114" s="1098"/>
      <c r="Z114" s="1098"/>
      <c r="AA114" s="1098"/>
      <c r="AB114" s="1098"/>
      <c r="AC114" s="1098"/>
      <c r="AD114" s="1098"/>
      <c r="AE114" s="1098"/>
      <c r="AF114" s="1098"/>
      <c r="AG114" s="1098"/>
      <c r="AH114" s="1098"/>
      <c r="AI114" s="1098"/>
      <c r="AJ114" s="1098"/>
      <c r="AK114" s="1098"/>
      <c r="AL114" s="1098"/>
      <c r="AM114" s="1098"/>
      <c r="AN114" s="1098"/>
      <c r="AO114" s="1098"/>
      <c r="AP114" s="1098"/>
      <c r="AQ114" s="1098"/>
      <c r="AR114" s="1098"/>
      <c r="AS114" s="1098"/>
      <c r="AT114" s="1098"/>
      <c r="AU114" s="1098"/>
      <c r="AV114" s="178"/>
      <c r="AW114" s="178"/>
      <c r="AX114" s="1098" t="s">
        <v>652</v>
      </c>
      <c r="AY114" s="1098"/>
      <c r="AZ114" s="1098"/>
      <c r="BA114" s="1098"/>
      <c r="BB114" s="1098"/>
      <c r="BC114" s="1098"/>
      <c r="BD114" s="1098"/>
      <c r="BE114" s="1098"/>
      <c r="BF114" s="1098"/>
      <c r="BG114" s="1098"/>
      <c r="BH114" s="1098"/>
      <c r="BI114" s="1098"/>
      <c r="BJ114" s="1098"/>
      <c r="BK114" s="1098"/>
      <c r="BL114" s="1098"/>
      <c r="BM114" s="1098"/>
      <c r="BN114" s="1098"/>
      <c r="BO114" s="1098"/>
      <c r="BP114" s="1098"/>
      <c r="BQ114" s="1098"/>
      <c r="BR114" s="1098"/>
      <c r="BS114" s="1098"/>
      <c r="BT114" s="1098"/>
      <c r="BU114" s="1098"/>
      <c r="BV114" s="1098"/>
      <c r="BW114" s="1098"/>
      <c r="BX114" s="1098"/>
      <c r="BY114" s="1098"/>
      <c r="BZ114" s="1098"/>
      <c r="CA114" s="1098"/>
      <c r="CB114" s="1098"/>
      <c r="CC114" s="1098"/>
      <c r="CD114" s="1098"/>
      <c r="CE114" s="1098"/>
      <c r="CF114" s="1098"/>
      <c r="CG114" s="1098"/>
      <c r="CH114" s="1098"/>
      <c r="CI114" s="1098"/>
      <c r="CJ114" s="1098"/>
      <c r="CK114" s="1098"/>
      <c r="CL114" s="1098"/>
      <c r="CM114" s="1098"/>
      <c r="CN114" s="1098"/>
      <c r="CO114" s="1098"/>
      <c r="CP114" s="1098"/>
      <c r="CQ114" s="1098"/>
      <c r="CS114" s="178"/>
      <c r="CT114" s="1098" t="s">
        <v>652</v>
      </c>
      <c r="CU114" s="1098"/>
      <c r="CV114" s="1098"/>
      <c r="CW114" s="1098"/>
      <c r="CX114" s="1098"/>
      <c r="CY114" s="1098"/>
      <c r="CZ114" s="1098"/>
      <c r="DA114" s="1098"/>
      <c r="DB114" s="1098"/>
      <c r="DC114" s="1098"/>
      <c r="DD114" s="1098"/>
      <c r="DE114" s="1098"/>
      <c r="DF114" s="1098"/>
      <c r="DG114" s="1098"/>
      <c r="DH114" s="1098"/>
      <c r="DI114" s="1098"/>
      <c r="DJ114" s="1098"/>
      <c r="DK114" s="1098"/>
      <c r="DL114" s="1098"/>
      <c r="DM114" s="1098"/>
      <c r="DN114" s="1098"/>
      <c r="DO114" s="1098"/>
      <c r="DP114" s="1098"/>
      <c r="DQ114" s="1098"/>
      <c r="DR114" s="1098"/>
      <c r="DS114" s="1098"/>
      <c r="DT114" s="1098"/>
      <c r="DU114" s="1098"/>
      <c r="DV114" s="1098"/>
      <c r="DW114" s="1098"/>
      <c r="DX114" s="1098"/>
      <c r="DY114" s="1098"/>
      <c r="DZ114" s="1098"/>
      <c r="EA114" s="1098"/>
      <c r="EB114" s="1098"/>
      <c r="EC114" s="1098"/>
      <c r="ED114" s="1098"/>
      <c r="EE114" s="1098"/>
      <c r="EF114" s="1098"/>
      <c r="EG114" s="1098"/>
      <c r="EH114" s="1098"/>
      <c r="EI114" s="1098"/>
      <c r="EJ114" s="1098"/>
      <c r="EK114" s="1098"/>
      <c r="EL114" s="1098"/>
      <c r="EM114" s="1098"/>
    </row>
    <row r="115" spans="1:143" ht="18.75" customHeight="1">
      <c r="A115" s="178"/>
      <c r="B115" s="1134" t="s">
        <v>653</v>
      </c>
      <c r="C115" s="1134"/>
      <c r="D115" s="1134"/>
      <c r="E115" s="1134"/>
      <c r="F115" s="1134"/>
      <c r="G115" s="1134"/>
      <c r="H115" s="1134"/>
      <c r="I115" s="1134"/>
      <c r="J115" s="1134"/>
      <c r="K115" s="1134"/>
      <c r="L115" s="1134"/>
      <c r="M115" s="1134"/>
      <c r="N115" s="1134"/>
      <c r="O115" s="1134"/>
      <c r="P115" s="1134"/>
      <c r="Q115" s="1134"/>
      <c r="R115" s="1134"/>
      <c r="S115" s="1134"/>
      <c r="T115" s="1134"/>
      <c r="U115" s="1134"/>
      <c r="V115" s="1134"/>
      <c r="W115" s="1134"/>
      <c r="X115" s="1134"/>
      <c r="Y115" s="1134"/>
      <c r="Z115" s="1134"/>
      <c r="AA115" s="1134"/>
      <c r="AB115" s="1134"/>
      <c r="AC115" s="1134"/>
      <c r="AD115" s="1134"/>
      <c r="AE115" s="1134"/>
      <c r="AF115" s="1134"/>
      <c r="AG115" s="1134"/>
      <c r="AH115" s="1134"/>
      <c r="AI115" s="1134"/>
      <c r="AJ115" s="1134"/>
      <c r="AK115" s="1134"/>
      <c r="AL115" s="1134"/>
      <c r="AM115" s="1134"/>
      <c r="AN115" s="1134"/>
      <c r="AO115" s="1134"/>
      <c r="AP115" s="1134"/>
      <c r="AQ115" s="1134"/>
      <c r="AR115" s="1134"/>
      <c r="AS115" s="1134"/>
      <c r="AT115" s="1134"/>
      <c r="AU115" s="1134"/>
      <c r="AV115" s="178"/>
      <c r="AW115" s="178"/>
      <c r="AX115" s="1134" t="s">
        <v>653</v>
      </c>
      <c r="AY115" s="1134"/>
      <c r="AZ115" s="1134"/>
      <c r="BA115" s="1134"/>
      <c r="BB115" s="1134"/>
      <c r="BC115" s="1134"/>
      <c r="BD115" s="1134"/>
      <c r="BE115" s="1134"/>
      <c r="BF115" s="1134"/>
      <c r="BG115" s="1134"/>
      <c r="BH115" s="1134"/>
      <c r="BI115" s="1134"/>
      <c r="BJ115" s="1134"/>
      <c r="BK115" s="1134"/>
      <c r="BL115" s="1134"/>
      <c r="BM115" s="1134"/>
      <c r="BN115" s="1134"/>
      <c r="BO115" s="1134"/>
      <c r="BP115" s="1134"/>
      <c r="BQ115" s="1134"/>
      <c r="BR115" s="1134"/>
      <c r="BS115" s="1134"/>
      <c r="BT115" s="1134"/>
      <c r="BU115" s="1134"/>
      <c r="BV115" s="1134"/>
      <c r="BW115" s="1134"/>
      <c r="BX115" s="1134"/>
      <c r="BY115" s="1134"/>
      <c r="BZ115" s="1134"/>
      <c r="CA115" s="1134"/>
      <c r="CB115" s="1134"/>
      <c r="CC115" s="1134"/>
      <c r="CD115" s="1134"/>
      <c r="CE115" s="1134"/>
      <c r="CF115" s="1134"/>
      <c r="CG115" s="1134"/>
      <c r="CH115" s="1134"/>
      <c r="CI115" s="1134"/>
      <c r="CJ115" s="1134"/>
      <c r="CK115" s="1134"/>
      <c r="CL115" s="1134"/>
      <c r="CM115" s="1134"/>
      <c r="CN115" s="1134"/>
      <c r="CO115" s="1134"/>
      <c r="CP115" s="1134"/>
      <c r="CQ115" s="1134"/>
      <c r="CS115" s="178"/>
      <c r="CT115" s="1134" t="s">
        <v>653</v>
      </c>
      <c r="CU115" s="1134"/>
      <c r="CV115" s="1134"/>
      <c r="CW115" s="1134"/>
      <c r="CX115" s="1134"/>
      <c r="CY115" s="1134"/>
      <c r="CZ115" s="1134"/>
      <c r="DA115" s="1134"/>
      <c r="DB115" s="1134"/>
      <c r="DC115" s="1134"/>
      <c r="DD115" s="1134"/>
      <c r="DE115" s="1134"/>
      <c r="DF115" s="1134"/>
      <c r="DG115" s="1134"/>
      <c r="DH115" s="1134"/>
      <c r="DI115" s="1134"/>
      <c r="DJ115" s="1134"/>
      <c r="DK115" s="1134"/>
      <c r="DL115" s="1134"/>
      <c r="DM115" s="1134"/>
      <c r="DN115" s="1134"/>
      <c r="DO115" s="1134"/>
      <c r="DP115" s="1134"/>
      <c r="DQ115" s="1134"/>
      <c r="DR115" s="1134"/>
      <c r="DS115" s="1134"/>
      <c r="DT115" s="1134"/>
      <c r="DU115" s="1134"/>
      <c r="DV115" s="1134"/>
      <c r="DW115" s="1134"/>
      <c r="DX115" s="1134"/>
      <c r="DY115" s="1134"/>
      <c r="DZ115" s="1134"/>
      <c r="EA115" s="1134"/>
      <c r="EB115" s="1134"/>
      <c r="EC115" s="1134"/>
      <c r="ED115" s="1134"/>
      <c r="EE115" s="1134"/>
      <c r="EF115" s="1134"/>
      <c r="EG115" s="1134"/>
      <c r="EH115" s="1134"/>
      <c r="EI115" s="1134"/>
      <c r="EJ115" s="1134"/>
      <c r="EK115" s="1134"/>
      <c r="EL115" s="1134"/>
      <c r="EM115" s="1134"/>
    </row>
    <row r="116" spans="1:143" ht="18.75" customHeight="1">
      <c r="A116" s="178"/>
      <c r="B116" s="190"/>
      <c r="C116" s="190"/>
      <c r="D116" s="1094" t="s">
        <v>654</v>
      </c>
      <c r="E116" s="1094"/>
      <c r="F116" s="1079" t="s">
        <v>655</v>
      </c>
      <c r="G116" s="1079"/>
      <c r="H116" s="1079"/>
      <c r="I116" s="1079"/>
      <c r="J116" s="1079"/>
      <c r="K116" s="1079"/>
      <c r="L116" s="1079"/>
      <c r="M116" s="1079"/>
      <c r="N116" s="1079"/>
      <c r="O116" s="1079"/>
      <c r="P116" s="1079"/>
      <c r="Q116" s="1079"/>
      <c r="R116" s="1079"/>
      <c r="S116" s="1079"/>
      <c r="T116" s="1079"/>
      <c r="U116" s="1079"/>
      <c r="V116" s="1079"/>
      <c r="W116" s="1079"/>
      <c r="X116" s="1079"/>
      <c r="Y116" s="1079"/>
      <c r="Z116" s="1079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78"/>
      <c r="AW116" s="178"/>
      <c r="AX116" s="190"/>
      <c r="AY116" s="190"/>
      <c r="AZ116" s="1094" t="s">
        <v>654</v>
      </c>
      <c r="BA116" s="1094"/>
      <c r="BB116" s="1079" t="s">
        <v>655</v>
      </c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  <c r="BX116" s="1079"/>
      <c r="BY116" s="1079"/>
      <c r="BZ116" s="1079"/>
      <c r="CA116" s="1079"/>
      <c r="CB116" s="1079"/>
      <c r="CC116" s="1079"/>
      <c r="CD116" s="1079"/>
      <c r="CE116" s="1079"/>
      <c r="CF116" s="1079"/>
      <c r="CG116" s="1079"/>
      <c r="CH116" s="1079"/>
      <c r="CI116" s="1079"/>
      <c r="CJ116" s="1079"/>
      <c r="CK116" s="1079"/>
      <c r="CL116" s="1079"/>
      <c r="CM116" s="1079"/>
      <c r="CN116" s="1079"/>
      <c r="CO116" s="1079"/>
      <c r="CP116" s="1079"/>
      <c r="CQ116" s="1079"/>
      <c r="CS116" s="178"/>
      <c r="CT116" s="190"/>
      <c r="CU116" s="190"/>
      <c r="CV116" s="1094" t="s">
        <v>654</v>
      </c>
      <c r="CW116" s="1094"/>
      <c r="CX116" s="1079" t="s">
        <v>655</v>
      </c>
      <c r="CY116" s="1079"/>
      <c r="CZ116" s="1079"/>
      <c r="DA116" s="1079"/>
      <c r="DB116" s="1079"/>
      <c r="DC116" s="1079"/>
      <c r="DD116" s="1079"/>
      <c r="DE116" s="1079"/>
      <c r="DF116" s="1079"/>
      <c r="DG116" s="1079"/>
      <c r="DH116" s="1079"/>
      <c r="DI116" s="1079"/>
      <c r="DJ116" s="1079"/>
      <c r="DK116" s="1079"/>
      <c r="DL116" s="1079"/>
      <c r="DM116" s="1079"/>
      <c r="DN116" s="1079"/>
      <c r="DO116" s="1079"/>
      <c r="DP116" s="1079"/>
      <c r="DQ116" s="1079"/>
      <c r="DR116" s="1079"/>
      <c r="DS116" s="1079"/>
      <c r="DT116" s="1079"/>
      <c r="DU116" s="1079"/>
      <c r="DV116" s="1079"/>
      <c r="DW116" s="1079"/>
      <c r="DX116" s="1079"/>
      <c r="DY116" s="1079"/>
      <c r="DZ116" s="1079"/>
      <c r="EA116" s="1079"/>
      <c r="EB116" s="1079"/>
      <c r="EC116" s="1079"/>
      <c r="ED116" s="1079"/>
      <c r="EE116" s="1079"/>
      <c r="EF116" s="1079"/>
      <c r="EG116" s="1079"/>
      <c r="EH116" s="1079"/>
      <c r="EI116" s="1079"/>
      <c r="EJ116" s="1079"/>
      <c r="EK116" s="1079"/>
      <c r="EL116" s="1079"/>
      <c r="EM116" s="1079"/>
    </row>
    <row r="117" spans="1:143" ht="18.75" customHeight="1">
      <c r="A117" s="178"/>
      <c r="B117" s="1098" t="s">
        <v>656</v>
      </c>
      <c r="C117" s="1098"/>
      <c r="D117" s="1098"/>
      <c r="E117" s="1098"/>
      <c r="F117" s="1098"/>
      <c r="G117" s="1098"/>
      <c r="H117" s="1098"/>
      <c r="I117" s="1098"/>
      <c r="J117" s="1098"/>
      <c r="K117" s="1098"/>
      <c r="L117" s="1098"/>
      <c r="M117" s="1098"/>
      <c r="N117" s="1098"/>
      <c r="O117" s="1098"/>
      <c r="P117" s="1098"/>
      <c r="Q117" s="1098"/>
      <c r="R117" s="1098"/>
      <c r="S117" s="1098"/>
      <c r="T117" s="1098"/>
      <c r="U117" s="1098"/>
      <c r="V117" s="1098"/>
      <c r="W117" s="1098"/>
      <c r="X117" s="1098"/>
      <c r="Y117" s="1098"/>
      <c r="Z117" s="1098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78"/>
      <c r="AW117" s="178"/>
      <c r="AX117" s="1098" t="s">
        <v>656</v>
      </c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  <c r="BX117" s="1098"/>
      <c r="BY117" s="1098"/>
      <c r="BZ117" s="1098"/>
      <c r="CA117" s="1098"/>
      <c r="CB117" s="1098"/>
      <c r="CC117" s="1098"/>
      <c r="CD117" s="1098"/>
      <c r="CE117" s="1098"/>
      <c r="CF117" s="1098"/>
      <c r="CG117" s="1098"/>
      <c r="CH117" s="1098"/>
      <c r="CI117" s="1098"/>
      <c r="CJ117" s="1098"/>
      <c r="CK117" s="1098"/>
      <c r="CL117" s="1098"/>
      <c r="CM117" s="1098"/>
      <c r="CN117" s="1098"/>
      <c r="CO117" s="1098"/>
      <c r="CP117" s="1098"/>
      <c r="CQ117" s="1098"/>
      <c r="CS117" s="178"/>
      <c r="CT117" s="1098" t="s">
        <v>656</v>
      </c>
      <c r="CU117" s="1098"/>
      <c r="CV117" s="1098"/>
      <c r="CW117" s="1098"/>
      <c r="CX117" s="1098"/>
      <c r="CY117" s="1098"/>
      <c r="CZ117" s="1098"/>
      <c r="DA117" s="1098"/>
      <c r="DB117" s="1098"/>
      <c r="DC117" s="1098"/>
      <c r="DD117" s="1098"/>
      <c r="DE117" s="1098"/>
      <c r="DF117" s="1098"/>
      <c r="DG117" s="1098"/>
      <c r="DH117" s="1098"/>
      <c r="DI117" s="1098"/>
      <c r="DJ117" s="1098"/>
      <c r="DK117" s="1098"/>
      <c r="DL117" s="1098"/>
      <c r="DM117" s="1098"/>
      <c r="DN117" s="1098"/>
      <c r="DO117" s="1098"/>
      <c r="DP117" s="1098"/>
      <c r="DQ117" s="1098"/>
      <c r="DR117" s="1098"/>
      <c r="DS117" s="1098"/>
      <c r="DT117" s="1098"/>
      <c r="DU117" s="1098"/>
      <c r="DV117" s="1098"/>
      <c r="DW117" s="1098"/>
      <c r="DX117" s="1098"/>
      <c r="DY117" s="1098"/>
      <c r="DZ117" s="1098"/>
      <c r="EA117" s="1098"/>
      <c r="EB117" s="1098"/>
      <c r="EC117" s="1098"/>
      <c r="ED117" s="1098"/>
      <c r="EE117" s="1098"/>
      <c r="EF117" s="1098"/>
      <c r="EG117" s="1098"/>
      <c r="EH117" s="1098"/>
      <c r="EI117" s="1098"/>
      <c r="EJ117" s="1098"/>
      <c r="EK117" s="1098"/>
      <c r="EL117" s="1098"/>
      <c r="EM117" s="1098"/>
    </row>
    <row r="118" spans="1:143" ht="18.75" customHeight="1">
      <c r="A118" s="178"/>
      <c r="B118" s="1135" t="s">
        <v>657</v>
      </c>
      <c r="C118" s="1135"/>
      <c r="D118" s="1135"/>
      <c r="E118" s="1135"/>
      <c r="F118" s="1135"/>
      <c r="G118" s="1135"/>
      <c r="H118" s="1135"/>
      <c r="I118" s="1135"/>
      <c r="J118" s="1135"/>
      <c r="K118" s="1135"/>
      <c r="L118" s="1135"/>
      <c r="M118" s="1135"/>
      <c r="N118" s="1135"/>
      <c r="O118" s="1135"/>
      <c r="P118" s="1135"/>
      <c r="Q118" s="1135"/>
      <c r="R118" s="1135"/>
      <c r="S118" s="1135"/>
      <c r="T118" s="1135"/>
      <c r="U118" s="1135"/>
      <c r="V118" s="1135"/>
      <c r="W118" s="1135"/>
      <c r="X118" s="1135"/>
      <c r="Y118" s="1135"/>
      <c r="Z118" s="1135"/>
      <c r="AA118" s="1135"/>
      <c r="AB118" s="1111">
        <f>J$15</f>
        <v>0</v>
      </c>
      <c r="AC118" s="1111"/>
      <c r="AD118" s="191" t="s">
        <v>524</v>
      </c>
      <c r="AE118" s="1111">
        <f>O$15</f>
        <v>0</v>
      </c>
      <c r="AF118" s="1111"/>
      <c r="AG118" s="1111"/>
      <c r="AH118" s="1111"/>
      <c r="AI118" s="1111"/>
      <c r="AJ118" s="1111"/>
      <c r="AK118" s="1111"/>
      <c r="AL118" s="1111"/>
      <c r="AM118" s="1111"/>
      <c r="AN118" s="1111"/>
      <c r="AO118" s="1111"/>
      <c r="AP118" s="1111">
        <f>AK$15</f>
        <v>0</v>
      </c>
      <c r="AQ118" s="1111"/>
      <c r="AR118" s="1111"/>
      <c r="AS118" s="1111"/>
      <c r="AT118" s="314"/>
      <c r="AU118" s="314" t="s">
        <v>375</v>
      </c>
      <c r="AV118" s="178"/>
      <c r="AW118" s="178"/>
      <c r="AX118" s="1135" t="s">
        <v>657</v>
      </c>
      <c r="AY118" s="1135"/>
      <c r="AZ118" s="1135"/>
      <c r="BA118" s="1135"/>
      <c r="BB118" s="1135"/>
      <c r="BC118" s="1135"/>
      <c r="BD118" s="1135"/>
      <c r="BE118" s="1135"/>
      <c r="BF118" s="1135"/>
      <c r="BG118" s="1135"/>
      <c r="BH118" s="1135"/>
      <c r="BI118" s="1135"/>
      <c r="BJ118" s="1135"/>
      <c r="BK118" s="1135"/>
      <c r="BL118" s="1135"/>
      <c r="BM118" s="1135"/>
      <c r="BN118" s="1135"/>
      <c r="BO118" s="1135"/>
      <c r="BP118" s="1135"/>
      <c r="BQ118" s="1135"/>
      <c r="BR118" s="1135"/>
      <c r="BS118" s="1135"/>
      <c r="BT118" s="1135"/>
      <c r="BU118" s="1135"/>
      <c r="BV118" s="1135"/>
      <c r="BW118" s="1135"/>
      <c r="BX118" s="1111">
        <f>BF$15</f>
        <v>0</v>
      </c>
      <c r="BY118" s="1111"/>
      <c r="BZ118" s="191" t="s">
        <v>524</v>
      </c>
      <c r="CA118" s="1111">
        <f>BK$15</f>
        <v>0</v>
      </c>
      <c r="CB118" s="1111"/>
      <c r="CC118" s="1111"/>
      <c r="CD118" s="1111"/>
      <c r="CE118" s="1111"/>
      <c r="CF118" s="1111"/>
      <c r="CG118" s="1111"/>
      <c r="CH118" s="1111"/>
      <c r="CI118" s="1111"/>
      <c r="CJ118" s="1111"/>
      <c r="CK118" s="1111"/>
      <c r="CL118" s="1111">
        <f>CG$15</f>
        <v>0</v>
      </c>
      <c r="CM118" s="1111"/>
      <c r="CN118" s="1111"/>
      <c r="CO118" s="1111"/>
      <c r="CP118" s="314"/>
      <c r="CQ118" s="314" t="s">
        <v>375</v>
      </c>
      <c r="CS118" s="178"/>
      <c r="CT118" s="1135" t="s">
        <v>657</v>
      </c>
      <c r="CU118" s="1135"/>
      <c r="CV118" s="1135"/>
      <c r="CW118" s="1135"/>
      <c r="CX118" s="1135"/>
      <c r="CY118" s="1135"/>
      <c r="CZ118" s="1135"/>
      <c r="DA118" s="1135"/>
      <c r="DB118" s="1135"/>
      <c r="DC118" s="1135"/>
      <c r="DD118" s="1135"/>
      <c r="DE118" s="1135"/>
      <c r="DF118" s="1135"/>
      <c r="DG118" s="1135"/>
      <c r="DH118" s="1135"/>
      <c r="DI118" s="1135"/>
      <c r="DJ118" s="1135"/>
      <c r="DK118" s="1135"/>
      <c r="DL118" s="1135"/>
      <c r="DM118" s="1135"/>
      <c r="DN118" s="1135"/>
      <c r="DO118" s="1135"/>
      <c r="DP118" s="1135"/>
      <c r="DQ118" s="1135"/>
      <c r="DR118" s="1135"/>
      <c r="DS118" s="1135"/>
      <c r="DT118" s="1111">
        <f>DB$15</f>
        <v>0</v>
      </c>
      <c r="DU118" s="1111"/>
      <c r="DV118" s="191" t="s">
        <v>524</v>
      </c>
      <c r="DW118" s="1111">
        <f>DG$15</f>
        <v>0</v>
      </c>
      <c r="DX118" s="1111"/>
      <c r="DY118" s="1111"/>
      <c r="DZ118" s="1111"/>
      <c r="EA118" s="1111"/>
      <c r="EB118" s="1111"/>
      <c r="EC118" s="1111"/>
      <c r="ED118" s="1111"/>
      <c r="EE118" s="1111"/>
      <c r="EF118" s="1111"/>
      <c r="EG118" s="1111"/>
      <c r="EH118" s="1111">
        <f>EC$15</f>
        <v>0</v>
      </c>
      <c r="EI118" s="1111"/>
      <c r="EJ118" s="1111"/>
      <c r="EK118" s="1111"/>
      <c r="EL118" s="314"/>
      <c r="EM118" s="314" t="s">
        <v>375</v>
      </c>
    </row>
    <row r="119" spans="1:143" ht="18.75" customHeight="1">
      <c r="A119" s="178"/>
      <c r="B119" s="190"/>
      <c r="C119" s="190"/>
      <c r="D119" s="1094" t="s">
        <v>658</v>
      </c>
      <c r="E119" s="1094"/>
      <c r="F119" s="1079" t="s">
        <v>659</v>
      </c>
      <c r="G119" s="1079"/>
      <c r="H119" s="1079"/>
      <c r="I119" s="1079"/>
      <c r="J119" s="1079"/>
      <c r="K119" s="1079"/>
      <c r="L119" s="1079"/>
      <c r="M119" s="1079"/>
      <c r="N119" s="1079"/>
      <c r="O119" s="1079"/>
      <c r="P119" s="1079"/>
      <c r="Q119" s="1079"/>
      <c r="R119" s="1079"/>
      <c r="S119" s="1079"/>
      <c r="T119" s="1079"/>
      <c r="U119" s="1079"/>
      <c r="V119" s="1079"/>
      <c r="W119" s="1079"/>
      <c r="X119" s="1079"/>
      <c r="Y119" s="1079"/>
      <c r="Z119" s="1079"/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78"/>
      <c r="AW119" s="178"/>
      <c r="AX119" s="190"/>
      <c r="AY119" s="190"/>
      <c r="AZ119" s="1094" t="s">
        <v>658</v>
      </c>
      <c r="BA119" s="1094"/>
      <c r="BB119" s="1079" t="s">
        <v>659</v>
      </c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  <c r="BX119" s="1079"/>
      <c r="BY119" s="1079"/>
      <c r="BZ119" s="1079"/>
      <c r="CA119" s="1079"/>
      <c r="CB119" s="1079"/>
      <c r="CC119" s="1079"/>
      <c r="CD119" s="1079"/>
      <c r="CE119" s="1079"/>
      <c r="CF119" s="1079"/>
      <c r="CG119" s="1079"/>
      <c r="CH119" s="1079"/>
      <c r="CI119" s="1079"/>
      <c r="CJ119" s="1079"/>
      <c r="CK119" s="1079"/>
      <c r="CL119" s="1079"/>
      <c r="CM119" s="1079"/>
      <c r="CN119" s="1079"/>
      <c r="CO119" s="1079"/>
      <c r="CP119" s="1079"/>
      <c r="CQ119" s="1079"/>
      <c r="CS119" s="178"/>
      <c r="CT119" s="190"/>
      <c r="CU119" s="190"/>
      <c r="CV119" s="1094" t="s">
        <v>658</v>
      </c>
      <c r="CW119" s="1094"/>
      <c r="CX119" s="1079" t="s">
        <v>659</v>
      </c>
      <c r="CY119" s="1079"/>
      <c r="CZ119" s="1079"/>
      <c r="DA119" s="1079"/>
      <c r="DB119" s="1079"/>
      <c r="DC119" s="1079"/>
      <c r="DD119" s="1079"/>
      <c r="DE119" s="1079"/>
      <c r="DF119" s="1079"/>
      <c r="DG119" s="1079"/>
      <c r="DH119" s="1079"/>
      <c r="DI119" s="1079"/>
      <c r="DJ119" s="1079"/>
      <c r="DK119" s="1079"/>
      <c r="DL119" s="1079"/>
      <c r="DM119" s="1079"/>
      <c r="DN119" s="1079"/>
      <c r="DO119" s="1079"/>
      <c r="DP119" s="1079"/>
      <c r="DQ119" s="1079"/>
      <c r="DR119" s="1079"/>
      <c r="DS119" s="1079"/>
      <c r="DT119" s="1079"/>
      <c r="DU119" s="1079"/>
      <c r="DV119" s="1079"/>
      <c r="DW119" s="1079"/>
      <c r="DX119" s="1079"/>
      <c r="DY119" s="1079"/>
      <c r="DZ119" s="1079"/>
      <c r="EA119" s="1079"/>
      <c r="EB119" s="1079"/>
      <c r="EC119" s="1079"/>
      <c r="ED119" s="1079"/>
      <c r="EE119" s="1079"/>
      <c r="EF119" s="1079"/>
      <c r="EG119" s="1079"/>
      <c r="EH119" s="1079"/>
      <c r="EI119" s="1079"/>
      <c r="EJ119" s="1079"/>
      <c r="EK119" s="1079"/>
      <c r="EL119" s="1079"/>
      <c r="EM119" s="1079"/>
    </row>
    <row r="120" spans="1:143" ht="42" customHeight="1">
      <c r="A120" s="178"/>
      <c r="B120" s="1098" t="s">
        <v>660</v>
      </c>
      <c r="C120" s="1098"/>
      <c r="D120" s="1098"/>
      <c r="E120" s="1098"/>
      <c r="F120" s="1098"/>
      <c r="G120" s="1098"/>
      <c r="H120" s="1098"/>
      <c r="I120" s="1098"/>
      <c r="J120" s="1098"/>
      <c r="K120" s="1098"/>
      <c r="L120" s="1098"/>
      <c r="M120" s="1098"/>
      <c r="N120" s="1098"/>
      <c r="O120" s="1098"/>
      <c r="P120" s="1098"/>
      <c r="Q120" s="1098"/>
      <c r="R120" s="1098"/>
      <c r="S120" s="1098"/>
      <c r="T120" s="1098"/>
      <c r="U120" s="1098"/>
      <c r="V120" s="1098"/>
      <c r="W120" s="1098"/>
      <c r="X120" s="1098"/>
      <c r="Y120" s="1098"/>
      <c r="Z120" s="1098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78"/>
      <c r="AW120" s="178"/>
      <c r="AX120" s="1098" t="s">
        <v>660</v>
      </c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  <c r="BX120" s="1098"/>
      <c r="BY120" s="1098"/>
      <c r="BZ120" s="1098"/>
      <c r="CA120" s="1098"/>
      <c r="CB120" s="1098"/>
      <c r="CC120" s="1098"/>
      <c r="CD120" s="1098"/>
      <c r="CE120" s="1098"/>
      <c r="CF120" s="1098"/>
      <c r="CG120" s="1098"/>
      <c r="CH120" s="1098"/>
      <c r="CI120" s="1098"/>
      <c r="CJ120" s="1098"/>
      <c r="CK120" s="1098"/>
      <c r="CL120" s="1098"/>
      <c r="CM120" s="1098"/>
      <c r="CN120" s="1098"/>
      <c r="CO120" s="1098"/>
      <c r="CP120" s="1098"/>
      <c r="CQ120" s="1098"/>
      <c r="CS120" s="178"/>
      <c r="CT120" s="1098" t="s">
        <v>660</v>
      </c>
      <c r="CU120" s="1098"/>
      <c r="CV120" s="1098"/>
      <c r="CW120" s="1098"/>
      <c r="CX120" s="1098"/>
      <c r="CY120" s="1098"/>
      <c r="CZ120" s="1098"/>
      <c r="DA120" s="1098"/>
      <c r="DB120" s="1098"/>
      <c r="DC120" s="1098"/>
      <c r="DD120" s="1098"/>
      <c r="DE120" s="1098"/>
      <c r="DF120" s="1098"/>
      <c r="DG120" s="1098"/>
      <c r="DH120" s="1098"/>
      <c r="DI120" s="1098"/>
      <c r="DJ120" s="1098"/>
      <c r="DK120" s="1098"/>
      <c r="DL120" s="1098"/>
      <c r="DM120" s="1098"/>
      <c r="DN120" s="1098"/>
      <c r="DO120" s="1098"/>
      <c r="DP120" s="1098"/>
      <c r="DQ120" s="1098"/>
      <c r="DR120" s="1098"/>
      <c r="DS120" s="1098"/>
      <c r="DT120" s="1098"/>
      <c r="DU120" s="1098"/>
      <c r="DV120" s="1098"/>
      <c r="DW120" s="1098"/>
      <c r="DX120" s="1098"/>
      <c r="DY120" s="1098"/>
      <c r="DZ120" s="1098"/>
      <c r="EA120" s="1098"/>
      <c r="EB120" s="1098"/>
      <c r="EC120" s="1098"/>
      <c r="ED120" s="1098"/>
      <c r="EE120" s="1098"/>
      <c r="EF120" s="1098"/>
      <c r="EG120" s="1098"/>
      <c r="EH120" s="1098"/>
      <c r="EI120" s="1098"/>
      <c r="EJ120" s="1098"/>
      <c r="EK120" s="1098"/>
      <c r="EL120" s="1098"/>
      <c r="EM120" s="1098"/>
    </row>
    <row r="121" spans="1:143" ht="18.75" customHeight="1">
      <c r="A121" s="178"/>
      <c r="B121" s="190"/>
      <c r="C121" s="190"/>
      <c r="D121" s="1094" t="s">
        <v>661</v>
      </c>
      <c r="E121" s="1094"/>
      <c r="F121" s="1079" t="s">
        <v>662</v>
      </c>
      <c r="G121" s="1079"/>
      <c r="H121" s="1079"/>
      <c r="I121" s="1079"/>
      <c r="J121" s="1079"/>
      <c r="K121" s="1079"/>
      <c r="L121" s="1079"/>
      <c r="M121" s="1079"/>
      <c r="N121" s="1079"/>
      <c r="O121" s="1079"/>
      <c r="P121" s="1079"/>
      <c r="Q121" s="1079"/>
      <c r="R121" s="1079"/>
      <c r="S121" s="1079"/>
      <c r="T121" s="1079"/>
      <c r="U121" s="1079"/>
      <c r="V121" s="1079"/>
      <c r="W121" s="1079"/>
      <c r="X121" s="1079"/>
      <c r="Y121" s="1079"/>
      <c r="Z121" s="1079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78"/>
      <c r="AW121" s="178"/>
      <c r="AX121" s="190"/>
      <c r="AY121" s="190"/>
      <c r="AZ121" s="1094" t="s">
        <v>661</v>
      </c>
      <c r="BA121" s="1094"/>
      <c r="BB121" s="1079" t="s">
        <v>662</v>
      </c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  <c r="BX121" s="1079"/>
      <c r="BY121" s="1079"/>
      <c r="BZ121" s="1079"/>
      <c r="CA121" s="1079"/>
      <c r="CB121" s="1079"/>
      <c r="CC121" s="1079"/>
      <c r="CD121" s="1079"/>
      <c r="CE121" s="1079"/>
      <c r="CF121" s="1079"/>
      <c r="CG121" s="1079"/>
      <c r="CH121" s="1079"/>
      <c r="CI121" s="1079"/>
      <c r="CJ121" s="1079"/>
      <c r="CK121" s="1079"/>
      <c r="CL121" s="1079"/>
      <c r="CM121" s="1079"/>
      <c r="CN121" s="1079"/>
      <c r="CO121" s="1079"/>
      <c r="CP121" s="1079"/>
      <c r="CQ121" s="1079"/>
      <c r="CS121" s="178"/>
      <c r="CT121" s="190"/>
      <c r="CU121" s="190"/>
      <c r="CV121" s="1094" t="s">
        <v>661</v>
      </c>
      <c r="CW121" s="1094"/>
      <c r="CX121" s="1079" t="s">
        <v>662</v>
      </c>
      <c r="CY121" s="1079"/>
      <c r="CZ121" s="1079"/>
      <c r="DA121" s="1079"/>
      <c r="DB121" s="1079"/>
      <c r="DC121" s="1079"/>
      <c r="DD121" s="1079"/>
      <c r="DE121" s="1079"/>
      <c r="DF121" s="1079"/>
      <c r="DG121" s="1079"/>
      <c r="DH121" s="1079"/>
      <c r="DI121" s="1079"/>
      <c r="DJ121" s="1079"/>
      <c r="DK121" s="1079"/>
      <c r="DL121" s="1079"/>
      <c r="DM121" s="1079"/>
      <c r="DN121" s="1079"/>
      <c r="DO121" s="1079"/>
      <c r="DP121" s="1079"/>
      <c r="DQ121" s="1079"/>
      <c r="DR121" s="1079"/>
      <c r="DS121" s="1079"/>
      <c r="DT121" s="1079"/>
      <c r="DU121" s="1079"/>
      <c r="DV121" s="1079"/>
      <c r="DW121" s="1079"/>
      <c r="DX121" s="1079"/>
      <c r="DY121" s="1079"/>
      <c r="DZ121" s="1079"/>
      <c r="EA121" s="1079"/>
      <c r="EB121" s="1079"/>
      <c r="EC121" s="1079"/>
      <c r="ED121" s="1079"/>
      <c r="EE121" s="1079"/>
      <c r="EF121" s="1079"/>
      <c r="EG121" s="1079"/>
      <c r="EH121" s="1079"/>
      <c r="EI121" s="1079"/>
      <c r="EJ121" s="1079"/>
      <c r="EK121" s="1079"/>
      <c r="EL121" s="1079"/>
      <c r="EM121" s="1079"/>
    </row>
    <row r="122" spans="1:143" ht="94.5" customHeight="1">
      <c r="A122" s="178"/>
      <c r="B122" s="1129" t="s">
        <v>663</v>
      </c>
      <c r="C122" s="1129"/>
      <c r="D122" s="1129"/>
      <c r="E122" s="1129"/>
      <c r="F122" s="1129"/>
      <c r="G122" s="1129"/>
      <c r="H122" s="1129"/>
      <c r="I122" s="1129"/>
      <c r="J122" s="1129"/>
      <c r="K122" s="1129"/>
      <c r="L122" s="1129"/>
      <c r="M122" s="1129"/>
      <c r="N122" s="1129"/>
      <c r="O122" s="1129"/>
      <c r="P122" s="1129"/>
      <c r="Q122" s="1129"/>
      <c r="R122" s="1129"/>
      <c r="S122" s="1129"/>
      <c r="T122" s="1129"/>
      <c r="U122" s="1129"/>
      <c r="V122" s="1129"/>
      <c r="W122" s="1129"/>
      <c r="X122" s="1129"/>
      <c r="Y122" s="1129"/>
      <c r="Z122" s="1129"/>
      <c r="AA122" s="1129"/>
      <c r="AB122" s="1129"/>
      <c r="AC122" s="1129"/>
      <c r="AD122" s="1129"/>
      <c r="AE122" s="1129"/>
      <c r="AF122" s="1129"/>
      <c r="AG122" s="1129"/>
      <c r="AH122" s="1129"/>
      <c r="AI122" s="1129"/>
      <c r="AJ122" s="1129"/>
      <c r="AK122" s="1129"/>
      <c r="AL122" s="1129"/>
      <c r="AM122" s="1129"/>
      <c r="AN122" s="1129"/>
      <c r="AO122" s="1129"/>
      <c r="AP122" s="1129"/>
      <c r="AQ122" s="1129"/>
      <c r="AR122" s="1129"/>
      <c r="AS122" s="1129"/>
      <c r="AT122" s="1129"/>
      <c r="AU122" s="1129"/>
      <c r="AV122" s="485"/>
      <c r="AW122" s="485"/>
      <c r="AX122" s="1129" t="s">
        <v>663</v>
      </c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I122" s="1129"/>
      <c r="BJ122" s="1129"/>
      <c r="BK122" s="1129"/>
      <c r="BL122" s="1129"/>
      <c r="BM122" s="1129"/>
      <c r="BN122" s="1129"/>
      <c r="BO122" s="1129"/>
      <c r="BP122" s="1129"/>
      <c r="BQ122" s="1129"/>
      <c r="BR122" s="1129"/>
      <c r="BS122" s="1129"/>
      <c r="BT122" s="1129"/>
      <c r="BU122" s="1129"/>
      <c r="BV122" s="1129"/>
      <c r="BW122" s="1129"/>
      <c r="BX122" s="1129"/>
      <c r="BY122" s="1129"/>
      <c r="BZ122" s="1129"/>
      <c r="CA122" s="1129"/>
      <c r="CB122" s="1129"/>
      <c r="CC122" s="1129"/>
      <c r="CD122" s="1129"/>
      <c r="CE122" s="1129"/>
      <c r="CF122" s="1129"/>
      <c r="CG122" s="1129"/>
      <c r="CH122" s="1129"/>
      <c r="CI122" s="1129"/>
      <c r="CJ122" s="1129"/>
      <c r="CK122" s="1129"/>
      <c r="CL122" s="1129"/>
      <c r="CM122" s="1129"/>
      <c r="CN122" s="1129"/>
      <c r="CO122" s="1129"/>
      <c r="CP122" s="1129"/>
      <c r="CQ122" s="1129"/>
      <c r="CR122" s="486"/>
      <c r="CS122" s="485"/>
      <c r="CT122" s="1129" t="s">
        <v>663</v>
      </c>
      <c r="CU122" s="1129"/>
      <c r="CV122" s="1129"/>
      <c r="CW122" s="1129"/>
      <c r="CX122" s="1129"/>
      <c r="CY122" s="1129"/>
      <c r="CZ122" s="1129"/>
      <c r="DA122" s="1129"/>
      <c r="DB122" s="1129"/>
      <c r="DC122" s="1129"/>
      <c r="DD122" s="1129"/>
      <c r="DE122" s="1129"/>
      <c r="DF122" s="1129"/>
      <c r="DG122" s="1129"/>
      <c r="DH122" s="1129"/>
      <c r="DI122" s="1129"/>
      <c r="DJ122" s="1129"/>
      <c r="DK122" s="1129"/>
      <c r="DL122" s="1129"/>
      <c r="DM122" s="1129"/>
      <c r="DN122" s="1129"/>
      <c r="DO122" s="1129"/>
      <c r="DP122" s="1129"/>
      <c r="DQ122" s="1129"/>
      <c r="DR122" s="1129"/>
      <c r="DS122" s="1129"/>
      <c r="DT122" s="1129"/>
      <c r="DU122" s="1129"/>
      <c r="DV122" s="1129"/>
      <c r="DW122" s="1129"/>
      <c r="DX122" s="1129"/>
      <c r="DY122" s="1129"/>
      <c r="DZ122" s="1129"/>
      <c r="EA122" s="1129"/>
      <c r="EB122" s="1129"/>
      <c r="EC122" s="1129"/>
      <c r="ED122" s="1129"/>
      <c r="EE122" s="1129"/>
      <c r="EF122" s="1129"/>
      <c r="EG122" s="1129"/>
      <c r="EH122" s="1129"/>
      <c r="EI122" s="1129"/>
      <c r="EJ122" s="1129"/>
      <c r="EK122" s="1129"/>
      <c r="EL122" s="1129"/>
      <c r="EM122" s="1129"/>
    </row>
    <row r="123" spans="1:143" ht="18.75" customHeight="1">
      <c r="A123" s="178"/>
      <c r="B123" s="1134" t="s">
        <v>664</v>
      </c>
      <c r="C123" s="1134"/>
      <c r="D123" s="1134"/>
      <c r="E123" s="1134"/>
      <c r="F123" s="1134"/>
      <c r="G123" s="1134"/>
      <c r="H123" s="1134"/>
      <c r="I123" s="1134"/>
      <c r="J123" s="1134"/>
      <c r="K123" s="1134"/>
      <c r="L123" s="1134"/>
      <c r="M123" s="1134"/>
      <c r="N123" s="1134"/>
      <c r="O123" s="1134"/>
      <c r="P123" s="1134"/>
      <c r="Q123" s="1134"/>
      <c r="R123" s="1134"/>
      <c r="S123" s="1134"/>
      <c r="T123" s="1134"/>
      <c r="U123" s="1134"/>
      <c r="V123" s="1134"/>
      <c r="W123" s="1134"/>
      <c r="X123" s="1134"/>
      <c r="Y123" s="1134"/>
      <c r="Z123" s="1134"/>
      <c r="AA123" s="1134"/>
      <c r="AB123" s="1134"/>
      <c r="AC123" s="1134"/>
      <c r="AD123" s="1134"/>
      <c r="AE123" s="1134"/>
      <c r="AF123" s="1134"/>
      <c r="AG123" s="1134"/>
      <c r="AH123" s="1134"/>
      <c r="AI123" s="1134"/>
      <c r="AJ123" s="1134"/>
      <c r="AK123" s="1134"/>
      <c r="AL123" s="1134"/>
      <c r="AM123" s="1134"/>
      <c r="AN123" s="1134"/>
      <c r="AO123" s="1134"/>
      <c r="AP123" s="1134"/>
      <c r="AQ123" s="1134"/>
      <c r="AR123" s="1134"/>
      <c r="AS123" s="1134"/>
      <c r="AT123" s="1134"/>
      <c r="AU123" s="1134"/>
      <c r="AV123" s="178"/>
      <c r="AW123" s="178"/>
      <c r="AX123" s="1134" t="s">
        <v>664</v>
      </c>
      <c r="AY123" s="1134"/>
      <c r="AZ123" s="1134"/>
      <c r="BA123" s="1134"/>
      <c r="BB123" s="1134"/>
      <c r="BC123" s="1134"/>
      <c r="BD123" s="1134"/>
      <c r="BE123" s="1134"/>
      <c r="BF123" s="1134"/>
      <c r="BG123" s="1134"/>
      <c r="BH123" s="1134"/>
      <c r="BI123" s="1134"/>
      <c r="BJ123" s="1134"/>
      <c r="BK123" s="1134"/>
      <c r="BL123" s="1134"/>
      <c r="BM123" s="1134"/>
      <c r="BN123" s="1134"/>
      <c r="BO123" s="1134"/>
      <c r="BP123" s="1134"/>
      <c r="BQ123" s="1134"/>
      <c r="BR123" s="1134"/>
      <c r="BS123" s="1134"/>
      <c r="BT123" s="1134"/>
      <c r="BU123" s="1134"/>
      <c r="BV123" s="1134"/>
      <c r="BW123" s="1134"/>
      <c r="BX123" s="1134"/>
      <c r="BY123" s="1134"/>
      <c r="BZ123" s="1134"/>
      <c r="CA123" s="1134"/>
      <c r="CB123" s="1134"/>
      <c r="CC123" s="1134"/>
      <c r="CD123" s="1134"/>
      <c r="CE123" s="1134"/>
      <c r="CF123" s="1134"/>
      <c r="CG123" s="1134"/>
      <c r="CH123" s="1134"/>
      <c r="CI123" s="1134"/>
      <c r="CJ123" s="1134"/>
      <c r="CK123" s="1134"/>
      <c r="CL123" s="1134"/>
      <c r="CM123" s="1134"/>
      <c r="CN123" s="1134"/>
      <c r="CO123" s="1134"/>
      <c r="CP123" s="1134"/>
      <c r="CQ123" s="1134"/>
      <c r="CS123" s="178"/>
      <c r="CT123" s="1134" t="s">
        <v>664</v>
      </c>
      <c r="CU123" s="1134"/>
      <c r="CV123" s="1134"/>
      <c r="CW123" s="1134"/>
      <c r="CX123" s="1134"/>
      <c r="CY123" s="1134"/>
      <c r="CZ123" s="1134"/>
      <c r="DA123" s="1134"/>
      <c r="DB123" s="1134"/>
      <c r="DC123" s="1134"/>
      <c r="DD123" s="1134"/>
      <c r="DE123" s="1134"/>
      <c r="DF123" s="1134"/>
      <c r="DG123" s="1134"/>
      <c r="DH123" s="1134"/>
      <c r="DI123" s="1134"/>
      <c r="DJ123" s="1134"/>
      <c r="DK123" s="1134"/>
      <c r="DL123" s="1134"/>
      <c r="DM123" s="1134"/>
      <c r="DN123" s="1134"/>
      <c r="DO123" s="1134"/>
      <c r="DP123" s="1134"/>
      <c r="DQ123" s="1134"/>
      <c r="DR123" s="1134"/>
      <c r="DS123" s="1134"/>
      <c r="DT123" s="1134"/>
      <c r="DU123" s="1134"/>
      <c r="DV123" s="1134"/>
      <c r="DW123" s="1134"/>
      <c r="DX123" s="1134"/>
      <c r="DY123" s="1134"/>
      <c r="DZ123" s="1134"/>
      <c r="EA123" s="1134"/>
      <c r="EB123" s="1134"/>
      <c r="EC123" s="1134"/>
      <c r="ED123" s="1134"/>
      <c r="EE123" s="1134"/>
      <c r="EF123" s="1134"/>
      <c r="EG123" s="1134"/>
      <c r="EH123" s="1134"/>
      <c r="EI123" s="1134"/>
      <c r="EJ123" s="1134"/>
      <c r="EK123" s="1134"/>
      <c r="EL123" s="1134"/>
      <c r="EM123" s="1134"/>
    </row>
    <row r="124" spans="1:143" ht="18.75" customHeight="1">
      <c r="A124" s="178"/>
      <c r="B124" s="190"/>
      <c r="C124" s="190"/>
      <c r="D124" s="1138" t="s">
        <v>665</v>
      </c>
      <c r="E124" s="1138"/>
      <c r="F124" s="1079" t="s">
        <v>666</v>
      </c>
      <c r="G124" s="1079"/>
      <c r="H124" s="1079"/>
      <c r="I124" s="1079"/>
      <c r="J124" s="1079"/>
      <c r="K124" s="1079"/>
      <c r="L124" s="1079"/>
      <c r="M124" s="1079"/>
      <c r="N124" s="1079"/>
      <c r="O124" s="1079"/>
      <c r="P124" s="1079"/>
      <c r="Q124" s="1079"/>
      <c r="R124" s="1079"/>
      <c r="S124" s="1079"/>
      <c r="T124" s="1079"/>
      <c r="U124" s="1079"/>
      <c r="V124" s="1079"/>
      <c r="W124" s="1079"/>
      <c r="X124" s="1079"/>
      <c r="Y124" s="1079"/>
      <c r="Z124" s="1079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78"/>
      <c r="AW124" s="178"/>
      <c r="AX124" s="190"/>
      <c r="AY124" s="190"/>
      <c r="AZ124" s="1138" t="s">
        <v>665</v>
      </c>
      <c r="BA124" s="1138"/>
      <c r="BB124" s="1079" t="s">
        <v>666</v>
      </c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  <c r="BX124" s="1079"/>
      <c r="BY124" s="1079"/>
      <c r="BZ124" s="1079"/>
      <c r="CA124" s="1079"/>
      <c r="CB124" s="1079"/>
      <c r="CC124" s="1079"/>
      <c r="CD124" s="1079"/>
      <c r="CE124" s="1079"/>
      <c r="CF124" s="1079"/>
      <c r="CG124" s="1079"/>
      <c r="CH124" s="1079"/>
      <c r="CI124" s="1079"/>
      <c r="CJ124" s="1079"/>
      <c r="CK124" s="1079"/>
      <c r="CL124" s="1079"/>
      <c r="CM124" s="1079"/>
      <c r="CN124" s="1079"/>
      <c r="CO124" s="1079"/>
      <c r="CP124" s="1079"/>
      <c r="CQ124" s="1079"/>
      <c r="CS124" s="178"/>
      <c r="CT124" s="190"/>
      <c r="CU124" s="190"/>
      <c r="CV124" s="1138" t="s">
        <v>665</v>
      </c>
      <c r="CW124" s="1138"/>
      <c r="CX124" s="1079" t="s">
        <v>666</v>
      </c>
      <c r="CY124" s="1079"/>
      <c r="CZ124" s="1079"/>
      <c r="DA124" s="1079"/>
      <c r="DB124" s="1079"/>
      <c r="DC124" s="1079"/>
      <c r="DD124" s="1079"/>
      <c r="DE124" s="1079"/>
      <c r="DF124" s="1079"/>
      <c r="DG124" s="1079"/>
      <c r="DH124" s="1079"/>
      <c r="DI124" s="1079"/>
      <c r="DJ124" s="1079"/>
      <c r="DK124" s="1079"/>
      <c r="DL124" s="1079"/>
      <c r="DM124" s="1079"/>
      <c r="DN124" s="1079"/>
      <c r="DO124" s="1079"/>
      <c r="DP124" s="1079"/>
      <c r="DQ124" s="1079"/>
      <c r="DR124" s="1079"/>
      <c r="DS124" s="1079"/>
      <c r="DT124" s="1079"/>
      <c r="DU124" s="1079"/>
      <c r="DV124" s="1079"/>
      <c r="DW124" s="1079"/>
      <c r="DX124" s="1079"/>
      <c r="DY124" s="1079"/>
      <c r="DZ124" s="1079"/>
      <c r="EA124" s="1079"/>
      <c r="EB124" s="1079"/>
      <c r="EC124" s="1079"/>
      <c r="ED124" s="1079"/>
      <c r="EE124" s="1079"/>
      <c r="EF124" s="1079"/>
      <c r="EG124" s="1079"/>
      <c r="EH124" s="1079"/>
      <c r="EI124" s="1079"/>
      <c r="EJ124" s="1079"/>
      <c r="EK124" s="1079"/>
      <c r="EL124" s="1079"/>
      <c r="EM124" s="1079"/>
    </row>
    <row r="125" spans="1:143" ht="18.75" customHeight="1">
      <c r="A125" s="178"/>
      <c r="B125" s="1098" t="s">
        <v>667</v>
      </c>
      <c r="C125" s="1098"/>
      <c r="D125" s="1098"/>
      <c r="E125" s="1098"/>
      <c r="F125" s="1098"/>
      <c r="G125" s="1098"/>
      <c r="H125" s="1098"/>
      <c r="I125" s="1098"/>
      <c r="J125" s="1098"/>
      <c r="K125" s="1098"/>
      <c r="L125" s="1098"/>
      <c r="M125" s="1098"/>
      <c r="N125" s="1098"/>
      <c r="O125" s="1098"/>
      <c r="P125" s="1098"/>
      <c r="Q125" s="1098"/>
      <c r="R125" s="1098"/>
      <c r="S125" s="1098"/>
      <c r="T125" s="1098"/>
      <c r="U125" s="1098"/>
      <c r="V125" s="1098"/>
      <c r="W125" s="1098"/>
      <c r="X125" s="1098"/>
      <c r="Y125" s="1098"/>
      <c r="Z125" s="1098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78"/>
      <c r="AW125" s="178"/>
      <c r="AX125" s="1098" t="s">
        <v>667</v>
      </c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  <c r="BX125" s="1098"/>
      <c r="BY125" s="1098"/>
      <c r="BZ125" s="1098"/>
      <c r="CA125" s="1098"/>
      <c r="CB125" s="1098"/>
      <c r="CC125" s="1098"/>
      <c r="CD125" s="1098"/>
      <c r="CE125" s="1098"/>
      <c r="CF125" s="1098"/>
      <c r="CG125" s="1098"/>
      <c r="CH125" s="1098"/>
      <c r="CI125" s="1098"/>
      <c r="CJ125" s="1098"/>
      <c r="CK125" s="1098"/>
      <c r="CL125" s="1098"/>
      <c r="CM125" s="1098"/>
      <c r="CN125" s="1098"/>
      <c r="CO125" s="1098"/>
      <c r="CP125" s="1098"/>
      <c r="CQ125" s="1098"/>
      <c r="CS125" s="178"/>
      <c r="CT125" s="1098" t="s">
        <v>667</v>
      </c>
      <c r="CU125" s="1098"/>
      <c r="CV125" s="1098"/>
      <c r="CW125" s="1098"/>
      <c r="CX125" s="1098"/>
      <c r="CY125" s="1098"/>
      <c r="CZ125" s="1098"/>
      <c r="DA125" s="1098"/>
      <c r="DB125" s="1098"/>
      <c r="DC125" s="1098"/>
      <c r="DD125" s="1098"/>
      <c r="DE125" s="1098"/>
      <c r="DF125" s="1098"/>
      <c r="DG125" s="1098"/>
      <c r="DH125" s="1098"/>
      <c r="DI125" s="1098"/>
      <c r="DJ125" s="1098"/>
      <c r="DK125" s="1098"/>
      <c r="DL125" s="1098"/>
      <c r="DM125" s="1098"/>
      <c r="DN125" s="1098"/>
      <c r="DO125" s="1098"/>
      <c r="DP125" s="1098"/>
      <c r="DQ125" s="1098"/>
      <c r="DR125" s="1098"/>
      <c r="DS125" s="1098"/>
      <c r="DT125" s="1098"/>
      <c r="DU125" s="1098"/>
      <c r="DV125" s="1098"/>
      <c r="DW125" s="1098"/>
      <c r="DX125" s="1098"/>
      <c r="DY125" s="1098"/>
      <c r="DZ125" s="1098"/>
      <c r="EA125" s="1098"/>
      <c r="EB125" s="1098"/>
      <c r="EC125" s="1098"/>
      <c r="ED125" s="1098"/>
      <c r="EE125" s="1098"/>
      <c r="EF125" s="1098"/>
      <c r="EG125" s="1098"/>
      <c r="EH125" s="1098"/>
      <c r="EI125" s="1098"/>
      <c r="EJ125" s="1098"/>
      <c r="EK125" s="1098"/>
      <c r="EL125" s="1098"/>
      <c r="EM125" s="1098"/>
    </row>
    <row r="126" spans="1:143" ht="18.75" customHeight="1">
      <c r="A126" s="178"/>
      <c r="B126" s="190"/>
      <c r="C126" s="190"/>
      <c r="D126" s="1094" t="s">
        <v>668</v>
      </c>
      <c r="E126" s="1094"/>
      <c r="F126" s="1079" t="s">
        <v>669</v>
      </c>
      <c r="G126" s="1079"/>
      <c r="H126" s="1079"/>
      <c r="I126" s="1079"/>
      <c r="J126" s="1079"/>
      <c r="K126" s="1079"/>
      <c r="L126" s="1079"/>
      <c r="M126" s="1079"/>
      <c r="N126" s="1079"/>
      <c r="O126" s="1079"/>
      <c r="P126" s="1079"/>
      <c r="Q126" s="1079"/>
      <c r="R126" s="1079"/>
      <c r="S126" s="1079"/>
      <c r="T126" s="1079"/>
      <c r="U126" s="1079"/>
      <c r="V126" s="1079"/>
      <c r="W126" s="1079"/>
      <c r="X126" s="1079"/>
      <c r="Y126" s="1079"/>
      <c r="Z126" s="1079"/>
      <c r="AA126" s="1079"/>
      <c r="AB126" s="1079"/>
      <c r="AC126" s="1079"/>
      <c r="AD126" s="1079"/>
      <c r="AE126" s="1079"/>
      <c r="AF126" s="1079"/>
      <c r="AG126" s="1079"/>
      <c r="AH126" s="1079"/>
      <c r="AI126" s="1079"/>
      <c r="AJ126" s="1079"/>
      <c r="AK126" s="1079"/>
      <c r="AL126" s="1079"/>
      <c r="AM126" s="1079"/>
      <c r="AN126" s="1079"/>
      <c r="AO126" s="1079"/>
      <c r="AP126" s="1079"/>
      <c r="AQ126" s="1079"/>
      <c r="AR126" s="1079"/>
      <c r="AS126" s="1079"/>
      <c r="AT126" s="1079"/>
      <c r="AU126" s="1079"/>
      <c r="AV126" s="178"/>
      <c r="AW126" s="178"/>
      <c r="AX126" s="190"/>
      <c r="AY126" s="190"/>
      <c r="AZ126" s="1094" t="s">
        <v>668</v>
      </c>
      <c r="BA126" s="1094"/>
      <c r="BB126" s="1079" t="s">
        <v>669</v>
      </c>
      <c r="BC126" s="1079"/>
      <c r="BD126" s="1079"/>
      <c r="BE126" s="1079"/>
      <c r="BF126" s="1079"/>
      <c r="BG126" s="1079"/>
      <c r="BH126" s="1079"/>
      <c r="BI126" s="1079"/>
      <c r="BJ126" s="1079"/>
      <c r="BK126" s="1079"/>
      <c r="BL126" s="1079"/>
      <c r="BM126" s="1079"/>
      <c r="BN126" s="1079"/>
      <c r="BO126" s="1079"/>
      <c r="BP126" s="1079"/>
      <c r="BQ126" s="1079"/>
      <c r="BR126" s="1079"/>
      <c r="BS126" s="1079"/>
      <c r="BT126" s="1079"/>
      <c r="BU126" s="1079"/>
      <c r="BV126" s="1079"/>
      <c r="BW126" s="1079"/>
      <c r="BX126" s="1079"/>
      <c r="BY126" s="1079"/>
      <c r="BZ126" s="1079"/>
      <c r="CA126" s="1079"/>
      <c r="CB126" s="1079"/>
      <c r="CC126" s="1079"/>
      <c r="CD126" s="1079"/>
      <c r="CE126" s="1079"/>
      <c r="CF126" s="1079"/>
      <c r="CG126" s="1079"/>
      <c r="CH126" s="1079"/>
      <c r="CI126" s="1079"/>
      <c r="CJ126" s="1079"/>
      <c r="CK126" s="1079"/>
      <c r="CL126" s="1079"/>
      <c r="CM126" s="1079"/>
      <c r="CN126" s="1079"/>
      <c r="CO126" s="1079"/>
      <c r="CP126" s="1079"/>
      <c r="CQ126" s="1079"/>
      <c r="CS126" s="178"/>
      <c r="CT126" s="190"/>
      <c r="CU126" s="190"/>
      <c r="CV126" s="1094" t="s">
        <v>668</v>
      </c>
      <c r="CW126" s="1094"/>
      <c r="CX126" s="1079" t="s">
        <v>669</v>
      </c>
      <c r="CY126" s="1079"/>
      <c r="CZ126" s="1079"/>
      <c r="DA126" s="1079"/>
      <c r="DB126" s="1079"/>
      <c r="DC126" s="1079"/>
      <c r="DD126" s="1079"/>
      <c r="DE126" s="1079"/>
      <c r="DF126" s="1079"/>
      <c r="DG126" s="1079"/>
      <c r="DH126" s="1079"/>
      <c r="DI126" s="1079"/>
      <c r="DJ126" s="1079"/>
      <c r="DK126" s="1079"/>
      <c r="DL126" s="1079"/>
      <c r="DM126" s="1079"/>
      <c r="DN126" s="1079"/>
      <c r="DO126" s="1079"/>
      <c r="DP126" s="1079"/>
      <c r="DQ126" s="1079"/>
      <c r="DR126" s="1079"/>
      <c r="DS126" s="1079"/>
      <c r="DT126" s="1079"/>
      <c r="DU126" s="1079"/>
      <c r="DV126" s="1079"/>
      <c r="DW126" s="1079"/>
      <c r="DX126" s="1079"/>
      <c r="DY126" s="1079"/>
      <c r="DZ126" s="1079"/>
      <c r="EA126" s="1079"/>
      <c r="EB126" s="1079"/>
      <c r="EC126" s="1079"/>
      <c r="ED126" s="1079"/>
      <c r="EE126" s="1079"/>
      <c r="EF126" s="1079"/>
      <c r="EG126" s="1079"/>
      <c r="EH126" s="1079"/>
      <c r="EI126" s="1079"/>
      <c r="EJ126" s="1079"/>
      <c r="EK126" s="1079"/>
      <c r="EL126" s="1079"/>
      <c r="EM126" s="1079"/>
    </row>
    <row r="127" spans="1:143" ht="41.25" customHeight="1">
      <c r="A127" s="178"/>
      <c r="B127" s="1098" t="s">
        <v>670</v>
      </c>
      <c r="C127" s="1098"/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098"/>
      <c r="V127" s="1098"/>
      <c r="W127" s="1098"/>
      <c r="X127" s="1098"/>
      <c r="Y127" s="1098"/>
      <c r="Z127" s="1098"/>
      <c r="AA127" s="1098"/>
      <c r="AB127" s="1098"/>
      <c r="AC127" s="1098"/>
      <c r="AD127" s="1098"/>
      <c r="AE127" s="1098"/>
      <c r="AF127" s="1098"/>
      <c r="AG127" s="1098"/>
      <c r="AH127" s="1098"/>
      <c r="AI127" s="1098"/>
      <c r="AJ127" s="1098"/>
      <c r="AK127" s="1098"/>
      <c r="AL127" s="1098"/>
      <c r="AM127" s="1098"/>
      <c r="AN127" s="1098"/>
      <c r="AO127" s="1098"/>
      <c r="AP127" s="1098"/>
      <c r="AQ127" s="1098"/>
      <c r="AR127" s="1098"/>
      <c r="AS127" s="1098"/>
      <c r="AT127" s="1098"/>
      <c r="AU127" s="1098"/>
      <c r="AV127" s="178"/>
      <c r="AW127" s="178"/>
      <c r="AX127" s="1098" t="s">
        <v>670</v>
      </c>
      <c r="AY127" s="1098"/>
      <c r="AZ127" s="1098"/>
      <c r="BA127" s="1098"/>
      <c r="BB127" s="1098"/>
      <c r="BC127" s="1098"/>
      <c r="BD127" s="1098"/>
      <c r="BE127" s="1098"/>
      <c r="BF127" s="1098"/>
      <c r="BG127" s="1098"/>
      <c r="BH127" s="1098"/>
      <c r="BI127" s="1098"/>
      <c r="BJ127" s="1098"/>
      <c r="BK127" s="1098"/>
      <c r="BL127" s="1098"/>
      <c r="BM127" s="1098"/>
      <c r="BN127" s="1098"/>
      <c r="BO127" s="1098"/>
      <c r="BP127" s="1098"/>
      <c r="BQ127" s="1098"/>
      <c r="BR127" s="1098"/>
      <c r="BS127" s="1098"/>
      <c r="BT127" s="1098"/>
      <c r="BU127" s="1098"/>
      <c r="BV127" s="1098"/>
      <c r="BW127" s="1098"/>
      <c r="BX127" s="1098"/>
      <c r="BY127" s="1098"/>
      <c r="BZ127" s="1098"/>
      <c r="CA127" s="1098"/>
      <c r="CB127" s="1098"/>
      <c r="CC127" s="1098"/>
      <c r="CD127" s="1098"/>
      <c r="CE127" s="1098"/>
      <c r="CF127" s="1098"/>
      <c r="CG127" s="1098"/>
      <c r="CH127" s="1098"/>
      <c r="CI127" s="1098"/>
      <c r="CJ127" s="1098"/>
      <c r="CK127" s="1098"/>
      <c r="CL127" s="1098"/>
      <c r="CM127" s="1098"/>
      <c r="CN127" s="1098"/>
      <c r="CO127" s="1098"/>
      <c r="CP127" s="1098"/>
      <c r="CQ127" s="1098"/>
      <c r="CS127" s="178"/>
      <c r="CT127" s="1098" t="s">
        <v>670</v>
      </c>
      <c r="CU127" s="1098"/>
      <c r="CV127" s="1098"/>
      <c r="CW127" s="1098"/>
      <c r="CX127" s="1098"/>
      <c r="CY127" s="1098"/>
      <c r="CZ127" s="1098"/>
      <c r="DA127" s="1098"/>
      <c r="DB127" s="1098"/>
      <c r="DC127" s="1098"/>
      <c r="DD127" s="1098"/>
      <c r="DE127" s="1098"/>
      <c r="DF127" s="1098"/>
      <c r="DG127" s="1098"/>
      <c r="DH127" s="1098"/>
      <c r="DI127" s="1098"/>
      <c r="DJ127" s="1098"/>
      <c r="DK127" s="1098"/>
      <c r="DL127" s="1098"/>
      <c r="DM127" s="1098"/>
      <c r="DN127" s="1098"/>
      <c r="DO127" s="1098"/>
      <c r="DP127" s="1098"/>
      <c r="DQ127" s="1098"/>
      <c r="DR127" s="1098"/>
      <c r="DS127" s="1098"/>
      <c r="DT127" s="1098"/>
      <c r="DU127" s="1098"/>
      <c r="DV127" s="1098"/>
      <c r="DW127" s="1098"/>
      <c r="DX127" s="1098"/>
      <c r="DY127" s="1098"/>
      <c r="DZ127" s="1098"/>
      <c r="EA127" s="1098"/>
      <c r="EB127" s="1098"/>
      <c r="EC127" s="1098"/>
      <c r="ED127" s="1098"/>
      <c r="EE127" s="1098"/>
      <c r="EF127" s="1098"/>
      <c r="EG127" s="1098"/>
      <c r="EH127" s="1098"/>
      <c r="EI127" s="1098"/>
      <c r="EJ127" s="1098"/>
      <c r="EK127" s="1098"/>
      <c r="EL127" s="1098"/>
      <c r="EM127" s="1098"/>
    </row>
    <row r="128" spans="1:143" ht="18.75" customHeight="1">
      <c r="A128" s="178"/>
      <c r="B128" s="190"/>
      <c r="C128" s="190"/>
      <c r="D128" s="1094" t="s">
        <v>671</v>
      </c>
      <c r="E128" s="1094"/>
      <c r="F128" s="1147" t="s">
        <v>672</v>
      </c>
      <c r="G128" s="1147"/>
      <c r="H128" s="1147"/>
      <c r="I128" s="1147"/>
      <c r="J128" s="1147"/>
      <c r="K128" s="1147"/>
      <c r="L128" s="1147"/>
      <c r="M128" s="1147"/>
      <c r="N128" s="1147"/>
      <c r="O128" s="1147"/>
      <c r="P128" s="1147"/>
      <c r="Q128" s="1147"/>
      <c r="R128" s="1147"/>
      <c r="S128" s="1147"/>
      <c r="T128" s="1147"/>
      <c r="U128" s="1147"/>
      <c r="V128" s="1147"/>
      <c r="W128" s="1147"/>
      <c r="X128" s="1147"/>
      <c r="Y128" s="1147"/>
      <c r="Z128" s="1147"/>
      <c r="AA128" s="1147"/>
      <c r="AB128" s="1147"/>
      <c r="AC128" s="1147"/>
      <c r="AD128" s="1147"/>
      <c r="AE128" s="1147"/>
      <c r="AF128" s="1147"/>
      <c r="AG128" s="1147"/>
      <c r="AH128" s="1147"/>
      <c r="AI128" s="1147"/>
      <c r="AJ128" s="1147"/>
      <c r="AK128" s="1147"/>
      <c r="AL128" s="1147"/>
      <c r="AM128" s="1147"/>
      <c r="AN128" s="1147"/>
      <c r="AO128" s="1147"/>
      <c r="AP128" s="1147"/>
      <c r="AQ128" s="1147"/>
      <c r="AR128" s="1147"/>
      <c r="AS128" s="1147"/>
      <c r="AT128" s="1147"/>
      <c r="AU128" s="1147"/>
      <c r="AV128" s="178"/>
      <c r="AW128" s="178"/>
      <c r="AX128" s="190"/>
      <c r="AY128" s="190"/>
      <c r="AZ128" s="1094" t="s">
        <v>671</v>
      </c>
      <c r="BA128" s="1094"/>
      <c r="BB128" s="1079" t="s">
        <v>672</v>
      </c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  <c r="BX128" s="1079"/>
      <c r="BY128" s="1079"/>
      <c r="BZ128" s="1079"/>
      <c r="CA128" s="1079"/>
      <c r="CB128" s="1079"/>
      <c r="CC128" s="1079"/>
      <c r="CD128" s="1079"/>
      <c r="CE128" s="1079"/>
      <c r="CF128" s="1079"/>
      <c r="CG128" s="1079"/>
      <c r="CH128" s="1079"/>
      <c r="CI128" s="1079"/>
      <c r="CJ128" s="1079"/>
      <c r="CK128" s="1079"/>
      <c r="CL128" s="1079"/>
      <c r="CM128" s="1079"/>
      <c r="CN128" s="1079"/>
      <c r="CO128" s="1079"/>
      <c r="CP128" s="1079"/>
      <c r="CQ128" s="1079"/>
      <c r="CS128" s="178"/>
      <c r="CT128" s="190"/>
      <c r="CU128" s="190"/>
      <c r="CV128" s="1094" t="s">
        <v>671</v>
      </c>
      <c r="CW128" s="1094"/>
      <c r="CX128" s="1079" t="s">
        <v>672</v>
      </c>
      <c r="CY128" s="1079"/>
      <c r="CZ128" s="1079"/>
      <c r="DA128" s="1079"/>
      <c r="DB128" s="1079"/>
      <c r="DC128" s="1079"/>
      <c r="DD128" s="1079"/>
      <c r="DE128" s="1079"/>
      <c r="DF128" s="1079"/>
      <c r="DG128" s="1079"/>
      <c r="DH128" s="1079"/>
      <c r="DI128" s="1079"/>
      <c r="DJ128" s="1079"/>
      <c r="DK128" s="1079"/>
      <c r="DL128" s="1079"/>
      <c r="DM128" s="1079"/>
      <c r="DN128" s="1079"/>
      <c r="DO128" s="1079"/>
      <c r="DP128" s="1079"/>
      <c r="DQ128" s="1079"/>
      <c r="DR128" s="1079"/>
      <c r="DS128" s="1079"/>
      <c r="DT128" s="1079"/>
      <c r="DU128" s="1079"/>
      <c r="DV128" s="1079"/>
      <c r="DW128" s="1079"/>
      <c r="DX128" s="1079"/>
      <c r="DY128" s="1079"/>
      <c r="DZ128" s="1079"/>
      <c r="EA128" s="1079"/>
      <c r="EB128" s="1079"/>
      <c r="EC128" s="1079"/>
      <c r="ED128" s="1079"/>
      <c r="EE128" s="1079"/>
      <c r="EF128" s="1079"/>
      <c r="EG128" s="1079"/>
      <c r="EH128" s="1079"/>
      <c r="EI128" s="1079"/>
      <c r="EJ128" s="1079"/>
      <c r="EK128" s="1079"/>
      <c r="EL128" s="1079"/>
      <c r="EM128" s="1079"/>
    </row>
    <row r="129" spans="1:143" ht="80.25" customHeight="1">
      <c r="A129" s="178"/>
      <c r="B129" s="1098" t="s">
        <v>673</v>
      </c>
      <c r="C129" s="1098"/>
      <c r="D129" s="1098"/>
      <c r="E129" s="1098"/>
      <c r="F129" s="1098"/>
      <c r="G129" s="1098"/>
      <c r="H129" s="1098"/>
      <c r="I129" s="1098"/>
      <c r="J129" s="1098"/>
      <c r="K129" s="1098"/>
      <c r="L129" s="1098"/>
      <c r="M129" s="1098"/>
      <c r="N129" s="1098"/>
      <c r="O129" s="1098"/>
      <c r="P129" s="1098"/>
      <c r="Q129" s="1098"/>
      <c r="R129" s="1098"/>
      <c r="S129" s="1098"/>
      <c r="T129" s="1098"/>
      <c r="U129" s="1098"/>
      <c r="V129" s="1098"/>
      <c r="W129" s="1098"/>
      <c r="X129" s="1098"/>
      <c r="Y129" s="1098"/>
      <c r="Z129" s="1098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098"/>
      <c r="AO129" s="1098"/>
      <c r="AP129" s="1098"/>
      <c r="AQ129" s="1098"/>
      <c r="AR129" s="1098"/>
      <c r="AS129" s="1098"/>
      <c r="AT129" s="1098"/>
      <c r="AU129" s="1098"/>
      <c r="AV129" s="178"/>
      <c r="AW129" s="178"/>
      <c r="AX129" s="1098" t="s">
        <v>673</v>
      </c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  <c r="BX129" s="1098"/>
      <c r="BY129" s="1098"/>
      <c r="BZ129" s="1098"/>
      <c r="CA129" s="1098"/>
      <c r="CB129" s="1098"/>
      <c r="CC129" s="1098"/>
      <c r="CD129" s="1098"/>
      <c r="CE129" s="1098"/>
      <c r="CF129" s="1098"/>
      <c r="CG129" s="1098"/>
      <c r="CH129" s="1098"/>
      <c r="CI129" s="1098"/>
      <c r="CJ129" s="1098"/>
      <c r="CK129" s="1098"/>
      <c r="CL129" s="1098"/>
      <c r="CM129" s="1098"/>
      <c r="CN129" s="1098"/>
      <c r="CO129" s="1098"/>
      <c r="CP129" s="1098"/>
      <c r="CQ129" s="1098"/>
      <c r="CS129" s="178"/>
      <c r="CT129" s="1098" t="s">
        <v>673</v>
      </c>
      <c r="CU129" s="1098"/>
      <c r="CV129" s="1098"/>
      <c r="CW129" s="1098"/>
      <c r="CX129" s="1098"/>
      <c r="CY129" s="1098"/>
      <c r="CZ129" s="1098"/>
      <c r="DA129" s="1098"/>
      <c r="DB129" s="1098"/>
      <c r="DC129" s="1098"/>
      <c r="DD129" s="1098"/>
      <c r="DE129" s="1098"/>
      <c r="DF129" s="1098"/>
      <c r="DG129" s="1098"/>
      <c r="DH129" s="1098"/>
      <c r="DI129" s="1098"/>
      <c r="DJ129" s="1098"/>
      <c r="DK129" s="1098"/>
      <c r="DL129" s="1098"/>
      <c r="DM129" s="1098"/>
      <c r="DN129" s="1098"/>
      <c r="DO129" s="1098"/>
      <c r="DP129" s="1098"/>
      <c r="DQ129" s="1098"/>
      <c r="DR129" s="1098"/>
      <c r="DS129" s="1098"/>
      <c r="DT129" s="1098"/>
      <c r="DU129" s="1098"/>
      <c r="DV129" s="1098"/>
      <c r="DW129" s="1098"/>
      <c r="DX129" s="1098"/>
      <c r="DY129" s="1098"/>
      <c r="DZ129" s="1098"/>
      <c r="EA129" s="1098"/>
      <c r="EB129" s="1098"/>
      <c r="EC129" s="1098"/>
      <c r="ED129" s="1098"/>
      <c r="EE129" s="1098"/>
      <c r="EF129" s="1098"/>
      <c r="EG129" s="1098"/>
      <c r="EH129" s="1098"/>
      <c r="EI129" s="1098"/>
      <c r="EJ129" s="1098"/>
      <c r="EK129" s="1098"/>
      <c r="EL129" s="1098"/>
      <c r="EM129" s="1098"/>
    </row>
    <row r="130" spans="1:143" ht="18.75" customHeight="1">
      <c r="A130" s="178"/>
      <c r="B130" s="1128" t="s">
        <v>674</v>
      </c>
      <c r="C130" s="1128"/>
      <c r="D130" s="1128"/>
      <c r="E130" s="1128"/>
      <c r="F130" s="1128"/>
      <c r="G130" s="1128"/>
      <c r="H130" s="1128"/>
      <c r="I130" s="1128"/>
      <c r="J130" s="1128"/>
      <c r="K130" s="1128"/>
      <c r="L130" s="1128"/>
      <c r="M130" s="1128"/>
      <c r="N130" s="1128"/>
      <c r="O130" s="1128"/>
      <c r="P130" s="1128"/>
      <c r="Q130" s="1128"/>
      <c r="R130" s="1128"/>
      <c r="S130" s="1128"/>
      <c r="T130" s="1128"/>
      <c r="U130" s="1128"/>
      <c r="V130" s="1128"/>
      <c r="W130" s="1128"/>
      <c r="X130" s="1128"/>
      <c r="Y130" s="1128"/>
      <c r="Z130" s="1128"/>
      <c r="AA130" s="1128"/>
      <c r="AB130" s="1128"/>
      <c r="AC130" s="1128"/>
      <c r="AD130" s="1128"/>
      <c r="AE130" s="1128"/>
      <c r="AF130" s="1128"/>
      <c r="AG130" s="1128"/>
      <c r="AH130" s="1128"/>
      <c r="AI130" s="1128"/>
      <c r="AJ130" s="1128"/>
      <c r="AK130" s="1128"/>
      <c r="AL130" s="1128"/>
      <c r="AM130" s="1128"/>
      <c r="AN130" s="1128"/>
      <c r="AO130" s="1128"/>
      <c r="AP130" s="1128"/>
      <c r="AQ130" s="1128"/>
      <c r="AR130" s="1128"/>
      <c r="AS130" s="1128"/>
      <c r="AT130" s="1128"/>
      <c r="AU130" s="1128"/>
      <c r="AV130" s="178"/>
      <c r="AW130" s="178"/>
      <c r="AX130" s="1128" t="s">
        <v>674</v>
      </c>
      <c r="AY130" s="1128"/>
      <c r="AZ130" s="1128"/>
      <c r="BA130" s="1128"/>
      <c r="BB130" s="1128"/>
      <c r="BC130" s="1128"/>
      <c r="BD130" s="1128"/>
      <c r="BE130" s="1128"/>
      <c r="BF130" s="1128"/>
      <c r="BG130" s="1128"/>
      <c r="BH130" s="1128"/>
      <c r="BI130" s="1128"/>
      <c r="BJ130" s="1128"/>
      <c r="BK130" s="1128"/>
      <c r="BL130" s="1128"/>
      <c r="BM130" s="1128"/>
      <c r="BN130" s="1128"/>
      <c r="BO130" s="1128"/>
      <c r="BP130" s="1128"/>
      <c r="BQ130" s="1128"/>
      <c r="BR130" s="1128"/>
      <c r="BS130" s="1128"/>
      <c r="BT130" s="1128"/>
      <c r="BU130" s="1128"/>
      <c r="BV130" s="1128"/>
      <c r="BW130" s="1128"/>
      <c r="BX130" s="1128"/>
      <c r="BY130" s="1128"/>
      <c r="BZ130" s="1128"/>
      <c r="CA130" s="1128"/>
      <c r="CB130" s="1128"/>
      <c r="CC130" s="1128"/>
      <c r="CD130" s="1128"/>
      <c r="CE130" s="1128"/>
      <c r="CF130" s="1128"/>
      <c r="CG130" s="1128"/>
      <c r="CH130" s="1128"/>
      <c r="CI130" s="1128"/>
      <c r="CJ130" s="1128"/>
      <c r="CK130" s="1128"/>
      <c r="CL130" s="1128"/>
      <c r="CM130" s="1128"/>
      <c r="CN130" s="1128"/>
      <c r="CO130" s="1128"/>
      <c r="CP130" s="1128"/>
      <c r="CQ130" s="1128"/>
      <c r="CS130" s="178"/>
      <c r="CT130" s="1128" t="s">
        <v>674</v>
      </c>
      <c r="CU130" s="1128"/>
      <c r="CV130" s="1128"/>
      <c r="CW130" s="1128"/>
      <c r="CX130" s="1128"/>
      <c r="CY130" s="1128"/>
      <c r="CZ130" s="1128"/>
      <c r="DA130" s="1128"/>
      <c r="DB130" s="1128"/>
      <c r="DC130" s="1128"/>
      <c r="DD130" s="1128"/>
      <c r="DE130" s="1128"/>
      <c r="DF130" s="1128"/>
      <c r="DG130" s="1128"/>
      <c r="DH130" s="1128"/>
      <c r="DI130" s="1128"/>
      <c r="DJ130" s="1128"/>
      <c r="DK130" s="1128"/>
      <c r="DL130" s="1128"/>
      <c r="DM130" s="1128"/>
      <c r="DN130" s="1128"/>
      <c r="DO130" s="1128"/>
      <c r="DP130" s="1128"/>
      <c r="DQ130" s="1128"/>
      <c r="DR130" s="1128"/>
      <c r="DS130" s="1128"/>
      <c r="DT130" s="1128"/>
      <c r="DU130" s="1128"/>
      <c r="DV130" s="1128"/>
      <c r="DW130" s="1128"/>
      <c r="DX130" s="1128"/>
      <c r="DY130" s="1128"/>
      <c r="DZ130" s="1128"/>
      <c r="EA130" s="1128"/>
      <c r="EB130" s="1128"/>
      <c r="EC130" s="1128"/>
      <c r="ED130" s="1128"/>
      <c r="EE130" s="1128"/>
      <c r="EF130" s="1128"/>
      <c r="EG130" s="1128"/>
      <c r="EH130" s="1128"/>
      <c r="EI130" s="1128"/>
      <c r="EJ130" s="1128"/>
      <c r="EK130" s="1128"/>
      <c r="EL130" s="1128"/>
      <c r="EM130" s="1128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99" t="s">
        <v>675</v>
      </c>
      <c r="C132" s="1099"/>
      <c r="D132" s="1099"/>
      <c r="E132" s="1099"/>
      <c r="F132" s="1099"/>
      <c r="G132" s="1099"/>
      <c r="H132" s="1099"/>
      <c r="I132" s="1099"/>
      <c r="J132" s="1099"/>
      <c r="K132" s="1099"/>
      <c r="L132" s="1099"/>
      <c r="M132" s="1099"/>
      <c r="N132" s="1099"/>
      <c r="O132" s="1099"/>
      <c r="P132" s="1099"/>
      <c r="Q132" s="1099"/>
      <c r="R132" s="1099"/>
      <c r="S132" s="1099"/>
      <c r="T132" s="1099"/>
      <c r="U132" s="1099"/>
      <c r="V132" s="1099"/>
      <c r="W132" s="1099"/>
      <c r="X132" s="1099"/>
      <c r="Y132" s="1099" t="s">
        <v>676</v>
      </c>
      <c r="Z132" s="1099"/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099"/>
      <c r="AO132" s="1099"/>
      <c r="AP132" s="1099"/>
      <c r="AQ132" s="1099"/>
      <c r="AR132" s="1099"/>
      <c r="AS132" s="1099"/>
      <c r="AT132" s="1099"/>
      <c r="AU132" s="1099"/>
      <c r="AV132" s="178"/>
      <c r="AW132" s="178"/>
      <c r="AX132" s="1099" t="s">
        <v>675</v>
      </c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  <c r="BU132" s="1099" t="s">
        <v>676</v>
      </c>
      <c r="BV132" s="1099"/>
      <c r="BW132" s="1099"/>
      <c r="BX132" s="1099"/>
      <c r="BY132" s="1099"/>
      <c r="BZ132" s="1099"/>
      <c r="CA132" s="1099"/>
      <c r="CB132" s="1099"/>
      <c r="CC132" s="1099"/>
      <c r="CD132" s="1099"/>
      <c r="CE132" s="1099"/>
      <c r="CF132" s="1099"/>
      <c r="CG132" s="1099"/>
      <c r="CH132" s="1099"/>
      <c r="CI132" s="1099"/>
      <c r="CJ132" s="1099"/>
      <c r="CK132" s="1099"/>
      <c r="CL132" s="1099"/>
      <c r="CM132" s="1099"/>
      <c r="CN132" s="1099"/>
      <c r="CO132" s="1099"/>
      <c r="CP132" s="1099"/>
      <c r="CQ132" s="1099"/>
      <c r="CS132" s="178"/>
      <c r="CT132" s="1099" t="s">
        <v>675</v>
      </c>
      <c r="CU132" s="1099"/>
      <c r="CV132" s="1099"/>
      <c r="CW132" s="1099"/>
      <c r="CX132" s="1099"/>
      <c r="CY132" s="1099"/>
      <c r="CZ132" s="1099"/>
      <c r="DA132" s="1099"/>
      <c r="DB132" s="1099"/>
      <c r="DC132" s="1099"/>
      <c r="DD132" s="1099"/>
      <c r="DE132" s="1099"/>
      <c r="DF132" s="1099"/>
      <c r="DG132" s="1099"/>
      <c r="DH132" s="1099"/>
      <c r="DI132" s="1099"/>
      <c r="DJ132" s="1099"/>
      <c r="DK132" s="1099"/>
      <c r="DL132" s="1099"/>
      <c r="DM132" s="1099"/>
      <c r="DN132" s="1099"/>
      <c r="DO132" s="1099"/>
      <c r="DP132" s="1099"/>
      <c r="DQ132" s="1099" t="s">
        <v>676</v>
      </c>
      <c r="DR132" s="1099"/>
      <c r="DS132" s="1099"/>
      <c r="DT132" s="1099"/>
      <c r="DU132" s="1099"/>
      <c r="DV132" s="1099"/>
      <c r="DW132" s="1099"/>
      <c r="DX132" s="1099"/>
      <c r="DY132" s="1099"/>
      <c r="DZ132" s="1099"/>
      <c r="EA132" s="1099"/>
      <c r="EB132" s="1099"/>
      <c r="EC132" s="1099"/>
      <c r="ED132" s="1099"/>
      <c r="EE132" s="1099"/>
      <c r="EF132" s="1099"/>
      <c r="EG132" s="1099"/>
      <c r="EH132" s="1099"/>
      <c r="EI132" s="1099"/>
      <c r="EJ132" s="1099"/>
      <c r="EK132" s="1099"/>
      <c r="EL132" s="1099"/>
      <c r="EM132" s="1099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140" t="s">
        <v>677</v>
      </c>
      <c r="C134" s="1140"/>
      <c r="D134" s="1140"/>
      <c r="E134" s="1140"/>
      <c r="F134" s="1139">
        <f>AA$38</f>
        <v>0</v>
      </c>
      <c r="G134" s="1139"/>
      <c r="H134" s="1139"/>
      <c r="I134" s="1139"/>
      <c r="J134" s="1139"/>
      <c r="K134" s="1139"/>
      <c r="L134" s="1139"/>
      <c r="M134" s="1139"/>
      <c r="N134" s="1139"/>
      <c r="O134" s="1139"/>
      <c r="P134" s="1139"/>
      <c r="Q134" s="1139"/>
      <c r="R134" s="1139"/>
      <c r="S134" s="1139"/>
      <c r="T134" s="1139"/>
      <c r="U134" s="1139"/>
      <c r="V134" s="1139"/>
      <c r="W134" s="202"/>
      <c r="X134" s="202"/>
      <c r="Y134" s="1140" t="s">
        <v>678</v>
      </c>
      <c r="Z134" s="1140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140"/>
      <c r="AO134" s="1140"/>
      <c r="AP134" s="1140"/>
      <c r="AQ134" s="1140"/>
      <c r="AR134" s="1140"/>
      <c r="AS134" s="1140"/>
      <c r="AT134" s="1140"/>
      <c r="AU134" s="1140"/>
      <c r="AV134" s="178"/>
      <c r="AW134" s="178"/>
      <c r="AX134" s="1140" t="s">
        <v>677</v>
      </c>
      <c r="AY134" s="1140"/>
      <c r="AZ134" s="1140"/>
      <c r="BA134" s="1140"/>
      <c r="BB134" s="1139">
        <f>BW$38</f>
        <v>0</v>
      </c>
      <c r="BC134" s="1139"/>
      <c r="BD134" s="1139"/>
      <c r="BE134" s="1139"/>
      <c r="BF134" s="1139"/>
      <c r="BG134" s="1139"/>
      <c r="BH134" s="1139"/>
      <c r="BI134" s="1139"/>
      <c r="BJ134" s="1139"/>
      <c r="BK134" s="1139"/>
      <c r="BL134" s="1139"/>
      <c r="BM134" s="1139"/>
      <c r="BN134" s="1139"/>
      <c r="BO134" s="1139"/>
      <c r="BP134" s="1139"/>
      <c r="BQ134" s="1139"/>
      <c r="BR134" s="1139"/>
      <c r="BS134" s="202"/>
      <c r="BT134" s="202"/>
      <c r="BU134" s="1140" t="s">
        <v>678</v>
      </c>
      <c r="BV134" s="1140"/>
      <c r="BW134" s="1140"/>
      <c r="BX134" s="1140"/>
      <c r="BY134" s="1140"/>
      <c r="BZ134" s="1140"/>
      <c r="CA134" s="1140"/>
      <c r="CB134" s="1140"/>
      <c r="CC134" s="1140"/>
      <c r="CD134" s="1140"/>
      <c r="CE134" s="1140"/>
      <c r="CF134" s="1140"/>
      <c r="CG134" s="1140"/>
      <c r="CH134" s="1140"/>
      <c r="CI134" s="1140"/>
      <c r="CJ134" s="1140"/>
      <c r="CK134" s="1140"/>
      <c r="CL134" s="1140"/>
      <c r="CM134" s="1140"/>
      <c r="CN134" s="1140"/>
      <c r="CO134" s="1140"/>
      <c r="CP134" s="1140"/>
      <c r="CQ134" s="1140"/>
      <c r="CS134" s="178"/>
      <c r="CT134" s="1140" t="s">
        <v>677</v>
      </c>
      <c r="CU134" s="1140"/>
      <c r="CV134" s="1140"/>
      <c r="CW134" s="1140"/>
      <c r="CX134" s="1139">
        <f>DS$38</f>
        <v>0</v>
      </c>
      <c r="CY134" s="1139"/>
      <c r="CZ134" s="1139"/>
      <c r="DA134" s="1139"/>
      <c r="DB134" s="1139"/>
      <c r="DC134" s="1139"/>
      <c r="DD134" s="1139"/>
      <c r="DE134" s="1139"/>
      <c r="DF134" s="1139"/>
      <c r="DG134" s="1139"/>
      <c r="DH134" s="1139"/>
      <c r="DI134" s="1139"/>
      <c r="DJ134" s="1139"/>
      <c r="DK134" s="1139"/>
      <c r="DL134" s="1139"/>
      <c r="DM134" s="1139"/>
      <c r="DN134" s="1139"/>
      <c r="DO134" s="202"/>
      <c r="DP134" s="202"/>
      <c r="DQ134" s="1140" t="s">
        <v>678</v>
      </c>
      <c r="DR134" s="1140"/>
      <c r="DS134" s="1140"/>
      <c r="DT134" s="1140"/>
      <c r="DU134" s="1140"/>
      <c r="DV134" s="1140"/>
      <c r="DW134" s="1140"/>
      <c r="DX134" s="1140"/>
      <c r="DY134" s="1140"/>
      <c r="DZ134" s="1140"/>
      <c r="EA134" s="1140"/>
      <c r="EB134" s="1140"/>
      <c r="EC134" s="1140"/>
      <c r="ED134" s="1140"/>
      <c r="EE134" s="1140"/>
      <c r="EF134" s="1140"/>
      <c r="EG134" s="1140"/>
      <c r="EH134" s="1140"/>
      <c r="EI134" s="1140"/>
      <c r="EJ134" s="1140"/>
      <c r="EK134" s="1140"/>
      <c r="EL134" s="1140"/>
      <c r="EM134" s="1140"/>
    </row>
    <row r="135" spans="1:143" ht="18.75" customHeight="1">
      <c r="A135" s="178"/>
      <c r="B135" s="1140" t="s">
        <v>679</v>
      </c>
      <c r="C135" s="1140"/>
      <c r="D135" s="1140"/>
      <c r="E135" s="1140"/>
      <c r="F135" s="1140"/>
      <c r="G135" s="1140"/>
      <c r="H135" s="1140"/>
      <c r="I135" s="1139">
        <f>I$17</f>
        <v>0</v>
      </c>
      <c r="J135" s="1139"/>
      <c r="K135" s="1139"/>
      <c r="L135" s="1139"/>
      <c r="M135" s="1139"/>
      <c r="N135" s="1139"/>
      <c r="O135" s="1141" t="s">
        <v>680</v>
      </c>
      <c r="P135" s="1141"/>
      <c r="Q135" s="1145">
        <f>I$18</f>
        <v>0</v>
      </c>
      <c r="R135" s="1145"/>
      <c r="S135" s="1145"/>
      <c r="T135" s="1145"/>
      <c r="U135" s="1145"/>
      <c r="V135" s="1145"/>
      <c r="W135" s="204"/>
      <c r="X135" s="202"/>
      <c r="Y135" s="1139" t="str">
        <f>B$40</f>
        <v>${name_ik}</v>
      </c>
      <c r="Z135" s="1139"/>
      <c r="AA135" s="1139"/>
      <c r="AB135" s="1139"/>
      <c r="AC135" s="1139"/>
      <c r="AD135" s="1139"/>
      <c r="AE135" s="1139"/>
      <c r="AF135" s="1139"/>
      <c r="AG135" s="1139"/>
      <c r="AH135" s="1139"/>
      <c r="AI135" s="1139"/>
      <c r="AJ135" s="1139"/>
      <c r="AK135" s="1139"/>
      <c r="AL135" s="1139"/>
      <c r="AM135" s="1139"/>
      <c r="AN135" s="1139"/>
      <c r="AO135" s="1139"/>
      <c r="AP135" s="1139"/>
      <c r="AQ135" s="1139"/>
      <c r="AR135" s="1139"/>
      <c r="AS135" s="1139"/>
      <c r="AT135" s="1139"/>
      <c r="AU135" s="1139"/>
      <c r="AV135" s="178"/>
      <c r="AW135" s="178"/>
      <c r="AX135" s="1140" t="s">
        <v>679</v>
      </c>
      <c r="AY135" s="1140"/>
      <c r="AZ135" s="1140"/>
      <c r="BA135" s="1140"/>
      <c r="BB135" s="1140"/>
      <c r="BC135" s="1140"/>
      <c r="BD135" s="1140"/>
      <c r="BE135" s="1139">
        <f>BE$17</f>
        <v>0</v>
      </c>
      <c r="BF135" s="1139"/>
      <c r="BG135" s="1139"/>
      <c r="BH135" s="1139"/>
      <c r="BI135" s="1139"/>
      <c r="BJ135" s="1139"/>
      <c r="BK135" s="1141" t="s">
        <v>680</v>
      </c>
      <c r="BL135" s="1141"/>
      <c r="BM135" s="1145">
        <f>BE$18</f>
        <v>0</v>
      </c>
      <c r="BN135" s="1145"/>
      <c r="BO135" s="1145"/>
      <c r="BP135" s="1145"/>
      <c r="BQ135" s="1145"/>
      <c r="BR135" s="1145"/>
      <c r="BS135" s="204"/>
      <c r="BT135" s="202"/>
      <c r="BU135" s="1139" t="str">
        <f>AX$40</f>
        <v>${name_ik}</v>
      </c>
      <c r="BV135" s="1139"/>
      <c r="BW135" s="1139"/>
      <c r="BX135" s="1139"/>
      <c r="BY135" s="1139"/>
      <c r="BZ135" s="1139"/>
      <c r="CA135" s="1139"/>
      <c r="CB135" s="1139"/>
      <c r="CC135" s="1139"/>
      <c r="CD135" s="1139"/>
      <c r="CE135" s="1139"/>
      <c r="CF135" s="1139"/>
      <c r="CG135" s="1139"/>
      <c r="CH135" s="1139"/>
      <c r="CI135" s="1139"/>
      <c r="CJ135" s="1139"/>
      <c r="CK135" s="1139"/>
      <c r="CL135" s="1139"/>
      <c r="CM135" s="1139"/>
      <c r="CN135" s="1139"/>
      <c r="CO135" s="1139"/>
      <c r="CP135" s="1139"/>
      <c r="CQ135" s="1139"/>
      <c r="CS135" s="178"/>
      <c r="CT135" s="1140" t="s">
        <v>679</v>
      </c>
      <c r="CU135" s="1140"/>
      <c r="CV135" s="1140"/>
      <c r="CW135" s="1140"/>
      <c r="CX135" s="1140"/>
      <c r="CY135" s="1140"/>
      <c r="CZ135" s="1140"/>
      <c r="DA135" s="1139">
        <f>DA$17</f>
        <v>0</v>
      </c>
      <c r="DB135" s="1139"/>
      <c r="DC135" s="1139"/>
      <c r="DD135" s="1139"/>
      <c r="DE135" s="1139"/>
      <c r="DF135" s="1139"/>
      <c r="DG135" s="1141" t="s">
        <v>680</v>
      </c>
      <c r="DH135" s="1141"/>
      <c r="DI135" s="1145">
        <f>DA$18</f>
        <v>0</v>
      </c>
      <c r="DJ135" s="1145"/>
      <c r="DK135" s="1145"/>
      <c r="DL135" s="1145"/>
      <c r="DM135" s="1145"/>
      <c r="DN135" s="1145"/>
      <c r="DO135" s="204"/>
      <c r="DP135" s="202"/>
      <c r="DQ135" s="1139" t="str">
        <f>CT$40</f>
        <v>${name_ik}</v>
      </c>
      <c r="DR135" s="1139"/>
      <c r="DS135" s="1139"/>
      <c r="DT135" s="1139"/>
      <c r="DU135" s="1139"/>
      <c r="DV135" s="1139"/>
      <c r="DW135" s="1139"/>
      <c r="DX135" s="1139"/>
      <c r="DY135" s="1139"/>
      <c r="DZ135" s="1139"/>
      <c r="EA135" s="1139"/>
      <c r="EB135" s="1139"/>
      <c r="EC135" s="1139"/>
      <c r="ED135" s="1139"/>
      <c r="EE135" s="1139"/>
      <c r="EF135" s="1139"/>
      <c r="EG135" s="1139"/>
      <c r="EH135" s="1139"/>
      <c r="EI135" s="1139"/>
      <c r="EJ135" s="1139"/>
      <c r="EK135" s="1139"/>
      <c r="EL135" s="1139"/>
      <c r="EM135" s="1139"/>
    </row>
    <row r="136" spans="1:143" ht="75.75" customHeight="1">
      <c r="A136" s="178"/>
      <c r="B136" s="1140" t="s">
        <v>681</v>
      </c>
      <c r="C136" s="1140"/>
      <c r="D136" s="1140"/>
      <c r="E136" s="1140"/>
      <c r="F136" s="1139">
        <f>I$19</f>
        <v>0</v>
      </c>
      <c r="G136" s="1139"/>
      <c r="H136" s="1139"/>
      <c r="I136" s="1139"/>
      <c r="J136" s="1139"/>
      <c r="K136" s="1139"/>
      <c r="L136" s="1139"/>
      <c r="M136" s="1139"/>
      <c r="N136" s="1139"/>
      <c r="O136" s="1139"/>
      <c r="P136" s="1139"/>
      <c r="Q136" s="1139"/>
      <c r="R136" s="1139"/>
      <c r="S136" s="1139"/>
      <c r="T136" s="1139"/>
      <c r="U136" s="1139"/>
      <c r="V136" s="1139"/>
      <c r="W136" s="204"/>
      <c r="X136" s="205"/>
      <c r="Y136" s="1139"/>
      <c r="Z136" s="1139"/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78"/>
      <c r="AW136" s="178"/>
      <c r="AX136" s="1140" t="s">
        <v>681</v>
      </c>
      <c r="AY136" s="1140"/>
      <c r="AZ136" s="1140"/>
      <c r="BA136" s="1140"/>
      <c r="BB136" s="1139">
        <f>BE$19</f>
        <v>0</v>
      </c>
      <c r="BC136" s="1139"/>
      <c r="BD136" s="1139"/>
      <c r="BE136" s="1139"/>
      <c r="BF136" s="1139"/>
      <c r="BG136" s="1139"/>
      <c r="BH136" s="1139"/>
      <c r="BI136" s="1139"/>
      <c r="BJ136" s="1139"/>
      <c r="BK136" s="1139"/>
      <c r="BL136" s="1139"/>
      <c r="BM136" s="1139"/>
      <c r="BN136" s="1139"/>
      <c r="BO136" s="1139"/>
      <c r="BP136" s="1139"/>
      <c r="BQ136" s="1139"/>
      <c r="BR136" s="1139"/>
      <c r="BS136" s="204"/>
      <c r="BT136" s="205"/>
      <c r="BU136" s="1139"/>
      <c r="BV136" s="1139"/>
      <c r="BW136" s="1139"/>
      <c r="BX136" s="1139"/>
      <c r="BY136" s="1139"/>
      <c r="BZ136" s="1139"/>
      <c r="CA136" s="1139"/>
      <c r="CB136" s="1139"/>
      <c r="CC136" s="1139"/>
      <c r="CD136" s="1139"/>
      <c r="CE136" s="1139"/>
      <c r="CF136" s="1139"/>
      <c r="CG136" s="1139"/>
      <c r="CH136" s="1139"/>
      <c r="CI136" s="1139"/>
      <c r="CJ136" s="1139"/>
      <c r="CK136" s="1139"/>
      <c r="CL136" s="1139"/>
      <c r="CM136" s="1139"/>
      <c r="CN136" s="1139"/>
      <c r="CO136" s="1139"/>
      <c r="CP136" s="1139"/>
      <c r="CQ136" s="1139"/>
      <c r="CS136" s="178"/>
      <c r="CT136" s="1140" t="s">
        <v>681</v>
      </c>
      <c r="CU136" s="1140"/>
      <c r="CV136" s="1140"/>
      <c r="CW136" s="1140"/>
      <c r="CX136" s="1139">
        <f>DA$19</f>
        <v>0</v>
      </c>
      <c r="CY136" s="1139"/>
      <c r="CZ136" s="1139"/>
      <c r="DA136" s="1139"/>
      <c r="DB136" s="1139"/>
      <c r="DC136" s="1139"/>
      <c r="DD136" s="1139"/>
      <c r="DE136" s="1139"/>
      <c r="DF136" s="1139"/>
      <c r="DG136" s="1139"/>
      <c r="DH136" s="1139"/>
      <c r="DI136" s="1139"/>
      <c r="DJ136" s="1139"/>
      <c r="DK136" s="1139"/>
      <c r="DL136" s="1139"/>
      <c r="DM136" s="1139"/>
      <c r="DN136" s="1139"/>
      <c r="DO136" s="204"/>
      <c r="DP136" s="205"/>
      <c r="DQ136" s="1139"/>
      <c r="DR136" s="1139"/>
      <c r="DS136" s="1139"/>
      <c r="DT136" s="1139"/>
      <c r="DU136" s="1139"/>
      <c r="DV136" s="1139"/>
      <c r="DW136" s="1139"/>
      <c r="DX136" s="1139"/>
      <c r="DY136" s="1139"/>
      <c r="DZ136" s="1139"/>
      <c r="EA136" s="1139"/>
      <c r="EB136" s="1139"/>
      <c r="EC136" s="1139"/>
      <c r="ED136" s="1139"/>
      <c r="EE136" s="1139"/>
      <c r="EF136" s="1139"/>
      <c r="EG136" s="1139"/>
      <c r="EH136" s="1139"/>
      <c r="EI136" s="1139"/>
      <c r="EJ136" s="1139"/>
      <c r="EK136" s="1139"/>
      <c r="EL136" s="1139"/>
      <c r="EM136" s="1139"/>
    </row>
    <row r="137" spans="1:143" ht="18.75" customHeight="1">
      <c r="A137" s="178"/>
      <c r="B137" s="1141" t="s">
        <v>682</v>
      </c>
      <c r="C137" s="1141"/>
      <c r="D137" s="1141"/>
      <c r="E137" s="1141"/>
      <c r="F137" s="1141"/>
      <c r="G137" s="1141"/>
      <c r="H137" s="1143">
        <f>I$20</f>
        <v>0</v>
      </c>
      <c r="I137" s="1139"/>
      <c r="J137" s="1139"/>
      <c r="K137" s="1139"/>
      <c r="L137" s="1139"/>
      <c r="M137" s="1139"/>
      <c r="N137" s="1139"/>
      <c r="O137" s="1139"/>
      <c r="P137" s="1139"/>
      <c r="Q137" s="1139"/>
      <c r="R137" s="1139"/>
      <c r="S137" s="1139"/>
      <c r="T137" s="1139"/>
      <c r="U137" s="1139"/>
      <c r="V137" s="1139"/>
      <c r="W137" s="204"/>
      <c r="X137" s="202"/>
      <c r="Y137" s="1139"/>
      <c r="Z137" s="1139"/>
      <c r="AA137" s="1139"/>
      <c r="AB137" s="1139"/>
      <c r="AC137" s="1139"/>
      <c r="AD137" s="1139"/>
      <c r="AE137" s="1139"/>
      <c r="AF137" s="1139"/>
      <c r="AG137" s="1139"/>
      <c r="AH137" s="1139"/>
      <c r="AI137" s="1139"/>
      <c r="AJ137" s="1139"/>
      <c r="AK137" s="1139"/>
      <c r="AL137" s="1139"/>
      <c r="AM137" s="1139"/>
      <c r="AN137" s="1139"/>
      <c r="AO137" s="1139"/>
      <c r="AP137" s="1139"/>
      <c r="AQ137" s="1139"/>
      <c r="AR137" s="1139"/>
      <c r="AS137" s="1139"/>
      <c r="AT137" s="1139"/>
      <c r="AU137" s="1139"/>
      <c r="AV137" s="178"/>
      <c r="AW137" s="178"/>
      <c r="AX137" s="1141" t="s">
        <v>682</v>
      </c>
      <c r="AY137" s="1141"/>
      <c r="AZ137" s="1141"/>
      <c r="BA137" s="1141"/>
      <c r="BB137" s="1141"/>
      <c r="BC137" s="1141"/>
      <c r="BD137" s="1143">
        <f>BE$20</f>
        <v>0</v>
      </c>
      <c r="BE137" s="1139"/>
      <c r="BF137" s="1139"/>
      <c r="BG137" s="1139"/>
      <c r="BH137" s="1139"/>
      <c r="BI137" s="1139"/>
      <c r="BJ137" s="1139"/>
      <c r="BK137" s="1139"/>
      <c r="BL137" s="1139"/>
      <c r="BM137" s="1139"/>
      <c r="BN137" s="1139"/>
      <c r="BO137" s="1139"/>
      <c r="BP137" s="1139"/>
      <c r="BQ137" s="1139"/>
      <c r="BR137" s="1139"/>
      <c r="BS137" s="204"/>
      <c r="BT137" s="202"/>
      <c r="BU137" s="1139"/>
      <c r="BV137" s="1139"/>
      <c r="BW137" s="1139"/>
      <c r="BX137" s="1139"/>
      <c r="BY137" s="1139"/>
      <c r="BZ137" s="1139"/>
      <c r="CA137" s="1139"/>
      <c r="CB137" s="1139"/>
      <c r="CC137" s="1139"/>
      <c r="CD137" s="1139"/>
      <c r="CE137" s="1139"/>
      <c r="CF137" s="1139"/>
      <c r="CG137" s="1139"/>
      <c r="CH137" s="1139"/>
      <c r="CI137" s="1139"/>
      <c r="CJ137" s="1139"/>
      <c r="CK137" s="1139"/>
      <c r="CL137" s="1139"/>
      <c r="CM137" s="1139"/>
      <c r="CN137" s="1139"/>
      <c r="CO137" s="1139"/>
      <c r="CP137" s="1139"/>
      <c r="CQ137" s="1139"/>
      <c r="CS137" s="178"/>
      <c r="CT137" s="1141" t="s">
        <v>682</v>
      </c>
      <c r="CU137" s="1141"/>
      <c r="CV137" s="1141"/>
      <c r="CW137" s="1141"/>
      <c r="CX137" s="1141"/>
      <c r="CY137" s="1141"/>
      <c r="CZ137" s="1143">
        <f>DA$20</f>
        <v>0</v>
      </c>
      <c r="DA137" s="1139"/>
      <c r="DB137" s="1139"/>
      <c r="DC137" s="1139"/>
      <c r="DD137" s="1139"/>
      <c r="DE137" s="1139"/>
      <c r="DF137" s="1139"/>
      <c r="DG137" s="1139"/>
      <c r="DH137" s="1139"/>
      <c r="DI137" s="1139"/>
      <c r="DJ137" s="1139"/>
      <c r="DK137" s="1139"/>
      <c r="DL137" s="1139"/>
      <c r="DM137" s="1139"/>
      <c r="DN137" s="1139"/>
      <c r="DO137" s="204"/>
      <c r="DP137" s="202"/>
      <c r="DQ137" s="1139"/>
      <c r="DR137" s="1139"/>
      <c r="DS137" s="1139"/>
      <c r="DT137" s="1139"/>
      <c r="DU137" s="1139"/>
      <c r="DV137" s="1139"/>
      <c r="DW137" s="1139"/>
      <c r="DX137" s="1139"/>
      <c r="DY137" s="1139"/>
      <c r="DZ137" s="1139"/>
      <c r="EA137" s="1139"/>
      <c r="EB137" s="1139"/>
      <c r="EC137" s="1139"/>
      <c r="ED137" s="1139"/>
      <c r="EE137" s="1139"/>
      <c r="EF137" s="1139"/>
      <c r="EG137" s="1139"/>
      <c r="EH137" s="1139"/>
      <c r="EI137" s="1139"/>
      <c r="EJ137" s="1139"/>
      <c r="EK137" s="1139"/>
      <c r="EL137" s="1139"/>
      <c r="EM137" s="1139"/>
    </row>
    <row r="138" spans="1:143" ht="50.25" customHeight="1">
      <c r="A138" s="178"/>
      <c r="B138" s="1140" t="s">
        <v>683</v>
      </c>
      <c r="C138" s="1140"/>
      <c r="D138" s="1140"/>
      <c r="E138" s="1140"/>
      <c r="F138" s="1139">
        <f>I$21</f>
        <v>0</v>
      </c>
      <c r="G138" s="1139"/>
      <c r="H138" s="1139"/>
      <c r="I138" s="1139"/>
      <c r="J138" s="1139"/>
      <c r="K138" s="1139"/>
      <c r="L138" s="1139"/>
      <c r="M138" s="1139"/>
      <c r="N138" s="1139"/>
      <c r="O138" s="1139"/>
      <c r="P138" s="1139"/>
      <c r="Q138" s="1139"/>
      <c r="R138" s="1139"/>
      <c r="S138" s="1139"/>
      <c r="T138" s="1139"/>
      <c r="U138" s="1139"/>
      <c r="V138" s="1139"/>
      <c r="W138" s="204"/>
      <c r="X138" s="202"/>
      <c r="Y138" s="1140" t="s">
        <v>683</v>
      </c>
      <c r="Z138" s="1140"/>
      <c r="AA138" s="1140"/>
      <c r="AB138" s="1140"/>
      <c r="AC138" s="1140"/>
      <c r="AD138" s="1139">
        <f>I$7</f>
        <v>0</v>
      </c>
      <c r="AE138" s="1139"/>
      <c r="AF138" s="1139"/>
      <c r="AG138" s="1139"/>
      <c r="AH138" s="1139"/>
      <c r="AI138" s="1139"/>
      <c r="AJ138" s="1139"/>
      <c r="AK138" s="1139"/>
      <c r="AL138" s="1139"/>
      <c r="AM138" s="1139"/>
      <c r="AN138" s="1139"/>
      <c r="AO138" s="1139"/>
      <c r="AP138" s="1139"/>
      <c r="AQ138" s="1139"/>
      <c r="AR138" s="1139"/>
      <c r="AS138" s="1139"/>
      <c r="AT138" s="1139"/>
      <c r="AU138" s="1139"/>
      <c r="AV138" s="178"/>
      <c r="AW138" s="178"/>
      <c r="AX138" s="1140" t="s">
        <v>683</v>
      </c>
      <c r="AY138" s="1140"/>
      <c r="AZ138" s="1140"/>
      <c r="BA138" s="1140"/>
      <c r="BB138" s="1139">
        <f>BE$21</f>
        <v>0</v>
      </c>
      <c r="BC138" s="1139"/>
      <c r="BD138" s="1139"/>
      <c r="BE138" s="1139"/>
      <c r="BF138" s="1139"/>
      <c r="BG138" s="1139"/>
      <c r="BH138" s="1139"/>
      <c r="BI138" s="1139"/>
      <c r="BJ138" s="1139"/>
      <c r="BK138" s="1139"/>
      <c r="BL138" s="1139"/>
      <c r="BM138" s="1139"/>
      <c r="BN138" s="1139"/>
      <c r="BO138" s="1139"/>
      <c r="BP138" s="1139"/>
      <c r="BQ138" s="1139"/>
      <c r="BR138" s="1139"/>
      <c r="BS138" s="204"/>
      <c r="BT138" s="202"/>
      <c r="BU138" s="1140" t="s">
        <v>683</v>
      </c>
      <c r="BV138" s="1140"/>
      <c r="BW138" s="1140"/>
      <c r="BX138" s="1140"/>
      <c r="BY138" s="1140"/>
      <c r="BZ138" s="1139">
        <f>BE$7</f>
        <v>0</v>
      </c>
      <c r="CA138" s="1139"/>
      <c r="CB138" s="1139"/>
      <c r="CC138" s="1139"/>
      <c r="CD138" s="1139"/>
      <c r="CE138" s="1139"/>
      <c r="CF138" s="1139"/>
      <c r="CG138" s="1139"/>
      <c r="CH138" s="1139"/>
      <c r="CI138" s="1139"/>
      <c r="CJ138" s="1139"/>
      <c r="CK138" s="1139"/>
      <c r="CL138" s="1139"/>
      <c r="CM138" s="1139"/>
      <c r="CN138" s="1139"/>
      <c r="CO138" s="1139"/>
      <c r="CP138" s="1139"/>
      <c r="CQ138" s="1139"/>
      <c r="CS138" s="178"/>
      <c r="CT138" s="1140" t="s">
        <v>683</v>
      </c>
      <c r="CU138" s="1140"/>
      <c r="CV138" s="1140"/>
      <c r="CW138" s="1140"/>
      <c r="CX138" s="1139">
        <f>DA$21</f>
        <v>0</v>
      </c>
      <c r="CY138" s="1139"/>
      <c r="CZ138" s="1139"/>
      <c r="DA138" s="1139"/>
      <c r="DB138" s="1139"/>
      <c r="DC138" s="1139"/>
      <c r="DD138" s="1139"/>
      <c r="DE138" s="1139"/>
      <c r="DF138" s="1139"/>
      <c r="DG138" s="1139"/>
      <c r="DH138" s="1139"/>
      <c r="DI138" s="1139"/>
      <c r="DJ138" s="1139"/>
      <c r="DK138" s="1139"/>
      <c r="DL138" s="1139"/>
      <c r="DM138" s="1139"/>
      <c r="DN138" s="1139"/>
      <c r="DO138" s="204"/>
      <c r="DP138" s="202"/>
      <c r="DQ138" s="1140" t="s">
        <v>683</v>
      </c>
      <c r="DR138" s="1140"/>
      <c r="DS138" s="1140"/>
      <c r="DT138" s="1140"/>
      <c r="DU138" s="1140"/>
      <c r="DV138" s="1139">
        <f>DA$7</f>
        <v>0</v>
      </c>
      <c r="DW138" s="1139"/>
      <c r="DX138" s="1139"/>
      <c r="DY138" s="1139"/>
      <c r="DZ138" s="1139"/>
      <c r="EA138" s="1139"/>
      <c r="EB138" s="1139"/>
      <c r="EC138" s="1139"/>
      <c r="ED138" s="1139"/>
      <c r="EE138" s="1139"/>
      <c r="EF138" s="1139"/>
      <c r="EG138" s="1139"/>
      <c r="EH138" s="1139"/>
      <c r="EI138" s="1139"/>
      <c r="EJ138" s="1139"/>
      <c r="EK138" s="1139"/>
      <c r="EL138" s="1139"/>
      <c r="EM138" s="1139"/>
    </row>
    <row r="139" spans="1:143" ht="18.75" customHeight="1">
      <c r="A139" s="178"/>
      <c r="B139" s="1140" t="s">
        <v>684</v>
      </c>
      <c r="C139" s="1140"/>
      <c r="D139" s="1140"/>
      <c r="E139" s="1140"/>
      <c r="F139" s="1140"/>
      <c r="G139" s="1140"/>
      <c r="H139" s="1140"/>
      <c r="I139" s="1142">
        <f>I$22</f>
        <v>0</v>
      </c>
      <c r="J139" s="1142"/>
      <c r="K139" s="1142"/>
      <c r="L139" s="1142"/>
      <c r="M139" s="1142"/>
      <c r="N139" s="1142"/>
      <c r="O139" s="1142"/>
      <c r="P139" s="1142"/>
      <c r="Q139" s="1142"/>
      <c r="R139" s="1142"/>
      <c r="S139" s="1142"/>
      <c r="T139" s="1142"/>
      <c r="U139" s="1142"/>
      <c r="V139" s="1142"/>
      <c r="W139" s="204"/>
      <c r="X139" s="202"/>
      <c r="Y139" s="1144"/>
      <c r="Z139" s="1144"/>
      <c r="AA139" s="1144"/>
      <c r="AB139" s="1144"/>
      <c r="AC139" s="1144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139"/>
      <c r="AO139" s="1139"/>
      <c r="AP139" s="1139"/>
      <c r="AQ139" s="1139"/>
      <c r="AR139" s="1139"/>
      <c r="AS139" s="1139"/>
      <c r="AT139" s="1139"/>
      <c r="AU139" s="1139"/>
      <c r="AV139" s="178"/>
      <c r="AW139" s="178"/>
      <c r="AX139" s="1140" t="s">
        <v>684</v>
      </c>
      <c r="AY139" s="1140"/>
      <c r="AZ139" s="1140"/>
      <c r="BA139" s="1140"/>
      <c r="BB139" s="1140"/>
      <c r="BC139" s="1140"/>
      <c r="BD139" s="1140"/>
      <c r="BE139" s="1142">
        <f>BE$22</f>
        <v>0</v>
      </c>
      <c r="BF139" s="1142"/>
      <c r="BG139" s="1142"/>
      <c r="BH139" s="1142"/>
      <c r="BI139" s="1142"/>
      <c r="BJ139" s="1142"/>
      <c r="BK139" s="1142"/>
      <c r="BL139" s="1142"/>
      <c r="BM139" s="1142"/>
      <c r="BN139" s="1142"/>
      <c r="BO139" s="1142"/>
      <c r="BP139" s="1142"/>
      <c r="BQ139" s="1142"/>
      <c r="BR139" s="1142"/>
      <c r="BS139" s="204"/>
      <c r="BT139" s="202"/>
      <c r="BU139" s="1144"/>
      <c r="BV139" s="1144"/>
      <c r="BW139" s="1144"/>
      <c r="BX139" s="1144"/>
      <c r="BY139" s="1144"/>
      <c r="BZ139" s="1139"/>
      <c r="CA139" s="1139"/>
      <c r="CB139" s="1139"/>
      <c r="CC139" s="1139"/>
      <c r="CD139" s="1139"/>
      <c r="CE139" s="1139"/>
      <c r="CF139" s="1139"/>
      <c r="CG139" s="1139"/>
      <c r="CH139" s="1139"/>
      <c r="CI139" s="1139"/>
      <c r="CJ139" s="1139"/>
      <c r="CK139" s="1139"/>
      <c r="CL139" s="1139"/>
      <c r="CM139" s="1139"/>
      <c r="CN139" s="1139"/>
      <c r="CO139" s="1139"/>
      <c r="CP139" s="1139"/>
      <c r="CQ139" s="1139"/>
      <c r="CS139" s="178"/>
      <c r="CT139" s="1140" t="s">
        <v>684</v>
      </c>
      <c r="CU139" s="1140"/>
      <c r="CV139" s="1140"/>
      <c r="CW139" s="1140"/>
      <c r="CX139" s="1140"/>
      <c r="CY139" s="1140"/>
      <c r="CZ139" s="1140"/>
      <c r="DA139" s="1142">
        <f>DA$22</f>
        <v>0</v>
      </c>
      <c r="DB139" s="1142"/>
      <c r="DC139" s="1142"/>
      <c r="DD139" s="1142"/>
      <c r="DE139" s="1142"/>
      <c r="DF139" s="1142"/>
      <c r="DG139" s="1142"/>
      <c r="DH139" s="1142"/>
      <c r="DI139" s="1142"/>
      <c r="DJ139" s="1142"/>
      <c r="DK139" s="1142"/>
      <c r="DL139" s="1142"/>
      <c r="DM139" s="1142"/>
      <c r="DN139" s="1142"/>
      <c r="DO139" s="204"/>
      <c r="DP139" s="202"/>
      <c r="DQ139" s="1144"/>
      <c r="DR139" s="1144"/>
      <c r="DS139" s="1144"/>
      <c r="DT139" s="1144"/>
      <c r="DU139" s="1144"/>
      <c r="DV139" s="1139"/>
      <c r="DW139" s="1139"/>
      <c r="DX139" s="1139"/>
      <c r="DY139" s="1139"/>
      <c r="DZ139" s="1139"/>
      <c r="EA139" s="1139"/>
      <c r="EB139" s="1139"/>
      <c r="EC139" s="1139"/>
      <c r="ED139" s="1139"/>
      <c r="EE139" s="1139"/>
      <c r="EF139" s="1139"/>
      <c r="EG139" s="1139"/>
      <c r="EH139" s="1139"/>
      <c r="EI139" s="1139"/>
      <c r="EJ139" s="1139"/>
      <c r="EK139" s="1139"/>
      <c r="EL139" s="1139"/>
      <c r="EM139" s="1139"/>
    </row>
    <row r="140" spans="1:143" ht="18.75" customHeight="1">
      <c r="A140" s="178"/>
      <c r="B140" s="1140" t="s">
        <v>685</v>
      </c>
      <c r="C140" s="1140"/>
      <c r="D140" s="1140"/>
      <c r="E140" s="1140"/>
      <c r="F140" s="1139">
        <f>I$23</f>
        <v>0</v>
      </c>
      <c r="G140" s="1139"/>
      <c r="H140" s="1139"/>
      <c r="I140" s="1139"/>
      <c r="J140" s="1139"/>
      <c r="K140" s="1139"/>
      <c r="L140" s="1139"/>
      <c r="M140" s="1139"/>
      <c r="N140" s="1139"/>
      <c r="O140" s="1139"/>
      <c r="P140" s="1139"/>
      <c r="Q140" s="1139"/>
      <c r="R140" s="1139"/>
      <c r="S140" s="1139"/>
      <c r="T140" s="1139"/>
      <c r="U140" s="1139"/>
      <c r="V140" s="1139"/>
      <c r="W140" s="204"/>
      <c r="X140" s="202"/>
      <c r="Y140" s="206"/>
      <c r="Z140" s="206"/>
      <c r="AA140" s="206"/>
      <c r="AB140" s="206"/>
      <c r="AC140" s="206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78"/>
      <c r="AW140" s="178"/>
      <c r="AX140" s="1140" t="s">
        <v>685</v>
      </c>
      <c r="AY140" s="1140"/>
      <c r="AZ140" s="1140"/>
      <c r="BA140" s="1140"/>
      <c r="BB140" s="1139">
        <f>BE$23</f>
        <v>0</v>
      </c>
      <c r="BC140" s="1139"/>
      <c r="BD140" s="1139"/>
      <c r="BE140" s="1139"/>
      <c r="BF140" s="1139"/>
      <c r="BG140" s="1139"/>
      <c r="BH140" s="1139"/>
      <c r="BI140" s="1139"/>
      <c r="BJ140" s="1139"/>
      <c r="BK140" s="1139"/>
      <c r="BL140" s="1139"/>
      <c r="BM140" s="1139"/>
      <c r="BN140" s="1139"/>
      <c r="BO140" s="1139"/>
      <c r="BP140" s="1139"/>
      <c r="BQ140" s="1139"/>
      <c r="BR140" s="1139"/>
      <c r="BS140" s="204"/>
      <c r="BT140" s="202"/>
      <c r="BU140" s="206"/>
      <c r="BV140" s="206"/>
      <c r="BW140" s="206"/>
      <c r="BX140" s="206"/>
      <c r="BY140" s="206"/>
      <c r="BZ140" s="1139"/>
      <c r="CA140" s="1139"/>
      <c r="CB140" s="1139"/>
      <c r="CC140" s="1139"/>
      <c r="CD140" s="1139"/>
      <c r="CE140" s="1139"/>
      <c r="CF140" s="1139"/>
      <c r="CG140" s="1139"/>
      <c r="CH140" s="1139"/>
      <c r="CI140" s="1139"/>
      <c r="CJ140" s="1139"/>
      <c r="CK140" s="1139"/>
      <c r="CL140" s="1139"/>
      <c r="CM140" s="1139"/>
      <c r="CN140" s="1139"/>
      <c r="CO140" s="1139"/>
      <c r="CP140" s="1139"/>
      <c r="CQ140" s="1139"/>
      <c r="CS140" s="178"/>
      <c r="CT140" s="1140" t="s">
        <v>685</v>
      </c>
      <c r="CU140" s="1140"/>
      <c r="CV140" s="1140"/>
      <c r="CW140" s="1140"/>
      <c r="CX140" s="1139">
        <f>DA$23</f>
        <v>0</v>
      </c>
      <c r="CY140" s="1139"/>
      <c r="CZ140" s="1139"/>
      <c r="DA140" s="1139"/>
      <c r="DB140" s="1139"/>
      <c r="DC140" s="1139"/>
      <c r="DD140" s="1139"/>
      <c r="DE140" s="1139"/>
      <c r="DF140" s="1139"/>
      <c r="DG140" s="1139"/>
      <c r="DH140" s="1139"/>
      <c r="DI140" s="1139"/>
      <c r="DJ140" s="1139"/>
      <c r="DK140" s="1139"/>
      <c r="DL140" s="1139"/>
      <c r="DM140" s="1139"/>
      <c r="DN140" s="1139"/>
      <c r="DO140" s="204"/>
      <c r="DP140" s="202"/>
      <c r="DQ140" s="206"/>
      <c r="DR140" s="206"/>
      <c r="DS140" s="206"/>
      <c r="DT140" s="206"/>
      <c r="DU140" s="206"/>
      <c r="DV140" s="1139"/>
      <c r="DW140" s="1139"/>
      <c r="DX140" s="1139"/>
      <c r="DY140" s="1139"/>
      <c r="DZ140" s="1139"/>
      <c r="EA140" s="1139"/>
      <c r="EB140" s="1139"/>
      <c r="EC140" s="1139"/>
      <c r="ED140" s="1139"/>
      <c r="EE140" s="1139"/>
      <c r="EF140" s="1139"/>
      <c r="EG140" s="1139"/>
      <c r="EH140" s="1139"/>
      <c r="EI140" s="1139"/>
      <c r="EJ140" s="1139"/>
      <c r="EK140" s="1139"/>
      <c r="EL140" s="1139"/>
      <c r="EM140" s="1139"/>
    </row>
    <row r="141" spans="1:143" ht="18.75" customHeight="1">
      <c r="A141" s="178"/>
      <c r="B141" s="1140" t="s">
        <v>686</v>
      </c>
      <c r="C141" s="1140"/>
      <c r="D141" s="1140"/>
      <c r="E141" s="1140"/>
      <c r="F141" s="1140"/>
      <c r="G141" s="1139">
        <f>I$24</f>
        <v>0</v>
      </c>
      <c r="H141" s="1139"/>
      <c r="I141" s="1139"/>
      <c r="J141" s="1139"/>
      <c r="K141" s="1139"/>
      <c r="L141" s="1139"/>
      <c r="M141" s="1139"/>
      <c r="N141" s="1139"/>
      <c r="O141" s="1139"/>
      <c r="P141" s="1139"/>
      <c r="Q141" s="1139"/>
      <c r="R141" s="1139"/>
      <c r="S141" s="1139"/>
      <c r="T141" s="1139"/>
      <c r="U141" s="1139"/>
      <c r="V141" s="1139"/>
      <c r="W141" s="204"/>
      <c r="X141" s="202"/>
      <c r="Y141" s="1141" t="s">
        <v>687</v>
      </c>
      <c r="Z141" s="1141"/>
      <c r="AA141" s="1141"/>
      <c r="AB141" s="1141"/>
      <c r="AC141" s="1141"/>
      <c r="AD141" s="1141"/>
      <c r="AE141" s="1142">
        <f>I$8</f>
        <v>0</v>
      </c>
      <c r="AF141" s="1139"/>
      <c r="AG141" s="1139"/>
      <c r="AH141" s="1139"/>
      <c r="AI141" s="1139"/>
      <c r="AJ141" s="1139"/>
      <c r="AK141" s="1139"/>
      <c r="AL141" s="1139"/>
      <c r="AM141" s="1139"/>
      <c r="AN141" s="1139"/>
      <c r="AO141" s="1139"/>
      <c r="AP141" s="1139"/>
      <c r="AQ141" s="1139"/>
      <c r="AR141" s="1139"/>
      <c r="AS141" s="1139"/>
      <c r="AT141" s="1139"/>
      <c r="AU141" s="1139"/>
      <c r="AV141" s="178"/>
      <c r="AW141" s="178"/>
      <c r="AX141" s="1140" t="s">
        <v>686</v>
      </c>
      <c r="AY141" s="1140"/>
      <c r="AZ141" s="1140"/>
      <c r="BA141" s="1140"/>
      <c r="BB141" s="1140"/>
      <c r="BC141" s="1139">
        <f>BE$24</f>
        <v>0</v>
      </c>
      <c r="BD141" s="1139"/>
      <c r="BE141" s="1139"/>
      <c r="BF141" s="1139"/>
      <c r="BG141" s="1139"/>
      <c r="BH141" s="1139"/>
      <c r="BI141" s="1139"/>
      <c r="BJ141" s="1139"/>
      <c r="BK141" s="1139"/>
      <c r="BL141" s="1139"/>
      <c r="BM141" s="1139"/>
      <c r="BN141" s="1139"/>
      <c r="BO141" s="1139"/>
      <c r="BP141" s="1139"/>
      <c r="BQ141" s="1139"/>
      <c r="BR141" s="1139"/>
      <c r="BS141" s="204"/>
      <c r="BT141" s="202"/>
      <c r="BU141" s="1141" t="s">
        <v>687</v>
      </c>
      <c r="BV141" s="1141"/>
      <c r="BW141" s="1141"/>
      <c r="BX141" s="1141"/>
      <c r="BY141" s="1141"/>
      <c r="BZ141" s="1141"/>
      <c r="CA141" s="1142">
        <f>BE$8</f>
        <v>0</v>
      </c>
      <c r="CB141" s="1139"/>
      <c r="CC141" s="1139"/>
      <c r="CD141" s="1139"/>
      <c r="CE141" s="1139"/>
      <c r="CF141" s="1139"/>
      <c r="CG141" s="1139"/>
      <c r="CH141" s="1139"/>
      <c r="CI141" s="1139"/>
      <c r="CJ141" s="1139"/>
      <c r="CK141" s="1139"/>
      <c r="CL141" s="1139"/>
      <c r="CM141" s="1139"/>
      <c r="CN141" s="1139"/>
      <c r="CO141" s="1139"/>
      <c r="CP141" s="1139"/>
      <c r="CQ141" s="1139"/>
      <c r="CS141" s="178"/>
      <c r="CT141" s="1140" t="s">
        <v>686</v>
      </c>
      <c r="CU141" s="1140"/>
      <c r="CV141" s="1140"/>
      <c r="CW141" s="1140"/>
      <c r="CX141" s="1140"/>
      <c r="CY141" s="1139">
        <f>DA$24</f>
        <v>0</v>
      </c>
      <c r="CZ141" s="1139"/>
      <c r="DA141" s="1139"/>
      <c r="DB141" s="1139"/>
      <c r="DC141" s="1139"/>
      <c r="DD141" s="1139"/>
      <c r="DE141" s="1139"/>
      <c r="DF141" s="1139"/>
      <c r="DG141" s="1139"/>
      <c r="DH141" s="1139"/>
      <c r="DI141" s="1139"/>
      <c r="DJ141" s="1139"/>
      <c r="DK141" s="1139"/>
      <c r="DL141" s="1139"/>
      <c r="DM141" s="1139"/>
      <c r="DN141" s="1139"/>
      <c r="DO141" s="204"/>
      <c r="DP141" s="202"/>
      <c r="DQ141" s="1141" t="s">
        <v>687</v>
      </c>
      <c r="DR141" s="1141"/>
      <c r="DS141" s="1141"/>
      <c r="DT141" s="1141"/>
      <c r="DU141" s="1141"/>
      <c r="DV141" s="1141"/>
      <c r="DW141" s="1142">
        <f>DA$8</f>
        <v>0</v>
      </c>
      <c r="DX141" s="1139"/>
      <c r="DY141" s="1139"/>
      <c r="DZ141" s="1139"/>
      <c r="EA141" s="1139"/>
      <c r="EB141" s="1139"/>
      <c r="EC141" s="1139"/>
      <c r="ED141" s="1139"/>
      <c r="EE141" s="1139"/>
      <c r="EF141" s="1139"/>
      <c r="EG141" s="1139"/>
      <c r="EH141" s="1139"/>
      <c r="EI141" s="1139"/>
      <c r="EJ141" s="1139"/>
      <c r="EK141" s="1139"/>
      <c r="EL141" s="1139"/>
      <c r="EM141" s="1139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100" t="s">
        <v>151</v>
      </c>
      <c r="Z143" s="1100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100" t="s">
        <v>151</v>
      </c>
      <c r="BV143" s="1100"/>
      <c r="BW143" s="1100"/>
      <c r="BX143" s="1100"/>
      <c r="BY143" s="1100"/>
      <c r="BZ143" s="1100"/>
      <c r="CA143" s="1100"/>
      <c r="CB143" s="1100"/>
      <c r="CC143" s="1100"/>
      <c r="CD143" s="1100"/>
      <c r="CE143" s="1100"/>
      <c r="CF143" s="1100"/>
      <c r="CG143" s="1100"/>
      <c r="CH143" s="1100"/>
      <c r="CI143" s="1100"/>
      <c r="CJ143" s="1100"/>
      <c r="CK143" s="1100"/>
      <c r="CL143" s="1100"/>
      <c r="CM143" s="1100"/>
      <c r="CN143" s="1100"/>
      <c r="CO143" s="1100"/>
      <c r="CP143" s="1100"/>
      <c r="CQ143" s="1100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100" t="s">
        <v>151</v>
      </c>
      <c r="DR143" s="1100"/>
      <c r="DS143" s="1100"/>
      <c r="DT143" s="1100"/>
      <c r="DU143" s="1100"/>
      <c r="DV143" s="1100"/>
      <c r="DW143" s="1100"/>
      <c r="DX143" s="1100"/>
      <c r="DY143" s="1100"/>
      <c r="DZ143" s="1100"/>
      <c r="EA143" s="1100"/>
      <c r="EB143" s="1100"/>
      <c r="EC143" s="1100"/>
      <c r="ED143" s="1100"/>
      <c r="EE143" s="1100"/>
      <c r="EF143" s="1100"/>
      <c r="EG143" s="1100"/>
      <c r="EH143" s="1100"/>
      <c r="EI143" s="1100"/>
      <c r="EJ143" s="1100"/>
      <c r="EK143" s="1100"/>
      <c r="EL143" s="1100"/>
      <c r="EM143" s="1100"/>
    </row>
    <row r="144" spans="1:143" ht="59.25" customHeight="1">
      <c r="A144" s="178"/>
      <c r="B144" s="1084"/>
      <c r="C144" s="1084"/>
      <c r="D144" s="1084"/>
      <c r="E144" s="1084"/>
      <c r="F144" s="1084"/>
      <c r="G144" s="1084"/>
      <c r="H144" s="1084"/>
      <c r="I144" s="1084"/>
      <c r="J144" s="1084"/>
      <c r="K144" s="1084"/>
      <c r="L144" s="1084"/>
      <c r="M144" s="1084"/>
      <c r="N144" s="1084"/>
      <c r="O144" s="1085">
        <f>AA$38</f>
        <v>0</v>
      </c>
      <c r="P144" s="1085"/>
      <c r="Q144" s="1085"/>
      <c r="R144" s="1085"/>
      <c r="S144" s="1085"/>
      <c r="T144" s="1085"/>
      <c r="U144" s="1085"/>
      <c r="V144" s="1085"/>
      <c r="W144" s="1085"/>
      <c r="X144" s="211"/>
      <c r="Y144" s="1057"/>
      <c r="Z144" s="1057"/>
      <c r="AA144" s="1057"/>
      <c r="AB144" s="1057"/>
      <c r="AC144" s="1057"/>
      <c r="AD144" s="1057"/>
      <c r="AE144" s="1057"/>
      <c r="AF144" s="1057"/>
      <c r="AG144" s="1057"/>
      <c r="AH144" s="1057"/>
      <c r="AI144" s="1057"/>
      <c r="AJ144" s="1057"/>
      <c r="AK144" s="1057"/>
      <c r="AL144" s="1057"/>
      <c r="AM144" s="1086">
        <f>N$41</f>
        <v>0</v>
      </c>
      <c r="AN144" s="1086"/>
      <c r="AO144" s="1086"/>
      <c r="AP144" s="1086"/>
      <c r="AQ144" s="1086"/>
      <c r="AR144" s="1086"/>
      <c r="AS144" s="1086"/>
      <c r="AT144" s="1086"/>
      <c r="AU144" s="1086"/>
      <c r="AV144" s="178"/>
      <c r="AW144" s="178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085">
        <f>BW$38</f>
        <v>0</v>
      </c>
      <c r="BL144" s="1085"/>
      <c r="BM144" s="1085"/>
      <c r="BN144" s="1085"/>
      <c r="BO144" s="1085"/>
      <c r="BP144" s="1085"/>
      <c r="BQ144" s="1085"/>
      <c r="BR144" s="1085"/>
      <c r="BS144" s="1085"/>
      <c r="BT144" s="211"/>
      <c r="BU144" s="1057"/>
      <c r="BV144" s="1057"/>
      <c r="BW144" s="1057"/>
      <c r="BX144" s="1057"/>
      <c r="BY144" s="1057"/>
      <c r="BZ144" s="1057"/>
      <c r="CA144" s="1057"/>
      <c r="CB144" s="1057"/>
      <c r="CC144" s="1057"/>
      <c r="CD144" s="1057"/>
      <c r="CE144" s="1057"/>
      <c r="CF144" s="1057"/>
      <c r="CG144" s="1057"/>
      <c r="CH144" s="1057"/>
      <c r="CI144" s="1086">
        <f>BJ$41</f>
        <v>0</v>
      </c>
      <c r="CJ144" s="1086"/>
      <c r="CK144" s="1086"/>
      <c r="CL144" s="1086"/>
      <c r="CM144" s="1086"/>
      <c r="CN144" s="1086"/>
      <c r="CO144" s="1086"/>
      <c r="CP144" s="1086"/>
      <c r="CQ144" s="1086"/>
      <c r="CS144" s="178"/>
      <c r="CT144" s="1084"/>
      <c r="CU144" s="1084"/>
      <c r="CV144" s="1084"/>
      <c r="CW144" s="1084"/>
      <c r="CX144" s="1084"/>
      <c r="CY144" s="1084"/>
      <c r="CZ144" s="1084"/>
      <c r="DA144" s="1084"/>
      <c r="DB144" s="1084"/>
      <c r="DC144" s="1084"/>
      <c r="DD144" s="1084"/>
      <c r="DE144" s="1084"/>
      <c r="DF144" s="1084"/>
      <c r="DG144" s="1085">
        <f>DS$38</f>
        <v>0</v>
      </c>
      <c r="DH144" s="1085"/>
      <c r="DI144" s="1085"/>
      <c r="DJ144" s="1085"/>
      <c r="DK144" s="1085"/>
      <c r="DL144" s="1085"/>
      <c r="DM144" s="1085"/>
      <c r="DN144" s="1085"/>
      <c r="DO144" s="1085"/>
      <c r="DP144" s="211"/>
      <c r="DQ144" s="1057"/>
      <c r="DR144" s="1057"/>
      <c r="DS144" s="1057"/>
      <c r="DT144" s="1057"/>
      <c r="DU144" s="1057"/>
      <c r="DV144" s="1057"/>
      <c r="DW144" s="1057"/>
      <c r="DX144" s="1057"/>
      <c r="DY144" s="1057"/>
      <c r="DZ144" s="1057"/>
      <c r="EA144" s="1057"/>
      <c r="EB144" s="1057"/>
      <c r="EC144" s="1057"/>
      <c r="ED144" s="1057"/>
      <c r="EE144" s="1086">
        <f>DF$41</f>
        <v>0</v>
      </c>
      <c r="EF144" s="1086"/>
      <c r="EG144" s="1086"/>
      <c r="EH144" s="1086"/>
      <c r="EI144" s="1086"/>
      <c r="EJ144" s="1086"/>
      <c r="EK144" s="1086"/>
      <c r="EL144" s="1086"/>
      <c r="EM144" s="1086"/>
    </row>
    <row r="145" spans="1:143" ht="18.75" customHeight="1">
      <c r="A145" s="178"/>
      <c r="B145" s="1059" t="s">
        <v>5</v>
      </c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59" t="s">
        <v>688</v>
      </c>
      <c r="P145" s="1059"/>
      <c r="Q145" s="1059"/>
      <c r="R145" s="1059"/>
      <c r="S145" s="1059"/>
      <c r="T145" s="1059"/>
      <c r="U145" s="1059"/>
      <c r="V145" s="1059"/>
      <c r="W145" s="1059"/>
      <c r="X145" s="21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/>
      <c r="AM145" s="1060" t="s">
        <v>688</v>
      </c>
      <c r="AN145" s="1060"/>
      <c r="AO145" s="1060"/>
      <c r="AP145" s="1060"/>
      <c r="AQ145" s="1060"/>
      <c r="AR145" s="1060"/>
      <c r="AS145" s="1060"/>
      <c r="AT145" s="1060"/>
      <c r="AU145" s="202"/>
      <c r="AV145" s="178"/>
      <c r="AW145" s="178"/>
      <c r="AX145" s="1059" t="s">
        <v>5</v>
      </c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59" t="s">
        <v>688</v>
      </c>
      <c r="BL145" s="1059"/>
      <c r="BM145" s="1059"/>
      <c r="BN145" s="1059"/>
      <c r="BO145" s="1059"/>
      <c r="BP145" s="1059"/>
      <c r="BQ145" s="1059"/>
      <c r="BR145" s="1059"/>
      <c r="BS145" s="1059"/>
      <c r="BT145" s="212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/>
      <c r="CI145" s="1060" t="s">
        <v>688</v>
      </c>
      <c r="CJ145" s="1060"/>
      <c r="CK145" s="1060"/>
      <c r="CL145" s="1060"/>
      <c r="CM145" s="1060"/>
      <c r="CN145" s="1060"/>
      <c r="CO145" s="1060"/>
      <c r="CP145" s="1060"/>
      <c r="CQ145" s="202"/>
      <c r="CS145" s="178"/>
      <c r="CT145" s="1059" t="s">
        <v>5</v>
      </c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59" t="s">
        <v>688</v>
      </c>
      <c r="DH145" s="1059"/>
      <c r="DI145" s="1059"/>
      <c r="DJ145" s="1059"/>
      <c r="DK145" s="1059"/>
      <c r="DL145" s="1059"/>
      <c r="DM145" s="1059"/>
      <c r="DN145" s="1059"/>
      <c r="DO145" s="1059"/>
      <c r="DP145" s="212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/>
      <c r="EE145" s="1060" t="s">
        <v>688</v>
      </c>
      <c r="EF145" s="1060"/>
      <c r="EG145" s="1060"/>
      <c r="EH145" s="1060"/>
      <c r="EI145" s="1060"/>
      <c r="EJ145" s="1060"/>
      <c r="EK145" s="1060"/>
      <c r="EL145" s="1060"/>
      <c r="EM145" s="202"/>
    </row>
    <row r="146" spans="1:143" ht="10.5" customHeight="1">
      <c r="A146" s="178"/>
      <c r="B146" s="1101"/>
      <c r="C146" s="1101"/>
      <c r="D146" s="1101"/>
      <c r="E146" s="1101"/>
      <c r="F146" s="1101"/>
      <c r="G146" s="1101"/>
      <c r="H146" s="1101"/>
      <c r="I146" s="1101"/>
      <c r="J146" s="1101"/>
      <c r="K146" s="1101"/>
      <c r="L146" s="1101"/>
      <c r="M146" s="1101"/>
      <c r="N146" s="1101"/>
      <c r="O146" s="1101"/>
      <c r="P146" s="1101"/>
      <c r="Q146" s="1101"/>
      <c r="R146" s="1101"/>
      <c r="S146" s="1101"/>
      <c r="T146" s="1101"/>
      <c r="U146" s="1101"/>
      <c r="V146" s="1101"/>
      <c r="W146" s="1101"/>
      <c r="X146" s="1101"/>
      <c r="Y146" s="1061"/>
      <c r="Z146" s="1061"/>
      <c r="AA146" s="1061"/>
      <c r="AB146" s="1061"/>
      <c r="AC146" s="1061"/>
      <c r="AD146" s="1061"/>
      <c r="AE146" s="1061"/>
      <c r="AF146" s="1061"/>
      <c r="AG146" s="1061"/>
      <c r="AH146" s="1061"/>
      <c r="AI146" s="1061"/>
      <c r="AJ146" s="1061"/>
      <c r="AK146" s="1061"/>
      <c r="AL146" s="1061"/>
      <c r="AM146" s="1061"/>
      <c r="AN146" s="1061"/>
      <c r="AO146" s="1061"/>
      <c r="AP146" s="1061"/>
      <c r="AQ146" s="1061"/>
      <c r="AR146" s="1061"/>
      <c r="AS146" s="1061"/>
      <c r="AT146" s="1061"/>
      <c r="AU146" s="1061"/>
      <c r="AV146" s="178"/>
      <c r="AW146" s="178"/>
      <c r="AX146" s="1101"/>
      <c r="AY146" s="1101"/>
      <c r="AZ146" s="1101"/>
      <c r="BA146" s="1101"/>
      <c r="BB146" s="1101"/>
      <c r="BC146" s="1101"/>
      <c r="BD146" s="1101"/>
      <c r="BE146" s="1101"/>
      <c r="BF146" s="1101"/>
      <c r="BG146" s="1101"/>
      <c r="BH146" s="1101"/>
      <c r="BI146" s="1101"/>
      <c r="BJ146" s="1101"/>
      <c r="BK146" s="1101"/>
      <c r="BL146" s="1101"/>
      <c r="BM146" s="1101"/>
      <c r="BN146" s="1101"/>
      <c r="BO146" s="1101"/>
      <c r="BP146" s="1101"/>
      <c r="BQ146" s="1101"/>
      <c r="BR146" s="1101"/>
      <c r="BS146" s="1101"/>
      <c r="BT146" s="1101"/>
      <c r="BU146" s="1061"/>
      <c r="BV146" s="1061"/>
      <c r="BW146" s="1061"/>
      <c r="BX146" s="1061"/>
      <c r="BY146" s="1061"/>
      <c r="BZ146" s="1061"/>
      <c r="CA146" s="1061"/>
      <c r="CB146" s="1061"/>
      <c r="CC146" s="1061"/>
      <c r="CD146" s="1061"/>
      <c r="CE146" s="1061"/>
      <c r="CF146" s="1061"/>
      <c r="CG146" s="1061"/>
      <c r="CH146" s="1061"/>
      <c r="CI146" s="1061"/>
      <c r="CJ146" s="1061"/>
      <c r="CK146" s="1061"/>
      <c r="CL146" s="1061"/>
      <c r="CM146" s="1061"/>
      <c r="CN146" s="1061"/>
      <c r="CO146" s="1061"/>
      <c r="CP146" s="1061"/>
      <c r="CQ146" s="1061"/>
      <c r="CS146" s="178"/>
      <c r="CT146" s="1101"/>
      <c r="CU146" s="1101"/>
      <c r="CV146" s="1101"/>
      <c r="CW146" s="1101"/>
      <c r="CX146" s="1101"/>
      <c r="CY146" s="1101"/>
      <c r="CZ146" s="1101"/>
      <c r="DA146" s="1101"/>
      <c r="DB146" s="1101"/>
      <c r="DC146" s="1101"/>
      <c r="DD146" s="1101"/>
      <c r="DE146" s="1101"/>
      <c r="DF146" s="1101"/>
      <c r="DG146" s="1101"/>
      <c r="DH146" s="1101"/>
      <c r="DI146" s="1101"/>
      <c r="DJ146" s="1101"/>
      <c r="DK146" s="1101"/>
      <c r="DL146" s="1101"/>
      <c r="DM146" s="1101"/>
      <c r="DN146" s="1101"/>
      <c r="DO146" s="1101"/>
      <c r="DP146" s="1101"/>
      <c r="DQ146" s="1061"/>
      <c r="DR146" s="1061"/>
      <c r="DS146" s="1061"/>
      <c r="DT146" s="1061"/>
      <c r="DU146" s="1061"/>
      <c r="DV146" s="1061"/>
      <c r="DW146" s="1061"/>
      <c r="DX146" s="1061"/>
      <c r="DY146" s="1061"/>
      <c r="DZ146" s="1061"/>
      <c r="EA146" s="1061"/>
      <c r="EB146" s="1061"/>
      <c r="EC146" s="1061"/>
      <c r="ED146" s="1061"/>
      <c r="EE146" s="1061"/>
      <c r="EF146" s="1061"/>
      <c r="EG146" s="1061"/>
      <c r="EH146" s="1061"/>
      <c r="EI146" s="1061"/>
      <c r="EJ146" s="1061"/>
      <c r="EK146" s="1061"/>
      <c r="EL146" s="1061"/>
      <c r="EM146" s="1061"/>
    </row>
    <row r="147" spans="1:143" ht="18.75" customHeight="1">
      <c r="A147" s="178"/>
      <c r="B147" s="1081" t="s">
        <v>978</v>
      </c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X147" s="1082"/>
      <c r="Y147" s="1081" t="s">
        <v>978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78"/>
      <c r="AW147" s="178"/>
      <c r="AX147" s="1081" t="s">
        <v>978</v>
      </c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1" t="s">
        <v>978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78"/>
      <c r="CT147" s="1081" t="s">
        <v>978</v>
      </c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1082"/>
      <c r="DQ147" s="1081" t="s">
        <v>978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3" t="s">
        <v>369</v>
      </c>
      <c r="AB148" s="1083"/>
      <c r="AC148" s="1083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3" t="s">
        <v>369</v>
      </c>
      <c r="BX148" s="1083"/>
      <c r="BY148" s="1083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3" t="s">
        <v>369</v>
      </c>
      <c r="DT148" s="1083"/>
      <c r="DU148" s="1083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3"/>
      <c r="AI149" s="1083"/>
      <c r="AJ149" s="1083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3"/>
      <c r="CE149" s="1083"/>
      <c r="CF149" s="1083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3"/>
      <c r="EA149" s="1083"/>
      <c r="EB149" s="1083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7" t="s">
        <v>689</v>
      </c>
      <c r="X151" s="1088"/>
      <c r="Y151" s="1088"/>
      <c r="Z151" s="1088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7" t="s">
        <v>689</v>
      </c>
      <c r="BT151" s="1088"/>
      <c r="BU151" s="1088"/>
      <c r="BV151" s="1088"/>
      <c r="BW151" s="1088"/>
      <c r="BX151" s="1088"/>
      <c r="BY151" s="1088"/>
      <c r="BZ151" s="1088"/>
      <c r="CA151" s="1088"/>
      <c r="CB151" s="1088"/>
      <c r="CC151" s="1088"/>
      <c r="CD151" s="1088"/>
      <c r="CE151" s="1088"/>
      <c r="CF151" s="1088"/>
      <c r="CG151" s="1088"/>
      <c r="CH151" s="1088"/>
      <c r="CI151" s="1088"/>
      <c r="CJ151" s="1088"/>
      <c r="CK151" s="1088"/>
      <c r="CL151" s="1088"/>
      <c r="CM151" s="1088"/>
      <c r="CN151" s="1088"/>
      <c r="CO151" s="1088"/>
      <c r="CP151" s="1088"/>
      <c r="CQ151" s="1088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7" t="s">
        <v>689</v>
      </c>
      <c r="DP151" s="1088"/>
      <c r="DQ151" s="1088"/>
      <c r="DR151" s="1088"/>
      <c r="DS151" s="1088"/>
      <c r="DT151" s="1088"/>
      <c r="DU151" s="1088"/>
      <c r="DV151" s="1088"/>
      <c r="DW151" s="1088"/>
      <c r="DX151" s="1088"/>
      <c r="DY151" s="1088"/>
      <c r="DZ151" s="1088"/>
      <c r="EA151" s="1088"/>
      <c r="EB151" s="1088"/>
      <c r="EC151" s="1088"/>
      <c r="ED151" s="1088"/>
      <c r="EE151" s="1088"/>
      <c r="EF151" s="1088"/>
      <c r="EG151" s="1088"/>
      <c r="EH151" s="1088"/>
      <c r="EI151" s="1088"/>
      <c r="EJ151" s="1088"/>
      <c r="EK151" s="1088"/>
      <c r="EL151" s="1088"/>
      <c r="EM151" s="1088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89" t="s">
        <v>551</v>
      </c>
      <c r="X152" s="1089"/>
      <c r="Y152" s="1089"/>
      <c r="Z152" s="1093">
        <f>$AF$36</f>
        <v>0</v>
      </c>
      <c r="AA152" s="1093"/>
      <c r="AB152" s="215" t="s">
        <v>524</v>
      </c>
      <c r="AC152" s="1093">
        <f>$AI$36</f>
        <v>0</v>
      </c>
      <c r="AD152" s="1093"/>
      <c r="AE152" s="1093"/>
      <c r="AF152" s="1093"/>
      <c r="AG152" s="1093"/>
      <c r="AH152" s="1093"/>
      <c r="AI152" s="1093"/>
      <c r="AJ152" s="1093">
        <f>$AP$36</f>
        <v>0</v>
      </c>
      <c r="AK152" s="1093"/>
      <c r="AL152" s="1093"/>
      <c r="AM152" s="1093"/>
      <c r="AN152" s="1091" t="s">
        <v>375</v>
      </c>
      <c r="AO152" s="1091"/>
      <c r="AP152" s="1092" t="s">
        <v>680</v>
      </c>
      <c r="AQ152" s="1092"/>
      <c r="AR152" s="1093">
        <f>$AQ$35</f>
        <v>0</v>
      </c>
      <c r="AS152" s="1093"/>
      <c r="AT152" s="1093"/>
      <c r="AU152" s="1093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89" t="s">
        <v>551</v>
      </c>
      <c r="BT152" s="1089"/>
      <c r="BU152" s="1089"/>
      <c r="BV152" s="1093">
        <f>$AF$36</f>
        <v>0</v>
      </c>
      <c r="BW152" s="1093"/>
      <c r="BX152" s="215" t="s">
        <v>524</v>
      </c>
      <c r="BY152" s="1093">
        <f>$AI$36</f>
        <v>0</v>
      </c>
      <c r="BZ152" s="1093"/>
      <c r="CA152" s="1093"/>
      <c r="CB152" s="1093"/>
      <c r="CC152" s="1093"/>
      <c r="CD152" s="1093"/>
      <c r="CE152" s="1093"/>
      <c r="CF152" s="1093">
        <f>$AP$36</f>
        <v>0</v>
      </c>
      <c r="CG152" s="1093"/>
      <c r="CH152" s="1093"/>
      <c r="CI152" s="1093"/>
      <c r="CJ152" s="1091" t="s">
        <v>375</v>
      </c>
      <c r="CK152" s="1091"/>
      <c r="CL152" s="1092" t="s">
        <v>680</v>
      </c>
      <c r="CM152" s="1092"/>
      <c r="CN152" s="1093">
        <f>$AQ$35</f>
        <v>0</v>
      </c>
      <c r="CO152" s="1093"/>
      <c r="CP152" s="1093"/>
      <c r="CQ152" s="1093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89" t="s">
        <v>551</v>
      </c>
      <c r="DP152" s="1089"/>
      <c r="DQ152" s="1089"/>
      <c r="DR152" s="1093">
        <f>$AF$36</f>
        <v>0</v>
      </c>
      <c r="DS152" s="1093"/>
      <c r="DT152" s="215" t="s">
        <v>524</v>
      </c>
      <c r="DU152" s="1093">
        <f>$AI$36</f>
        <v>0</v>
      </c>
      <c r="DV152" s="1093"/>
      <c r="DW152" s="1093"/>
      <c r="DX152" s="1093"/>
      <c r="DY152" s="1093"/>
      <c r="DZ152" s="1093"/>
      <c r="EA152" s="1093"/>
      <c r="EB152" s="1093">
        <f>$AP$36</f>
        <v>0</v>
      </c>
      <c r="EC152" s="1093"/>
      <c r="ED152" s="1093"/>
      <c r="EE152" s="1093"/>
      <c r="EF152" s="1091" t="s">
        <v>375</v>
      </c>
      <c r="EG152" s="1091"/>
      <c r="EH152" s="1092" t="s">
        <v>680</v>
      </c>
      <c r="EI152" s="1092"/>
      <c r="EJ152" s="1093">
        <f>$AQ$35</f>
        <v>0</v>
      </c>
      <c r="EK152" s="1093"/>
      <c r="EL152" s="1093"/>
      <c r="EM152" s="1093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3"/>
      <c r="AI154" s="1083"/>
      <c r="AJ154" s="1083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3"/>
      <c r="CE154" s="1083"/>
      <c r="CF154" s="1083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3"/>
      <c r="EA154" s="1083"/>
      <c r="EB154" s="1083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68" t="s">
        <v>690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V156" s="178"/>
      <c r="AW156" s="178"/>
      <c r="AX156" s="1068" t="s">
        <v>690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690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 customHeight="1">
      <c r="A157" s="178"/>
      <c r="B157" s="1068" t="s">
        <v>691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V157" s="178"/>
      <c r="AW157" s="178"/>
      <c r="AX157" s="1068" t="s">
        <v>691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691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 customHeight="1">
      <c r="A158" s="178"/>
      <c r="B158" s="1068"/>
      <c r="C158" s="1068"/>
      <c r="D158" s="1068"/>
      <c r="E158" s="1068"/>
      <c r="F158" s="1068"/>
      <c r="G158" s="1068"/>
      <c r="H158" s="1068"/>
      <c r="I158" s="1068"/>
      <c r="J158" s="1068"/>
      <c r="K158" s="1068"/>
      <c r="L158" s="1068"/>
      <c r="M158" s="1068"/>
      <c r="N158" s="1068"/>
      <c r="O158" s="1068"/>
      <c r="P158" s="1068"/>
      <c r="Q158" s="1068"/>
      <c r="R158" s="1068"/>
      <c r="S158" s="1068"/>
      <c r="T158" s="1068"/>
      <c r="U158" s="1068"/>
      <c r="V158" s="1068"/>
      <c r="W158" s="1068"/>
      <c r="X158" s="1068"/>
      <c r="Y158" s="1068"/>
      <c r="Z158" s="1068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068"/>
      <c r="AO158" s="1068"/>
      <c r="AP158" s="1068"/>
      <c r="AQ158" s="1068"/>
      <c r="AR158" s="1068"/>
      <c r="AS158" s="1068"/>
      <c r="AT158" s="1068"/>
      <c r="AU158" s="1068"/>
      <c r="AV158" s="178"/>
      <c r="AW158" s="17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  <c r="BX158" s="1068"/>
      <c r="BY158" s="1068"/>
      <c r="BZ158" s="1068"/>
      <c r="CA158" s="1068"/>
      <c r="CB158" s="1068"/>
      <c r="CC158" s="1068"/>
      <c r="CD158" s="1068"/>
      <c r="CE158" s="1068"/>
      <c r="CF158" s="1068"/>
      <c r="CG158" s="1068"/>
      <c r="CH158" s="1068"/>
      <c r="CI158" s="1068"/>
      <c r="CJ158" s="1068"/>
      <c r="CK158" s="1068"/>
      <c r="CL158" s="1068"/>
      <c r="CM158" s="1068"/>
      <c r="CN158" s="1068"/>
      <c r="CO158" s="1068"/>
      <c r="CP158" s="1068"/>
      <c r="CQ158" s="1068"/>
      <c r="CS158" s="178"/>
      <c r="CT158" s="1068"/>
      <c r="CU158" s="1068"/>
      <c r="CV158" s="1068"/>
      <c r="CW158" s="1068"/>
      <c r="CX158" s="1068"/>
      <c r="CY158" s="1068"/>
      <c r="CZ158" s="1068"/>
      <c r="DA158" s="1068"/>
      <c r="DB158" s="1068"/>
      <c r="DC158" s="1068"/>
      <c r="DD158" s="1068"/>
      <c r="DE158" s="1068"/>
      <c r="DF158" s="1068"/>
      <c r="DG158" s="1068"/>
      <c r="DH158" s="1068"/>
      <c r="DI158" s="1068"/>
      <c r="DJ158" s="1068"/>
      <c r="DK158" s="1068"/>
      <c r="DL158" s="1068"/>
      <c r="DM158" s="1068"/>
      <c r="DN158" s="1068"/>
      <c r="DO158" s="1068"/>
      <c r="DP158" s="1068"/>
      <c r="DQ158" s="1068"/>
      <c r="DR158" s="1068"/>
      <c r="DS158" s="1068"/>
      <c r="DT158" s="1068"/>
      <c r="DU158" s="1068"/>
      <c r="DV158" s="1068"/>
      <c r="DW158" s="1068"/>
      <c r="DX158" s="1068"/>
      <c r="DY158" s="1068"/>
      <c r="DZ158" s="1068"/>
      <c r="EA158" s="1068"/>
      <c r="EB158" s="1068"/>
      <c r="EC158" s="1068"/>
      <c r="ED158" s="1068"/>
      <c r="EE158" s="1068"/>
      <c r="EF158" s="1068"/>
      <c r="EG158" s="1068"/>
      <c r="EH158" s="1068"/>
      <c r="EI158" s="1068"/>
      <c r="EJ158" s="1068"/>
      <c r="EK158" s="1068"/>
      <c r="EL158" s="1068"/>
      <c r="EM158" s="1068"/>
    </row>
    <row r="159" spans="1:143" ht="18.75" customHeight="1">
      <c r="A159" s="178"/>
      <c r="B159" s="1109">
        <f>I$25</f>
        <v>0</v>
      </c>
      <c r="C159" s="1109"/>
      <c r="D159" s="1109"/>
      <c r="E159" s="1109"/>
      <c r="F159" s="1109"/>
      <c r="G159" s="1109"/>
      <c r="H159" s="1109"/>
      <c r="I159" s="1109"/>
      <c r="J159" s="1109"/>
      <c r="K159" s="1109"/>
      <c r="L159" s="1109"/>
      <c r="M159" s="1109"/>
      <c r="N159" s="1109"/>
      <c r="O159" s="1109"/>
      <c r="P159" s="1109"/>
      <c r="Q159" s="1109"/>
      <c r="R159" s="1109"/>
      <c r="S159" s="1109"/>
      <c r="T159" s="1109"/>
      <c r="U159" s="1109"/>
      <c r="V159" s="1109"/>
      <c r="W159" s="1109"/>
      <c r="X159" s="1109"/>
      <c r="Y159" s="1109"/>
      <c r="Z159" s="178"/>
      <c r="AA159" s="178"/>
      <c r="AB159" s="178"/>
      <c r="AC159" s="1122" t="s">
        <v>692</v>
      </c>
      <c r="AD159" s="1122"/>
      <c r="AE159" s="1122"/>
      <c r="AF159" s="1111">
        <f>J$26</f>
        <v>0</v>
      </c>
      <c r="AG159" s="1111"/>
      <c r="AH159" s="191" t="s">
        <v>524</v>
      </c>
      <c r="AI159" s="1111">
        <f>O$26</f>
        <v>0</v>
      </c>
      <c r="AJ159" s="1111"/>
      <c r="AK159" s="1111"/>
      <c r="AL159" s="1111"/>
      <c r="AM159" s="1111"/>
      <c r="AN159" s="1111"/>
      <c r="AO159" s="1111"/>
      <c r="AP159" s="1111">
        <f>AK$26</f>
        <v>0</v>
      </c>
      <c r="AQ159" s="1111"/>
      <c r="AR159" s="1111"/>
      <c r="AS159" s="1111"/>
      <c r="AT159" s="1112" t="s">
        <v>375</v>
      </c>
      <c r="AU159" s="1112"/>
      <c r="AV159" s="178"/>
      <c r="AW159" s="178"/>
      <c r="AX159" s="1109">
        <f>BE$25</f>
        <v>0</v>
      </c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78"/>
      <c r="BW159" s="178"/>
      <c r="BX159" s="178"/>
      <c r="BY159" s="1122" t="s">
        <v>692</v>
      </c>
      <c r="BZ159" s="1122"/>
      <c r="CA159" s="1122"/>
      <c r="CB159" s="1111">
        <f>BF$26</f>
        <v>0</v>
      </c>
      <c r="CC159" s="1111"/>
      <c r="CD159" s="191" t="s">
        <v>524</v>
      </c>
      <c r="CE159" s="1111">
        <f>BK$26</f>
        <v>0</v>
      </c>
      <c r="CF159" s="1111"/>
      <c r="CG159" s="1111"/>
      <c r="CH159" s="1111"/>
      <c r="CI159" s="1111"/>
      <c r="CJ159" s="1111"/>
      <c r="CK159" s="1111"/>
      <c r="CL159" s="1111">
        <f>CG$26</f>
        <v>0</v>
      </c>
      <c r="CM159" s="1111"/>
      <c r="CN159" s="1111"/>
      <c r="CO159" s="1111"/>
      <c r="CP159" s="1112" t="s">
        <v>375</v>
      </c>
      <c r="CQ159" s="1112"/>
      <c r="CS159" s="178"/>
      <c r="CT159" s="1109">
        <f>DA$25</f>
        <v>0</v>
      </c>
      <c r="CU159" s="1109"/>
      <c r="CV159" s="1109"/>
      <c r="CW159" s="1109"/>
      <c r="CX159" s="1109"/>
      <c r="CY159" s="1109"/>
      <c r="CZ159" s="1109"/>
      <c r="DA159" s="1109"/>
      <c r="DB159" s="1109"/>
      <c r="DC159" s="1109"/>
      <c r="DD159" s="1109"/>
      <c r="DE159" s="1109"/>
      <c r="DF159" s="1109"/>
      <c r="DG159" s="1109"/>
      <c r="DH159" s="1109"/>
      <c r="DI159" s="1109"/>
      <c r="DJ159" s="1109"/>
      <c r="DK159" s="1109"/>
      <c r="DL159" s="1109"/>
      <c r="DM159" s="1109"/>
      <c r="DN159" s="1109"/>
      <c r="DO159" s="1109"/>
      <c r="DP159" s="1109"/>
      <c r="DQ159" s="1109"/>
      <c r="DR159" s="178"/>
      <c r="DS159" s="178"/>
      <c r="DT159" s="178"/>
      <c r="DU159" s="1122" t="s">
        <v>692</v>
      </c>
      <c r="DV159" s="1122"/>
      <c r="DW159" s="1122"/>
      <c r="DX159" s="1111">
        <f>DB$26</f>
        <v>0</v>
      </c>
      <c r="DY159" s="1111"/>
      <c r="DZ159" s="191" t="s">
        <v>524</v>
      </c>
      <c r="EA159" s="1111">
        <f>DG$26</f>
        <v>0</v>
      </c>
      <c r="EB159" s="1111"/>
      <c r="EC159" s="1111"/>
      <c r="ED159" s="1111"/>
      <c r="EE159" s="1111"/>
      <c r="EF159" s="1111"/>
      <c r="EG159" s="1111"/>
      <c r="EH159" s="1111">
        <f>EC$26</f>
        <v>0</v>
      </c>
      <c r="EI159" s="1111"/>
      <c r="EJ159" s="1111"/>
      <c r="EK159" s="1111"/>
      <c r="EL159" s="1112" t="s">
        <v>375</v>
      </c>
      <c r="EM159" s="1112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2">
        <f>AA$38</f>
        <v>0</v>
      </c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2">
        <f>BW$38</f>
        <v>0</v>
      </c>
      <c r="BX161" s="1102"/>
      <c r="BY161" s="1102"/>
      <c r="BZ161" s="1102"/>
      <c r="CA161" s="1102"/>
      <c r="CB161" s="1102"/>
      <c r="CC161" s="1102"/>
      <c r="CD161" s="1102"/>
      <c r="CE161" s="1102"/>
      <c r="CF161" s="1102"/>
      <c r="CG161" s="1102"/>
      <c r="CH161" s="1102"/>
      <c r="CI161" s="1102"/>
      <c r="CJ161" s="1102"/>
      <c r="CK161" s="1102"/>
      <c r="CL161" s="1102"/>
      <c r="CM161" s="1102"/>
      <c r="CN161" s="1102"/>
      <c r="CO161" s="1102"/>
      <c r="CP161" s="1102"/>
      <c r="CQ161" s="1102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2">
        <f>DS$38</f>
        <v>0</v>
      </c>
      <c r="DT161" s="1102"/>
      <c r="DU161" s="1102"/>
      <c r="DV161" s="1102"/>
      <c r="DW161" s="1102"/>
      <c r="DX161" s="1102"/>
      <c r="DY161" s="1102"/>
      <c r="DZ161" s="1102"/>
      <c r="EA161" s="1102"/>
      <c r="EB161" s="1102"/>
      <c r="EC161" s="1102"/>
      <c r="ED161" s="1102"/>
      <c r="EE161" s="1102"/>
      <c r="EF161" s="1102"/>
      <c r="EG161" s="1102"/>
      <c r="EH161" s="1102"/>
      <c r="EI161" s="1102"/>
      <c r="EJ161" s="1102"/>
      <c r="EK161" s="1102"/>
      <c r="EL161" s="1102"/>
      <c r="EM161" s="1102"/>
    </row>
    <row r="162" spans="1:143" ht="18.75" customHeight="1">
      <c r="A162" s="178"/>
      <c r="B162" s="1079" t="s">
        <v>835</v>
      </c>
      <c r="C162" s="1079"/>
      <c r="D162" s="1079"/>
      <c r="E162" s="1079"/>
      <c r="F162" s="1079"/>
      <c r="G162" s="1079"/>
      <c r="H162" s="1079"/>
      <c r="I162" s="1079"/>
      <c r="J162" s="1079"/>
      <c r="K162" s="1079"/>
      <c r="L162" s="1079"/>
      <c r="M162" s="1079"/>
      <c r="N162" s="1079"/>
      <c r="O162" s="1079"/>
      <c r="P162" s="1079"/>
      <c r="Q162" s="1079"/>
      <c r="R162" s="1079"/>
      <c r="S162" s="1079"/>
      <c r="T162" s="1079"/>
      <c r="U162" s="1079"/>
      <c r="V162" s="1079"/>
      <c r="W162" s="1079"/>
      <c r="X162" s="1079"/>
      <c r="Y162" s="1079"/>
      <c r="Z162" s="1079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78"/>
      <c r="AW162" s="178"/>
      <c r="AX162" s="1079" t="s">
        <v>835</v>
      </c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  <c r="BX162" s="1079"/>
      <c r="BY162" s="1079"/>
      <c r="BZ162" s="1079"/>
      <c r="CA162" s="1079"/>
      <c r="CB162" s="1079"/>
      <c r="CC162" s="1079"/>
      <c r="CD162" s="1079"/>
      <c r="CE162" s="1079"/>
      <c r="CF162" s="1079"/>
      <c r="CG162" s="1079"/>
      <c r="CH162" s="1079"/>
      <c r="CI162" s="1079"/>
      <c r="CJ162" s="1079"/>
      <c r="CK162" s="1079"/>
      <c r="CL162" s="1079"/>
      <c r="CM162" s="1079"/>
      <c r="CN162" s="1079"/>
      <c r="CO162" s="1079"/>
      <c r="CP162" s="1079"/>
      <c r="CQ162" s="1079"/>
      <c r="CS162" s="178"/>
      <c r="CT162" s="1079" t="s">
        <v>835</v>
      </c>
      <c r="CU162" s="1079"/>
      <c r="CV162" s="1079"/>
      <c r="CW162" s="1079"/>
      <c r="CX162" s="1079"/>
      <c r="CY162" s="1079"/>
      <c r="CZ162" s="1079"/>
      <c r="DA162" s="1079"/>
      <c r="DB162" s="1079"/>
      <c r="DC162" s="1079"/>
      <c r="DD162" s="1079"/>
      <c r="DE162" s="1079"/>
      <c r="DF162" s="1079"/>
      <c r="DG162" s="1079"/>
      <c r="DH162" s="1079"/>
      <c r="DI162" s="1079"/>
      <c r="DJ162" s="1079"/>
      <c r="DK162" s="1079"/>
      <c r="DL162" s="1079"/>
      <c r="DM162" s="1079"/>
      <c r="DN162" s="1079"/>
      <c r="DO162" s="1079"/>
      <c r="DP162" s="1079"/>
      <c r="DQ162" s="1079"/>
      <c r="DR162" s="1079"/>
      <c r="DS162" s="1079"/>
      <c r="DT162" s="1079"/>
      <c r="DU162" s="1079"/>
      <c r="DV162" s="1079"/>
      <c r="DW162" s="1079"/>
      <c r="DX162" s="1079"/>
      <c r="DY162" s="1079"/>
      <c r="DZ162" s="1079"/>
      <c r="EA162" s="1079"/>
      <c r="EB162" s="1079"/>
      <c r="EC162" s="1079"/>
      <c r="ED162" s="1079"/>
      <c r="EE162" s="1079"/>
      <c r="EF162" s="1079"/>
      <c r="EG162" s="1079"/>
      <c r="EH162" s="1079"/>
      <c r="EI162" s="1079"/>
      <c r="EJ162" s="1079"/>
      <c r="EK162" s="1079"/>
      <c r="EL162" s="1079"/>
      <c r="EM162" s="1079"/>
    </row>
    <row r="163" spans="1:143" ht="18.75" customHeight="1">
      <c r="A163" s="178"/>
      <c r="B163" s="1103" t="str">
        <f>B$40</f>
        <v>${name_ik}</v>
      </c>
      <c r="C163" s="1103"/>
      <c r="D163" s="1103"/>
      <c r="E163" s="1103"/>
      <c r="F163" s="1103"/>
      <c r="G163" s="1103"/>
      <c r="H163" s="1103"/>
      <c r="I163" s="1103"/>
      <c r="J163" s="1103"/>
      <c r="K163" s="1103"/>
      <c r="L163" s="1103"/>
      <c r="M163" s="1103"/>
      <c r="N163" s="1103"/>
      <c r="O163" s="1103"/>
      <c r="P163" s="1103"/>
      <c r="Q163" s="1103"/>
      <c r="R163" s="1103"/>
      <c r="S163" s="1103"/>
      <c r="T163" s="1103"/>
      <c r="U163" s="1103"/>
      <c r="V163" s="1103"/>
      <c r="W163" s="1103"/>
      <c r="X163" s="1103"/>
      <c r="Y163" s="1103"/>
      <c r="Z163" s="1103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78"/>
      <c r="AW163" s="178"/>
      <c r="AX163" s="1103" t="str">
        <f>AX$40</f>
        <v>${name_ik}</v>
      </c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  <c r="BX163" s="1103"/>
      <c r="BY163" s="1103"/>
      <c r="BZ163" s="1103"/>
      <c r="CA163" s="1103"/>
      <c r="CB163" s="1103"/>
      <c r="CC163" s="1103"/>
      <c r="CD163" s="1103"/>
      <c r="CE163" s="1103"/>
      <c r="CF163" s="1103"/>
      <c r="CG163" s="1103"/>
      <c r="CH163" s="1103"/>
      <c r="CI163" s="1103"/>
      <c r="CJ163" s="1103"/>
      <c r="CK163" s="1103"/>
      <c r="CL163" s="1103"/>
      <c r="CM163" s="1103"/>
      <c r="CN163" s="1103"/>
      <c r="CO163" s="1103"/>
      <c r="CP163" s="1103"/>
      <c r="CQ163" s="1103"/>
      <c r="CS163" s="178"/>
      <c r="CT163" s="1103" t="str">
        <f>CT$40</f>
        <v>${name_ik}</v>
      </c>
      <c r="CU163" s="1103"/>
      <c r="CV163" s="1103"/>
      <c r="CW163" s="1103"/>
      <c r="CX163" s="1103"/>
      <c r="CY163" s="1103"/>
      <c r="CZ163" s="1103"/>
      <c r="DA163" s="1103"/>
      <c r="DB163" s="1103"/>
      <c r="DC163" s="1103"/>
      <c r="DD163" s="1103"/>
      <c r="DE163" s="1103"/>
      <c r="DF163" s="1103"/>
      <c r="DG163" s="1103"/>
      <c r="DH163" s="1103"/>
      <c r="DI163" s="1103"/>
      <c r="DJ163" s="1103"/>
      <c r="DK163" s="1103"/>
      <c r="DL163" s="1103"/>
      <c r="DM163" s="1103"/>
      <c r="DN163" s="1103"/>
      <c r="DO163" s="1103"/>
      <c r="DP163" s="1103"/>
      <c r="DQ163" s="1103"/>
      <c r="DR163" s="1103"/>
      <c r="DS163" s="1103"/>
      <c r="DT163" s="1103"/>
      <c r="DU163" s="1103"/>
      <c r="DV163" s="1103"/>
      <c r="DW163" s="1103"/>
      <c r="DX163" s="1103"/>
      <c r="DY163" s="1103"/>
      <c r="DZ163" s="1103"/>
      <c r="EA163" s="1103"/>
      <c r="EB163" s="1103"/>
      <c r="EC163" s="1103"/>
      <c r="ED163" s="1103"/>
      <c r="EE163" s="1103"/>
      <c r="EF163" s="1103"/>
      <c r="EG163" s="1103"/>
      <c r="EH163" s="1103"/>
      <c r="EI163" s="1103"/>
      <c r="EJ163" s="1103"/>
      <c r="EK163" s="1103"/>
      <c r="EL163" s="1103"/>
      <c r="EM163" s="1103"/>
    </row>
    <row r="164" spans="1:143" ht="18.75" customHeight="1">
      <c r="A164" s="178"/>
      <c r="B164" s="1073" t="s">
        <v>554</v>
      </c>
      <c r="C164" s="1073"/>
      <c r="D164" s="1073"/>
      <c r="E164" s="1073"/>
      <c r="F164" s="1073"/>
      <c r="G164" s="1073"/>
      <c r="H164" s="1073"/>
      <c r="I164" s="1073"/>
      <c r="J164" s="1073"/>
      <c r="K164" s="1073"/>
      <c r="L164" s="1073"/>
      <c r="M164" s="1073"/>
      <c r="N164" s="1104">
        <f>N$41</f>
        <v>0</v>
      </c>
      <c r="O164" s="1104"/>
      <c r="P164" s="1104"/>
      <c r="Q164" s="1104"/>
      <c r="R164" s="1104"/>
      <c r="S164" s="1104"/>
      <c r="T164" s="1104"/>
      <c r="U164" s="1104"/>
      <c r="V164" s="1104"/>
      <c r="W164" s="1104"/>
      <c r="X164" s="1104"/>
      <c r="Y164" s="1104"/>
      <c r="Z164" s="1104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78"/>
      <c r="AW164" s="178"/>
      <c r="AX164" s="1073" t="s">
        <v>554</v>
      </c>
      <c r="AY164" s="1073"/>
      <c r="AZ164" s="1073"/>
      <c r="BA164" s="1073"/>
      <c r="BB164" s="1073"/>
      <c r="BC164" s="1073"/>
      <c r="BD164" s="1073"/>
      <c r="BE164" s="1073"/>
      <c r="BF164" s="1073"/>
      <c r="BG164" s="1073"/>
      <c r="BH164" s="1073"/>
      <c r="BI164" s="1073"/>
      <c r="BJ164" s="1104">
        <f>BJ$41</f>
        <v>0</v>
      </c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  <c r="BX164" s="1104"/>
      <c r="BY164" s="1104"/>
      <c r="BZ164" s="1104"/>
      <c r="CA164" s="1104"/>
      <c r="CB164" s="1104"/>
      <c r="CC164" s="1104"/>
      <c r="CD164" s="1104"/>
      <c r="CE164" s="1104"/>
      <c r="CF164" s="1104"/>
      <c r="CG164" s="1104"/>
      <c r="CH164" s="1104"/>
      <c r="CI164" s="1104"/>
      <c r="CJ164" s="1104"/>
      <c r="CK164" s="1104"/>
      <c r="CL164" s="1104"/>
      <c r="CM164" s="1104"/>
      <c r="CN164" s="1104"/>
      <c r="CO164" s="1104"/>
      <c r="CP164" s="1104"/>
      <c r="CQ164" s="1104"/>
      <c r="CS164" s="178"/>
      <c r="CT164" s="1073" t="s">
        <v>554</v>
      </c>
      <c r="CU164" s="1073"/>
      <c r="CV164" s="1073"/>
      <c r="CW164" s="1073"/>
      <c r="CX164" s="1073"/>
      <c r="CY164" s="1073"/>
      <c r="CZ164" s="1073"/>
      <c r="DA164" s="1073"/>
      <c r="DB164" s="1073"/>
      <c r="DC164" s="1073"/>
      <c r="DD164" s="1073"/>
      <c r="DE164" s="1073"/>
      <c r="DF164" s="1104">
        <f>DF$41</f>
        <v>0</v>
      </c>
      <c r="DG164" s="1104"/>
      <c r="DH164" s="1104"/>
      <c r="DI164" s="1104"/>
      <c r="DJ164" s="1104"/>
      <c r="DK164" s="1104"/>
      <c r="DL164" s="1104"/>
      <c r="DM164" s="1104"/>
      <c r="DN164" s="1104"/>
      <c r="DO164" s="1104"/>
      <c r="DP164" s="1104"/>
      <c r="DQ164" s="1104"/>
      <c r="DR164" s="1104"/>
      <c r="DS164" s="1104"/>
      <c r="DT164" s="1104"/>
      <c r="DU164" s="1104"/>
      <c r="DV164" s="1104"/>
      <c r="DW164" s="1104"/>
      <c r="DX164" s="1104"/>
      <c r="DY164" s="1104"/>
      <c r="DZ164" s="1104"/>
      <c r="EA164" s="1104"/>
      <c r="EB164" s="1104"/>
      <c r="EC164" s="1104"/>
      <c r="ED164" s="1104"/>
      <c r="EE164" s="1104"/>
      <c r="EF164" s="1104"/>
      <c r="EG164" s="1104"/>
      <c r="EH164" s="1104"/>
      <c r="EI164" s="1104"/>
      <c r="EJ164" s="1104"/>
      <c r="EK164" s="1104"/>
      <c r="EL164" s="1104"/>
      <c r="EM164" s="1104"/>
    </row>
    <row r="165" spans="1:143" ht="74.25" customHeight="1">
      <c r="A165" s="178"/>
      <c r="B165" s="1077" t="s">
        <v>694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V165" s="178"/>
      <c r="AW165" s="178"/>
      <c r="AX165" s="1077" t="s">
        <v>694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694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90"/>
      <c r="C166" s="1094" t="s">
        <v>695</v>
      </c>
      <c r="D166" s="1094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4" t="s">
        <v>695</v>
      </c>
      <c r="AZ166" s="1094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94" t="s">
        <v>695</v>
      </c>
      <c r="CV166" s="1094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105">
        <f>B$47</f>
        <v>0</v>
      </c>
      <c r="C167" s="1105"/>
      <c r="D167" s="1105"/>
      <c r="E167" s="1105"/>
      <c r="F167" s="1105"/>
      <c r="G167" s="1105"/>
      <c r="H167" s="1105"/>
      <c r="I167" s="1105"/>
      <c r="J167" s="1105"/>
      <c r="K167" s="1105"/>
      <c r="L167" s="1105"/>
      <c r="M167" s="1105"/>
      <c r="N167" s="1105"/>
      <c r="O167" s="1105"/>
      <c r="P167" s="1105"/>
      <c r="Q167" s="1105"/>
      <c r="R167" s="1105"/>
      <c r="S167" s="1105"/>
      <c r="T167" s="1105"/>
      <c r="U167" s="1105"/>
      <c r="V167" s="1105"/>
      <c r="W167" s="1105"/>
      <c r="X167" s="1105"/>
      <c r="Y167" s="1105"/>
      <c r="Z167" s="1105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78"/>
      <c r="AW167" s="178"/>
      <c r="AX167" s="1105">
        <f>AX$47</f>
        <v>0</v>
      </c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  <c r="BX167" s="1105"/>
      <c r="BY167" s="1105"/>
      <c r="BZ167" s="1105"/>
      <c r="CA167" s="1105"/>
      <c r="CB167" s="1105"/>
      <c r="CC167" s="1105"/>
      <c r="CD167" s="1105"/>
      <c r="CE167" s="1105"/>
      <c r="CF167" s="1105"/>
      <c r="CG167" s="1105"/>
      <c r="CH167" s="1105"/>
      <c r="CI167" s="1105"/>
      <c r="CJ167" s="1105"/>
      <c r="CK167" s="1105"/>
      <c r="CL167" s="1105"/>
      <c r="CM167" s="1105"/>
      <c r="CN167" s="1105"/>
      <c r="CO167" s="1105"/>
      <c r="CP167" s="1105"/>
      <c r="CQ167" s="1105"/>
      <c r="CS167" s="178"/>
      <c r="CT167" s="1105">
        <f>CT$47</f>
        <v>0</v>
      </c>
      <c r="CU167" s="1105"/>
      <c r="CV167" s="1105"/>
      <c r="CW167" s="1105"/>
      <c r="CX167" s="1105"/>
      <c r="CY167" s="1105"/>
      <c r="CZ167" s="1105"/>
      <c r="DA167" s="1105"/>
      <c r="DB167" s="1105"/>
      <c r="DC167" s="1105"/>
      <c r="DD167" s="1105"/>
      <c r="DE167" s="1105"/>
      <c r="DF167" s="1105"/>
      <c r="DG167" s="1105"/>
      <c r="DH167" s="1105"/>
      <c r="DI167" s="1105"/>
      <c r="DJ167" s="1105"/>
      <c r="DK167" s="1105"/>
      <c r="DL167" s="1105"/>
      <c r="DM167" s="1105"/>
      <c r="DN167" s="1105"/>
      <c r="DO167" s="1105"/>
      <c r="DP167" s="1105"/>
      <c r="DQ167" s="1105"/>
      <c r="DR167" s="1105"/>
      <c r="DS167" s="1105"/>
      <c r="DT167" s="1105"/>
      <c r="DU167" s="1105"/>
      <c r="DV167" s="1105"/>
      <c r="DW167" s="1105"/>
      <c r="DX167" s="1105"/>
      <c r="DY167" s="1105"/>
      <c r="DZ167" s="1105"/>
      <c r="EA167" s="1105"/>
      <c r="EB167" s="1105"/>
      <c r="EC167" s="1105"/>
      <c r="ED167" s="1105"/>
      <c r="EE167" s="1105"/>
      <c r="EF167" s="1105"/>
      <c r="EG167" s="1105"/>
      <c r="EH167" s="1105"/>
      <c r="EI167" s="1105"/>
      <c r="EJ167" s="1105"/>
      <c r="EK167" s="1105"/>
      <c r="EL167" s="1105"/>
      <c r="EM167" s="1105"/>
    </row>
    <row r="168" spans="1:143" ht="18.75" customHeight="1">
      <c r="A168" s="178"/>
      <c r="B168" s="190"/>
      <c r="C168" s="1094" t="s">
        <v>697</v>
      </c>
      <c r="D168" s="1094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4" t="s">
        <v>697</v>
      </c>
      <c r="AZ168" s="1094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4" t="s">
        <v>697</v>
      </c>
      <c r="CV168" s="1094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77" t="s">
        <v>699</v>
      </c>
      <c r="C169" s="1077"/>
      <c r="D169" s="1077"/>
      <c r="E169" s="1077"/>
      <c r="F169" s="1077"/>
      <c r="G169" s="1077"/>
      <c r="H169" s="1077"/>
      <c r="I169" s="1077"/>
      <c r="J169" s="1077"/>
      <c r="K169" s="1077"/>
      <c r="L169" s="1077"/>
      <c r="M169" s="1077"/>
      <c r="N169" s="1077"/>
      <c r="O169" s="1077"/>
      <c r="P169" s="1077"/>
      <c r="Q169" s="1077"/>
      <c r="R169" s="1077"/>
      <c r="S169" s="1077"/>
      <c r="T169" s="1077"/>
      <c r="U169" s="1077"/>
      <c r="V169" s="1077"/>
      <c r="W169" s="1077"/>
      <c r="X169" s="1077"/>
      <c r="Y169" s="1077"/>
      <c r="Z169" s="1077"/>
      <c r="AA169" s="1077"/>
      <c r="AB169" s="1077"/>
      <c r="AC169" s="1077"/>
      <c r="AD169" s="1077"/>
      <c r="AE169" s="1077"/>
      <c r="AF169" s="1077"/>
      <c r="AG169" s="1077"/>
      <c r="AH169" s="1077"/>
      <c r="AI169" s="1077"/>
      <c r="AJ169" s="1077"/>
      <c r="AK169" s="1077"/>
      <c r="AL169" s="1077"/>
      <c r="AM169" s="1077"/>
      <c r="AN169" s="1077"/>
      <c r="AO169" s="1077"/>
      <c r="AP169" s="1077"/>
      <c r="AQ169" s="1077"/>
      <c r="AR169" s="1077"/>
      <c r="AS169" s="1077"/>
      <c r="AT169" s="1077"/>
      <c r="AU169" s="1077"/>
      <c r="AV169" s="178"/>
      <c r="AW169" s="178"/>
      <c r="AX169" s="1077" t="s">
        <v>699</v>
      </c>
      <c r="AY169" s="1077"/>
      <c r="AZ169" s="1077"/>
      <c r="BA169" s="1077"/>
      <c r="BB169" s="1077"/>
      <c r="BC169" s="1077"/>
      <c r="BD169" s="1077"/>
      <c r="BE169" s="1077"/>
      <c r="BF169" s="1077"/>
      <c r="BG169" s="1077"/>
      <c r="BH169" s="1077"/>
      <c r="BI169" s="1077"/>
      <c r="BJ169" s="1077"/>
      <c r="BK169" s="1077"/>
      <c r="BL169" s="1077"/>
      <c r="BM169" s="1077"/>
      <c r="BN169" s="1077"/>
      <c r="BO169" s="1077"/>
      <c r="BP169" s="1077"/>
      <c r="BQ169" s="1077"/>
      <c r="BR169" s="1077"/>
      <c r="BS169" s="1077"/>
      <c r="BT169" s="1077"/>
      <c r="BU169" s="1077"/>
      <c r="BV169" s="1077"/>
      <c r="BW169" s="1077"/>
      <c r="BX169" s="1077"/>
      <c r="BY169" s="1077"/>
      <c r="BZ169" s="1077"/>
      <c r="CA169" s="1077"/>
      <c r="CB169" s="1077"/>
      <c r="CC169" s="1077"/>
      <c r="CD169" s="1077"/>
      <c r="CE169" s="1077"/>
      <c r="CF169" s="1077"/>
      <c r="CG169" s="1077"/>
      <c r="CH169" s="1077"/>
      <c r="CI169" s="1077"/>
      <c r="CJ169" s="1077"/>
      <c r="CK169" s="1077"/>
      <c r="CL169" s="1077"/>
      <c r="CM169" s="1077"/>
      <c r="CN169" s="1077"/>
      <c r="CO169" s="1077"/>
      <c r="CP169" s="1077"/>
      <c r="CQ169" s="1077"/>
      <c r="CS169" s="178"/>
      <c r="CT169" s="1077" t="s">
        <v>699</v>
      </c>
      <c r="CU169" s="1077"/>
      <c r="CV169" s="1077"/>
      <c r="CW169" s="1077"/>
      <c r="CX169" s="1077"/>
      <c r="CY169" s="1077"/>
      <c r="CZ169" s="1077"/>
      <c r="DA169" s="1077"/>
      <c r="DB169" s="1077"/>
      <c r="DC169" s="1077"/>
      <c r="DD169" s="1077"/>
      <c r="DE169" s="1077"/>
      <c r="DF169" s="1077"/>
      <c r="DG169" s="1077"/>
      <c r="DH169" s="1077"/>
      <c r="DI169" s="1077"/>
      <c r="DJ169" s="1077"/>
      <c r="DK169" s="1077"/>
      <c r="DL169" s="1077"/>
      <c r="DM169" s="1077"/>
      <c r="DN169" s="1077"/>
      <c r="DO169" s="1077"/>
      <c r="DP169" s="1077"/>
      <c r="DQ169" s="1077"/>
      <c r="DR169" s="1077"/>
      <c r="DS169" s="1077"/>
      <c r="DT169" s="1077"/>
      <c r="DU169" s="1077"/>
      <c r="DV169" s="1077"/>
      <c r="DW169" s="1077"/>
      <c r="DX169" s="1077"/>
      <c r="DY169" s="1077"/>
      <c r="DZ169" s="1077"/>
      <c r="EA169" s="1077"/>
      <c r="EB169" s="1077"/>
      <c r="EC169" s="1077"/>
      <c r="ED169" s="1077"/>
      <c r="EE169" s="1077"/>
      <c r="EF169" s="1077"/>
      <c r="EG169" s="1077"/>
      <c r="EH169" s="1077"/>
      <c r="EI169" s="1077"/>
      <c r="EJ169" s="1077"/>
      <c r="EK169" s="1077"/>
      <c r="EL169" s="1077"/>
      <c r="EM169" s="1077"/>
    </row>
    <row r="170" spans="1:143" ht="18.75" customHeight="1">
      <c r="A170" s="178"/>
      <c r="B170" s="190"/>
      <c r="C170" s="1094" t="s">
        <v>700</v>
      </c>
      <c r="D170" s="1094"/>
      <c r="E170" s="1073" t="s">
        <v>701</v>
      </c>
      <c r="F170" s="1073"/>
      <c r="G170" s="1073"/>
      <c r="H170" s="1073"/>
      <c r="I170" s="1073"/>
      <c r="J170" s="1073"/>
      <c r="K170" s="1073"/>
      <c r="L170" s="1073"/>
      <c r="M170" s="1073"/>
      <c r="N170" s="1073"/>
      <c r="O170" s="1073"/>
      <c r="P170" s="1073"/>
      <c r="Q170" s="1073"/>
      <c r="R170" s="1073"/>
      <c r="S170" s="1073"/>
      <c r="T170" s="1073"/>
      <c r="U170" s="1073"/>
      <c r="V170" s="1073"/>
      <c r="W170" s="1073"/>
      <c r="X170" s="1073"/>
      <c r="Y170" s="1073"/>
      <c r="Z170" s="1073"/>
      <c r="AA170" s="1073"/>
      <c r="AB170" s="1073"/>
      <c r="AC170" s="1073"/>
      <c r="AD170" s="1073"/>
      <c r="AE170" s="1073"/>
      <c r="AF170" s="1073"/>
      <c r="AG170" s="1073"/>
      <c r="AH170" s="1073"/>
      <c r="AI170" s="1073"/>
      <c r="AJ170" s="1073"/>
      <c r="AK170" s="1073"/>
      <c r="AL170" s="1073"/>
      <c r="AM170" s="1073"/>
      <c r="AN170" s="1073"/>
      <c r="AO170" s="1073"/>
      <c r="AP170" s="1073"/>
      <c r="AQ170" s="1073"/>
      <c r="AR170" s="1073"/>
      <c r="AS170" s="1073"/>
      <c r="AT170" s="1073"/>
      <c r="AU170" s="1073"/>
      <c r="AV170" s="178"/>
      <c r="AW170" s="178"/>
      <c r="AX170" s="190"/>
      <c r="AY170" s="1094" t="s">
        <v>700</v>
      </c>
      <c r="AZ170" s="1094"/>
      <c r="BA170" s="1073" t="s">
        <v>701</v>
      </c>
      <c r="BB170" s="1073"/>
      <c r="BC170" s="1073"/>
      <c r="BD170" s="1073"/>
      <c r="BE170" s="1073"/>
      <c r="BF170" s="1073"/>
      <c r="BG170" s="1073"/>
      <c r="BH170" s="1073"/>
      <c r="BI170" s="1073"/>
      <c r="BJ170" s="1073"/>
      <c r="BK170" s="1073"/>
      <c r="BL170" s="1073"/>
      <c r="BM170" s="1073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  <c r="BX170" s="1073"/>
      <c r="BY170" s="1073"/>
      <c r="BZ170" s="1073"/>
      <c r="CA170" s="1073"/>
      <c r="CB170" s="1073"/>
      <c r="CC170" s="1073"/>
      <c r="CD170" s="1073"/>
      <c r="CE170" s="1073"/>
      <c r="CF170" s="1073"/>
      <c r="CG170" s="1073"/>
      <c r="CH170" s="1073"/>
      <c r="CI170" s="1073"/>
      <c r="CJ170" s="1073"/>
      <c r="CK170" s="1073"/>
      <c r="CL170" s="1073"/>
      <c r="CM170" s="1073"/>
      <c r="CN170" s="1073"/>
      <c r="CO170" s="1073"/>
      <c r="CP170" s="1073"/>
      <c r="CQ170" s="1073"/>
      <c r="CS170" s="178"/>
      <c r="CT170" s="190"/>
      <c r="CU170" s="1094" t="s">
        <v>700</v>
      </c>
      <c r="CV170" s="1094"/>
      <c r="CW170" s="1073" t="s">
        <v>701</v>
      </c>
      <c r="CX170" s="1073"/>
      <c r="CY170" s="1073"/>
      <c r="CZ170" s="1073"/>
      <c r="DA170" s="1073"/>
      <c r="DB170" s="1073"/>
      <c r="DC170" s="1073"/>
      <c r="DD170" s="1073"/>
      <c r="DE170" s="1073"/>
      <c r="DF170" s="1073"/>
      <c r="DG170" s="1073"/>
      <c r="DH170" s="1073"/>
      <c r="DI170" s="1073"/>
      <c r="DJ170" s="1073"/>
      <c r="DK170" s="1073"/>
      <c r="DL170" s="1073"/>
      <c r="DM170" s="1073"/>
      <c r="DN170" s="1073"/>
      <c r="DO170" s="1073"/>
      <c r="DP170" s="1073"/>
      <c r="DQ170" s="1073"/>
      <c r="DR170" s="1073"/>
      <c r="DS170" s="1073"/>
      <c r="DT170" s="1073"/>
      <c r="DU170" s="1073"/>
      <c r="DV170" s="1073"/>
      <c r="DW170" s="1073"/>
      <c r="DX170" s="1073"/>
      <c r="DY170" s="1073"/>
      <c r="DZ170" s="1073"/>
      <c r="EA170" s="1073"/>
      <c r="EB170" s="1073"/>
      <c r="EC170" s="1073"/>
      <c r="ED170" s="1073"/>
      <c r="EE170" s="1073"/>
      <c r="EF170" s="1073"/>
      <c r="EG170" s="1073"/>
      <c r="EH170" s="1073"/>
      <c r="EI170" s="1073"/>
      <c r="EJ170" s="1073"/>
      <c r="EK170" s="1073"/>
      <c r="EL170" s="1073"/>
      <c r="EM170" s="1073"/>
    </row>
    <row r="171" spans="1:143" ht="18.75" customHeight="1">
      <c r="A171" s="178"/>
      <c r="B171" s="1077" t="s">
        <v>702</v>
      </c>
      <c r="C171" s="1077"/>
      <c r="D171" s="1077"/>
      <c r="E171" s="1077"/>
      <c r="F171" s="1077"/>
      <c r="G171" s="1077"/>
      <c r="H171" s="1077"/>
      <c r="I171" s="1077"/>
      <c r="J171" s="1077"/>
      <c r="K171" s="1077"/>
      <c r="L171" s="1077"/>
      <c r="M171" s="1077"/>
      <c r="N171" s="1077"/>
      <c r="O171" s="1077"/>
      <c r="P171" s="1077"/>
      <c r="Q171" s="1077"/>
      <c r="R171" s="1077"/>
      <c r="S171" s="1077"/>
      <c r="T171" s="1077"/>
      <c r="U171" s="1077"/>
      <c r="V171" s="1077"/>
      <c r="W171" s="1077"/>
      <c r="X171" s="1077"/>
      <c r="Y171" s="1077"/>
      <c r="Z171" s="1077"/>
      <c r="AA171" s="1077"/>
      <c r="AB171" s="1077"/>
      <c r="AC171" s="1077"/>
      <c r="AD171" s="1077"/>
      <c r="AE171" s="1077"/>
      <c r="AF171" s="1077"/>
      <c r="AG171" s="1077"/>
      <c r="AH171" s="1077"/>
      <c r="AI171" s="1077"/>
      <c r="AJ171" s="1077"/>
      <c r="AK171" s="1077"/>
      <c r="AL171" s="1077"/>
      <c r="AM171" s="1077"/>
      <c r="AN171" s="1077"/>
      <c r="AO171" s="1077"/>
      <c r="AP171" s="1077"/>
      <c r="AQ171" s="1077"/>
      <c r="AR171" s="1077"/>
      <c r="AS171" s="1077"/>
      <c r="AT171" s="1077"/>
      <c r="AU171" s="1077"/>
      <c r="AV171" s="178"/>
      <c r="AW171" s="178"/>
      <c r="AX171" s="1077" t="s">
        <v>702</v>
      </c>
      <c r="AY171" s="1077"/>
      <c r="AZ171" s="1077"/>
      <c r="BA171" s="1077"/>
      <c r="BB171" s="1077"/>
      <c r="BC171" s="1077"/>
      <c r="BD171" s="1077"/>
      <c r="BE171" s="1077"/>
      <c r="BF171" s="1077"/>
      <c r="BG171" s="1077"/>
      <c r="BH171" s="1077"/>
      <c r="BI171" s="1077"/>
      <c r="BJ171" s="1077"/>
      <c r="BK171" s="1077"/>
      <c r="BL171" s="1077"/>
      <c r="BM171" s="1077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  <c r="BX171" s="1077"/>
      <c r="BY171" s="1077"/>
      <c r="BZ171" s="1077"/>
      <c r="CA171" s="1077"/>
      <c r="CB171" s="1077"/>
      <c r="CC171" s="1077"/>
      <c r="CD171" s="1077"/>
      <c r="CE171" s="1077"/>
      <c r="CF171" s="1077"/>
      <c r="CG171" s="1077"/>
      <c r="CH171" s="1077"/>
      <c r="CI171" s="1077"/>
      <c r="CJ171" s="1077"/>
      <c r="CK171" s="1077"/>
      <c r="CL171" s="1077"/>
      <c r="CM171" s="1077"/>
      <c r="CN171" s="1077"/>
      <c r="CO171" s="1077"/>
      <c r="CP171" s="1077"/>
      <c r="CQ171" s="1077"/>
      <c r="CS171" s="178"/>
      <c r="CT171" s="1077" t="s">
        <v>702</v>
      </c>
      <c r="CU171" s="1077"/>
      <c r="CV171" s="1077"/>
      <c r="CW171" s="1077"/>
      <c r="CX171" s="1077"/>
      <c r="CY171" s="1077"/>
      <c r="CZ171" s="1077"/>
      <c r="DA171" s="1077"/>
      <c r="DB171" s="1077"/>
      <c r="DC171" s="1077"/>
      <c r="DD171" s="1077"/>
      <c r="DE171" s="1077"/>
      <c r="DF171" s="1077"/>
      <c r="DG171" s="1077"/>
      <c r="DH171" s="1077"/>
      <c r="DI171" s="1077"/>
      <c r="DJ171" s="1077"/>
      <c r="DK171" s="1077"/>
      <c r="DL171" s="1077"/>
      <c r="DM171" s="1077"/>
      <c r="DN171" s="1077"/>
      <c r="DO171" s="1077"/>
      <c r="DP171" s="1077"/>
      <c r="DQ171" s="1077"/>
      <c r="DR171" s="1077"/>
      <c r="DS171" s="1077"/>
      <c r="DT171" s="1077"/>
      <c r="DU171" s="1077"/>
      <c r="DV171" s="1077"/>
      <c r="DW171" s="1077"/>
      <c r="DX171" s="1077"/>
      <c r="DY171" s="1077"/>
      <c r="DZ171" s="1077"/>
      <c r="EA171" s="1077"/>
      <c r="EB171" s="1077"/>
      <c r="EC171" s="1077"/>
      <c r="ED171" s="1077"/>
      <c r="EE171" s="1077"/>
      <c r="EF171" s="1077"/>
      <c r="EG171" s="1077"/>
      <c r="EH171" s="1077"/>
      <c r="EI171" s="1077"/>
      <c r="EJ171" s="1077"/>
      <c r="EK171" s="1077"/>
      <c r="EL171" s="1077"/>
      <c r="EM171" s="1077"/>
    </row>
    <row r="172" spans="1:143" ht="18.75" customHeight="1">
      <c r="A172" s="178"/>
      <c r="B172" s="190"/>
      <c r="C172" s="1094" t="s">
        <v>703</v>
      </c>
      <c r="D172" s="1094"/>
      <c r="E172" s="1073" t="s">
        <v>704</v>
      </c>
      <c r="F172" s="1073"/>
      <c r="G172" s="1073"/>
      <c r="H172" s="1073"/>
      <c r="I172" s="1073"/>
      <c r="J172" s="1073"/>
      <c r="K172" s="1073"/>
      <c r="L172" s="1073"/>
      <c r="M172" s="1073"/>
      <c r="N172" s="1073"/>
      <c r="O172" s="1073"/>
      <c r="P172" s="1073"/>
      <c r="Q172" s="1073"/>
      <c r="R172" s="1073"/>
      <c r="S172" s="1073"/>
      <c r="T172" s="1073"/>
      <c r="U172" s="1073"/>
      <c r="V172" s="1073"/>
      <c r="W172" s="1073"/>
      <c r="X172" s="1073"/>
      <c r="Y172" s="1073"/>
      <c r="Z172" s="1073"/>
      <c r="AA172" s="1073"/>
      <c r="AB172" s="1073"/>
      <c r="AC172" s="1073"/>
      <c r="AD172" s="1073"/>
      <c r="AE172" s="1073"/>
      <c r="AF172" s="1073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V172" s="178"/>
      <c r="AW172" s="178"/>
      <c r="AX172" s="190"/>
      <c r="AY172" s="1094" t="s">
        <v>703</v>
      </c>
      <c r="AZ172" s="1094"/>
      <c r="BA172" s="1073" t="s">
        <v>704</v>
      </c>
      <c r="BB172" s="1073"/>
      <c r="BC172" s="1073"/>
      <c r="BD172" s="1073"/>
      <c r="BE172" s="1073"/>
      <c r="BF172" s="1073"/>
      <c r="BG172" s="1073"/>
      <c r="BH172" s="1073"/>
      <c r="BI172" s="1073"/>
      <c r="BJ172" s="1073"/>
      <c r="BK172" s="1073"/>
      <c r="BL172" s="1073"/>
      <c r="BM172" s="1073"/>
      <c r="BN172" s="1073"/>
      <c r="BO172" s="1073"/>
      <c r="BP172" s="1073"/>
      <c r="BQ172" s="1073"/>
      <c r="BR172" s="1073"/>
      <c r="BS172" s="1073"/>
      <c r="BT172" s="1073"/>
      <c r="BU172" s="1073"/>
      <c r="BV172" s="1073"/>
      <c r="BW172" s="1073"/>
      <c r="BX172" s="1073"/>
      <c r="BY172" s="1073"/>
      <c r="BZ172" s="1073"/>
      <c r="CA172" s="1073"/>
      <c r="CB172" s="1073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90"/>
      <c r="CU172" s="1094" t="s">
        <v>703</v>
      </c>
      <c r="CV172" s="1094"/>
      <c r="CW172" s="1073" t="s">
        <v>704</v>
      </c>
      <c r="CX172" s="1073"/>
      <c r="CY172" s="1073"/>
      <c r="CZ172" s="1073"/>
      <c r="DA172" s="1073"/>
      <c r="DB172" s="1073"/>
      <c r="DC172" s="1073"/>
      <c r="DD172" s="1073"/>
      <c r="DE172" s="1073"/>
      <c r="DF172" s="1073"/>
      <c r="DG172" s="1073"/>
      <c r="DH172" s="1073"/>
      <c r="DI172" s="1073"/>
      <c r="DJ172" s="1073"/>
      <c r="DK172" s="1073"/>
      <c r="DL172" s="1073"/>
      <c r="DM172" s="1073"/>
      <c r="DN172" s="1073"/>
      <c r="DO172" s="1073"/>
      <c r="DP172" s="1073"/>
      <c r="DQ172" s="1073"/>
      <c r="DR172" s="1073"/>
      <c r="DS172" s="1073"/>
      <c r="DT172" s="1073"/>
      <c r="DU172" s="1073"/>
      <c r="DV172" s="1073"/>
      <c r="DW172" s="1073"/>
      <c r="DX172" s="1073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ht="18.75" customHeight="1">
      <c r="A173" s="178"/>
      <c r="B173" s="1073" t="s">
        <v>705</v>
      </c>
      <c r="C173" s="1073"/>
      <c r="D173" s="1073"/>
      <c r="E173" s="1073"/>
      <c r="F173" s="1073"/>
      <c r="G173" s="1073"/>
      <c r="H173" s="1073"/>
      <c r="I173" s="1073"/>
      <c r="J173" s="1073"/>
      <c r="K173" s="1073"/>
      <c r="L173" s="1073"/>
      <c r="M173" s="1073"/>
      <c r="N173" s="1073"/>
      <c r="O173" s="1073"/>
      <c r="P173" s="1073"/>
      <c r="Q173" s="1073"/>
      <c r="R173" s="1073"/>
      <c r="S173" s="1073"/>
      <c r="T173" s="1073"/>
      <c r="U173" s="1073"/>
      <c r="V173" s="1073"/>
      <c r="W173" s="1073"/>
      <c r="X173" s="1073"/>
      <c r="Y173" s="1073"/>
      <c r="Z173" s="1073"/>
      <c r="AA173" s="1073"/>
      <c r="AB173" s="1123">
        <f>AF$36</f>
        <v>0</v>
      </c>
      <c r="AC173" s="1123"/>
      <c r="AD173" s="183" t="s">
        <v>524</v>
      </c>
      <c r="AE173" s="1123">
        <f>AI$36</f>
        <v>0</v>
      </c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78"/>
      <c r="AP173" s="1123">
        <f>AP$36</f>
        <v>0</v>
      </c>
      <c r="AQ173" s="1123"/>
      <c r="AR173" s="1123"/>
      <c r="AS173" s="1123"/>
      <c r="AT173" s="1124" t="s">
        <v>375</v>
      </c>
      <c r="AU173" s="1124"/>
      <c r="AV173" s="178"/>
      <c r="AW173" s="178"/>
      <c r="AX173" s="1073" t="s">
        <v>705</v>
      </c>
      <c r="AY173" s="1073"/>
      <c r="AZ173" s="1073"/>
      <c r="BA173" s="1073"/>
      <c r="BB173" s="1073"/>
      <c r="BC173" s="1073"/>
      <c r="BD173" s="1073"/>
      <c r="BE173" s="1073"/>
      <c r="BF173" s="1073"/>
      <c r="BG173" s="1073"/>
      <c r="BH173" s="1073"/>
      <c r="BI173" s="1073"/>
      <c r="BJ173" s="1073"/>
      <c r="BK173" s="1073"/>
      <c r="BL173" s="1073"/>
      <c r="BM173" s="1073"/>
      <c r="BN173" s="1073"/>
      <c r="BO173" s="1073"/>
      <c r="BP173" s="1073"/>
      <c r="BQ173" s="1073"/>
      <c r="BR173" s="1073"/>
      <c r="BS173" s="1073"/>
      <c r="BT173" s="1073"/>
      <c r="BU173" s="1073"/>
      <c r="BV173" s="1073"/>
      <c r="BW173" s="1073"/>
      <c r="BX173" s="1123">
        <f>CB$36</f>
        <v>0</v>
      </c>
      <c r="BY173" s="1123"/>
      <c r="BZ173" s="183" t="s">
        <v>524</v>
      </c>
      <c r="CA173" s="1123">
        <f>CE$36</f>
        <v>0</v>
      </c>
      <c r="CB173" s="1123"/>
      <c r="CC173" s="1123"/>
      <c r="CD173" s="1123"/>
      <c r="CE173" s="1123"/>
      <c r="CF173" s="1123"/>
      <c r="CG173" s="1123"/>
      <c r="CH173" s="1123"/>
      <c r="CI173" s="1123"/>
      <c r="CJ173" s="1123"/>
      <c r="CK173" s="178"/>
      <c r="CL173" s="1123">
        <f>CL$36</f>
        <v>0</v>
      </c>
      <c r="CM173" s="1123"/>
      <c r="CN173" s="1123"/>
      <c r="CO173" s="1123"/>
      <c r="CP173" s="1124" t="s">
        <v>375</v>
      </c>
      <c r="CQ173" s="1124"/>
      <c r="CS173" s="178"/>
      <c r="CT173" s="1073" t="s">
        <v>705</v>
      </c>
      <c r="CU173" s="1073"/>
      <c r="CV173" s="1073"/>
      <c r="CW173" s="1073"/>
      <c r="CX173" s="1073"/>
      <c r="CY173" s="1073"/>
      <c r="CZ173" s="1073"/>
      <c r="DA173" s="1073"/>
      <c r="DB173" s="1073"/>
      <c r="DC173" s="1073"/>
      <c r="DD173" s="1073"/>
      <c r="DE173" s="1073"/>
      <c r="DF173" s="1073"/>
      <c r="DG173" s="1073"/>
      <c r="DH173" s="1073"/>
      <c r="DI173" s="1073"/>
      <c r="DJ173" s="1073"/>
      <c r="DK173" s="1073"/>
      <c r="DL173" s="1073"/>
      <c r="DM173" s="1073"/>
      <c r="DN173" s="1073"/>
      <c r="DO173" s="1073"/>
      <c r="DP173" s="1073"/>
      <c r="DQ173" s="1073"/>
      <c r="DR173" s="1073"/>
      <c r="DS173" s="1073"/>
      <c r="DT173" s="1123">
        <f>DX$36</f>
        <v>0</v>
      </c>
      <c r="DU173" s="1123"/>
      <c r="DV173" s="183" t="s">
        <v>524</v>
      </c>
      <c r="DW173" s="1123">
        <f>EA$36</f>
        <v>0</v>
      </c>
      <c r="DX173" s="1123"/>
      <c r="DY173" s="1123"/>
      <c r="DZ173" s="1123"/>
      <c r="EA173" s="1123"/>
      <c r="EB173" s="1123"/>
      <c r="EC173" s="1123"/>
      <c r="ED173" s="1123"/>
      <c r="EE173" s="1123"/>
      <c r="EF173" s="1123"/>
      <c r="EG173" s="178"/>
      <c r="EH173" s="1123">
        <f>EH$36</f>
        <v>0</v>
      </c>
      <c r="EI173" s="1123"/>
      <c r="EJ173" s="1123"/>
      <c r="EK173" s="1123"/>
      <c r="EL173" s="1124" t="s">
        <v>375</v>
      </c>
      <c r="EM173" s="1124"/>
    </row>
    <row r="174" spans="1:143" ht="18.75" customHeight="1">
      <c r="A174" s="178"/>
      <c r="B174" s="1096" t="s">
        <v>680</v>
      </c>
      <c r="C174" s="1096"/>
      <c r="D174" s="1113">
        <f>AQ$35</f>
        <v>0</v>
      </c>
      <c r="E174" s="1113"/>
      <c r="F174" s="1113"/>
      <c r="G174" s="1113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6" t="s">
        <v>680</v>
      </c>
      <c r="AY174" s="1096"/>
      <c r="AZ174" s="1113">
        <f>CM$35</f>
        <v>0</v>
      </c>
      <c r="BA174" s="1113"/>
      <c r="BB174" s="1113"/>
      <c r="BC174" s="1113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6" t="s">
        <v>680</v>
      </c>
      <c r="CU174" s="1096"/>
      <c r="CV174" s="1113">
        <f>EI$35</f>
        <v>0</v>
      </c>
      <c r="CW174" s="1113"/>
      <c r="CX174" s="1113"/>
      <c r="CY174" s="1113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98"/>
      <c r="C175" s="1098"/>
      <c r="D175" s="1098"/>
      <c r="E175" s="1098"/>
      <c r="F175" s="1098"/>
      <c r="G175" s="1098"/>
      <c r="H175" s="1098"/>
      <c r="I175" s="1098"/>
      <c r="J175" s="1098"/>
      <c r="K175" s="1098"/>
      <c r="L175" s="1098"/>
      <c r="M175" s="1098"/>
      <c r="N175" s="1098"/>
      <c r="O175" s="1098"/>
      <c r="P175" s="1098"/>
      <c r="Q175" s="1098"/>
      <c r="R175" s="1098"/>
      <c r="S175" s="1098"/>
      <c r="T175" s="1098"/>
      <c r="U175" s="1098"/>
      <c r="V175" s="1098"/>
      <c r="W175" s="1098"/>
      <c r="X175" s="1098"/>
      <c r="Y175" s="1098"/>
      <c r="Z175" s="1098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78"/>
      <c r="AW175" s="17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  <c r="BX175" s="1098"/>
      <c r="BY175" s="1098"/>
      <c r="BZ175" s="1098"/>
      <c r="CA175" s="1098"/>
      <c r="CB175" s="1098"/>
      <c r="CC175" s="1098"/>
      <c r="CD175" s="1098"/>
      <c r="CE175" s="1098"/>
      <c r="CF175" s="1098"/>
      <c r="CG175" s="1098"/>
      <c r="CH175" s="1098"/>
      <c r="CI175" s="1098"/>
      <c r="CJ175" s="1098"/>
      <c r="CK175" s="1098"/>
      <c r="CL175" s="1098"/>
      <c r="CM175" s="1098"/>
      <c r="CN175" s="1098"/>
      <c r="CO175" s="1098"/>
      <c r="CP175" s="1098"/>
      <c r="CQ175" s="1098"/>
      <c r="CS175" s="178"/>
      <c r="CT175" s="1098"/>
      <c r="CU175" s="1098"/>
      <c r="CV175" s="1098"/>
      <c r="CW175" s="1098"/>
      <c r="CX175" s="1098"/>
      <c r="CY175" s="1098"/>
      <c r="CZ175" s="1098"/>
      <c r="DA175" s="1098"/>
      <c r="DB175" s="1098"/>
      <c r="DC175" s="1098"/>
      <c r="DD175" s="1098"/>
      <c r="DE175" s="1098"/>
      <c r="DF175" s="1098"/>
      <c r="DG175" s="1098"/>
      <c r="DH175" s="1098"/>
      <c r="DI175" s="1098"/>
      <c r="DJ175" s="1098"/>
      <c r="DK175" s="1098"/>
      <c r="DL175" s="1098"/>
      <c r="DM175" s="1098"/>
      <c r="DN175" s="1098"/>
      <c r="DO175" s="1098"/>
      <c r="DP175" s="1098"/>
      <c r="DQ175" s="1098"/>
      <c r="DR175" s="1098"/>
      <c r="DS175" s="1098"/>
      <c r="DT175" s="1098"/>
      <c r="DU175" s="1098"/>
      <c r="DV175" s="1098"/>
      <c r="DW175" s="1098"/>
      <c r="DX175" s="1098"/>
      <c r="DY175" s="1098"/>
      <c r="DZ175" s="1098"/>
      <c r="EA175" s="1098"/>
      <c r="EB175" s="1098"/>
      <c r="EC175" s="1098"/>
      <c r="ED175" s="1098"/>
      <c r="EE175" s="1098"/>
      <c r="EF175" s="1098"/>
      <c r="EG175" s="1098"/>
      <c r="EH175" s="1098"/>
      <c r="EI175" s="1098"/>
      <c r="EJ175" s="1098"/>
      <c r="EK175" s="1098"/>
      <c r="EL175" s="1098"/>
      <c r="EM175" s="1098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99" t="s">
        <v>675</v>
      </c>
      <c r="C177" s="1099"/>
      <c r="D177" s="1099"/>
      <c r="E177" s="1099"/>
      <c r="F177" s="1099"/>
      <c r="G177" s="1099"/>
      <c r="H177" s="1099"/>
      <c r="I177" s="1099"/>
      <c r="J177" s="1099"/>
      <c r="K177" s="1099"/>
      <c r="L177" s="1099"/>
      <c r="M177" s="1099"/>
      <c r="N177" s="1099"/>
      <c r="O177" s="1099"/>
      <c r="P177" s="1099"/>
      <c r="Q177" s="1099"/>
      <c r="R177" s="1099"/>
      <c r="S177" s="1099"/>
      <c r="T177" s="1099"/>
      <c r="U177" s="1099"/>
      <c r="V177" s="1099"/>
      <c r="W177" s="1099"/>
      <c r="X177" s="1099"/>
      <c r="Y177" s="1099" t="s">
        <v>676</v>
      </c>
      <c r="Z177" s="1099"/>
      <c r="AA177" s="1099"/>
      <c r="AB177" s="1099"/>
      <c r="AC177" s="1099"/>
      <c r="AD177" s="1099"/>
      <c r="AE177" s="1099"/>
      <c r="AF177" s="1099"/>
      <c r="AG177" s="1099"/>
      <c r="AH177" s="1099"/>
      <c r="AI177" s="1099"/>
      <c r="AJ177" s="1099"/>
      <c r="AK177" s="1099"/>
      <c r="AL177" s="1099"/>
      <c r="AM177" s="1099"/>
      <c r="AN177" s="1099"/>
      <c r="AO177" s="1099"/>
      <c r="AP177" s="1099"/>
      <c r="AQ177" s="1099"/>
      <c r="AR177" s="1099"/>
      <c r="AS177" s="1099"/>
      <c r="AT177" s="1099"/>
      <c r="AU177" s="1099"/>
      <c r="AV177" s="178"/>
      <c r="AW177" s="178"/>
      <c r="AX177" s="1099" t="s">
        <v>675</v>
      </c>
      <c r="AY177" s="1099"/>
      <c r="AZ177" s="1099"/>
      <c r="BA177" s="1099"/>
      <c r="BB177" s="1099"/>
      <c r="BC177" s="1099"/>
      <c r="BD177" s="1099"/>
      <c r="BE177" s="1099"/>
      <c r="BF177" s="1099"/>
      <c r="BG177" s="1099"/>
      <c r="BH177" s="1099"/>
      <c r="BI177" s="1099"/>
      <c r="BJ177" s="1099"/>
      <c r="BK177" s="1099"/>
      <c r="BL177" s="1099"/>
      <c r="BM177" s="1099"/>
      <c r="BN177" s="1099"/>
      <c r="BO177" s="1099"/>
      <c r="BP177" s="1099"/>
      <c r="BQ177" s="1099"/>
      <c r="BR177" s="1099"/>
      <c r="BS177" s="1099"/>
      <c r="BT177" s="1099"/>
      <c r="BU177" s="1099" t="s">
        <v>676</v>
      </c>
      <c r="BV177" s="1099"/>
      <c r="BW177" s="1099"/>
      <c r="BX177" s="1099"/>
      <c r="BY177" s="1099"/>
      <c r="BZ177" s="1099"/>
      <c r="CA177" s="1099"/>
      <c r="CB177" s="1099"/>
      <c r="CC177" s="1099"/>
      <c r="CD177" s="1099"/>
      <c r="CE177" s="1099"/>
      <c r="CF177" s="1099"/>
      <c r="CG177" s="1099"/>
      <c r="CH177" s="1099"/>
      <c r="CI177" s="1099"/>
      <c r="CJ177" s="1099"/>
      <c r="CK177" s="1099"/>
      <c r="CL177" s="1099"/>
      <c r="CM177" s="1099"/>
      <c r="CN177" s="1099"/>
      <c r="CO177" s="1099"/>
      <c r="CP177" s="1099"/>
      <c r="CQ177" s="1099"/>
      <c r="CS177" s="178"/>
      <c r="CT177" s="1099" t="s">
        <v>675</v>
      </c>
      <c r="CU177" s="1099"/>
      <c r="CV177" s="1099"/>
      <c r="CW177" s="1099"/>
      <c r="CX177" s="1099"/>
      <c r="CY177" s="1099"/>
      <c r="CZ177" s="1099"/>
      <c r="DA177" s="1099"/>
      <c r="DB177" s="1099"/>
      <c r="DC177" s="1099"/>
      <c r="DD177" s="1099"/>
      <c r="DE177" s="1099"/>
      <c r="DF177" s="1099"/>
      <c r="DG177" s="1099"/>
      <c r="DH177" s="1099"/>
      <c r="DI177" s="1099"/>
      <c r="DJ177" s="1099"/>
      <c r="DK177" s="1099"/>
      <c r="DL177" s="1099"/>
      <c r="DM177" s="1099"/>
      <c r="DN177" s="1099"/>
      <c r="DO177" s="1099"/>
      <c r="DP177" s="1099"/>
      <c r="DQ177" s="1099" t="s">
        <v>676</v>
      </c>
      <c r="DR177" s="1099"/>
      <c r="DS177" s="1099"/>
      <c r="DT177" s="1099"/>
      <c r="DU177" s="1099"/>
      <c r="DV177" s="1099"/>
      <c r="DW177" s="1099"/>
      <c r="DX177" s="1099"/>
      <c r="DY177" s="1099"/>
      <c r="DZ177" s="1099"/>
      <c r="EA177" s="1099"/>
      <c r="EB177" s="1099"/>
      <c r="EC177" s="1099"/>
      <c r="ED177" s="1099"/>
      <c r="EE177" s="1099"/>
      <c r="EF177" s="1099"/>
      <c r="EG177" s="1099"/>
      <c r="EH177" s="1099"/>
      <c r="EI177" s="1099"/>
      <c r="EJ177" s="1099"/>
      <c r="EK177" s="1099"/>
      <c r="EL177" s="1099"/>
      <c r="EM177" s="1099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100" t="s">
        <v>151</v>
      </c>
      <c r="Y179" s="1100"/>
      <c r="Z179" s="1100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100"/>
      <c r="AT179" s="1100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100" t="s">
        <v>151</v>
      </c>
      <c r="BU179" s="1100"/>
      <c r="BV179" s="1100"/>
      <c r="BW179" s="1100"/>
      <c r="BX179" s="1100"/>
      <c r="BY179" s="1100"/>
      <c r="BZ179" s="1100"/>
      <c r="CA179" s="1100"/>
      <c r="CB179" s="1100"/>
      <c r="CC179" s="1100"/>
      <c r="CD179" s="1100"/>
      <c r="CE179" s="1100"/>
      <c r="CF179" s="1100"/>
      <c r="CG179" s="1100"/>
      <c r="CH179" s="1100"/>
      <c r="CI179" s="1100"/>
      <c r="CJ179" s="1100"/>
      <c r="CK179" s="1100"/>
      <c r="CL179" s="1100"/>
      <c r="CM179" s="1100"/>
      <c r="CN179" s="1100"/>
      <c r="CO179" s="1100"/>
      <c r="CP179" s="1100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100" t="s">
        <v>151</v>
      </c>
      <c r="DQ179" s="1100"/>
      <c r="DR179" s="1100"/>
      <c r="DS179" s="1100"/>
      <c r="DT179" s="1100"/>
      <c r="DU179" s="1100"/>
      <c r="DV179" s="1100"/>
      <c r="DW179" s="1100"/>
      <c r="DX179" s="1100"/>
      <c r="DY179" s="1100"/>
      <c r="DZ179" s="1100"/>
      <c r="EA179" s="1100"/>
      <c r="EB179" s="1100"/>
      <c r="EC179" s="1100"/>
      <c r="ED179" s="1100"/>
      <c r="EE179" s="1100"/>
      <c r="EF179" s="1100"/>
      <c r="EG179" s="1100"/>
      <c r="EH179" s="1100"/>
      <c r="EI179" s="1100"/>
      <c r="EJ179" s="1100"/>
      <c r="EK179" s="1100"/>
      <c r="EL179" s="1100"/>
      <c r="EM179" s="201"/>
    </row>
    <row r="180" spans="1:143" ht="59.25" customHeight="1">
      <c r="A180" s="1084"/>
      <c r="B180" s="1084"/>
      <c r="C180" s="1084"/>
      <c r="D180" s="1084"/>
      <c r="E180" s="1084"/>
      <c r="F180" s="1084"/>
      <c r="G180" s="1084"/>
      <c r="H180" s="1084"/>
      <c r="I180" s="1084"/>
      <c r="J180" s="1084"/>
      <c r="K180" s="1084"/>
      <c r="L180" s="1084"/>
      <c r="M180" s="1084"/>
      <c r="N180" s="1085">
        <f>AA161</f>
        <v>0</v>
      </c>
      <c r="O180" s="1085"/>
      <c r="P180" s="1085"/>
      <c r="Q180" s="1085"/>
      <c r="R180" s="1085"/>
      <c r="S180" s="1085"/>
      <c r="T180" s="1085"/>
      <c r="U180" s="1085"/>
      <c r="V180" s="1085"/>
      <c r="W180" s="211"/>
      <c r="X180" s="1057"/>
      <c r="Y180" s="1057"/>
      <c r="Z180" s="1057"/>
      <c r="AA180" s="1057"/>
      <c r="AB180" s="1057"/>
      <c r="AC180" s="1057"/>
      <c r="AD180" s="1057"/>
      <c r="AE180" s="1057"/>
      <c r="AF180" s="1057"/>
      <c r="AG180" s="1057"/>
      <c r="AH180" s="1057"/>
      <c r="AI180" s="1057"/>
      <c r="AJ180" s="1057"/>
      <c r="AK180" s="1057"/>
      <c r="AL180" s="1086">
        <f>N164</f>
        <v>0</v>
      </c>
      <c r="AM180" s="1086"/>
      <c r="AN180" s="1086"/>
      <c r="AO180" s="1086"/>
      <c r="AP180" s="1086"/>
      <c r="AQ180" s="1086"/>
      <c r="AR180" s="1086"/>
      <c r="AS180" s="1086"/>
      <c r="AT180" s="1086"/>
      <c r="AU180" s="201"/>
      <c r="AV180" s="178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084"/>
      <c r="BI180" s="1084"/>
      <c r="BJ180" s="1085">
        <f>BW161</f>
        <v>0</v>
      </c>
      <c r="BK180" s="1085"/>
      <c r="BL180" s="1085"/>
      <c r="BM180" s="1085"/>
      <c r="BN180" s="1085"/>
      <c r="BO180" s="1085"/>
      <c r="BP180" s="1085"/>
      <c r="BQ180" s="1085"/>
      <c r="BR180" s="1085"/>
      <c r="BS180" s="211"/>
      <c r="BT180" s="1057"/>
      <c r="BU180" s="1057"/>
      <c r="BV180" s="1057"/>
      <c r="BW180" s="1057"/>
      <c r="BX180" s="1057"/>
      <c r="BY180" s="1057"/>
      <c r="BZ180" s="1057"/>
      <c r="CA180" s="1057"/>
      <c r="CB180" s="1057"/>
      <c r="CC180" s="1057"/>
      <c r="CD180" s="1057"/>
      <c r="CE180" s="1057"/>
      <c r="CF180" s="1057"/>
      <c r="CG180" s="1057"/>
      <c r="CH180" s="1086">
        <f>BJ164</f>
        <v>0</v>
      </c>
      <c r="CI180" s="1086"/>
      <c r="CJ180" s="1086"/>
      <c r="CK180" s="1086"/>
      <c r="CL180" s="1086"/>
      <c r="CM180" s="1086"/>
      <c r="CN180" s="1086"/>
      <c r="CO180" s="1086"/>
      <c r="CP180" s="1086"/>
      <c r="CQ180" s="201"/>
      <c r="CS180" s="1084"/>
      <c r="CT180" s="1084"/>
      <c r="CU180" s="1084"/>
      <c r="CV180" s="1084"/>
      <c r="CW180" s="1084"/>
      <c r="CX180" s="1084"/>
      <c r="CY180" s="1084"/>
      <c r="CZ180" s="1084"/>
      <c r="DA180" s="1084"/>
      <c r="DB180" s="1084"/>
      <c r="DC180" s="1084"/>
      <c r="DD180" s="1084"/>
      <c r="DE180" s="1084"/>
      <c r="DF180" s="1085">
        <f>DS161</f>
        <v>0</v>
      </c>
      <c r="DG180" s="1085"/>
      <c r="DH180" s="1085"/>
      <c r="DI180" s="1085"/>
      <c r="DJ180" s="1085"/>
      <c r="DK180" s="1085"/>
      <c r="DL180" s="1085"/>
      <c r="DM180" s="1085"/>
      <c r="DN180" s="1085"/>
      <c r="DO180" s="211"/>
      <c r="DP180" s="1057"/>
      <c r="DQ180" s="1057"/>
      <c r="DR180" s="1057"/>
      <c r="DS180" s="1057"/>
      <c r="DT180" s="1057"/>
      <c r="DU180" s="1057"/>
      <c r="DV180" s="1057"/>
      <c r="DW180" s="1057"/>
      <c r="DX180" s="1057"/>
      <c r="DY180" s="1057"/>
      <c r="DZ180" s="1057"/>
      <c r="EA180" s="1057"/>
      <c r="EB180" s="1057"/>
      <c r="EC180" s="1057"/>
      <c r="ED180" s="1086">
        <f>DF164</f>
        <v>0</v>
      </c>
      <c r="EE180" s="1086"/>
      <c r="EF180" s="1086"/>
      <c r="EG180" s="1086"/>
      <c r="EH180" s="1086"/>
      <c r="EI180" s="1086"/>
      <c r="EJ180" s="1086"/>
      <c r="EK180" s="1086"/>
      <c r="EL180" s="1086"/>
      <c r="EM180" s="201"/>
    </row>
    <row r="181" spans="1:143" ht="18.75" customHeight="1">
      <c r="A181" s="1059" t="s">
        <v>5</v>
      </c>
      <c r="B181" s="1059"/>
      <c r="C181" s="1059"/>
      <c r="D181" s="1059"/>
      <c r="E181" s="1059"/>
      <c r="F181" s="1059"/>
      <c r="G181" s="1059"/>
      <c r="H181" s="1059"/>
      <c r="I181" s="1059"/>
      <c r="J181" s="1059"/>
      <c r="K181" s="1059"/>
      <c r="L181" s="1059"/>
      <c r="M181" s="1059"/>
      <c r="N181" s="1059" t="s">
        <v>688</v>
      </c>
      <c r="O181" s="1059"/>
      <c r="P181" s="1059"/>
      <c r="Q181" s="1059"/>
      <c r="R181" s="1059"/>
      <c r="S181" s="1059"/>
      <c r="T181" s="1059"/>
      <c r="U181" s="1059"/>
      <c r="V181" s="1059"/>
      <c r="W181" s="212"/>
      <c r="X181" s="1059" t="s">
        <v>5</v>
      </c>
      <c r="Y181" s="1059"/>
      <c r="Z181" s="1059"/>
      <c r="AA181" s="1059"/>
      <c r="AB181" s="1059"/>
      <c r="AC181" s="1059"/>
      <c r="AD181" s="1059"/>
      <c r="AE181" s="1059"/>
      <c r="AF181" s="1059"/>
      <c r="AG181" s="1059"/>
      <c r="AH181" s="1059"/>
      <c r="AI181" s="1059"/>
      <c r="AJ181" s="1059"/>
      <c r="AK181" s="1059"/>
      <c r="AL181" s="1060" t="s">
        <v>688</v>
      </c>
      <c r="AM181" s="1060"/>
      <c r="AN181" s="1060"/>
      <c r="AO181" s="1060"/>
      <c r="AP181" s="1060"/>
      <c r="AQ181" s="1060"/>
      <c r="AR181" s="1060"/>
      <c r="AS181" s="1060"/>
      <c r="AT181" s="202"/>
      <c r="AU181" s="213"/>
      <c r="AV181" s="178"/>
      <c r="AW181" s="1059" t="s">
        <v>5</v>
      </c>
      <c r="AX181" s="1059"/>
      <c r="AY181" s="1059"/>
      <c r="AZ181" s="1059"/>
      <c r="BA181" s="1059"/>
      <c r="BB181" s="1059"/>
      <c r="BC181" s="1059"/>
      <c r="BD181" s="1059"/>
      <c r="BE181" s="1059"/>
      <c r="BF181" s="1059"/>
      <c r="BG181" s="1059"/>
      <c r="BH181" s="1059"/>
      <c r="BI181" s="1059"/>
      <c r="BJ181" s="1059" t="s">
        <v>688</v>
      </c>
      <c r="BK181" s="1059"/>
      <c r="BL181" s="1059"/>
      <c r="BM181" s="1059"/>
      <c r="BN181" s="1059"/>
      <c r="BO181" s="1059"/>
      <c r="BP181" s="1059"/>
      <c r="BQ181" s="1059"/>
      <c r="BR181" s="1059"/>
      <c r="BS181" s="212"/>
      <c r="BT181" s="1059" t="s">
        <v>5</v>
      </c>
      <c r="BU181" s="1059"/>
      <c r="BV181" s="1059"/>
      <c r="BW181" s="1059"/>
      <c r="BX181" s="1059"/>
      <c r="BY181" s="1059"/>
      <c r="BZ181" s="1059"/>
      <c r="CA181" s="1059"/>
      <c r="CB181" s="1059"/>
      <c r="CC181" s="1059"/>
      <c r="CD181" s="1059"/>
      <c r="CE181" s="1059"/>
      <c r="CF181" s="1059"/>
      <c r="CG181" s="1059"/>
      <c r="CH181" s="1060" t="s">
        <v>688</v>
      </c>
      <c r="CI181" s="1060"/>
      <c r="CJ181" s="1060"/>
      <c r="CK181" s="1060"/>
      <c r="CL181" s="1060"/>
      <c r="CM181" s="1060"/>
      <c r="CN181" s="1060"/>
      <c r="CO181" s="1060"/>
      <c r="CP181" s="202"/>
      <c r="CQ181" s="213"/>
      <c r="CS181" s="1059" t="s">
        <v>5</v>
      </c>
      <c r="CT181" s="1059"/>
      <c r="CU181" s="1059"/>
      <c r="CV181" s="1059"/>
      <c r="CW181" s="1059"/>
      <c r="CX181" s="1059"/>
      <c r="CY181" s="1059"/>
      <c r="CZ181" s="1059"/>
      <c r="DA181" s="1059"/>
      <c r="DB181" s="1059"/>
      <c r="DC181" s="1059"/>
      <c r="DD181" s="1059"/>
      <c r="DE181" s="1059"/>
      <c r="DF181" s="1059" t="s">
        <v>688</v>
      </c>
      <c r="DG181" s="1059"/>
      <c r="DH181" s="1059"/>
      <c r="DI181" s="1059"/>
      <c r="DJ181" s="1059"/>
      <c r="DK181" s="1059"/>
      <c r="DL181" s="1059"/>
      <c r="DM181" s="1059"/>
      <c r="DN181" s="1059"/>
      <c r="DO181" s="212"/>
      <c r="DP181" s="1059" t="s">
        <v>5</v>
      </c>
      <c r="DQ181" s="1059"/>
      <c r="DR181" s="1059"/>
      <c r="DS181" s="1059"/>
      <c r="DT181" s="1059"/>
      <c r="DU181" s="1059"/>
      <c r="DV181" s="1059"/>
      <c r="DW181" s="1059"/>
      <c r="DX181" s="1059"/>
      <c r="DY181" s="1059"/>
      <c r="DZ181" s="1059"/>
      <c r="EA181" s="1059"/>
      <c r="EB181" s="1059"/>
      <c r="EC181" s="1059"/>
      <c r="ED181" s="1060" t="s">
        <v>688</v>
      </c>
      <c r="EE181" s="1060"/>
      <c r="EF181" s="1060"/>
      <c r="EG181" s="1060"/>
      <c r="EH181" s="1060"/>
      <c r="EI181" s="1060"/>
      <c r="EJ181" s="1060"/>
      <c r="EK181" s="1060"/>
      <c r="EL181" s="202"/>
      <c r="EM181" s="213"/>
    </row>
    <row r="182" spans="1:143" ht="18.75" customHeight="1">
      <c r="A182" s="1101"/>
      <c r="B182" s="1101"/>
      <c r="C182" s="1101"/>
      <c r="D182" s="1101"/>
      <c r="E182" s="1101"/>
      <c r="F182" s="1101"/>
      <c r="G182" s="1101"/>
      <c r="H182" s="1101"/>
      <c r="I182" s="1101"/>
      <c r="J182" s="1101"/>
      <c r="K182" s="1101"/>
      <c r="L182" s="1101"/>
      <c r="M182" s="1101"/>
      <c r="N182" s="1101"/>
      <c r="O182" s="1101"/>
      <c r="P182" s="1101"/>
      <c r="Q182" s="1101"/>
      <c r="R182" s="1101"/>
      <c r="S182" s="1101"/>
      <c r="T182" s="1101"/>
      <c r="U182" s="1101"/>
      <c r="V182" s="1101"/>
      <c r="W182" s="1101"/>
      <c r="X182" s="1061"/>
      <c r="Y182" s="1061"/>
      <c r="Z182" s="1061"/>
      <c r="AA182" s="1061"/>
      <c r="AB182" s="1061"/>
      <c r="AC182" s="1061"/>
      <c r="AD182" s="1061"/>
      <c r="AE182" s="1061"/>
      <c r="AF182" s="1061"/>
      <c r="AG182" s="1061"/>
      <c r="AH182" s="1061"/>
      <c r="AI182" s="1061"/>
      <c r="AJ182" s="1061"/>
      <c r="AK182" s="1061"/>
      <c r="AL182" s="1061"/>
      <c r="AM182" s="1061"/>
      <c r="AN182" s="1061"/>
      <c r="AO182" s="1061"/>
      <c r="AP182" s="1061"/>
      <c r="AQ182" s="1061"/>
      <c r="AR182" s="1061"/>
      <c r="AS182" s="1061"/>
      <c r="AT182" s="1061"/>
      <c r="AU182" s="213"/>
      <c r="AV182" s="178"/>
      <c r="AW182" s="1101"/>
      <c r="AX182" s="1101"/>
      <c r="AY182" s="1101"/>
      <c r="AZ182" s="1101"/>
      <c r="BA182" s="1101"/>
      <c r="BB182" s="1101"/>
      <c r="BC182" s="1101"/>
      <c r="BD182" s="1101"/>
      <c r="BE182" s="1101"/>
      <c r="BF182" s="1101"/>
      <c r="BG182" s="1101"/>
      <c r="BH182" s="1101"/>
      <c r="BI182" s="1101"/>
      <c r="BJ182" s="1101"/>
      <c r="BK182" s="1101"/>
      <c r="BL182" s="1101"/>
      <c r="BM182" s="1101"/>
      <c r="BN182" s="1101"/>
      <c r="BO182" s="1101"/>
      <c r="BP182" s="1101"/>
      <c r="BQ182" s="1101"/>
      <c r="BR182" s="1101"/>
      <c r="BS182" s="1101"/>
      <c r="BT182" s="1061"/>
      <c r="BU182" s="1061"/>
      <c r="BV182" s="1061"/>
      <c r="BW182" s="1061"/>
      <c r="BX182" s="1061"/>
      <c r="BY182" s="1061"/>
      <c r="BZ182" s="1061"/>
      <c r="CA182" s="1061"/>
      <c r="CB182" s="1061"/>
      <c r="CC182" s="1061"/>
      <c r="CD182" s="1061"/>
      <c r="CE182" s="1061"/>
      <c r="CF182" s="1061"/>
      <c r="CG182" s="1061"/>
      <c r="CH182" s="1061"/>
      <c r="CI182" s="1061"/>
      <c r="CJ182" s="1061"/>
      <c r="CK182" s="1061"/>
      <c r="CL182" s="1061"/>
      <c r="CM182" s="1061"/>
      <c r="CN182" s="1061"/>
      <c r="CO182" s="1061"/>
      <c r="CP182" s="1061"/>
      <c r="CQ182" s="213"/>
      <c r="CS182" s="1101"/>
      <c r="CT182" s="1101"/>
      <c r="CU182" s="1101"/>
      <c r="CV182" s="1101"/>
      <c r="CW182" s="1101"/>
      <c r="CX182" s="1101"/>
      <c r="CY182" s="1101"/>
      <c r="CZ182" s="1101"/>
      <c r="DA182" s="1101"/>
      <c r="DB182" s="1101"/>
      <c r="DC182" s="1101"/>
      <c r="DD182" s="1101"/>
      <c r="DE182" s="1101"/>
      <c r="DF182" s="1101"/>
      <c r="DG182" s="1101"/>
      <c r="DH182" s="1101"/>
      <c r="DI182" s="1101"/>
      <c r="DJ182" s="1101"/>
      <c r="DK182" s="1101"/>
      <c r="DL182" s="1101"/>
      <c r="DM182" s="1101"/>
      <c r="DN182" s="1101"/>
      <c r="DO182" s="1101"/>
      <c r="DP182" s="1061"/>
      <c r="DQ182" s="1061"/>
      <c r="DR182" s="1061"/>
      <c r="DS182" s="1061"/>
      <c r="DT182" s="1061"/>
      <c r="DU182" s="1061"/>
      <c r="DV182" s="1061"/>
      <c r="DW182" s="1061"/>
      <c r="DX182" s="1061"/>
      <c r="DY182" s="1061"/>
      <c r="DZ182" s="1061"/>
      <c r="EA182" s="1061"/>
      <c r="EB182" s="1061"/>
      <c r="EC182" s="1061"/>
      <c r="ED182" s="1061"/>
      <c r="EE182" s="1061"/>
      <c r="EF182" s="1061"/>
      <c r="EG182" s="1061"/>
      <c r="EH182" s="1061"/>
      <c r="EI182" s="1061"/>
      <c r="EJ182" s="1061"/>
      <c r="EK182" s="1061"/>
      <c r="EL182" s="1061"/>
      <c r="EM182" s="213"/>
    </row>
    <row r="183" spans="1:143" ht="18.75" customHeight="1">
      <c r="A183" s="1081" t="s">
        <v>978</v>
      </c>
      <c r="B183" s="1082"/>
      <c r="C183" s="1082"/>
      <c r="D183" s="1082"/>
      <c r="E183" s="1082"/>
      <c r="F183" s="1082"/>
      <c r="G183" s="1082"/>
      <c r="H183" s="1082"/>
      <c r="I183" s="1082"/>
      <c r="J183" s="1082"/>
      <c r="K183" s="1082"/>
      <c r="L183" s="1082"/>
      <c r="M183" s="1082"/>
      <c r="N183" s="1082"/>
      <c r="O183" s="1082"/>
      <c r="P183" s="1082"/>
      <c r="Q183" s="1082"/>
      <c r="R183" s="1082"/>
      <c r="S183" s="1082"/>
      <c r="T183" s="1082"/>
      <c r="U183" s="1082"/>
      <c r="V183" s="1082"/>
      <c r="W183" s="1082"/>
      <c r="X183" s="1081" t="s">
        <v>978</v>
      </c>
      <c r="Y183" s="1082"/>
      <c r="Z183" s="1082"/>
      <c r="AA183" s="1082"/>
      <c r="AB183" s="1082"/>
      <c r="AC183" s="1082"/>
      <c r="AD183" s="1082"/>
      <c r="AE183" s="1082"/>
      <c r="AF183" s="1082"/>
      <c r="AG183" s="1082"/>
      <c r="AH183" s="1082"/>
      <c r="AI183" s="1082"/>
      <c r="AJ183" s="1082"/>
      <c r="AK183" s="1082"/>
      <c r="AL183" s="1082"/>
      <c r="AM183" s="1082"/>
      <c r="AN183" s="1082"/>
      <c r="AO183" s="1082"/>
      <c r="AP183" s="1082"/>
      <c r="AQ183" s="1082"/>
      <c r="AR183" s="1082"/>
      <c r="AS183" s="1082"/>
      <c r="AT183" s="1082"/>
      <c r="AU183" s="213"/>
      <c r="AV183" s="178"/>
      <c r="AW183" s="1081" t="s">
        <v>978</v>
      </c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082"/>
      <c r="BI183" s="1082"/>
      <c r="BJ183" s="1082"/>
      <c r="BK183" s="1082"/>
      <c r="BL183" s="1082"/>
      <c r="BM183" s="1082"/>
      <c r="BN183" s="1082"/>
      <c r="BO183" s="1082"/>
      <c r="BP183" s="1082"/>
      <c r="BQ183" s="1082"/>
      <c r="BR183" s="1082"/>
      <c r="BS183" s="1082"/>
      <c r="BT183" s="1081" t="s">
        <v>978</v>
      </c>
      <c r="BU183" s="1082"/>
      <c r="BV183" s="1082"/>
      <c r="BW183" s="1082"/>
      <c r="BX183" s="1082"/>
      <c r="BY183" s="1082"/>
      <c r="BZ183" s="1082"/>
      <c r="CA183" s="1082"/>
      <c r="CB183" s="1082"/>
      <c r="CC183" s="1082"/>
      <c r="CD183" s="1082"/>
      <c r="CE183" s="1082"/>
      <c r="CF183" s="1082"/>
      <c r="CG183" s="1082"/>
      <c r="CH183" s="1082"/>
      <c r="CI183" s="1082"/>
      <c r="CJ183" s="1082"/>
      <c r="CK183" s="1082"/>
      <c r="CL183" s="1082"/>
      <c r="CM183" s="1082"/>
      <c r="CN183" s="1082"/>
      <c r="CO183" s="1082"/>
      <c r="CP183" s="1082"/>
      <c r="CQ183" s="213"/>
      <c r="CS183" s="1081" t="s">
        <v>978</v>
      </c>
      <c r="CT183" s="1082"/>
      <c r="CU183" s="1082"/>
      <c r="CV183" s="1082"/>
      <c r="CW183" s="1082"/>
      <c r="CX183" s="1082"/>
      <c r="CY183" s="1082"/>
      <c r="CZ183" s="1082"/>
      <c r="DA183" s="1082"/>
      <c r="DB183" s="1082"/>
      <c r="DC183" s="1082"/>
      <c r="DD183" s="1082"/>
      <c r="DE183" s="1082"/>
      <c r="DF183" s="1082"/>
      <c r="DG183" s="1082"/>
      <c r="DH183" s="1082"/>
      <c r="DI183" s="1082"/>
      <c r="DJ183" s="1082"/>
      <c r="DK183" s="1082"/>
      <c r="DL183" s="1082"/>
      <c r="DM183" s="1082"/>
      <c r="DN183" s="1082"/>
      <c r="DO183" s="1082"/>
      <c r="DP183" s="1081" t="s">
        <v>978</v>
      </c>
      <c r="DQ183" s="1082"/>
      <c r="DR183" s="1082"/>
      <c r="DS183" s="1082"/>
      <c r="DT183" s="1082"/>
      <c r="DU183" s="1082"/>
      <c r="DV183" s="1082"/>
      <c r="DW183" s="1082"/>
      <c r="DX183" s="1082"/>
      <c r="DY183" s="1082"/>
      <c r="DZ183" s="1082"/>
      <c r="EA183" s="1082"/>
      <c r="EB183" s="1082"/>
      <c r="EC183" s="1082"/>
      <c r="ED183" s="1082"/>
      <c r="EE183" s="1082"/>
      <c r="EF183" s="1082"/>
      <c r="EG183" s="1082"/>
      <c r="EH183" s="1082"/>
      <c r="EI183" s="1082"/>
      <c r="EJ183" s="1082"/>
      <c r="EK183" s="1082"/>
      <c r="EL183" s="1082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3" t="s">
        <v>369</v>
      </c>
      <c r="AA184" s="1083"/>
      <c r="AB184" s="1083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3" t="s">
        <v>369</v>
      </c>
      <c r="BW184" s="1083"/>
      <c r="BX184" s="1083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3" t="s">
        <v>369</v>
      </c>
      <c r="DS184" s="1083"/>
      <c r="DT184" s="1083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7" t="s">
        <v>707</v>
      </c>
      <c r="X186" s="1088"/>
      <c r="Y186" s="1088"/>
      <c r="Z186" s="1088"/>
      <c r="AA186" s="1088"/>
      <c r="AB186" s="1088"/>
      <c r="AC186" s="1088"/>
      <c r="AD186" s="1088"/>
      <c r="AE186" s="1088"/>
      <c r="AF186" s="1088"/>
      <c r="AG186" s="1088"/>
      <c r="AH186" s="1088"/>
      <c r="AI186" s="1088"/>
      <c r="AJ186" s="1088"/>
      <c r="AK186" s="1088"/>
      <c r="AL186" s="1088"/>
      <c r="AM186" s="1088"/>
      <c r="AN186" s="1088"/>
      <c r="AO186" s="1088"/>
      <c r="AP186" s="1088"/>
      <c r="AQ186" s="1088"/>
      <c r="AR186" s="1088"/>
      <c r="AS186" s="1088"/>
      <c r="AT186" s="1088"/>
      <c r="AU186" s="1088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7" t="s">
        <v>707</v>
      </c>
      <c r="BT186" s="1088"/>
      <c r="BU186" s="1088"/>
      <c r="BV186" s="1088"/>
      <c r="BW186" s="1088"/>
      <c r="BX186" s="1088"/>
      <c r="BY186" s="1088"/>
      <c r="BZ186" s="1088"/>
      <c r="CA186" s="1088"/>
      <c r="CB186" s="1088"/>
      <c r="CC186" s="1088"/>
      <c r="CD186" s="1088"/>
      <c r="CE186" s="1088"/>
      <c r="CF186" s="1088"/>
      <c r="CG186" s="1088"/>
      <c r="CH186" s="1088"/>
      <c r="CI186" s="1088"/>
      <c r="CJ186" s="1088"/>
      <c r="CK186" s="1088"/>
      <c r="CL186" s="1088"/>
      <c r="CM186" s="1088"/>
      <c r="CN186" s="1088"/>
      <c r="CO186" s="1088"/>
      <c r="CP186" s="1088"/>
      <c r="CQ186" s="1088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7" t="s">
        <v>707</v>
      </c>
      <c r="DP186" s="1088"/>
      <c r="DQ186" s="1088"/>
      <c r="DR186" s="1088"/>
      <c r="DS186" s="1088"/>
      <c r="DT186" s="1088"/>
      <c r="DU186" s="1088"/>
      <c r="DV186" s="1088"/>
      <c r="DW186" s="1088"/>
      <c r="DX186" s="1088"/>
      <c r="DY186" s="1088"/>
      <c r="DZ186" s="1088"/>
      <c r="EA186" s="1088"/>
      <c r="EB186" s="1088"/>
      <c r="EC186" s="1088"/>
      <c r="ED186" s="1088"/>
      <c r="EE186" s="1088"/>
      <c r="EF186" s="1088"/>
      <c r="EG186" s="1088"/>
      <c r="EH186" s="1088"/>
      <c r="EI186" s="1088"/>
      <c r="EJ186" s="1088"/>
      <c r="EK186" s="1088"/>
      <c r="EL186" s="1088"/>
      <c r="EM186" s="1088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89" t="s">
        <v>551</v>
      </c>
      <c r="X187" s="1089"/>
      <c r="Y187" s="1089"/>
      <c r="Z187" s="1090">
        <f>AF$36</f>
        <v>0</v>
      </c>
      <c r="AA187" s="1090"/>
      <c r="AB187" s="215" t="s">
        <v>524</v>
      </c>
      <c r="AC187" s="1090">
        <f>AI$36</f>
        <v>0</v>
      </c>
      <c r="AD187" s="1090"/>
      <c r="AE187" s="1090"/>
      <c r="AF187" s="1090"/>
      <c r="AG187" s="1090"/>
      <c r="AH187" s="1090"/>
      <c r="AI187" s="1090"/>
      <c r="AJ187" s="1090">
        <f>AP$36</f>
        <v>0</v>
      </c>
      <c r="AK187" s="1090"/>
      <c r="AL187" s="1090"/>
      <c r="AM187" s="1090"/>
      <c r="AN187" s="1091" t="s">
        <v>375</v>
      </c>
      <c r="AO187" s="1091"/>
      <c r="AP187" s="1092" t="s">
        <v>680</v>
      </c>
      <c r="AQ187" s="1092"/>
      <c r="AR187" s="1093">
        <f>AQ$35</f>
        <v>0</v>
      </c>
      <c r="AS187" s="1093"/>
      <c r="AT187" s="1093"/>
      <c r="AU187" s="1093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89" t="s">
        <v>551</v>
      </c>
      <c r="BT187" s="1089"/>
      <c r="BU187" s="1089"/>
      <c r="BV187" s="1090">
        <f>CB$36</f>
        <v>0</v>
      </c>
      <c r="BW187" s="1090"/>
      <c r="BX187" s="215" t="s">
        <v>524</v>
      </c>
      <c r="BY187" s="1090">
        <f>CE$36</f>
        <v>0</v>
      </c>
      <c r="BZ187" s="1090"/>
      <c r="CA187" s="1090"/>
      <c r="CB187" s="1090"/>
      <c r="CC187" s="1090"/>
      <c r="CD187" s="1090"/>
      <c r="CE187" s="1090"/>
      <c r="CF187" s="1090">
        <f>CL$36</f>
        <v>0</v>
      </c>
      <c r="CG187" s="1090"/>
      <c r="CH187" s="1090"/>
      <c r="CI187" s="1090"/>
      <c r="CJ187" s="1091" t="s">
        <v>375</v>
      </c>
      <c r="CK187" s="1091"/>
      <c r="CL187" s="1092" t="s">
        <v>680</v>
      </c>
      <c r="CM187" s="1092"/>
      <c r="CN187" s="1093">
        <f>CM$35</f>
        <v>0</v>
      </c>
      <c r="CO187" s="1093"/>
      <c r="CP187" s="1093"/>
      <c r="CQ187" s="1093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89" t="s">
        <v>551</v>
      </c>
      <c r="DP187" s="1089"/>
      <c r="DQ187" s="1089"/>
      <c r="DR187" s="1090">
        <f>DX$36</f>
        <v>0</v>
      </c>
      <c r="DS187" s="1090"/>
      <c r="DT187" s="215" t="s">
        <v>524</v>
      </c>
      <c r="DU187" s="1090">
        <f>EA$36</f>
        <v>0</v>
      </c>
      <c r="DV187" s="1090"/>
      <c r="DW187" s="1090"/>
      <c r="DX187" s="1090"/>
      <c r="DY187" s="1090"/>
      <c r="DZ187" s="1090"/>
      <c r="EA187" s="1090"/>
      <c r="EB187" s="1090">
        <f>EH$36</f>
        <v>0</v>
      </c>
      <c r="EC187" s="1090"/>
      <c r="ED187" s="1090"/>
      <c r="EE187" s="1090"/>
      <c r="EF187" s="1091" t="s">
        <v>375</v>
      </c>
      <c r="EG187" s="1091"/>
      <c r="EH187" s="1092" t="s">
        <v>680</v>
      </c>
      <c r="EI187" s="1092"/>
      <c r="EJ187" s="1093">
        <f>EI$35</f>
        <v>0</v>
      </c>
      <c r="EK187" s="1093"/>
      <c r="EL187" s="1093"/>
      <c r="EM187" s="1093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3"/>
      <c r="AI189" s="1083"/>
      <c r="AJ189" s="1083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3"/>
      <c r="CE189" s="1083"/>
      <c r="CF189" s="1083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3"/>
      <c r="EA189" s="1083"/>
      <c r="EB189" s="1083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68" t="s">
        <v>708</v>
      </c>
      <c r="C191" s="1068"/>
      <c r="D191" s="1068"/>
      <c r="E191" s="1068"/>
      <c r="F191" s="1068"/>
      <c r="G191" s="1068"/>
      <c r="H191" s="1068"/>
      <c r="I191" s="1068"/>
      <c r="J191" s="1068"/>
      <c r="K191" s="1068"/>
      <c r="L191" s="1068"/>
      <c r="M191" s="1068"/>
      <c r="N191" s="1068"/>
      <c r="O191" s="1068"/>
      <c r="P191" s="1068"/>
      <c r="Q191" s="1068"/>
      <c r="R191" s="1068"/>
      <c r="S191" s="1068"/>
      <c r="T191" s="1068"/>
      <c r="U191" s="1068"/>
      <c r="V191" s="1068"/>
      <c r="W191" s="1068"/>
      <c r="X191" s="1068"/>
      <c r="Y191" s="1068"/>
      <c r="Z191" s="1068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78"/>
      <c r="AW191" s="178"/>
      <c r="AX191" s="1068" t="s">
        <v>708</v>
      </c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  <c r="BX191" s="1068"/>
      <c r="BY191" s="1068"/>
      <c r="BZ191" s="1068"/>
      <c r="CA191" s="1068"/>
      <c r="CB191" s="1068"/>
      <c r="CC191" s="1068"/>
      <c r="CD191" s="1068"/>
      <c r="CE191" s="1068"/>
      <c r="CF191" s="1068"/>
      <c r="CG191" s="1068"/>
      <c r="CH191" s="1068"/>
      <c r="CI191" s="1068"/>
      <c r="CJ191" s="1068"/>
      <c r="CK191" s="1068"/>
      <c r="CL191" s="1068"/>
      <c r="CM191" s="1068"/>
      <c r="CN191" s="1068"/>
      <c r="CO191" s="1068"/>
      <c r="CP191" s="1068"/>
      <c r="CQ191" s="1068"/>
      <c r="CS191" s="178"/>
      <c r="CT191" s="1068" t="s">
        <v>708</v>
      </c>
      <c r="CU191" s="1068"/>
      <c r="CV191" s="1068"/>
      <c r="CW191" s="1068"/>
      <c r="CX191" s="1068"/>
      <c r="CY191" s="1068"/>
      <c r="CZ191" s="1068"/>
      <c r="DA191" s="1068"/>
      <c r="DB191" s="1068"/>
      <c r="DC191" s="1068"/>
      <c r="DD191" s="1068"/>
      <c r="DE191" s="1068"/>
      <c r="DF191" s="1068"/>
      <c r="DG191" s="1068"/>
      <c r="DH191" s="1068"/>
      <c r="DI191" s="1068"/>
      <c r="DJ191" s="1068"/>
      <c r="DK191" s="1068"/>
      <c r="DL191" s="1068"/>
      <c r="DM191" s="1068"/>
      <c r="DN191" s="1068"/>
      <c r="DO191" s="1068"/>
      <c r="DP191" s="1068"/>
      <c r="DQ191" s="1068"/>
      <c r="DR191" s="1068"/>
      <c r="DS191" s="1068"/>
      <c r="DT191" s="1068"/>
      <c r="DU191" s="1068"/>
      <c r="DV191" s="1068"/>
      <c r="DW191" s="1068"/>
      <c r="DX191" s="1068"/>
      <c r="DY191" s="1068"/>
      <c r="DZ191" s="1068"/>
      <c r="EA191" s="1068"/>
      <c r="EB191" s="1068"/>
      <c r="EC191" s="1068"/>
      <c r="ED191" s="1068"/>
      <c r="EE191" s="1068"/>
      <c r="EF191" s="1068"/>
      <c r="EG191" s="1068"/>
      <c r="EH191" s="1068"/>
      <c r="EI191" s="1068"/>
      <c r="EJ191" s="1068"/>
      <c r="EK191" s="1068"/>
      <c r="EL191" s="1068"/>
      <c r="EM191" s="1068"/>
    </row>
    <row r="192" spans="1:143" ht="18.75" customHeight="1">
      <c r="A192" s="178"/>
      <c r="B192" s="1068" t="s">
        <v>691</v>
      </c>
      <c r="C192" s="1068"/>
      <c r="D192" s="1068"/>
      <c r="E192" s="1068"/>
      <c r="F192" s="1068"/>
      <c r="G192" s="1068"/>
      <c r="H192" s="1068"/>
      <c r="I192" s="1068"/>
      <c r="J192" s="1068"/>
      <c r="K192" s="1068"/>
      <c r="L192" s="1068"/>
      <c r="M192" s="1068"/>
      <c r="N192" s="1068"/>
      <c r="O192" s="1068"/>
      <c r="P192" s="1068"/>
      <c r="Q192" s="1068"/>
      <c r="R192" s="1068"/>
      <c r="S192" s="1068"/>
      <c r="T192" s="1068"/>
      <c r="U192" s="1068"/>
      <c r="V192" s="1068"/>
      <c r="W192" s="1068"/>
      <c r="X192" s="1068"/>
      <c r="Y192" s="1068"/>
      <c r="Z192" s="1068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78"/>
      <c r="AW192" s="178"/>
      <c r="AX192" s="1068" t="s">
        <v>691</v>
      </c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  <c r="BX192" s="1068"/>
      <c r="BY192" s="1068"/>
      <c r="BZ192" s="1068"/>
      <c r="CA192" s="1068"/>
      <c r="CB192" s="1068"/>
      <c r="CC192" s="1068"/>
      <c r="CD192" s="1068"/>
      <c r="CE192" s="1068"/>
      <c r="CF192" s="1068"/>
      <c r="CG192" s="1068"/>
      <c r="CH192" s="1068"/>
      <c r="CI192" s="1068"/>
      <c r="CJ192" s="1068"/>
      <c r="CK192" s="1068"/>
      <c r="CL192" s="1068"/>
      <c r="CM192" s="1068"/>
      <c r="CN192" s="1068"/>
      <c r="CO192" s="1068"/>
      <c r="CP192" s="1068"/>
      <c r="CQ192" s="1068"/>
      <c r="CS192" s="178"/>
      <c r="CT192" s="1068" t="s">
        <v>691</v>
      </c>
      <c r="CU192" s="1068"/>
      <c r="CV192" s="1068"/>
      <c r="CW192" s="1068"/>
      <c r="CX192" s="1068"/>
      <c r="CY192" s="1068"/>
      <c r="CZ192" s="1068"/>
      <c r="DA192" s="1068"/>
      <c r="DB192" s="1068"/>
      <c r="DC192" s="1068"/>
      <c r="DD192" s="1068"/>
      <c r="DE192" s="1068"/>
      <c r="DF192" s="1068"/>
      <c r="DG192" s="1068"/>
      <c r="DH192" s="1068"/>
      <c r="DI192" s="1068"/>
      <c r="DJ192" s="1068"/>
      <c r="DK192" s="1068"/>
      <c r="DL192" s="1068"/>
      <c r="DM192" s="1068"/>
      <c r="DN192" s="1068"/>
      <c r="DO192" s="1068"/>
      <c r="DP192" s="1068"/>
      <c r="DQ192" s="1068"/>
      <c r="DR192" s="1068"/>
      <c r="DS192" s="1068"/>
      <c r="DT192" s="1068"/>
      <c r="DU192" s="1068"/>
      <c r="DV192" s="1068"/>
      <c r="DW192" s="1068"/>
      <c r="DX192" s="1068"/>
      <c r="DY192" s="1068"/>
      <c r="DZ192" s="1068"/>
      <c r="EA192" s="1068"/>
      <c r="EB192" s="1068"/>
      <c r="EC192" s="1068"/>
      <c r="ED192" s="1068"/>
      <c r="EE192" s="1068"/>
      <c r="EF192" s="1068"/>
      <c r="EG192" s="1068"/>
      <c r="EH192" s="1068"/>
      <c r="EI192" s="1068"/>
      <c r="EJ192" s="1068"/>
      <c r="EK192" s="1068"/>
      <c r="EL192" s="1068"/>
      <c r="EM192" s="1068"/>
    </row>
    <row r="193" spans="1:143" ht="18.75" customHeight="1">
      <c r="A193" s="178"/>
      <c r="B193" s="1068"/>
      <c r="C193" s="1068"/>
      <c r="D193" s="1068"/>
      <c r="E193" s="1068"/>
      <c r="F193" s="1068"/>
      <c r="G193" s="1068"/>
      <c r="H193" s="1068"/>
      <c r="I193" s="1068"/>
      <c r="J193" s="1068"/>
      <c r="K193" s="1068"/>
      <c r="L193" s="1068"/>
      <c r="M193" s="1068"/>
      <c r="N193" s="1068"/>
      <c r="O193" s="1068"/>
      <c r="P193" s="1068"/>
      <c r="Q193" s="1068"/>
      <c r="R193" s="1068"/>
      <c r="S193" s="1068"/>
      <c r="T193" s="1068"/>
      <c r="U193" s="1068"/>
      <c r="V193" s="1068"/>
      <c r="W193" s="1068"/>
      <c r="X193" s="1068"/>
      <c r="Y193" s="1068"/>
      <c r="Z193" s="1068"/>
      <c r="AA193" s="1068"/>
      <c r="AB193" s="1068"/>
      <c r="AC193" s="1068"/>
      <c r="AD193" s="1068"/>
      <c r="AE193" s="1068"/>
      <c r="AF193" s="1068"/>
      <c r="AG193" s="1068"/>
      <c r="AH193" s="1068"/>
      <c r="AI193" s="1068"/>
      <c r="AJ193" s="1068"/>
      <c r="AK193" s="1068"/>
      <c r="AL193" s="1068"/>
      <c r="AM193" s="1068"/>
      <c r="AN193" s="1068"/>
      <c r="AO193" s="1068"/>
      <c r="AP193" s="1068"/>
      <c r="AQ193" s="1068"/>
      <c r="AR193" s="1068"/>
      <c r="AS193" s="1068"/>
      <c r="AT193" s="1068"/>
      <c r="AU193" s="1068"/>
      <c r="AV193" s="178"/>
      <c r="AW193" s="178"/>
      <c r="AX193" s="1068"/>
      <c r="AY193" s="1068"/>
      <c r="AZ193" s="1068"/>
      <c r="BA193" s="1068"/>
      <c r="BB193" s="1068"/>
      <c r="BC193" s="1068"/>
      <c r="BD193" s="1068"/>
      <c r="BE193" s="1068"/>
      <c r="BF193" s="1068"/>
      <c r="BG193" s="1068"/>
      <c r="BH193" s="1068"/>
      <c r="BI193" s="1068"/>
      <c r="BJ193" s="1068"/>
      <c r="BK193" s="1068"/>
      <c r="BL193" s="1068"/>
      <c r="BM193" s="1068"/>
      <c r="BN193" s="1068"/>
      <c r="BO193" s="1068"/>
      <c r="BP193" s="1068"/>
      <c r="BQ193" s="1068"/>
      <c r="BR193" s="1068"/>
      <c r="BS193" s="1068"/>
      <c r="BT193" s="1068"/>
      <c r="BU193" s="1068"/>
      <c r="BV193" s="1068"/>
      <c r="BW193" s="1068"/>
      <c r="BX193" s="1068"/>
      <c r="BY193" s="1068"/>
      <c r="BZ193" s="1068"/>
      <c r="CA193" s="1068"/>
      <c r="CB193" s="1068"/>
      <c r="CC193" s="1068"/>
      <c r="CD193" s="1068"/>
      <c r="CE193" s="1068"/>
      <c r="CF193" s="1068"/>
      <c r="CG193" s="1068"/>
      <c r="CH193" s="1068"/>
      <c r="CI193" s="1068"/>
      <c r="CJ193" s="1068"/>
      <c r="CK193" s="1068"/>
      <c r="CL193" s="1068"/>
      <c r="CM193" s="1068"/>
      <c r="CN193" s="1068"/>
      <c r="CO193" s="1068"/>
      <c r="CP193" s="1068"/>
      <c r="CQ193" s="1068"/>
      <c r="CS193" s="178"/>
      <c r="CT193" s="1068"/>
      <c r="CU193" s="1068"/>
      <c r="CV193" s="1068"/>
      <c r="CW193" s="1068"/>
      <c r="CX193" s="1068"/>
      <c r="CY193" s="1068"/>
      <c r="CZ193" s="1068"/>
      <c r="DA193" s="1068"/>
      <c r="DB193" s="1068"/>
      <c r="DC193" s="1068"/>
      <c r="DD193" s="1068"/>
      <c r="DE193" s="1068"/>
      <c r="DF193" s="1068"/>
      <c r="DG193" s="1068"/>
      <c r="DH193" s="1068"/>
      <c r="DI193" s="1068"/>
      <c r="DJ193" s="1068"/>
      <c r="DK193" s="1068"/>
      <c r="DL193" s="1068"/>
      <c r="DM193" s="1068"/>
      <c r="DN193" s="1068"/>
      <c r="DO193" s="1068"/>
      <c r="DP193" s="1068"/>
      <c r="DQ193" s="1068"/>
      <c r="DR193" s="1068"/>
      <c r="DS193" s="1068"/>
      <c r="DT193" s="1068"/>
      <c r="DU193" s="1068"/>
      <c r="DV193" s="1068"/>
      <c r="DW193" s="1068"/>
      <c r="DX193" s="1068"/>
      <c r="DY193" s="1068"/>
      <c r="DZ193" s="1068"/>
      <c r="EA193" s="1068"/>
      <c r="EB193" s="1068"/>
      <c r="EC193" s="1068"/>
      <c r="ED193" s="1068"/>
      <c r="EE193" s="1068"/>
      <c r="EF193" s="1068"/>
      <c r="EG193" s="1068"/>
      <c r="EH193" s="1068"/>
      <c r="EI193" s="1068"/>
      <c r="EJ193" s="1068"/>
      <c r="EK193" s="1068"/>
      <c r="EL193" s="1068"/>
      <c r="EM193" s="1068"/>
    </row>
    <row r="194" spans="1:143" ht="18.75" customHeight="1">
      <c r="A194" s="178"/>
      <c r="B194" s="1109">
        <f>I$27</f>
        <v>0</v>
      </c>
      <c r="C194" s="1109"/>
      <c r="D194" s="1109"/>
      <c r="E194" s="1109"/>
      <c r="F194" s="1109"/>
      <c r="G194" s="1109"/>
      <c r="H194" s="1109"/>
      <c r="I194" s="1109"/>
      <c r="J194" s="1109"/>
      <c r="K194" s="1109"/>
      <c r="L194" s="1109"/>
      <c r="M194" s="1109"/>
      <c r="N194" s="1109"/>
      <c r="O194" s="1109"/>
      <c r="P194" s="1109"/>
      <c r="Q194" s="1109"/>
      <c r="R194" s="1109"/>
      <c r="S194" s="1109"/>
      <c r="T194" s="1109"/>
      <c r="U194" s="1109"/>
      <c r="V194" s="1109"/>
      <c r="W194" s="1109"/>
      <c r="X194" s="1109"/>
      <c r="Y194" s="1109"/>
      <c r="Z194" s="178"/>
      <c r="AA194" s="178"/>
      <c r="AB194" s="178"/>
      <c r="AC194" s="1110" t="s">
        <v>692</v>
      </c>
      <c r="AD194" s="1110"/>
      <c r="AE194" s="1110"/>
      <c r="AF194" s="1111">
        <f>J$28</f>
        <v>0</v>
      </c>
      <c r="AG194" s="1111"/>
      <c r="AH194" s="191" t="s">
        <v>524</v>
      </c>
      <c r="AI194" s="1111">
        <f>O$28</f>
        <v>0</v>
      </c>
      <c r="AJ194" s="1111"/>
      <c r="AK194" s="1111"/>
      <c r="AL194" s="1111"/>
      <c r="AM194" s="1111"/>
      <c r="AN194" s="1111"/>
      <c r="AO194" s="1111"/>
      <c r="AP194" s="1111">
        <f>AK$28</f>
        <v>0</v>
      </c>
      <c r="AQ194" s="1111"/>
      <c r="AR194" s="1111"/>
      <c r="AS194" s="1111"/>
      <c r="AT194" s="1112" t="s">
        <v>375</v>
      </c>
      <c r="AU194" s="1112"/>
      <c r="AV194" s="178"/>
      <c r="AW194" s="178"/>
      <c r="AX194" s="1109">
        <f>BE$27</f>
        <v>0</v>
      </c>
      <c r="AY194" s="1109"/>
      <c r="AZ194" s="1109"/>
      <c r="BA194" s="1109"/>
      <c r="BB194" s="1109"/>
      <c r="BC194" s="1109"/>
      <c r="BD194" s="1109"/>
      <c r="BE194" s="1109"/>
      <c r="BF194" s="1109"/>
      <c r="BG194" s="1109"/>
      <c r="BH194" s="1109"/>
      <c r="BI194" s="1109"/>
      <c r="BJ194" s="1109"/>
      <c r="BK194" s="1109"/>
      <c r="BL194" s="1109"/>
      <c r="BM194" s="1109"/>
      <c r="BN194" s="1109"/>
      <c r="BO194" s="1109"/>
      <c r="BP194" s="1109"/>
      <c r="BQ194" s="1109"/>
      <c r="BR194" s="1109"/>
      <c r="BS194" s="1109"/>
      <c r="BT194" s="1109"/>
      <c r="BU194" s="1109"/>
      <c r="BV194" s="178"/>
      <c r="BW194" s="178"/>
      <c r="BX194" s="178"/>
      <c r="BY194" s="1110" t="s">
        <v>692</v>
      </c>
      <c r="BZ194" s="1110"/>
      <c r="CA194" s="1110"/>
      <c r="CB194" s="1111">
        <f>BF$28</f>
        <v>0</v>
      </c>
      <c r="CC194" s="1111"/>
      <c r="CD194" s="191" t="s">
        <v>524</v>
      </c>
      <c r="CE194" s="1111">
        <f>BK$28</f>
        <v>0</v>
      </c>
      <c r="CF194" s="1111"/>
      <c r="CG194" s="1111"/>
      <c r="CH194" s="1111"/>
      <c r="CI194" s="1111"/>
      <c r="CJ194" s="1111"/>
      <c r="CK194" s="1111"/>
      <c r="CL194" s="1111">
        <f>CG$28</f>
        <v>0</v>
      </c>
      <c r="CM194" s="1111"/>
      <c r="CN194" s="1111"/>
      <c r="CO194" s="1111"/>
      <c r="CP194" s="1112" t="s">
        <v>375</v>
      </c>
      <c r="CQ194" s="1112"/>
      <c r="CS194" s="178"/>
      <c r="CT194" s="1109">
        <f>DA$27</f>
        <v>0</v>
      </c>
      <c r="CU194" s="1109"/>
      <c r="CV194" s="1109"/>
      <c r="CW194" s="1109"/>
      <c r="CX194" s="1109"/>
      <c r="CY194" s="1109"/>
      <c r="CZ194" s="1109"/>
      <c r="DA194" s="1109"/>
      <c r="DB194" s="1109"/>
      <c r="DC194" s="1109"/>
      <c r="DD194" s="1109"/>
      <c r="DE194" s="1109"/>
      <c r="DF194" s="1109"/>
      <c r="DG194" s="1109"/>
      <c r="DH194" s="1109"/>
      <c r="DI194" s="1109"/>
      <c r="DJ194" s="1109"/>
      <c r="DK194" s="1109"/>
      <c r="DL194" s="1109"/>
      <c r="DM194" s="1109"/>
      <c r="DN194" s="1109"/>
      <c r="DO194" s="1109"/>
      <c r="DP194" s="1109"/>
      <c r="DQ194" s="1109"/>
      <c r="DR194" s="178"/>
      <c r="DS194" s="178"/>
      <c r="DT194" s="178"/>
      <c r="DU194" s="1110" t="s">
        <v>692</v>
      </c>
      <c r="DV194" s="1110"/>
      <c r="DW194" s="1110"/>
      <c r="DX194" s="1111">
        <f>DB$28</f>
        <v>0</v>
      </c>
      <c r="DY194" s="1111"/>
      <c r="DZ194" s="191" t="s">
        <v>524</v>
      </c>
      <c r="EA194" s="1111">
        <f>DG$28</f>
        <v>0</v>
      </c>
      <c r="EB194" s="1111"/>
      <c r="EC194" s="1111"/>
      <c r="ED194" s="1111"/>
      <c r="EE194" s="1111"/>
      <c r="EF194" s="1111"/>
      <c r="EG194" s="1111"/>
      <c r="EH194" s="1111">
        <f>EC$28</f>
        <v>0</v>
      </c>
      <c r="EI194" s="1111"/>
      <c r="EJ194" s="1111"/>
      <c r="EK194" s="1111"/>
      <c r="EL194" s="1112" t="s">
        <v>375</v>
      </c>
      <c r="EM194" s="1112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2">
        <f>AA$38</f>
        <v>0</v>
      </c>
      <c r="AB196" s="1102"/>
      <c r="AC196" s="1102"/>
      <c r="AD196" s="1102"/>
      <c r="AE196" s="1102"/>
      <c r="AF196" s="1102"/>
      <c r="AG196" s="1102"/>
      <c r="AH196" s="1102"/>
      <c r="AI196" s="1102"/>
      <c r="AJ196" s="1102"/>
      <c r="AK196" s="1102"/>
      <c r="AL196" s="1102"/>
      <c r="AM196" s="1102"/>
      <c r="AN196" s="1102"/>
      <c r="AO196" s="1102"/>
      <c r="AP196" s="1102"/>
      <c r="AQ196" s="1102"/>
      <c r="AR196" s="1102"/>
      <c r="AS196" s="1102"/>
      <c r="AT196" s="1102"/>
      <c r="AU196" s="1102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2">
        <f>BW$38</f>
        <v>0</v>
      </c>
      <c r="BX196" s="1102"/>
      <c r="BY196" s="1102"/>
      <c r="BZ196" s="1102"/>
      <c r="CA196" s="1102"/>
      <c r="CB196" s="1102"/>
      <c r="CC196" s="1102"/>
      <c r="CD196" s="1102"/>
      <c r="CE196" s="1102"/>
      <c r="CF196" s="1102"/>
      <c r="CG196" s="1102"/>
      <c r="CH196" s="1102"/>
      <c r="CI196" s="1102"/>
      <c r="CJ196" s="1102"/>
      <c r="CK196" s="1102"/>
      <c r="CL196" s="1102"/>
      <c r="CM196" s="1102"/>
      <c r="CN196" s="1102"/>
      <c r="CO196" s="1102"/>
      <c r="CP196" s="1102"/>
      <c r="CQ196" s="1102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2">
        <f>DS$38</f>
        <v>0</v>
      </c>
      <c r="DT196" s="1102"/>
      <c r="DU196" s="1102"/>
      <c r="DV196" s="1102"/>
      <c r="DW196" s="1102"/>
      <c r="DX196" s="1102"/>
      <c r="DY196" s="1102"/>
      <c r="DZ196" s="1102"/>
      <c r="EA196" s="1102"/>
      <c r="EB196" s="1102"/>
      <c r="EC196" s="1102"/>
      <c r="ED196" s="1102"/>
      <c r="EE196" s="1102"/>
      <c r="EF196" s="1102"/>
      <c r="EG196" s="1102"/>
      <c r="EH196" s="1102"/>
      <c r="EI196" s="1102"/>
      <c r="EJ196" s="1102"/>
      <c r="EK196" s="1102"/>
      <c r="EL196" s="1102"/>
      <c r="EM196" s="1102"/>
    </row>
    <row r="197" spans="1:143" ht="18.75" customHeight="1">
      <c r="A197" s="178"/>
      <c r="B197" s="1079" t="s">
        <v>693</v>
      </c>
      <c r="C197" s="1079"/>
      <c r="D197" s="1079"/>
      <c r="E197" s="1079"/>
      <c r="F197" s="1079"/>
      <c r="G197" s="1079"/>
      <c r="H197" s="1079"/>
      <c r="I197" s="1079"/>
      <c r="J197" s="1079"/>
      <c r="K197" s="1079"/>
      <c r="L197" s="1079"/>
      <c r="M197" s="1079"/>
      <c r="N197" s="1079"/>
      <c r="O197" s="1079"/>
      <c r="P197" s="1079"/>
      <c r="Q197" s="1079"/>
      <c r="R197" s="1079"/>
      <c r="S197" s="1079"/>
      <c r="T197" s="1079"/>
      <c r="U197" s="1079"/>
      <c r="V197" s="1079"/>
      <c r="W197" s="1079"/>
      <c r="X197" s="1079"/>
      <c r="Y197" s="1079"/>
      <c r="Z197" s="1079"/>
      <c r="AA197" s="1079"/>
      <c r="AB197" s="1079"/>
      <c r="AC197" s="1079"/>
      <c r="AD197" s="1079"/>
      <c r="AE197" s="1079"/>
      <c r="AF197" s="1079"/>
      <c r="AG197" s="1079"/>
      <c r="AH197" s="1079"/>
      <c r="AI197" s="1079"/>
      <c r="AJ197" s="1079"/>
      <c r="AK197" s="1079"/>
      <c r="AL197" s="1079"/>
      <c r="AM197" s="1079"/>
      <c r="AN197" s="1079"/>
      <c r="AO197" s="1079"/>
      <c r="AP197" s="1079"/>
      <c r="AQ197" s="1079"/>
      <c r="AR197" s="1079"/>
      <c r="AS197" s="1079"/>
      <c r="AT197" s="1079"/>
      <c r="AU197" s="1079"/>
      <c r="AV197" s="178"/>
      <c r="AW197" s="178"/>
      <c r="AX197" s="1079" t="s">
        <v>693</v>
      </c>
      <c r="AY197" s="1079"/>
      <c r="AZ197" s="1079"/>
      <c r="BA197" s="1079"/>
      <c r="BB197" s="1079"/>
      <c r="BC197" s="1079"/>
      <c r="BD197" s="1079"/>
      <c r="BE197" s="1079"/>
      <c r="BF197" s="1079"/>
      <c r="BG197" s="1079"/>
      <c r="BH197" s="1079"/>
      <c r="BI197" s="1079"/>
      <c r="BJ197" s="1079"/>
      <c r="BK197" s="1079"/>
      <c r="BL197" s="1079"/>
      <c r="BM197" s="1079"/>
      <c r="BN197" s="1079"/>
      <c r="BO197" s="1079"/>
      <c r="BP197" s="1079"/>
      <c r="BQ197" s="1079"/>
      <c r="BR197" s="1079"/>
      <c r="BS197" s="1079"/>
      <c r="BT197" s="1079"/>
      <c r="BU197" s="1079"/>
      <c r="BV197" s="1079"/>
      <c r="BW197" s="1079"/>
      <c r="BX197" s="1079"/>
      <c r="BY197" s="1079"/>
      <c r="BZ197" s="1079"/>
      <c r="CA197" s="1079"/>
      <c r="CB197" s="1079"/>
      <c r="CC197" s="1079"/>
      <c r="CD197" s="1079"/>
      <c r="CE197" s="1079"/>
      <c r="CF197" s="1079"/>
      <c r="CG197" s="1079"/>
      <c r="CH197" s="1079"/>
      <c r="CI197" s="1079"/>
      <c r="CJ197" s="1079"/>
      <c r="CK197" s="1079"/>
      <c r="CL197" s="1079"/>
      <c r="CM197" s="1079"/>
      <c r="CN197" s="1079"/>
      <c r="CO197" s="1079"/>
      <c r="CP197" s="1079"/>
      <c r="CQ197" s="1079"/>
      <c r="CS197" s="178"/>
      <c r="CT197" s="1079" t="s">
        <v>693</v>
      </c>
      <c r="CU197" s="1079"/>
      <c r="CV197" s="1079"/>
      <c r="CW197" s="1079"/>
      <c r="CX197" s="1079"/>
      <c r="CY197" s="1079"/>
      <c r="CZ197" s="1079"/>
      <c r="DA197" s="1079"/>
      <c r="DB197" s="1079"/>
      <c r="DC197" s="1079"/>
      <c r="DD197" s="1079"/>
      <c r="DE197" s="1079"/>
      <c r="DF197" s="1079"/>
      <c r="DG197" s="1079"/>
      <c r="DH197" s="1079"/>
      <c r="DI197" s="1079"/>
      <c r="DJ197" s="1079"/>
      <c r="DK197" s="1079"/>
      <c r="DL197" s="1079"/>
      <c r="DM197" s="1079"/>
      <c r="DN197" s="1079"/>
      <c r="DO197" s="1079"/>
      <c r="DP197" s="1079"/>
      <c r="DQ197" s="1079"/>
      <c r="DR197" s="1079"/>
      <c r="DS197" s="1079"/>
      <c r="DT197" s="1079"/>
      <c r="DU197" s="1079"/>
      <c r="DV197" s="1079"/>
      <c r="DW197" s="1079"/>
      <c r="DX197" s="1079"/>
      <c r="DY197" s="1079"/>
      <c r="DZ197" s="1079"/>
      <c r="EA197" s="1079"/>
      <c r="EB197" s="1079"/>
      <c r="EC197" s="1079"/>
      <c r="ED197" s="1079"/>
      <c r="EE197" s="1079"/>
      <c r="EF197" s="1079"/>
      <c r="EG197" s="1079"/>
      <c r="EH197" s="1079"/>
      <c r="EI197" s="1079"/>
      <c r="EJ197" s="1079"/>
      <c r="EK197" s="1079"/>
      <c r="EL197" s="1079"/>
      <c r="EM197" s="1079"/>
    </row>
    <row r="198" spans="1:143" ht="18.75" customHeight="1">
      <c r="A198" s="178"/>
      <c r="B198" s="1103" t="str">
        <f>B$40</f>
        <v>${name_ik}</v>
      </c>
      <c r="C198" s="1103"/>
      <c r="D198" s="1103"/>
      <c r="E198" s="1103"/>
      <c r="F198" s="1103"/>
      <c r="G198" s="1103"/>
      <c r="H198" s="1103"/>
      <c r="I198" s="1103"/>
      <c r="J198" s="1103"/>
      <c r="K198" s="1103"/>
      <c r="L198" s="1103"/>
      <c r="M198" s="1103"/>
      <c r="N198" s="1103"/>
      <c r="O198" s="1103"/>
      <c r="P198" s="1103"/>
      <c r="Q198" s="1103"/>
      <c r="R198" s="1103"/>
      <c r="S198" s="1103"/>
      <c r="T198" s="1103"/>
      <c r="U198" s="1103"/>
      <c r="V198" s="1103"/>
      <c r="W198" s="1103"/>
      <c r="X198" s="1103"/>
      <c r="Y198" s="1103"/>
      <c r="Z198" s="1103"/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78"/>
      <c r="AW198" s="178"/>
      <c r="AX198" s="1103" t="str">
        <f>AX$40</f>
        <v>${name_ik}</v>
      </c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  <c r="BX198" s="1103"/>
      <c r="BY198" s="1103"/>
      <c r="BZ198" s="1103"/>
      <c r="CA198" s="1103"/>
      <c r="CB198" s="1103"/>
      <c r="CC198" s="1103"/>
      <c r="CD198" s="1103"/>
      <c r="CE198" s="1103"/>
      <c r="CF198" s="1103"/>
      <c r="CG198" s="1103"/>
      <c r="CH198" s="1103"/>
      <c r="CI198" s="1103"/>
      <c r="CJ198" s="1103"/>
      <c r="CK198" s="1103"/>
      <c r="CL198" s="1103"/>
      <c r="CM198" s="1103"/>
      <c r="CN198" s="1103"/>
      <c r="CO198" s="1103"/>
      <c r="CP198" s="1103"/>
      <c r="CQ198" s="1103"/>
      <c r="CS198" s="178"/>
      <c r="CT198" s="1103" t="str">
        <f>CT$40</f>
        <v>${name_ik}</v>
      </c>
      <c r="CU198" s="1103"/>
      <c r="CV198" s="1103"/>
      <c r="CW198" s="1103"/>
      <c r="CX198" s="1103"/>
      <c r="CY198" s="1103"/>
      <c r="CZ198" s="1103"/>
      <c r="DA198" s="1103"/>
      <c r="DB198" s="1103"/>
      <c r="DC198" s="1103"/>
      <c r="DD198" s="1103"/>
      <c r="DE198" s="1103"/>
      <c r="DF198" s="1103"/>
      <c r="DG198" s="1103"/>
      <c r="DH198" s="1103"/>
      <c r="DI198" s="1103"/>
      <c r="DJ198" s="1103"/>
      <c r="DK198" s="1103"/>
      <c r="DL198" s="1103"/>
      <c r="DM198" s="1103"/>
      <c r="DN198" s="1103"/>
      <c r="DO198" s="1103"/>
      <c r="DP198" s="1103"/>
      <c r="DQ198" s="1103"/>
      <c r="DR198" s="1103"/>
      <c r="DS198" s="1103"/>
      <c r="DT198" s="1103"/>
      <c r="DU198" s="1103"/>
      <c r="DV198" s="1103"/>
      <c r="DW198" s="1103"/>
      <c r="DX198" s="1103"/>
      <c r="DY198" s="1103"/>
      <c r="DZ198" s="1103"/>
      <c r="EA198" s="1103"/>
      <c r="EB198" s="1103"/>
      <c r="EC198" s="1103"/>
      <c r="ED198" s="1103"/>
      <c r="EE198" s="1103"/>
      <c r="EF198" s="1103"/>
      <c r="EG198" s="1103"/>
      <c r="EH198" s="1103"/>
      <c r="EI198" s="1103"/>
      <c r="EJ198" s="1103"/>
      <c r="EK198" s="1103"/>
      <c r="EL198" s="1103"/>
      <c r="EM198" s="1103"/>
    </row>
    <row r="199" spans="1:143" ht="18.75" customHeight="1">
      <c r="A199" s="178"/>
      <c r="B199" s="1073" t="s">
        <v>554</v>
      </c>
      <c r="C199" s="1073"/>
      <c r="D199" s="1073"/>
      <c r="E199" s="1073"/>
      <c r="F199" s="1073"/>
      <c r="G199" s="1073"/>
      <c r="H199" s="1073"/>
      <c r="I199" s="1073"/>
      <c r="J199" s="1073"/>
      <c r="K199" s="1073"/>
      <c r="L199" s="1073"/>
      <c r="M199" s="1073"/>
      <c r="N199" s="1104">
        <f>N$41</f>
        <v>0</v>
      </c>
      <c r="O199" s="1104"/>
      <c r="P199" s="1104"/>
      <c r="Q199" s="1104"/>
      <c r="R199" s="1104"/>
      <c r="S199" s="1104"/>
      <c r="T199" s="1104"/>
      <c r="U199" s="1104"/>
      <c r="V199" s="1104"/>
      <c r="W199" s="1104"/>
      <c r="X199" s="1104"/>
      <c r="Y199" s="1104"/>
      <c r="Z199" s="1104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78"/>
      <c r="AW199" s="178"/>
      <c r="AX199" s="1073" t="s">
        <v>554</v>
      </c>
      <c r="AY199" s="1073"/>
      <c r="AZ199" s="1073"/>
      <c r="BA199" s="1073"/>
      <c r="BB199" s="1073"/>
      <c r="BC199" s="1073"/>
      <c r="BD199" s="1073"/>
      <c r="BE199" s="1073"/>
      <c r="BF199" s="1073"/>
      <c r="BG199" s="1073"/>
      <c r="BH199" s="1073"/>
      <c r="BI199" s="1073"/>
      <c r="BJ199" s="1104">
        <f>BJ$41</f>
        <v>0</v>
      </c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  <c r="BX199" s="1104"/>
      <c r="BY199" s="1104"/>
      <c r="BZ199" s="1104"/>
      <c r="CA199" s="1104"/>
      <c r="CB199" s="1104"/>
      <c r="CC199" s="1104"/>
      <c r="CD199" s="1104"/>
      <c r="CE199" s="1104"/>
      <c r="CF199" s="1104"/>
      <c r="CG199" s="1104"/>
      <c r="CH199" s="1104"/>
      <c r="CI199" s="1104"/>
      <c r="CJ199" s="1104"/>
      <c r="CK199" s="1104"/>
      <c r="CL199" s="1104"/>
      <c r="CM199" s="1104"/>
      <c r="CN199" s="1104"/>
      <c r="CO199" s="1104"/>
      <c r="CP199" s="1104"/>
      <c r="CQ199" s="1104"/>
      <c r="CS199" s="178"/>
      <c r="CT199" s="1073" t="s">
        <v>554</v>
      </c>
      <c r="CU199" s="1073"/>
      <c r="CV199" s="1073"/>
      <c r="CW199" s="1073"/>
      <c r="CX199" s="1073"/>
      <c r="CY199" s="1073"/>
      <c r="CZ199" s="1073"/>
      <c r="DA199" s="1073"/>
      <c r="DB199" s="1073"/>
      <c r="DC199" s="1073"/>
      <c r="DD199" s="1073"/>
      <c r="DE199" s="1073"/>
      <c r="DF199" s="1104">
        <f>DF$41</f>
        <v>0</v>
      </c>
      <c r="DG199" s="1104"/>
      <c r="DH199" s="1104"/>
      <c r="DI199" s="1104"/>
      <c r="DJ199" s="1104"/>
      <c r="DK199" s="1104"/>
      <c r="DL199" s="1104"/>
      <c r="DM199" s="1104"/>
      <c r="DN199" s="1104"/>
      <c r="DO199" s="1104"/>
      <c r="DP199" s="1104"/>
      <c r="DQ199" s="1104"/>
      <c r="DR199" s="1104"/>
      <c r="DS199" s="1104"/>
      <c r="DT199" s="1104"/>
      <c r="DU199" s="1104"/>
      <c r="DV199" s="1104"/>
      <c r="DW199" s="1104"/>
      <c r="DX199" s="1104"/>
      <c r="DY199" s="1104"/>
      <c r="DZ199" s="1104"/>
      <c r="EA199" s="1104"/>
      <c r="EB199" s="1104"/>
      <c r="EC199" s="1104"/>
      <c r="ED199" s="1104"/>
      <c r="EE199" s="1104"/>
      <c r="EF199" s="1104"/>
      <c r="EG199" s="1104"/>
      <c r="EH199" s="1104"/>
      <c r="EI199" s="1104"/>
      <c r="EJ199" s="1104"/>
      <c r="EK199" s="1104"/>
      <c r="EL199" s="1104"/>
      <c r="EM199" s="1104"/>
    </row>
    <row r="200" spans="1:143" ht="76.5" customHeight="1">
      <c r="A200" s="178"/>
      <c r="B200" s="1077" t="s">
        <v>694</v>
      </c>
      <c r="C200" s="1077"/>
      <c r="D200" s="1077"/>
      <c r="E200" s="1077"/>
      <c r="F200" s="1077"/>
      <c r="G200" s="1077"/>
      <c r="H200" s="1077"/>
      <c r="I200" s="1077"/>
      <c r="J200" s="1077"/>
      <c r="K200" s="1077"/>
      <c r="L200" s="1077"/>
      <c r="M200" s="1077"/>
      <c r="N200" s="1077"/>
      <c r="O200" s="1077"/>
      <c r="P200" s="1077"/>
      <c r="Q200" s="1077"/>
      <c r="R200" s="1077"/>
      <c r="S200" s="1077"/>
      <c r="T200" s="1077"/>
      <c r="U200" s="1077"/>
      <c r="V200" s="1077"/>
      <c r="W200" s="1077"/>
      <c r="X200" s="1077"/>
      <c r="Y200" s="1077"/>
      <c r="Z200" s="1077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78"/>
      <c r="AW200" s="178"/>
      <c r="AX200" s="1077" t="s">
        <v>694</v>
      </c>
      <c r="AY200" s="1077"/>
      <c r="AZ200" s="1077"/>
      <c r="BA200" s="1077"/>
      <c r="BB200" s="1077"/>
      <c r="BC200" s="1077"/>
      <c r="BD200" s="1077"/>
      <c r="BE200" s="1077"/>
      <c r="BF200" s="1077"/>
      <c r="BG200" s="1077"/>
      <c r="BH200" s="1077"/>
      <c r="BI200" s="1077"/>
      <c r="BJ200" s="1077"/>
      <c r="BK200" s="1077"/>
      <c r="BL200" s="1077"/>
      <c r="BM200" s="1077"/>
      <c r="BN200" s="1077"/>
      <c r="BO200" s="1077"/>
      <c r="BP200" s="1077"/>
      <c r="BQ200" s="1077"/>
      <c r="BR200" s="1077"/>
      <c r="BS200" s="1077"/>
      <c r="BT200" s="1077"/>
      <c r="BU200" s="1077"/>
      <c r="BV200" s="1077"/>
      <c r="BW200" s="1077"/>
      <c r="BX200" s="1077"/>
      <c r="BY200" s="1077"/>
      <c r="BZ200" s="1077"/>
      <c r="CA200" s="1077"/>
      <c r="CB200" s="1077"/>
      <c r="CC200" s="1077"/>
      <c r="CD200" s="1077"/>
      <c r="CE200" s="1077"/>
      <c r="CF200" s="1077"/>
      <c r="CG200" s="1077"/>
      <c r="CH200" s="1077"/>
      <c r="CI200" s="1077"/>
      <c r="CJ200" s="1077"/>
      <c r="CK200" s="1077"/>
      <c r="CL200" s="1077"/>
      <c r="CM200" s="1077"/>
      <c r="CN200" s="1077"/>
      <c r="CO200" s="1077"/>
      <c r="CP200" s="1077"/>
      <c r="CQ200" s="1077"/>
      <c r="CS200" s="178"/>
      <c r="CT200" s="1077" t="s">
        <v>694</v>
      </c>
      <c r="CU200" s="1077"/>
      <c r="CV200" s="1077"/>
      <c r="CW200" s="1077"/>
      <c r="CX200" s="1077"/>
      <c r="CY200" s="1077"/>
      <c r="CZ200" s="1077"/>
      <c r="DA200" s="1077"/>
      <c r="DB200" s="1077"/>
      <c r="DC200" s="1077"/>
      <c r="DD200" s="1077"/>
      <c r="DE200" s="1077"/>
      <c r="DF200" s="1077"/>
      <c r="DG200" s="1077"/>
      <c r="DH200" s="1077"/>
      <c r="DI200" s="1077"/>
      <c r="DJ200" s="1077"/>
      <c r="DK200" s="1077"/>
      <c r="DL200" s="1077"/>
      <c r="DM200" s="1077"/>
      <c r="DN200" s="1077"/>
      <c r="DO200" s="1077"/>
      <c r="DP200" s="1077"/>
      <c r="DQ200" s="1077"/>
      <c r="DR200" s="1077"/>
      <c r="DS200" s="1077"/>
      <c r="DT200" s="1077"/>
      <c r="DU200" s="1077"/>
      <c r="DV200" s="1077"/>
      <c r="DW200" s="1077"/>
      <c r="DX200" s="1077"/>
      <c r="DY200" s="1077"/>
      <c r="DZ200" s="1077"/>
      <c r="EA200" s="1077"/>
      <c r="EB200" s="1077"/>
      <c r="EC200" s="1077"/>
      <c r="ED200" s="1077"/>
      <c r="EE200" s="1077"/>
      <c r="EF200" s="1077"/>
      <c r="EG200" s="1077"/>
      <c r="EH200" s="1077"/>
      <c r="EI200" s="1077"/>
      <c r="EJ200" s="1077"/>
      <c r="EK200" s="1077"/>
      <c r="EL200" s="1077"/>
      <c r="EM200" s="1077"/>
    </row>
    <row r="201" spans="1:143" ht="18.75" customHeight="1">
      <c r="A201" s="178"/>
      <c r="B201" s="190"/>
      <c r="C201" s="1094" t="s">
        <v>695</v>
      </c>
      <c r="D201" s="1094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4" t="s">
        <v>695</v>
      </c>
      <c r="AZ201" s="1094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4" t="s">
        <v>695</v>
      </c>
      <c r="CV201" s="1094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105">
        <f>B$47</f>
        <v>0</v>
      </c>
      <c r="C202" s="1105"/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05"/>
      <c r="V202" s="1105"/>
      <c r="W202" s="1105"/>
      <c r="X202" s="1105"/>
      <c r="Y202" s="1105"/>
      <c r="Z202" s="1105"/>
      <c r="AA202" s="1105"/>
      <c r="AB202" s="1105"/>
      <c r="AC202" s="1105"/>
      <c r="AD202" s="1105"/>
      <c r="AE202" s="1105"/>
      <c r="AF202" s="1105"/>
      <c r="AG202" s="1105"/>
      <c r="AH202" s="1105"/>
      <c r="AI202" s="1105"/>
      <c r="AJ202" s="1105"/>
      <c r="AK202" s="1105"/>
      <c r="AL202" s="1105"/>
      <c r="AM202" s="1105"/>
      <c r="AN202" s="1105"/>
      <c r="AO202" s="1105"/>
      <c r="AP202" s="1105"/>
      <c r="AQ202" s="1105"/>
      <c r="AR202" s="1105"/>
      <c r="AS202" s="1105"/>
      <c r="AT202" s="1105"/>
      <c r="AU202" s="1105"/>
      <c r="AV202" s="178"/>
      <c r="AW202" s="178"/>
      <c r="AX202" s="1105">
        <f>AX$47</f>
        <v>0</v>
      </c>
      <c r="AY202" s="1105"/>
      <c r="AZ202" s="1105"/>
      <c r="BA202" s="1105"/>
      <c r="BB202" s="1105"/>
      <c r="BC202" s="1105"/>
      <c r="BD202" s="1105"/>
      <c r="BE202" s="1105"/>
      <c r="BF202" s="1105"/>
      <c r="BG202" s="1105"/>
      <c r="BH202" s="1105"/>
      <c r="BI202" s="1105"/>
      <c r="BJ202" s="1105"/>
      <c r="BK202" s="1105"/>
      <c r="BL202" s="1105"/>
      <c r="BM202" s="1105"/>
      <c r="BN202" s="1105"/>
      <c r="BO202" s="1105"/>
      <c r="BP202" s="1105"/>
      <c r="BQ202" s="1105"/>
      <c r="BR202" s="1105"/>
      <c r="BS202" s="1105"/>
      <c r="BT202" s="1105"/>
      <c r="BU202" s="1105"/>
      <c r="BV202" s="1105"/>
      <c r="BW202" s="1105"/>
      <c r="BX202" s="1105"/>
      <c r="BY202" s="1105"/>
      <c r="BZ202" s="1105"/>
      <c r="CA202" s="1105"/>
      <c r="CB202" s="1105"/>
      <c r="CC202" s="1105"/>
      <c r="CD202" s="1105"/>
      <c r="CE202" s="1105"/>
      <c r="CF202" s="1105"/>
      <c r="CG202" s="1105"/>
      <c r="CH202" s="1105"/>
      <c r="CI202" s="1105"/>
      <c r="CJ202" s="1105"/>
      <c r="CK202" s="1105"/>
      <c r="CL202" s="1105"/>
      <c r="CM202" s="1105"/>
      <c r="CN202" s="1105"/>
      <c r="CO202" s="1105"/>
      <c r="CP202" s="1105"/>
      <c r="CQ202" s="1105"/>
      <c r="CS202" s="178"/>
      <c r="CT202" s="1105">
        <f>CT$47</f>
        <v>0</v>
      </c>
      <c r="CU202" s="1105"/>
      <c r="CV202" s="1105"/>
      <c r="CW202" s="1105"/>
      <c r="CX202" s="1105"/>
      <c r="CY202" s="1105"/>
      <c r="CZ202" s="1105"/>
      <c r="DA202" s="1105"/>
      <c r="DB202" s="1105"/>
      <c r="DC202" s="1105"/>
      <c r="DD202" s="1105"/>
      <c r="DE202" s="1105"/>
      <c r="DF202" s="1105"/>
      <c r="DG202" s="1105"/>
      <c r="DH202" s="1105"/>
      <c r="DI202" s="1105"/>
      <c r="DJ202" s="1105"/>
      <c r="DK202" s="1105"/>
      <c r="DL202" s="1105"/>
      <c r="DM202" s="1105"/>
      <c r="DN202" s="1105"/>
      <c r="DO202" s="1105"/>
      <c r="DP202" s="1105"/>
      <c r="DQ202" s="1105"/>
      <c r="DR202" s="1105"/>
      <c r="DS202" s="1105"/>
      <c r="DT202" s="1105"/>
      <c r="DU202" s="1105"/>
      <c r="DV202" s="1105"/>
      <c r="DW202" s="1105"/>
      <c r="DX202" s="1105"/>
      <c r="DY202" s="1105"/>
      <c r="DZ202" s="1105"/>
      <c r="EA202" s="1105"/>
      <c r="EB202" s="1105"/>
      <c r="EC202" s="1105"/>
      <c r="ED202" s="1105"/>
      <c r="EE202" s="1105"/>
      <c r="EF202" s="1105"/>
      <c r="EG202" s="1105"/>
      <c r="EH202" s="1105"/>
      <c r="EI202" s="1105"/>
      <c r="EJ202" s="1105"/>
      <c r="EK202" s="1105"/>
      <c r="EL202" s="1105"/>
      <c r="EM202" s="1105"/>
    </row>
    <row r="203" spans="1:143" ht="18.75" customHeight="1">
      <c r="A203" s="178"/>
      <c r="B203" s="190"/>
      <c r="C203" s="1094" t="s">
        <v>697</v>
      </c>
      <c r="D203" s="1094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4" t="s">
        <v>697</v>
      </c>
      <c r="AZ203" s="1094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4" t="s">
        <v>697</v>
      </c>
      <c r="CV203" s="1094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77" t="s">
        <v>710</v>
      </c>
      <c r="C204" s="1077"/>
      <c r="D204" s="1077"/>
      <c r="E204" s="1077"/>
      <c r="F204" s="1077"/>
      <c r="G204" s="1077"/>
      <c r="H204" s="1077"/>
      <c r="I204" s="1077"/>
      <c r="J204" s="1077"/>
      <c r="K204" s="1077"/>
      <c r="L204" s="1077"/>
      <c r="M204" s="1077"/>
      <c r="N204" s="1077"/>
      <c r="O204" s="1077"/>
      <c r="P204" s="1077"/>
      <c r="Q204" s="1077"/>
      <c r="R204" s="1077"/>
      <c r="S204" s="1077"/>
      <c r="T204" s="1077"/>
      <c r="U204" s="1077"/>
      <c r="V204" s="1077"/>
      <c r="W204" s="1077"/>
      <c r="X204" s="1077"/>
      <c r="Y204" s="1077"/>
      <c r="Z204" s="1077"/>
      <c r="AA204" s="1077"/>
      <c r="AB204" s="1077"/>
      <c r="AC204" s="1077"/>
      <c r="AD204" s="1077"/>
      <c r="AE204" s="1077"/>
      <c r="AF204" s="1077"/>
      <c r="AG204" s="1077"/>
      <c r="AH204" s="1077"/>
      <c r="AI204" s="1077"/>
      <c r="AJ204" s="1077"/>
      <c r="AK204" s="1077"/>
      <c r="AL204" s="1077"/>
      <c r="AM204" s="1077"/>
      <c r="AN204" s="1077"/>
      <c r="AO204" s="1077"/>
      <c r="AP204" s="1077"/>
      <c r="AQ204" s="1077"/>
      <c r="AR204" s="1077"/>
      <c r="AS204" s="1077"/>
      <c r="AT204" s="1077"/>
      <c r="AU204" s="1077"/>
      <c r="AV204" s="178"/>
      <c r="AW204" s="178"/>
      <c r="AX204" s="1077" t="s">
        <v>710</v>
      </c>
      <c r="AY204" s="1077"/>
      <c r="AZ204" s="1077"/>
      <c r="BA204" s="1077"/>
      <c r="BB204" s="1077"/>
      <c r="BC204" s="1077"/>
      <c r="BD204" s="1077"/>
      <c r="BE204" s="1077"/>
      <c r="BF204" s="1077"/>
      <c r="BG204" s="1077"/>
      <c r="BH204" s="1077"/>
      <c r="BI204" s="1077"/>
      <c r="BJ204" s="1077"/>
      <c r="BK204" s="1077"/>
      <c r="BL204" s="1077"/>
      <c r="BM204" s="1077"/>
      <c r="BN204" s="1077"/>
      <c r="BO204" s="1077"/>
      <c r="BP204" s="1077"/>
      <c r="BQ204" s="1077"/>
      <c r="BR204" s="1077"/>
      <c r="BS204" s="1077"/>
      <c r="BT204" s="1077"/>
      <c r="BU204" s="1077"/>
      <c r="BV204" s="1077"/>
      <c r="BW204" s="1077"/>
      <c r="BX204" s="1077"/>
      <c r="BY204" s="1077"/>
      <c r="BZ204" s="1077"/>
      <c r="CA204" s="1077"/>
      <c r="CB204" s="1077"/>
      <c r="CC204" s="1077"/>
      <c r="CD204" s="1077"/>
      <c r="CE204" s="1077"/>
      <c r="CF204" s="1077"/>
      <c r="CG204" s="1077"/>
      <c r="CH204" s="1077"/>
      <c r="CI204" s="1077"/>
      <c r="CJ204" s="1077"/>
      <c r="CK204" s="1077"/>
      <c r="CL204" s="1077"/>
      <c r="CM204" s="1077"/>
      <c r="CN204" s="1077"/>
      <c r="CO204" s="1077"/>
      <c r="CP204" s="1077"/>
      <c r="CQ204" s="1077"/>
      <c r="CS204" s="178"/>
      <c r="CT204" s="1077" t="s">
        <v>710</v>
      </c>
      <c r="CU204" s="1077"/>
      <c r="CV204" s="1077"/>
      <c r="CW204" s="1077"/>
      <c r="CX204" s="1077"/>
      <c r="CY204" s="1077"/>
      <c r="CZ204" s="1077"/>
      <c r="DA204" s="1077"/>
      <c r="DB204" s="1077"/>
      <c r="DC204" s="1077"/>
      <c r="DD204" s="1077"/>
      <c r="DE204" s="1077"/>
      <c r="DF204" s="1077"/>
      <c r="DG204" s="1077"/>
      <c r="DH204" s="1077"/>
      <c r="DI204" s="1077"/>
      <c r="DJ204" s="1077"/>
      <c r="DK204" s="1077"/>
      <c r="DL204" s="1077"/>
      <c r="DM204" s="1077"/>
      <c r="DN204" s="1077"/>
      <c r="DO204" s="1077"/>
      <c r="DP204" s="1077"/>
      <c r="DQ204" s="1077"/>
      <c r="DR204" s="1077"/>
      <c r="DS204" s="1077"/>
      <c r="DT204" s="1077"/>
      <c r="DU204" s="1077"/>
      <c r="DV204" s="1077"/>
      <c r="DW204" s="1077"/>
      <c r="DX204" s="1077"/>
      <c r="DY204" s="1077"/>
      <c r="DZ204" s="1077"/>
      <c r="EA204" s="1077"/>
      <c r="EB204" s="1077"/>
      <c r="EC204" s="1077"/>
      <c r="ED204" s="1077"/>
      <c r="EE204" s="1077"/>
      <c r="EF204" s="1077"/>
      <c r="EG204" s="1077"/>
      <c r="EH204" s="1077"/>
      <c r="EI204" s="1077"/>
      <c r="EJ204" s="1077"/>
      <c r="EK204" s="1077"/>
      <c r="EL204" s="1077"/>
      <c r="EM204" s="1077"/>
    </row>
    <row r="205" spans="1:143" ht="18.75" customHeight="1">
      <c r="A205" s="178"/>
      <c r="B205" s="190"/>
      <c r="C205" s="1094" t="s">
        <v>700</v>
      </c>
      <c r="D205" s="1094"/>
      <c r="E205" s="1073" t="s">
        <v>701</v>
      </c>
      <c r="F205" s="1073"/>
      <c r="G205" s="1073"/>
      <c r="H205" s="1073"/>
      <c r="I205" s="1073"/>
      <c r="J205" s="1073"/>
      <c r="K205" s="1073"/>
      <c r="L205" s="1073"/>
      <c r="M205" s="1073"/>
      <c r="N205" s="1073"/>
      <c r="O205" s="1073"/>
      <c r="P205" s="1073"/>
      <c r="Q205" s="1073"/>
      <c r="R205" s="1073"/>
      <c r="S205" s="1073"/>
      <c r="T205" s="1073"/>
      <c r="U205" s="1073"/>
      <c r="V205" s="1073"/>
      <c r="W205" s="1073"/>
      <c r="X205" s="1073"/>
      <c r="Y205" s="1073"/>
      <c r="Z205" s="1073"/>
      <c r="AA205" s="1073"/>
      <c r="AB205" s="1073"/>
      <c r="AC205" s="1073"/>
      <c r="AD205" s="1073"/>
      <c r="AE205" s="1073"/>
      <c r="AF205" s="1073"/>
      <c r="AG205" s="1073"/>
      <c r="AH205" s="1073"/>
      <c r="AI205" s="1073"/>
      <c r="AJ205" s="1073"/>
      <c r="AK205" s="1073"/>
      <c r="AL205" s="1073"/>
      <c r="AM205" s="1073"/>
      <c r="AN205" s="1073"/>
      <c r="AO205" s="1073"/>
      <c r="AP205" s="1073"/>
      <c r="AQ205" s="1073"/>
      <c r="AR205" s="1073"/>
      <c r="AS205" s="1073"/>
      <c r="AT205" s="1073"/>
      <c r="AU205" s="1073"/>
      <c r="AV205" s="178"/>
      <c r="AW205" s="178"/>
      <c r="AX205" s="190"/>
      <c r="AY205" s="1094" t="s">
        <v>700</v>
      </c>
      <c r="AZ205" s="1094"/>
      <c r="BA205" s="1073" t="s">
        <v>701</v>
      </c>
      <c r="BB205" s="1073"/>
      <c r="BC205" s="1073"/>
      <c r="BD205" s="1073"/>
      <c r="BE205" s="1073"/>
      <c r="BF205" s="1073"/>
      <c r="BG205" s="1073"/>
      <c r="BH205" s="1073"/>
      <c r="BI205" s="1073"/>
      <c r="BJ205" s="1073"/>
      <c r="BK205" s="1073"/>
      <c r="BL205" s="1073"/>
      <c r="BM205" s="1073"/>
      <c r="BN205" s="1073"/>
      <c r="BO205" s="1073"/>
      <c r="BP205" s="1073"/>
      <c r="BQ205" s="1073"/>
      <c r="BR205" s="1073"/>
      <c r="BS205" s="1073"/>
      <c r="BT205" s="1073"/>
      <c r="BU205" s="1073"/>
      <c r="BV205" s="1073"/>
      <c r="BW205" s="1073"/>
      <c r="BX205" s="1073"/>
      <c r="BY205" s="1073"/>
      <c r="BZ205" s="1073"/>
      <c r="CA205" s="1073"/>
      <c r="CB205" s="1073"/>
      <c r="CC205" s="1073"/>
      <c r="CD205" s="1073"/>
      <c r="CE205" s="1073"/>
      <c r="CF205" s="1073"/>
      <c r="CG205" s="1073"/>
      <c r="CH205" s="1073"/>
      <c r="CI205" s="1073"/>
      <c r="CJ205" s="1073"/>
      <c r="CK205" s="1073"/>
      <c r="CL205" s="1073"/>
      <c r="CM205" s="1073"/>
      <c r="CN205" s="1073"/>
      <c r="CO205" s="1073"/>
      <c r="CP205" s="1073"/>
      <c r="CQ205" s="1073"/>
      <c r="CS205" s="178"/>
      <c r="CT205" s="190"/>
      <c r="CU205" s="1094" t="s">
        <v>700</v>
      </c>
      <c r="CV205" s="1094"/>
      <c r="CW205" s="1073" t="s">
        <v>701</v>
      </c>
      <c r="CX205" s="1073"/>
      <c r="CY205" s="1073"/>
      <c r="CZ205" s="1073"/>
      <c r="DA205" s="1073"/>
      <c r="DB205" s="1073"/>
      <c r="DC205" s="1073"/>
      <c r="DD205" s="1073"/>
      <c r="DE205" s="1073"/>
      <c r="DF205" s="1073"/>
      <c r="DG205" s="1073"/>
      <c r="DH205" s="1073"/>
      <c r="DI205" s="1073"/>
      <c r="DJ205" s="1073"/>
      <c r="DK205" s="1073"/>
      <c r="DL205" s="1073"/>
      <c r="DM205" s="1073"/>
      <c r="DN205" s="1073"/>
      <c r="DO205" s="1073"/>
      <c r="DP205" s="1073"/>
      <c r="DQ205" s="1073"/>
      <c r="DR205" s="1073"/>
      <c r="DS205" s="1073"/>
      <c r="DT205" s="1073"/>
      <c r="DU205" s="1073"/>
      <c r="DV205" s="1073"/>
      <c r="DW205" s="1073"/>
      <c r="DX205" s="1073"/>
      <c r="DY205" s="1073"/>
      <c r="DZ205" s="1073"/>
      <c r="EA205" s="1073"/>
      <c r="EB205" s="1073"/>
      <c r="EC205" s="1073"/>
      <c r="ED205" s="1073"/>
      <c r="EE205" s="1073"/>
      <c r="EF205" s="1073"/>
      <c r="EG205" s="1073"/>
      <c r="EH205" s="1073"/>
      <c r="EI205" s="1073"/>
      <c r="EJ205" s="1073"/>
      <c r="EK205" s="1073"/>
      <c r="EL205" s="1073"/>
      <c r="EM205" s="1073"/>
    </row>
    <row r="206" spans="1:143" ht="18.75" customHeight="1">
      <c r="A206" s="178"/>
      <c r="B206" s="1077" t="s">
        <v>702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7"/>
      <c r="T206" s="1077"/>
      <c r="U206" s="1077"/>
      <c r="V206" s="1077"/>
      <c r="W206" s="1077"/>
      <c r="X206" s="1077"/>
      <c r="Y206" s="1077"/>
      <c r="Z206" s="1077"/>
      <c r="AA206" s="1077"/>
      <c r="AB206" s="1077"/>
      <c r="AC206" s="1077"/>
      <c r="AD206" s="1077"/>
      <c r="AE206" s="1077"/>
      <c r="AF206" s="1077"/>
      <c r="AG206" s="1077"/>
      <c r="AH206" s="1077"/>
      <c r="AI206" s="1077"/>
      <c r="AJ206" s="1077"/>
      <c r="AK206" s="1077"/>
      <c r="AL206" s="1077"/>
      <c r="AM206" s="1077"/>
      <c r="AN206" s="1077"/>
      <c r="AO206" s="1077"/>
      <c r="AP206" s="1077"/>
      <c r="AQ206" s="1077"/>
      <c r="AR206" s="1077"/>
      <c r="AS206" s="1077"/>
      <c r="AT206" s="1077"/>
      <c r="AU206" s="1077"/>
      <c r="AV206" s="178"/>
      <c r="AW206" s="178"/>
      <c r="AX206" s="1077" t="s">
        <v>702</v>
      </c>
      <c r="AY206" s="1077"/>
      <c r="AZ206" s="1077"/>
      <c r="BA206" s="1077"/>
      <c r="BB206" s="1077"/>
      <c r="BC206" s="1077"/>
      <c r="BD206" s="1077"/>
      <c r="BE206" s="1077"/>
      <c r="BF206" s="1077"/>
      <c r="BG206" s="1077"/>
      <c r="BH206" s="1077"/>
      <c r="BI206" s="1077"/>
      <c r="BJ206" s="1077"/>
      <c r="BK206" s="1077"/>
      <c r="BL206" s="1077"/>
      <c r="BM206" s="1077"/>
      <c r="BN206" s="1077"/>
      <c r="BO206" s="1077"/>
      <c r="BP206" s="1077"/>
      <c r="BQ206" s="1077"/>
      <c r="BR206" s="1077"/>
      <c r="BS206" s="1077"/>
      <c r="BT206" s="1077"/>
      <c r="BU206" s="1077"/>
      <c r="BV206" s="1077"/>
      <c r="BW206" s="1077"/>
      <c r="BX206" s="1077"/>
      <c r="BY206" s="1077"/>
      <c r="BZ206" s="1077"/>
      <c r="CA206" s="1077"/>
      <c r="CB206" s="1077"/>
      <c r="CC206" s="1077"/>
      <c r="CD206" s="1077"/>
      <c r="CE206" s="1077"/>
      <c r="CF206" s="1077"/>
      <c r="CG206" s="1077"/>
      <c r="CH206" s="1077"/>
      <c r="CI206" s="1077"/>
      <c r="CJ206" s="1077"/>
      <c r="CK206" s="1077"/>
      <c r="CL206" s="1077"/>
      <c r="CM206" s="1077"/>
      <c r="CN206" s="1077"/>
      <c r="CO206" s="1077"/>
      <c r="CP206" s="1077"/>
      <c r="CQ206" s="1077"/>
      <c r="CS206" s="178"/>
      <c r="CT206" s="1077" t="s">
        <v>702</v>
      </c>
      <c r="CU206" s="1077"/>
      <c r="CV206" s="1077"/>
      <c r="CW206" s="1077"/>
      <c r="CX206" s="1077"/>
      <c r="CY206" s="1077"/>
      <c r="CZ206" s="1077"/>
      <c r="DA206" s="1077"/>
      <c r="DB206" s="1077"/>
      <c r="DC206" s="1077"/>
      <c r="DD206" s="1077"/>
      <c r="DE206" s="1077"/>
      <c r="DF206" s="1077"/>
      <c r="DG206" s="1077"/>
      <c r="DH206" s="1077"/>
      <c r="DI206" s="1077"/>
      <c r="DJ206" s="1077"/>
      <c r="DK206" s="1077"/>
      <c r="DL206" s="1077"/>
      <c r="DM206" s="1077"/>
      <c r="DN206" s="1077"/>
      <c r="DO206" s="1077"/>
      <c r="DP206" s="1077"/>
      <c r="DQ206" s="1077"/>
      <c r="DR206" s="1077"/>
      <c r="DS206" s="1077"/>
      <c r="DT206" s="1077"/>
      <c r="DU206" s="1077"/>
      <c r="DV206" s="1077"/>
      <c r="DW206" s="1077"/>
      <c r="DX206" s="1077"/>
      <c r="DY206" s="1077"/>
      <c r="DZ206" s="1077"/>
      <c r="EA206" s="1077"/>
      <c r="EB206" s="1077"/>
      <c r="EC206" s="1077"/>
      <c r="ED206" s="1077"/>
      <c r="EE206" s="1077"/>
      <c r="EF206" s="1077"/>
      <c r="EG206" s="1077"/>
      <c r="EH206" s="1077"/>
      <c r="EI206" s="1077"/>
      <c r="EJ206" s="1077"/>
      <c r="EK206" s="1077"/>
      <c r="EL206" s="1077"/>
      <c r="EM206" s="1077"/>
    </row>
    <row r="207" spans="1:143" ht="18.75" customHeight="1">
      <c r="A207" s="178"/>
      <c r="B207" s="190"/>
      <c r="C207" s="1094" t="s">
        <v>703</v>
      </c>
      <c r="D207" s="1094"/>
      <c r="E207" s="1073" t="s">
        <v>711</v>
      </c>
      <c r="F207" s="1073"/>
      <c r="G207" s="1073"/>
      <c r="H207" s="1073"/>
      <c r="I207" s="1073"/>
      <c r="J207" s="1073"/>
      <c r="K207" s="1073"/>
      <c r="L207" s="1073"/>
      <c r="M207" s="1073"/>
      <c r="N207" s="1073"/>
      <c r="O207" s="1073"/>
      <c r="P207" s="1073"/>
      <c r="Q207" s="1073"/>
      <c r="R207" s="1073"/>
      <c r="S207" s="1073"/>
      <c r="T207" s="1073"/>
      <c r="U207" s="1073"/>
      <c r="V207" s="1073"/>
      <c r="W207" s="1073"/>
      <c r="X207" s="1073"/>
      <c r="Y207" s="1073"/>
      <c r="Z207" s="1073"/>
      <c r="AA207" s="1073"/>
      <c r="AB207" s="1073"/>
      <c r="AC207" s="1073"/>
      <c r="AD207" s="1073"/>
      <c r="AE207" s="1073"/>
      <c r="AF207" s="1073"/>
      <c r="AG207" s="1073"/>
      <c r="AH207" s="1073"/>
      <c r="AI207" s="1073"/>
      <c r="AJ207" s="1073"/>
      <c r="AK207" s="1073"/>
      <c r="AL207" s="1073"/>
      <c r="AM207" s="1073"/>
      <c r="AN207" s="1073"/>
      <c r="AO207" s="1073"/>
      <c r="AP207" s="1073"/>
      <c r="AQ207" s="1073"/>
      <c r="AR207" s="1073"/>
      <c r="AS207" s="1073"/>
      <c r="AT207" s="1073"/>
      <c r="AU207" s="1073"/>
      <c r="AV207" s="178"/>
      <c r="AW207" s="178"/>
      <c r="AX207" s="190"/>
      <c r="AY207" s="1094" t="s">
        <v>703</v>
      </c>
      <c r="AZ207" s="1094"/>
      <c r="BA207" s="1073" t="s">
        <v>711</v>
      </c>
      <c r="BB207" s="1073"/>
      <c r="BC207" s="1073"/>
      <c r="BD207" s="1073"/>
      <c r="BE207" s="1073"/>
      <c r="BF207" s="1073"/>
      <c r="BG207" s="1073"/>
      <c r="BH207" s="1073"/>
      <c r="BI207" s="1073"/>
      <c r="BJ207" s="1073"/>
      <c r="BK207" s="1073"/>
      <c r="BL207" s="1073"/>
      <c r="BM207" s="1073"/>
      <c r="BN207" s="1073"/>
      <c r="BO207" s="1073"/>
      <c r="BP207" s="1073"/>
      <c r="BQ207" s="1073"/>
      <c r="BR207" s="1073"/>
      <c r="BS207" s="1073"/>
      <c r="BT207" s="1073"/>
      <c r="BU207" s="1073"/>
      <c r="BV207" s="1073"/>
      <c r="BW207" s="1073"/>
      <c r="BX207" s="1073"/>
      <c r="BY207" s="1073"/>
      <c r="BZ207" s="1073"/>
      <c r="CA207" s="1073"/>
      <c r="CB207" s="1073"/>
      <c r="CC207" s="1073"/>
      <c r="CD207" s="1073"/>
      <c r="CE207" s="1073"/>
      <c r="CF207" s="1073"/>
      <c r="CG207" s="1073"/>
      <c r="CH207" s="1073"/>
      <c r="CI207" s="1073"/>
      <c r="CJ207" s="1073"/>
      <c r="CK207" s="1073"/>
      <c r="CL207" s="1073"/>
      <c r="CM207" s="1073"/>
      <c r="CN207" s="1073"/>
      <c r="CO207" s="1073"/>
      <c r="CP207" s="1073"/>
      <c r="CQ207" s="1073"/>
      <c r="CS207" s="178"/>
      <c r="CT207" s="190"/>
      <c r="CU207" s="1094" t="s">
        <v>703</v>
      </c>
      <c r="CV207" s="1094"/>
      <c r="CW207" s="1073" t="s">
        <v>711</v>
      </c>
      <c r="CX207" s="1073"/>
      <c r="CY207" s="1073"/>
      <c r="CZ207" s="1073"/>
      <c r="DA207" s="1073"/>
      <c r="DB207" s="1073"/>
      <c r="DC207" s="1073"/>
      <c r="DD207" s="1073"/>
      <c r="DE207" s="1073"/>
      <c r="DF207" s="1073"/>
      <c r="DG207" s="1073"/>
      <c r="DH207" s="1073"/>
      <c r="DI207" s="1073"/>
      <c r="DJ207" s="1073"/>
      <c r="DK207" s="1073"/>
      <c r="DL207" s="1073"/>
      <c r="DM207" s="1073"/>
      <c r="DN207" s="1073"/>
      <c r="DO207" s="1073"/>
      <c r="DP207" s="1073"/>
      <c r="DQ207" s="1073"/>
      <c r="DR207" s="1073"/>
      <c r="DS207" s="1073"/>
      <c r="DT207" s="1073"/>
      <c r="DU207" s="1073"/>
      <c r="DV207" s="1073"/>
      <c r="DW207" s="1073"/>
      <c r="DX207" s="1073"/>
      <c r="DY207" s="1073"/>
      <c r="DZ207" s="1073"/>
      <c r="EA207" s="1073"/>
      <c r="EB207" s="1073"/>
      <c r="EC207" s="1073"/>
      <c r="ED207" s="1073"/>
      <c r="EE207" s="1073"/>
      <c r="EF207" s="1073"/>
      <c r="EG207" s="1073"/>
      <c r="EH207" s="1073"/>
      <c r="EI207" s="1073"/>
      <c r="EJ207" s="1073"/>
      <c r="EK207" s="1073"/>
      <c r="EL207" s="1073"/>
      <c r="EM207" s="1073"/>
    </row>
    <row r="208" spans="1:143" ht="18.75" customHeight="1">
      <c r="A208" s="178"/>
      <c r="B208" s="1106">
        <f>I$13</f>
        <v>0</v>
      </c>
      <c r="C208" s="1107"/>
      <c r="D208" s="1107"/>
      <c r="E208" s="1107"/>
      <c r="F208" s="1107"/>
      <c r="G208" s="195" t="s">
        <v>586</v>
      </c>
      <c r="H208" s="1108">
        <f>R68</f>
        <v>0</v>
      </c>
      <c r="I208" s="1108"/>
      <c r="J208" s="1108"/>
      <c r="K208" s="1108"/>
      <c r="L208" s="1108"/>
      <c r="M208" s="1108"/>
      <c r="N208" s="1108"/>
      <c r="O208" s="1108"/>
      <c r="P208" s="1108"/>
      <c r="Q208" s="1108"/>
      <c r="R208" s="1108"/>
      <c r="S208" s="1108"/>
      <c r="T208" s="1108"/>
      <c r="U208" s="1108"/>
      <c r="V208" s="1108"/>
      <c r="W208" s="1108"/>
      <c r="X208" s="1108"/>
      <c r="Y208" s="1108"/>
      <c r="Z208" s="1108"/>
      <c r="AA208" s="1108"/>
      <c r="AB208" s="1108"/>
      <c r="AC208" s="1108"/>
      <c r="AD208" s="1108"/>
      <c r="AE208" s="1108"/>
      <c r="AF208" s="1108"/>
      <c r="AG208" s="1108"/>
      <c r="AH208" s="1108"/>
      <c r="AI208" s="1108"/>
      <c r="AJ208" s="1108"/>
      <c r="AK208" s="1108"/>
      <c r="AL208" s="1108"/>
      <c r="AM208" s="1108"/>
      <c r="AN208" s="219" t="s">
        <v>587</v>
      </c>
      <c r="AO208" s="1070" t="s">
        <v>712</v>
      </c>
      <c r="AP208" s="1070"/>
      <c r="AQ208" s="1070"/>
      <c r="AR208" s="1070"/>
      <c r="AS208" s="1070"/>
      <c r="AT208" s="1070"/>
      <c r="AU208" s="1070"/>
      <c r="AV208" s="178"/>
      <c r="AW208" s="178"/>
      <c r="AX208" s="1106">
        <f>BE$13</f>
        <v>0</v>
      </c>
      <c r="AY208" s="1107"/>
      <c r="AZ208" s="1107"/>
      <c r="BA208" s="1107"/>
      <c r="BB208" s="1107"/>
      <c r="BC208" s="195" t="s">
        <v>586</v>
      </c>
      <c r="BD208" s="1108">
        <f>BN68</f>
        <v>0</v>
      </c>
      <c r="BE208" s="1108"/>
      <c r="BF208" s="1108"/>
      <c r="BG208" s="1108"/>
      <c r="BH208" s="1108"/>
      <c r="BI208" s="1108"/>
      <c r="BJ208" s="1108"/>
      <c r="BK208" s="1108"/>
      <c r="BL208" s="1108"/>
      <c r="BM208" s="1108"/>
      <c r="BN208" s="1108"/>
      <c r="BO208" s="1108"/>
      <c r="BP208" s="1108"/>
      <c r="BQ208" s="1108"/>
      <c r="BR208" s="1108"/>
      <c r="BS208" s="1108"/>
      <c r="BT208" s="1108"/>
      <c r="BU208" s="1108"/>
      <c r="BV208" s="1108"/>
      <c r="BW208" s="1108"/>
      <c r="BX208" s="1108"/>
      <c r="BY208" s="1108"/>
      <c r="BZ208" s="1108"/>
      <c r="CA208" s="1108"/>
      <c r="CB208" s="1108"/>
      <c r="CC208" s="1108"/>
      <c r="CD208" s="1108"/>
      <c r="CE208" s="1108"/>
      <c r="CF208" s="1108"/>
      <c r="CG208" s="1108"/>
      <c r="CH208" s="1108"/>
      <c r="CI208" s="1108"/>
      <c r="CJ208" s="219" t="s">
        <v>587</v>
      </c>
      <c r="CK208" s="1070" t="s">
        <v>712</v>
      </c>
      <c r="CL208" s="1070"/>
      <c r="CM208" s="1070"/>
      <c r="CN208" s="1070"/>
      <c r="CO208" s="1070"/>
      <c r="CP208" s="1070"/>
      <c r="CQ208" s="1070"/>
      <c r="CS208" s="178"/>
      <c r="CT208" s="1106">
        <f>DA$13</f>
        <v>0</v>
      </c>
      <c r="CU208" s="1107"/>
      <c r="CV208" s="1107"/>
      <c r="CW208" s="1107"/>
      <c r="CX208" s="1107"/>
      <c r="CY208" s="195" t="s">
        <v>586</v>
      </c>
      <c r="CZ208" s="1108">
        <f>DJ68</f>
        <v>0</v>
      </c>
      <c r="DA208" s="1108"/>
      <c r="DB208" s="1108"/>
      <c r="DC208" s="1108"/>
      <c r="DD208" s="1108"/>
      <c r="DE208" s="1108"/>
      <c r="DF208" s="1108"/>
      <c r="DG208" s="1108"/>
      <c r="DH208" s="1108"/>
      <c r="DI208" s="1108"/>
      <c r="DJ208" s="1108"/>
      <c r="DK208" s="1108"/>
      <c r="DL208" s="1108"/>
      <c r="DM208" s="1108"/>
      <c r="DN208" s="1108"/>
      <c r="DO208" s="1108"/>
      <c r="DP208" s="1108"/>
      <c r="DQ208" s="1108"/>
      <c r="DR208" s="1108"/>
      <c r="DS208" s="1108"/>
      <c r="DT208" s="1108"/>
      <c r="DU208" s="1108"/>
      <c r="DV208" s="1108"/>
      <c r="DW208" s="1108"/>
      <c r="DX208" s="1108"/>
      <c r="DY208" s="1108"/>
      <c r="DZ208" s="1108"/>
      <c r="EA208" s="1108"/>
      <c r="EB208" s="1108"/>
      <c r="EC208" s="1108"/>
      <c r="ED208" s="1108"/>
      <c r="EE208" s="1108"/>
      <c r="EF208" s="219" t="s">
        <v>587</v>
      </c>
      <c r="EG208" s="1070" t="s">
        <v>712</v>
      </c>
      <c r="EH208" s="1070"/>
      <c r="EI208" s="1070"/>
      <c r="EJ208" s="1070"/>
      <c r="EK208" s="1070"/>
      <c r="EL208" s="1070"/>
      <c r="EM208" s="1070"/>
    </row>
    <row r="209" spans="1:143" ht="18.75" customHeight="1">
      <c r="A209" s="178"/>
      <c r="B209" s="190"/>
      <c r="C209" s="1094" t="s">
        <v>713</v>
      </c>
      <c r="D209" s="1094"/>
      <c r="E209" s="1073" t="s">
        <v>704</v>
      </c>
      <c r="F209" s="1073"/>
      <c r="G209" s="1073"/>
      <c r="H209" s="1073"/>
      <c r="I209" s="1073"/>
      <c r="J209" s="1073"/>
      <c r="K209" s="1073"/>
      <c r="L209" s="1073"/>
      <c r="M209" s="1073"/>
      <c r="N209" s="1073"/>
      <c r="O209" s="1073"/>
      <c r="P209" s="1073"/>
      <c r="Q209" s="1073"/>
      <c r="R209" s="1073"/>
      <c r="S209" s="1073"/>
      <c r="T209" s="1073"/>
      <c r="U209" s="1073"/>
      <c r="V209" s="1073"/>
      <c r="W209" s="1073"/>
      <c r="X209" s="1073"/>
      <c r="Y209" s="1073"/>
      <c r="Z209" s="1073"/>
      <c r="AA209" s="1073"/>
      <c r="AB209" s="1073"/>
      <c r="AC209" s="1073"/>
      <c r="AD209" s="1073"/>
      <c r="AE209" s="1073"/>
      <c r="AF209" s="1073"/>
      <c r="AG209" s="1073"/>
      <c r="AH209" s="1073"/>
      <c r="AI209" s="1073"/>
      <c r="AJ209" s="1073"/>
      <c r="AK209" s="1073"/>
      <c r="AL209" s="1073"/>
      <c r="AM209" s="1073"/>
      <c r="AN209" s="1073"/>
      <c r="AO209" s="1073"/>
      <c r="AP209" s="1073"/>
      <c r="AQ209" s="1073"/>
      <c r="AR209" s="1073"/>
      <c r="AS209" s="1073"/>
      <c r="AT209" s="1073"/>
      <c r="AU209" s="1073"/>
      <c r="AV209" s="178"/>
      <c r="AW209" s="178"/>
      <c r="AX209" s="190"/>
      <c r="AY209" s="1094" t="s">
        <v>713</v>
      </c>
      <c r="AZ209" s="1094"/>
      <c r="BA209" s="1073" t="s">
        <v>704</v>
      </c>
      <c r="BB209" s="1073"/>
      <c r="BC209" s="1073"/>
      <c r="BD209" s="1073"/>
      <c r="BE209" s="1073"/>
      <c r="BF209" s="1073"/>
      <c r="BG209" s="1073"/>
      <c r="BH209" s="1073"/>
      <c r="BI209" s="1073"/>
      <c r="BJ209" s="1073"/>
      <c r="BK209" s="1073"/>
      <c r="BL209" s="1073"/>
      <c r="BM209" s="1073"/>
      <c r="BN209" s="1073"/>
      <c r="BO209" s="1073"/>
      <c r="BP209" s="1073"/>
      <c r="BQ209" s="1073"/>
      <c r="BR209" s="1073"/>
      <c r="BS209" s="1073"/>
      <c r="BT209" s="1073"/>
      <c r="BU209" s="1073"/>
      <c r="BV209" s="1073"/>
      <c r="BW209" s="1073"/>
      <c r="BX209" s="1073"/>
      <c r="BY209" s="1073"/>
      <c r="BZ209" s="1073"/>
      <c r="CA209" s="1073"/>
      <c r="CB209" s="1073"/>
      <c r="CC209" s="1073"/>
      <c r="CD209" s="1073"/>
      <c r="CE209" s="1073"/>
      <c r="CF209" s="1073"/>
      <c r="CG209" s="1073"/>
      <c r="CH209" s="1073"/>
      <c r="CI209" s="1073"/>
      <c r="CJ209" s="1073"/>
      <c r="CK209" s="1073"/>
      <c r="CL209" s="1073"/>
      <c r="CM209" s="1073"/>
      <c r="CN209" s="1073"/>
      <c r="CO209" s="1073"/>
      <c r="CP209" s="1073"/>
      <c r="CQ209" s="1073"/>
      <c r="CS209" s="178"/>
      <c r="CT209" s="190"/>
      <c r="CU209" s="1094" t="s">
        <v>713</v>
      </c>
      <c r="CV209" s="1094"/>
      <c r="CW209" s="1073" t="s">
        <v>704</v>
      </c>
      <c r="CX209" s="1073"/>
      <c r="CY209" s="1073"/>
      <c r="CZ209" s="1073"/>
      <c r="DA209" s="1073"/>
      <c r="DB209" s="1073"/>
      <c r="DC209" s="1073"/>
      <c r="DD209" s="1073"/>
      <c r="DE209" s="1073"/>
      <c r="DF209" s="1073"/>
      <c r="DG209" s="1073"/>
      <c r="DH209" s="1073"/>
      <c r="DI209" s="1073"/>
      <c r="DJ209" s="1073"/>
      <c r="DK209" s="1073"/>
      <c r="DL209" s="1073"/>
      <c r="DM209" s="1073"/>
      <c r="DN209" s="1073"/>
      <c r="DO209" s="1073"/>
      <c r="DP209" s="1073"/>
      <c r="DQ209" s="1073"/>
      <c r="DR209" s="1073"/>
      <c r="DS209" s="1073"/>
      <c r="DT209" s="1073"/>
      <c r="DU209" s="1073"/>
      <c r="DV209" s="1073"/>
      <c r="DW209" s="1073"/>
      <c r="DX209" s="1073"/>
      <c r="DY209" s="1073"/>
      <c r="DZ209" s="1073"/>
      <c r="EA209" s="1073"/>
      <c r="EB209" s="1073"/>
      <c r="EC209" s="1073"/>
      <c r="ED209" s="1073"/>
      <c r="EE209" s="1073"/>
      <c r="EF209" s="1073"/>
      <c r="EG209" s="1073"/>
      <c r="EH209" s="1073"/>
      <c r="EI209" s="1073"/>
      <c r="EJ209" s="1073"/>
      <c r="EK209" s="1073"/>
      <c r="EL209" s="1073"/>
      <c r="EM209" s="1073"/>
    </row>
    <row r="210" spans="1:143" ht="18.75" customHeight="1">
      <c r="A210" s="178"/>
      <c r="B210" s="1073" t="s">
        <v>705</v>
      </c>
      <c r="C210" s="1073"/>
      <c r="D210" s="1073"/>
      <c r="E210" s="1073"/>
      <c r="F210" s="1073"/>
      <c r="G210" s="1073"/>
      <c r="H210" s="1073"/>
      <c r="I210" s="1073"/>
      <c r="J210" s="1073"/>
      <c r="K210" s="1073"/>
      <c r="L210" s="1073"/>
      <c r="M210" s="1073"/>
      <c r="N210" s="1073"/>
      <c r="O210" s="1073"/>
      <c r="P210" s="1073"/>
      <c r="Q210" s="1073"/>
      <c r="R210" s="1073"/>
      <c r="S210" s="1073"/>
      <c r="T210" s="1073"/>
      <c r="U210" s="1073"/>
      <c r="V210" s="1073"/>
      <c r="W210" s="1073"/>
      <c r="X210" s="1073"/>
      <c r="Y210" s="1073"/>
      <c r="Z210" s="1073"/>
      <c r="AA210" s="1073"/>
      <c r="AB210" s="1095">
        <f>AF$36</f>
        <v>0</v>
      </c>
      <c r="AC210" s="1095"/>
      <c r="AD210" s="300" t="s">
        <v>524</v>
      </c>
      <c r="AE210" s="1095">
        <f>AI$36</f>
        <v>0</v>
      </c>
      <c r="AF210" s="1095"/>
      <c r="AG210" s="1095"/>
      <c r="AH210" s="1095"/>
      <c r="AI210" s="1095"/>
      <c r="AJ210" s="1095"/>
      <c r="AK210" s="1095"/>
      <c r="AL210" s="1095"/>
      <c r="AM210" s="1095"/>
      <c r="AN210" s="1095"/>
      <c r="AO210" s="185"/>
      <c r="AP210" s="1095">
        <f>AP$36</f>
        <v>0</v>
      </c>
      <c r="AQ210" s="1095"/>
      <c r="AR210" s="1095"/>
      <c r="AS210" s="1095"/>
      <c r="AT210" s="1091" t="s">
        <v>375</v>
      </c>
      <c r="AU210" s="1091"/>
      <c r="AV210" s="178"/>
      <c r="AW210" s="178"/>
      <c r="AX210" s="1073" t="s">
        <v>705</v>
      </c>
      <c r="AY210" s="1073"/>
      <c r="AZ210" s="1073"/>
      <c r="BA210" s="1073"/>
      <c r="BB210" s="1073"/>
      <c r="BC210" s="1073"/>
      <c r="BD210" s="1073"/>
      <c r="BE210" s="1073"/>
      <c r="BF210" s="1073"/>
      <c r="BG210" s="1073"/>
      <c r="BH210" s="1073"/>
      <c r="BI210" s="1073"/>
      <c r="BJ210" s="1073"/>
      <c r="BK210" s="1073"/>
      <c r="BL210" s="1073"/>
      <c r="BM210" s="1073"/>
      <c r="BN210" s="1073"/>
      <c r="BO210" s="1073"/>
      <c r="BP210" s="1073"/>
      <c r="BQ210" s="1073"/>
      <c r="BR210" s="1073"/>
      <c r="BS210" s="1073"/>
      <c r="BT210" s="1073"/>
      <c r="BU210" s="1073"/>
      <c r="BV210" s="1073"/>
      <c r="BW210" s="1073"/>
      <c r="BX210" s="1095">
        <f>CB$36</f>
        <v>0</v>
      </c>
      <c r="BY210" s="1095"/>
      <c r="BZ210" s="300" t="s">
        <v>524</v>
      </c>
      <c r="CA210" s="1095">
        <f>CE$36</f>
        <v>0</v>
      </c>
      <c r="CB210" s="1095"/>
      <c r="CC210" s="1095"/>
      <c r="CD210" s="1095"/>
      <c r="CE210" s="1095"/>
      <c r="CF210" s="1095"/>
      <c r="CG210" s="1095"/>
      <c r="CH210" s="1095"/>
      <c r="CI210" s="1095"/>
      <c r="CJ210" s="1095"/>
      <c r="CK210" s="185"/>
      <c r="CL210" s="1095">
        <f>CL$36</f>
        <v>0</v>
      </c>
      <c r="CM210" s="1095"/>
      <c r="CN210" s="1095"/>
      <c r="CO210" s="1095"/>
      <c r="CP210" s="1091" t="s">
        <v>375</v>
      </c>
      <c r="CQ210" s="1091"/>
      <c r="CS210" s="178"/>
      <c r="CT210" s="1073" t="s">
        <v>705</v>
      </c>
      <c r="CU210" s="1073"/>
      <c r="CV210" s="1073"/>
      <c r="CW210" s="1073"/>
      <c r="CX210" s="1073"/>
      <c r="CY210" s="1073"/>
      <c r="CZ210" s="1073"/>
      <c r="DA210" s="1073"/>
      <c r="DB210" s="1073"/>
      <c r="DC210" s="1073"/>
      <c r="DD210" s="1073"/>
      <c r="DE210" s="1073"/>
      <c r="DF210" s="1073"/>
      <c r="DG210" s="1073"/>
      <c r="DH210" s="1073"/>
      <c r="DI210" s="1073"/>
      <c r="DJ210" s="1073"/>
      <c r="DK210" s="1073"/>
      <c r="DL210" s="1073"/>
      <c r="DM210" s="1073"/>
      <c r="DN210" s="1073"/>
      <c r="DO210" s="1073"/>
      <c r="DP210" s="1073"/>
      <c r="DQ210" s="1073"/>
      <c r="DR210" s="1073"/>
      <c r="DS210" s="1073"/>
      <c r="DT210" s="1095">
        <f>DX$36</f>
        <v>0</v>
      </c>
      <c r="DU210" s="1095"/>
      <c r="DV210" s="300" t="s">
        <v>524</v>
      </c>
      <c r="DW210" s="1095">
        <f>EA$36</f>
        <v>0</v>
      </c>
      <c r="DX210" s="1095"/>
      <c r="DY210" s="1095"/>
      <c r="DZ210" s="1095"/>
      <c r="EA210" s="1095"/>
      <c r="EB210" s="1095"/>
      <c r="EC210" s="1095"/>
      <c r="ED210" s="1095"/>
      <c r="EE210" s="1095"/>
      <c r="EF210" s="1095"/>
      <c r="EG210" s="185"/>
      <c r="EH210" s="1095">
        <f>EH$36</f>
        <v>0</v>
      </c>
      <c r="EI210" s="1095"/>
      <c r="EJ210" s="1095"/>
      <c r="EK210" s="1095"/>
      <c r="EL210" s="1091" t="s">
        <v>375</v>
      </c>
      <c r="EM210" s="1091"/>
    </row>
    <row r="211" spans="1:143" ht="18.75" customHeight="1">
      <c r="A211" s="178"/>
      <c r="B211" s="1096" t="s">
        <v>680</v>
      </c>
      <c r="C211" s="1096"/>
      <c r="D211" s="186"/>
      <c r="E211" s="1097">
        <f>AQ$35</f>
        <v>0</v>
      </c>
      <c r="F211" s="1097"/>
      <c r="G211" s="1097"/>
      <c r="H211" s="1097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6" t="s">
        <v>680</v>
      </c>
      <c r="AY211" s="1096"/>
      <c r="AZ211" s="186"/>
      <c r="BA211" s="1097">
        <f>CM$35</f>
        <v>0</v>
      </c>
      <c r="BB211" s="1097"/>
      <c r="BC211" s="1097"/>
      <c r="BD211" s="1097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6" t="s">
        <v>680</v>
      </c>
      <c r="CU211" s="1096"/>
      <c r="CV211" s="186"/>
      <c r="CW211" s="1097">
        <f>EI$35</f>
        <v>0</v>
      </c>
      <c r="CX211" s="1097"/>
      <c r="CY211" s="1097"/>
      <c r="CZ211" s="1097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98"/>
      <c r="C212" s="1098"/>
      <c r="D212" s="1098"/>
      <c r="E212" s="1098"/>
      <c r="F212" s="1098"/>
      <c r="G212" s="1098"/>
      <c r="H212" s="1098"/>
      <c r="I212" s="1098"/>
      <c r="J212" s="1098"/>
      <c r="K212" s="1098"/>
      <c r="L212" s="1098"/>
      <c r="M212" s="1098"/>
      <c r="N212" s="1098"/>
      <c r="O212" s="1098"/>
      <c r="P212" s="1098"/>
      <c r="Q212" s="1098"/>
      <c r="R212" s="1098"/>
      <c r="S212" s="1098"/>
      <c r="T212" s="1098"/>
      <c r="U212" s="1098"/>
      <c r="V212" s="1098"/>
      <c r="W212" s="1098"/>
      <c r="X212" s="1098"/>
      <c r="Y212" s="1098"/>
      <c r="Z212" s="1098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78"/>
      <c r="AW212" s="17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  <c r="BX212" s="1098"/>
      <c r="BY212" s="1098"/>
      <c r="BZ212" s="1098"/>
      <c r="CA212" s="1098"/>
      <c r="CB212" s="1098"/>
      <c r="CC212" s="1098"/>
      <c r="CD212" s="1098"/>
      <c r="CE212" s="1098"/>
      <c r="CF212" s="1098"/>
      <c r="CG212" s="1098"/>
      <c r="CH212" s="1098"/>
      <c r="CI212" s="1098"/>
      <c r="CJ212" s="1098"/>
      <c r="CK212" s="1098"/>
      <c r="CL212" s="1098"/>
      <c r="CM212" s="1098"/>
      <c r="CN212" s="1098"/>
      <c r="CO212" s="1098"/>
      <c r="CP212" s="1098"/>
      <c r="CQ212" s="1098"/>
      <c r="CS212" s="178"/>
      <c r="CT212" s="1098"/>
      <c r="CU212" s="1098"/>
      <c r="CV212" s="1098"/>
      <c r="CW212" s="1098"/>
      <c r="CX212" s="1098"/>
      <c r="CY212" s="1098"/>
      <c r="CZ212" s="1098"/>
      <c r="DA212" s="1098"/>
      <c r="DB212" s="1098"/>
      <c r="DC212" s="1098"/>
      <c r="DD212" s="1098"/>
      <c r="DE212" s="1098"/>
      <c r="DF212" s="1098"/>
      <c r="DG212" s="1098"/>
      <c r="DH212" s="1098"/>
      <c r="DI212" s="1098"/>
      <c r="DJ212" s="1098"/>
      <c r="DK212" s="1098"/>
      <c r="DL212" s="1098"/>
      <c r="DM212" s="1098"/>
      <c r="DN212" s="1098"/>
      <c r="DO212" s="1098"/>
      <c r="DP212" s="1098"/>
      <c r="DQ212" s="1098"/>
      <c r="DR212" s="1098"/>
      <c r="DS212" s="1098"/>
      <c r="DT212" s="1098"/>
      <c r="DU212" s="1098"/>
      <c r="DV212" s="1098"/>
      <c r="DW212" s="1098"/>
      <c r="DX212" s="1098"/>
      <c r="DY212" s="1098"/>
      <c r="DZ212" s="1098"/>
      <c r="EA212" s="1098"/>
      <c r="EB212" s="1098"/>
      <c r="EC212" s="1098"/>
      <c r="ED212" s="1098"/>
      <c r="EE212" s="1098"/>
      <c r="EF212" s="1098"/>
      <c r="EG212" s="1098"/>
      <c r="EH212" s="1098"/>
      <c r="EI212" s="1098"/>
      <c r="EJ212" s="1098"/>
      <c r="EK212" s="1098"/>
      <c r="EL212" s="1098"/>
      <c r="EM212" s="1098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99" t="s">
        <v>676</v>
      </c>
      <c r="C214" s="1099"/>
      <c r="D214" s="1099"/>
      <c r="E214" s="1099"/>
      <c r="F214" s="1099"/>
      <c r="G214" s="1099"/>
      <c r="H214" s="1099"/>
      <c r="I214" s="1099"/>
      <c r="J214" s="1099"/>
      <c r="K214" s="1099"/>
      <c r="L214" s="1099"/>
      <c r="M214" s="1099"/>
      <c r="N214" s="1099"/>
      <c r="O214" s="1099"/>
      <c r="P214" s="1099"/>
      <c r="Q214" s="1099"/>
      <c r="R214" s="1099"/>
      <c r="S214" s="1099"/>
      <c r="T214" s="1099"/>
      <c r="U214" s="1099"/>
      <c r="V214" s="1099"/>
      <c r="W214" s="220"/>
      <c r="X214" s="1099" t="s">
        <v>675</v>
      </c>
      <c r="Y214" s="1099"/>
      <c r="Z214" s="1099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78"/>
      <c r="AW214" s="178"/>
      <c r="AX214" s="1099" t="s">
        <v>676</v>
      </c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220"/>
      <c r="BT214" s="1099" t="s">
        <v>675</v>
      </c>
      <c r="BU214" s="1099"/>
      <c r="BV214" s="1099"/>
      <c r="BW214" s="1099"/>
      <c r="BX214" s="1099"/>
      <c r="BY214" s="1099"/>
      <c r="BZ214" s="1099"/>
      <c r="CA214" s="1099"/>
      <c r="CB214" s="1099"/>
      <c r="CC214" s="1099"/>
      <c r="CD214" s="1099"/>
      <c r="CE214" s="1099"/>
      <c r="CF214" s="1099"/>
      <c r="CG214" s="1099"/>
      <c r="CH214" s="1099"/>
      <c r="CI214" s="1099"/>
      <c r="CJ214" s="1099"/>
      <c r="CK214" s="1099"/>
      <c r="CL214" s="1099"/>
      <c r="CM214" s="1099"/>
      <c r="CN214" s="1099"/>
      <c r="CO214" s="1099"/>
      <c r="CP214" s="1099"/>
      <c r="CQ214" s="1099"/>
      <c r="CS214" s="178"/>
      <c r="CT214" s="1099" t="s">
        <v>676</v>
      </c>
      <c r="CU214" s="1099"/>
      <c r="CV214" s="1099"/>
      <c r="CW214" s="1099"/>
      <c r="CX214" s="1099"/>
      <c r="CY214" s="1099"/>
      <c r="CZ214" s="1099"/>
      <c r="DA214" s="1099"/>
      <c r="DB214" s="1099"/>
      <c r="DC214" s="1099"/>
      <c r="DD214" s="1099"/>
      <c r="DE214" s="1099"/>
      <c r="DF214" s="1099"/>
      <c r="DG214" s="1099"/>
      <c r="DH214" s="1099"/>
      <c r="DI214" s="1099"/>
      <c r="DJ214" s="1099"/>
      <c r="DK214" s="1099"/>
      <c r="DL214" s="1099"/>
      <c r="DM214" s="1099"/>
      <c r="DN214" s="1099"/>
      <c r="DO214" s="220"/>
      <c r="DP214" s="1099" t="s">
        <v>675</v>
      </c>
      <c r="DQ214" s="1099"/>
      <c r="DR214" s="1099"/>
      <c r="DS214" s="1099"/>
      <c r="DT214" s="1099"/>
      <c r="DU214" s="1099"/>
      <c r="DV214" s="1099"/>
      <c r="DW214" s="1099"/>
      <c r="DX214" s="1099"/>
      <c r="DY214" s="1099"/>
      <c r="DZ214" s="1099"/>
      <c r="EA214" s="1099"/>
      <c r="EB214" s="1099"/>
      <c r="EC214" s="1099"/>
      <c r="ED214" s="1099"/>
      <c r="EE214" s="1099"/>
      <c r="EF214" s="1099"/>
      <c r="EG214" s="1099"/>
      <c r="EH214" s="1099"/>
      <c r="EI214" s="1099"/>
      <c r="EJ214" s="1099"/>
      <c r="EK214" s="1099"/>
      <c r="EL214" s="1099"/>
      <c r="EM214" s="1099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100" t="s">
        <v>151</v>
      </c>
      <c r="B216" s="1100"/>
      <c r="C216" s="1100"/>
      <c r="D216" s="1100"/>
      <c r="E216" s="1100"/>
      <c r="F216" s="1100"/>
      <c r="G216" s="1100"/>
      <c r="H216" s="1100"/>
      <c r="I216" s="1100"/>
      <c r="J216" s="1100"/>
      <c r="K216" s="1100"/>
      <c r="L216" s="1100"/>
      <c r="M216" s="1100"/>
      <c r="N216" s="1100"/>
      <c r="O216" s="1100"/>
      <c r="P216" s="1100"/>
      <c r="Q216" s="1100"/>
      <c r="R216" s="1100"/>
      <c r="S216" s="1100"/>
      <c r="T216" s="1100"/>
      <c r="U216" s="1100"/>
      <c r="V216" s="1100"/>
      <c r="W216" s="1100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100" t="s">
        <v>151</v>
      </c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100" t="s">
        <v>151</v>
      </c>
      <c r="CT216" s="1100"/>
      <c r="CU216" s="1100"/>
      <c r="CV216" s="1100"/>
      <c r="CW216" s="1100"/>
      <c r="CX216" s="1100"/>
      <c r="CY216" s="1100"/>
      <c r="CZ216" s="1100"/>
      <c r="DA216" s="1100"/>
      <c r="DB216" s="1100"/>
      <c r="DC216" s="1100"/>
      <c r="DD216" s="1100"/>
      <c r="DE216" s="1100"/>
      <c r="DF216" s="1100"/>
      <c r="DG216" s="1100"/>
      <c r="DH216" s="1100"/>
      <c r="DI216" s="1100"/>
      <c r="DJ216" s="1100"/>
      <c r="DK216" s="1100"/>
      <c r="DL216" s="1100"/>
      <c r="DM216" s="1100"/>
      <c r="DN216" s="1100"/>
      <c r="DO216" s="1100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84"/>
      <c r="B217" s="1084"/>
      <c r="C217" s="1084"/>
      <c r="D217" s="1084"/>
      <c r="E217" s="1084"/>
      <c r="F217" s="1084"/>
      <c r="G217" s="1084"/>
      <c r="H217" s="1084"/>
      <c r="I217" s="1084"/>
      <c r="J217" s="1084"/>
      <c r="K217" s="1084"/>
      <c r="L217" s="1084"/>
      <c r="M217" s="1084"/>
      <c r="N217" s="1085">
        <f>N199</f>
        <v>0</v>
      </c>
      <c r="O217" s="1085"/>
      <c r="P217" s="1085"/>
      <c r="Q217" s="1085"/>
      <c r="R217" s="1085"/>
      <c r="S217" s="1085"/>
      <c r="T217" s="1085"/>
      <c r="U217" s="1085"/>
      <c r="V217" s="1085"/>
      <c r="W217" s="211"/>
      <c r="X217" s="1057"/>
      <c r="Y217" s="1057"/>
      <c r="Z217" s="1057"/>
      <c r="AA217" s="1057"/>
      <c r="AB217" s="1057"/>
      <c r="AC217" s="1057"/>
      <c r="AD217" s="1057"/>
      <c r="AE217" s="1057"/>
      <c r="AF217" s="1057"/>
      <c r="AG217" s="1057"/>
      <c r="AH217" s="1057"/>
      <c r="AI217" s="1057"/>
      <c r="AJ217" s="1057"/>
      <c r="AK217" s="1057"/>
      <c r="AL217" s="1086">
        <f>AA196</f>
        <v>0</v>
      </c>
      <c r="AM217" s="1086"/>
      <c r="AN217" s="1086"/>
      <c r="AO217" s="1086"/>
      <c r="AP217" s="1086"/>
      <c r="AQ217" s="1086"/>
      <c r="AR217" s="1086"/>
      <c r="AS217" s="1086"/>
      <c r="AT217" s="1086"/>
      <c r="AU217" s="201"/>
      <c r="AV217" s="178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084"/>
      <c r="BJ217" s="1085">
        <f>BJ199</f>
        <v>0</v>
      </c>
      <c r="BK217" s="1085"/>
      <c r="BL217" s="1085"/>
      <c r="BM217" s="1085"/>
      <c r="BN217" s="1085"/>
      <c r="BO217" s="1085"/>
      <c r="BP217" s="1085"/>
      <c r="BQ217" s="1085"/>
      <c r="BR217" s="1085"/>
      <c r="BS217" s="211"/>
      <c r="BT217" s="1057"/>
      <c r="BU217" s="1057"/>
      <c r="BV217" s="1057"/>
      <c r="BW217" s="1057"/>
      <c r="BX217" s="1057"/>
      <c r="BY217" s="1057"/>
      <c r="BZ217" s="1057"/>
      <c r="CA217" s="1057"/>
      <c r="CB217" s="1057"/>
      <c r="CC217" s="1057"/>
      <c r="CD217" s="1057"/>
      <c r="CE217" s="1057"/>
      <c r="CF217" s="1057"/>
      <c r="CG217" s="1057"/>
      <c r="CH217" s="1086">
        <f>BW196</f>
        <v>0</v>
      </c>
      <c r="CI217" s="1086"/>
      <c r="CJ217" s="1086"/>
      <c r="CK217" s="1086"/>
      <c r="CL217" s="1086"/>
      <c r="CM217" s="1086"/>
      <c r="CN217" s="1086"/>
      <c r="CO217" s="1086"/>
      <c r="CP217" s="1086"/>
      <c r="CQ217" s="201"/>
      <c r="CS217" s="1084"/>
      <c r="CT217" s="1084"/>
      <c r="CU217" s="1084"/>
      <c r="CV217" s="1084"/>
      <c r="CW217" s="1084"/>
      <c r="CX217" s="1084"/>
      <c r="CY217" s="1084"/>
      <c r="CZ217" s="1084"/>
      <c r="DA217" s="1084"/>
      <c r="DB217" s="1084"/>
      <c r="DC217" s="1084"/>
      <c r="DD217" s="1084"/>
      <c r="DE217" s="1084"/>
      <c r="DF217" s="1085">
        <f>DF199</f>
        <v>0</v>
      </c>
      <c r="DG217" s="1085"/>
      <c r="DH217" s="1085"/>
      <c r="DI217" s="1085"/>
      <c r="DJ217" s="1085"/>
      <c r="DK217" s="1085"/>
      <c r="DL217" s="1085"/>
      <c r="DM217" s="1085"/>
      <c r="DN217" s="1085"/>
      <c r="DO217" s="211"/>
      <c r="DP217" s="1057"/>
      <c r="DQ217" s="1057"/>
      <c r="DR217" s="1057"/>
      <c r="DS217" s="1057"/>
      <c r="DT217" s="1057"/>
      <c r="DU217" s="1057"/>
      <c r="DV217" s="1057"/>
      <c r="DW217" s="1057"/>
      <c r="DX217" s="1057"/>
      <c r="DY217" s="1057"/>
      <c r="DZ217" s="1057"/>
      <c r="EA217" s="1057"/>
      <c r="EB217" s="1057"/>
      <c r="EC217" s="1057"/>
      <c r="ED217" s="1086">
        <f>DS196</f>
        <v>0</v>
      </c>
      <c r="EE217" s="1086"/>
      <c r="EF217" s="1086"/>
      <c r="EG217" s="1086"/>
      <c r="EH217" s="1086"/>
      <c r="EI217" s="1086"/>
      <c r="EJ217" s="1086"/>
      <c r="EK217" s="1086"/>
      <c r="EL217" s="1086"/>
      <c r="EM217" s="201"/>
    </row>
    <row r="218" spans="1:143" ht="18.75" customHeight="1">
      <c r="A218" s="1059" t="s">
        <v>5</v>
      </c>
      <c r="B218" s="1059"/>
      <c r="C218" s="1059"/>
      <c r="D218" s="1059"/>
      <c r="E218" s="1059"/>
      <c r="F218" s="1059"/>
      <c r="G218" s="1059"/>
      <c r="H218" s="1059"/>
      <c r="I218" s="1059"/>
      <c r="J218" s="1059"/>
      <c r="K218" s="1059"/>
      <c r="L218" s="1059"/>
      <c r="M218" s="1059"/>
      <c r="N218" s="1059" t="s">
        <v>688</v>
      </c>
      <c r="O218" s="1059"/>
      <c r="P218" s="1059"/>
      <c r="Q218" s="1059"/>
      <c r="R218" s="1059"/>
      <c r="S218" s="1059"/>
      <c r="T218" s="1059"/>
      <c r="U218" s="1059"/>
      <c r="V218" s="1059"/>
      <c r="W218" s="212"/>
      <c r="X218" s="1059" t="s">
        <v>5</v>
      </c>
      <c r="Y218" s="1059"/>
      <c r="Z218" s="1059"/>
      <c r="AA218" s="1059"/>
      <c r="AB218" s="1059"/>
      <c r="AC218" s="1059"/>
      <c r="AD218" s="1059"/>
      <c r="AE218" s="1059"/>
      <c r="AF218" s="1059"/>
      <c r="AG218" s="1059"/>
      <c r="AH218" s="1059"/>
      <c r="AI218" s="1059"/>
      <c r="AJ218" s="1059"/>
      <c r="AK218" s="1059"/>
      <c r="AL218" s="1060" t="s">
        <v>688</v>
      </c>
      <c r="AM218" s="1060"/>
      <c r="AN218" s="1060"/>
      <c r="AO218" s="1060"/>
      <c r="AP218" s="1060"/>
      <c r="AQ218" s="1060"/>
      <c r="AR218" s="1060"/>
      <c r="AS218" s="1060"/>
      <c r="AT218" s="202"/>
      <c r="AU218" s="213"/>
      <c r="AV218" s="178"/>
      <c r="AW218" s="1059" t="s">
        <v>5</v>
      </c>
      <c r="AX218" s="1059"/>
      <c r="AY218" s="1059"/>
      <c r="AZ218" s="1059"/>
      <c r="BA218" s="1059"/>
      <c r="BB218" s="1059"/>
      <c r="BC218" s="1059"/>
      <c r="BD218" s="1059"/>
      <c r="BE218" s="1059"/>
      <c r="BF218" s="1059"/>
      <c r="BG218" s="1059"/>
      <c r="BH218" s="1059"/>
      <c r="BI218" s="1059"/>
      <c r="BJ218" s="1059" t="s">
        <v>688</v>
      </c>
      <c r="BK218" s="1059"/>
      <c r="BL218" s="1059"/>
      <c r="BM218" s="1059"/>
      <c r="BN218" s="1059"/>
      <c r="BO218" s="1059"/>
      <c r="BP218" s="1059"/>
      <c r="BQ218" s="1059"/>
      <c r="BR218" s="1059"/>
      <c r="BS218" s="212"/>
      <c r="BT218" s="1059" t="s">
        <v>5</v>
      </c>
      <c r="BU218" s="1059"/>
      <c r="BV218" s="1059"/>
      <c r="BW218" s="1059"/>
      <c r="BX218" s="1059"/>
      <c r="BY218" s="1059"/>
      <c r="BZ218" s="1059"/>
      <c r="CA218" s="1059"/>
      <c r="CB218" s="1059"/>
      <c r="CC218" s="1059"/>
      <c r="CD218" s="1059"/>
      <c r="CE218" s="1059"/>
      <c r="CF218" s="1059"/>
      <c r="CG218" s="1059"/>
      <c r="CH218" s="1060" t="s">
        <v>688</v>
      </c>
      <c r="CI218" s="1060"/>
      <c r="CJ218" s="1060"/>
      <c r="CK218" s="1060"/>
      <c r="CL218" s="1060"/>
      <c r="CM218" s="1060"/>
      <c r="CN218" s="1060"/>
      <c r="CO218" s="1060"/>
      <c r="CP218" s="202"/>
      <c r="CQ218" s="213"/>
      <c r="CS218" s="1059" t="s">
        <v>5</v>
      </c>
      <c r="CT218" s="1059"/>
      <c r="CU218" s="1059"/>
      <c r="CV218" s="1059"/>
      <c r="CW218" s="1059"/>
      <c r="CX218" s="1059"/>
      <c r="CY218" s="1059"/>
      <c r="CZ218" s="1059"/>
      <c r="DA218" s="1059"/>
      <c r="DB218" s="1059"/>
      <c r="DC218" s="1059"/>
      <c r="DD218" s="1059"/>
      <c r="DE218" s="1059"/>
      <c r="DF218" s="1059" t="s">
        <v>688</v>
      </c>
      <c r="DG218" s="1059"/>
      <c r="DH218" s="1059"/>
      <c r="DI218" s="1059"/>
      <c r="DJ218" s="1059"/>
      <c r="DK218" s="1059"/>
      <c r="DL218" s="1059"/>
      <c r="DM218" s="1059"/>
      <c r="DN218" s="1059"/>
      <c r="DO218" s="212"/>
      <c r="DP218" s="1059" t="s">
        <v>5</v>
      </c>
      <c r="DQ218" s="1059"/>
      <c r="DR218" s="1059"/>
      <c r="DS218" s="1059"/>
      <c r="DT218" s="1059"/>
      <c r="DU218" s="1059"/>
      <c r="DV218" s="1059"/>
      <c r="DW218" s="1059"/>
      <c r="DX218" s="1059"/>
      <c r="DY218" s="1059"/>
      <c r="DZ218" s="1059"/>
      <c r="EA218" s="1059"/>
      <c r="EB218" s="1059"/>
      <c r="EC218" s="1059"/>
      <c r="ED218" s="1060" t="s">
        <v>688</v>
      </c>
      <c r="EE218" s="1060"/>
      <c r="EF218" s="1060"/>
      <c r="EG218" s="1060"/>
      <c r="EH218" s="1060"/>
      <c r="EI218" s="1060"/>
      <c r="EJ218" s="1060"/>
      <c r="EK218" s="1060"/>
      <c r="EL218" s="202"/>
      <c r="EM218" s="213"/>
    </row>
    <row r="219" spans="1:143" ht="18.75" customHeight="1">
      <c r="A219" s="1101"/>
      <c r="B219" s="1101"/>
      <c r="C219" s="1101"/>
      <c r="D219" s="1101"/>
      <c r="E219" s="1101"/>
      <c r="F219" s="1101"/>
      <c r="G219" s="1101"/>
      <c r="H219" s="1101"/>
      <c r="I219" s="1101"/>
      <c r="J219" s="1101"/>
      <c r="K219" s="1101"/>
      <c r="L219" s="1101"/>
      <c r="M219" s="1101"/>
      <c r="N219" s="1101"/>
      <c r="O219" s="1101"/>
      <c r="P219" s="1101"/>
      <c r="Q219" s="1101"/>
      <c r="R219" s="1101"/>
      <c r="S219" s="1101"/>
      <c r="T219" s="1101"/>
      <c r="U219" s="1101"/>
      <c r="V219" s="1101"/>
      <c r="W219" s="1101"/>
      <c r="X219" s="1061"/>
      <c r="Y219" s="1061"/>
      <c r="Z219" s="1061"/>
      <c r="AA219" s="1061"/>
      <c r="AB219" s="1061"/>
      <c r="AC219" s="1061"/>
      <c r="AD219" s="1061"/>
      <c r="AE219" s="1061"/>
      <c r="AF219" s="1061"/>
      <c r="AG219" s="1061"/>
      <c r="AH219" s="1061"/>
      <c r="AI219" s="1061"/>
      <c r="AJ219" s="1061"/>
      <c r="AK219" s="1061"/>
      <c r="AL219" s="1061"/>
      <c r="AM219" s="1061"/>
      <c r="AN219" s="1061"/>
      <c r="AO219" s="1061"/>
      <c r="AP219" s="1061"/>
      <c r="AQ219" s="1061"/>
      <c r="AR219" s="1061"/>
      <c r="AS219" s="1061"/>
      <c r="AT219" s="1061"/>
      <c r="AU219" s="213"/>
      <c r="AV219" s="178"/>
      <c r="AW219" s="1101"/>
      <c r="AX219" s="1101"/>
      <c r="AY219" s="1101"/>
      <c r="AZ219" s="1101"/>
      <c r="BA219" s="1101"/>
      <c r="BB219" s="1101"/>
      <c r="BC219" s="1101"/>
      <c r="BD219" s="1101"/>
      <c r="BE219" s="1101"/>
      <c r="BF219" s="1101"/>
      <c r="BG219" s="1101"/>
      <c r="BH219" s="1101"/>
      <c r="BI219" s="1101"/>
      <c r="BJ219" s="1101"/>
      <c r="BK219" s="1101"/>
      <c r="BL219" s="1101"/>
      <c r="BM219" s="1101"/>
      <c r="BN219" s="1101"/>
      <c r="BO219" s="1101"/>
      <c r="BP219" s="1101"/>
      <c r="BQ219" s="1101"/>
      <c r="BR219" s="1101"/>
      <c r="BS219" s="1101"/>
      <c r="BT219" s="1061"/>
      <c r="BU219" s="1061"/>
      <c r="BV219" s="1061"/>
      <c r="BW219" s="1061"/>
      <c r="BX219" s="1061"/>
      <c r="BY219" s="1061"/>
      <c r="BZ219" s="1061"/>
      <c r="CA219" s="1061"/>
      <c r="CB219" s="1061"/>
      <c r="CC219" s="1061"/>
      <c r="CD219" s="1061"/>
      <c r="CE219" s="1061"/>
      <c r="CF219" s="1061"/>
      <c r="CG219" s="1061"/>
      <c r="CH219" s="1061"/>
      <c r="CI219" s="1061"/>
      <c r="CJ219" s="1061"/>
      <c r="CK219" s="1061"/>
      <c r="CL219" s="1061"/>
      <c r="CM219" s="1061"/>
      <c r="CN219" s="1061"/>
      <c r="CO219" s="1061"/>
      <c r="CP219" s="1061"/>
      <c r="CQ219" s="213"/>
      <c r="CS219" s="1101"/>
      <c r="CT219" s="1101"/>
      <c r="CU219" s="1101"/>
      <c r="CV219" s="1101"/>
      <c r="CW219" s="1101"/>
      <c r="CX219" s="1101"/>
      <c r="CY219" s="1101"/>
      <c r="CZ219" s="1101"/>
      <c r="DA219" s="1101"/>
      <c r="DB219" s="1101"/>
      <c r="DC219" s="1101"/>
      <c r="DD219" s="1101"/>
      <c r="DE219" s="1101"/>
      <c r="DF219" s="1101"/>
      <c r="DG219" s="1101"/>
      <c r="DH219" s="1101"/>
      <c r="DI219" s="1101"/>
      <c r="DJ219" s="1101"/>
      <c r="DK219" s="1101"/>
      <c r="DL219" s="1101"/>
      <c r="DM219" s="1101"/>
      <c r="DN219" s="1101"/>
      <c r="DO219" s="1101"/>
      <c r="DP219" s="1061"/>
      <c r="DQ219" s="1061"/>
      <c r="DR219" s="1061"/>
      <c r="DS219" s="1061"/>
      <c r="DT219" s="1061"/>
      <c r="DU219" s="1061"/>
      <c r="DV219" s="1061"/>
      <c r="DW219" s="1061"/>
      <c r="DX219" s="1061"/>
      <c r="DY219" s="1061"/>
      <c r="DZ219" s="1061"/>
      <c r="EA219" s="1061"/>
      <c r="EB219" s="1061"/>
      <c r="EC219" s="1061"/>
      <c r="ED219" s="1061"/>
      <c r="EE219" s="1061"/>
      <c r="EF219" s="1061"/>
      <c r="EG219" s="1061"/>
      <c r="EH219" s="1061"/>
      <c r="EI219" s="1061"/>
      <c r="EJ219" s="1061"/>
      <c r="EK219" s="1061"/>
      <c r="EL219" s="1061"/>
      <c r="EM219" s="213"/>
    </row>
    <row r="220" spans="1:143" ht="18.75" customHeight="1">
      <c r="A220" s="1081" t="s">
        <v>978</v>
      </c>
      <c r="B220" s="1082"/>
      <c r="C220" s="1082"/>
      <c r="D220" s="1082"/>
      <c r="E220" s="1082"/>
      <c r="F220" s="1082"/>
      <c r="G220" s="1082"/>
      <c r="H220" s="1082"/>
      <c r="I220" s="1082"/>
      <c r="J220" s="1082"/>
      <c r="K220" s="1082"/>
      <c r="L220" s="1082"/>
      <c r="M220" s="1082"/>
      <c r="N220" s="1082"/>
      <c r="O220" s="1082"/>
      <c r="P220" s="1082"/>
      <c r="Q220" s="1082"/>
      <c r="R220" s="1082"/>
      <c r="S220" s="1082"/>
      <c r="T220" s="1082"/>
      <c r="U220" s="1082"/>
      <c r="V220" s="1082"/>
      <c r="W220" s="1082"/>
      <c r="X220" s="1081" t="s">
        <v>978</v>
      </c>
      <c r="Y220" s="1082"/>
      <c r="Z220" s="1082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082"/>
      <c r="AO220" s="1082"/>
      <c r="AP220" s="1082"/>
      <c r="AQ220" s="1082"/>
      <c r="AR220" s="1082"/>
      <c r="AS220" s="1082"/>
      <c r="AT220" s="1082"/>
      <c r="AU220" s="213"/>
      <c r="AV220" s="178"/>
      <c r="AW220" s="1081" t="s">
        <v>978</v>
      </c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082"/>
      <c r="BJ220" s="1082"/>
      <c r="BK220" s="1082"/>
      <c r="BL220" s="1082"/>
      <c r="BM220" s="1082"/>
      <c r="BN220" s="1082"/>
      <c r="BO220" s="1082"/>
      <c r="BP220" s="1082"/>
      <c r="BQ220" s="1082"/>
      <c r="BR220" s="1082"/>
      <c r="BS220" s="1082"/>
      <c r="BT220" s="1081" t="s">
        <v>978</v>
      </c>
      <c r="BU220" s="1082"/>
      <c r="BV220" s="1082"/>
      <c r="BW220" s="1082"/>
      <c r="BX220" s="1082"/>
      <c r="BY220" s="1082"/>
      <c r="BZ220" s="1082"/>
      <c r="CA220" s="1082"/>
      <c r="CB220" s="1082"/>
      <c r="CC220" s="1082"/>
      <c r="CD220" s="1082"/>
      <c r="CE220" s="1082"/>
      <c r="CF220" s="1082"/>
      <c r="CG220" s="1082"/>
      <c r="CH220" s="1082"/>
      <c r="CI220" s="1082"/>
      <c r="CJ220" s="1082"/>
      <c r="CK220" s="1082"/>
      <c r="CL220" s="1082"/>
      <c r="CM220" s="1082"/>
      <c r="CN220" s="1082"/>
      <c r="CO220" s="1082"/>
      <c r="CP220" s="1082"/>
      <c r="CQ220" s="213"/>
      <c r="CS220" s="1081" t="s">
        <v>978</v>
      </c>
      <c r="CT220" s="1082"/>
      <c r="CU220" s="1082"/>
      <c r="CV220" s="1082"/>
      <c r="CW220" s="1082"/>
      <c r="CX220" s="1082"/>
      <c r="CY220" s="1082"/>
      <c r="CZ220" s="1082"/>
      <c r="DA220" s="1082"/>
      <c r="DB220" s="1082"/>
      <c r="DC220" s="1082"/>
      <c r="DD220" s="1082"/>
      <c r="DE220" s="1082"/>
      <c r="DF220" s="1082"/>
      <c r="DG220" s="1082"/>
      <c r="DH220" s="1082"/>
      <c r="DI220" s="1082"/>
      <c r="DJ220" s="1082"/>
      <c r="DK220" s="1082"/>
      <c r="DL220" s="1082"/>
      <c r="DM220" s="1082"/>
      <c r="DN220" s="1082"/>
      <c r="DO220" s="1082"/>
      <c r="DP220" s="1081" t="s">
        <v>978</v>
      </c>
      <c r="DQ220" s="1082"/>
      <c r="DR220" s="1082"/>
      <c r="DS220" s="1082"/>
      <c r="DT220" s="1082"/>
      <c r="DU220" s="1082"/>
      <c r="DV220" s="1082"/>
      <c r="DW220" s="1082"/>
      <c r="DX220" s="1082"/>
      <c r="DY220" s="1082"/>
      <c r="DZ220" s="1082"/>
      <c r="EA220" s="1082"/>
      <c r="EB220" s="1082"/>
      <c r="EC220" s="1082"/>
      <c r="ED220" s="1082"/>
      <c r="EE220" s="1082"/>
      <c r="EF220" s="1082"/>
      <c r="EG220" s="1082"/>
      <c r="EH220" s="1082"/>
      <c r="EI220" s="1082"/>
      <c r="EJ220" s="1082"/>
      <c r="EK220" s="1082"/>
      <c r="EL220" s="1082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3" t="s">
        <v>369</v>
      </c>
      <c r="AB221" s="1083"/>
      <c r="AC221" s="1083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3" t="s">
        <v>369</v>
      </c>
      <c r="BX221" s="1083"/>
      <c r="BY221" s="1083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3" t="s">
        <v>369</v>
      </c>
      <c r="DT221" s="1083"/>
      <c r="DU221" s="1083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7" t="s">
        <v>714</v>
      </c>
      <c r="X224" s="1088"/>
      <c r="Y224" s="1088"/>
      <c r="Z224" s="1088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7" t="s">
        <v>714</v>
      </c>
      <c r="BT224" s="1088"/>
      <c r="BU224" s="1088"/>
      <c r="BV224" s="1088"/>
      <c r="BW224" s="1088"/>
      <c r="BX224" s="1088"/>
      <c r="BY224" s="1088"/>
      <c r="BZ224" s="1088"/>
      <c r="CA224" s="1088"/>
      <c r="CB224" s="1088"/>
      <c r="CC224" s="1088"/>
      <c r="CD224" s="1088"/>
      <c r="CE224" s="1088"/>
      <c r="CF224" s="1088"/>
      <c r="CG224" s="1088"/>
      <c r="CH224" s="1088"/>
      <c r="CI224" s="1088"/>
      <c r="CJ224" s="1088"/>
      <c r="CK224" s="1088"/>
      <c r="CL224" s="1088"/>
      <c r="CM224" s="1088"/>
      <c r="CN224" s="1088"/>
      <c r="CO224" s="1088"/>
      <c r="CP224" s="1088"/>
      <c r="CQ224" s="1088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7" t="s">
        <v>714</v>
      </c>
      <c r="DP224" s="1088"/>
      <c r="DQ224" s="1088"/>
      <c r="DR224" s="1088"/>
      <c r="DS224" s="1088"/>
      <c r="DT224" s="1088"/>
      <c r="DU224" s="1088"/>
      <c r="DV224" s="1088"/>
      <c r="DW224" s="1088"/>
      <c r="DX224" s="1088"/>
      <c r="DY224" s="1088"/>
      <c r="DZ224" s="1088"/>
      <c r="EA224" s="1088"/>
      <c r="EB224" s="1088"/>
      <c r="EC224" s="1088"/>
      <c r="ED224" s="1088"/>
      <c r="EE224" s="1088"/>
      <c r="EF224" s="1088"/>
      <c r="EG224" s="1088"/>
      <c r="EH224" s="1088"/>
      <c r="EI224" s="1088"/>
      <c r="EJ224" s="1088"/>
      <c r="EK224" s="1088"/>
      <c r="EL224" s="1088"/>
      <c r="EM224" s="1088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89" t="s">
        <v>551</v>
      </c>
      <c r="X225" s="1089"/>
      <c r="Y225" s="1089"/>
      <c r="Z225" s="1090">
        <f>AF$36</f>
        <v>0</v>
      </c>
      <c r="AA225" s="1090"/>
      <c r="AB225" s="215" t="s">
        <v>524</v>
      </c>
      <c r="AC225" s="1090">
        <f>AI$36</f>
        <v>0</v>
      </c>
      <c r="AD225" s="1090"/>
      <c r="AE225" s="1090"/>
      <c r="AF225" s="1090"/>
      <c r="AG225" s="1090"/>
      <c r="AH225" s="1090"/>
      <c r="AI225" s="1090"/>
      <c r="AJ225" s="1090">
        <f>AP$36</f>
        <v>0</v>
      </c>
      <c r="AK225" s="1090"/>
      <c r="AL225" s="1090"/>
      <c r="AM225" s="1090"/>
      <c r="AN225" s="1091" t="s">
        <v>375</v>
      </c>
      <c r="AO225" s="1091"/>
      <c r="AP225" s="1092" t="s">
        <v>680</v>
      </c>
      <c r="AQ225" s="1092"/>
      <c r="AR225" s="1093">
        <f>AQ$35</f>
        <v>0</v>
      </c>
      <c r="AS225" s="1093"/>
      <c r="AT225" s="1093"/>
      <c r="AU225" s="1093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89" t="s">
        <v>551</v>
      </c>
      <c r="BT225" s="1089"/>
      <c r="BU225" s="1089"/>
      <c r="BV225" s="1090">
        <f>CB$36</f>
        <v>0</v>
      </c>
      <c r="BW225" s="1090"/>
      <c r="BX225" s="215" t="s">
        <v>524</v>
      </c>
      <c r="BY225" s="1090">
        <f>CE$36</f>
        <v>0</v>
      </c>
      <c r="BZ225" s="1090"/>
      <c r="CA225" s="1090"/>
      <c r="CB225" s="1090"/>
      <c r="CC225" s="1090"/>
      <c r="CD225" s="1090"/>
      <c r="CE225" s="1090"/>
      <c r="CF225" s="1090">
        <f>CL$36</f>
        <v>0</v>
      </c>
      <c r="CG225" s="1090"/>
      <c r="CH225" s="1090"/>
      <c r="CI225" s="1090"/>
      <c r="CJ225" s="1091" t="s">
        <v>375</v>
      </c>
      <c r="CK225" s="1091"/>
      <c r="CL225" s="1092" t="s">
        <v>680</v>
      </c>
      <c r="CM225" s="1092"/>
      <c r="CN225" s="1093">
        <f>CM$35</f>
        <v>0</v>
      </c>
      <c r="CO225" s="1093"/>
      <c r="CP225" s="1093"/>
      <c r="CQ225" s="1093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89" t="s">
        <v>551</v>
      </c>
      <c r="DP225" s="1089"/>
      <c r="DQ225" s="1089"/>
      <c r="DR225" s="1090">
        <f>DX$36</f>
        <v>0</v>
      </c>
      <c r="DS225" s="1090"/>
      <c r="DT225" s="215" t="s">
        <v>524</v>
      </c>
      <c r="DU225" s="1090">
        <f>EA$36</f>
        <v>0</v>
      </c>
      <c r="DV225" s="1090"/>
      <c r="DW225" s="1090"/>
      <c r="DX225" s="1090"/>
      <c r="DY225" s="1090"/>
      <c r="DZ225" s="1090"/>
      <c r="EA225" s="1090"/>
      <c r="EB225" s="1090">
        <f>EH$36</f>
        <v>0</v>
      </c>
      <c r="EC225" s="1090"/>
      <c r="ED225" s="1090"/>
      <c r="EE225" s="1090"/>
      <c r="EF225" s="1091" t="s">
        <v>375</v>
      </c>
      <c r="EG225" s="1091"/>
      <c r="EH225" s="1092" t="s">
        <v>680</v>
      </c>
      <c r="EI225" s="1092"/>
      <c r="EJ225" s="1093">
        <f>EI$35</f>
        <v>0</v>
      </c>
      <c r="EK225" s="1093"/>
      <c r="EL225" s="1093"/>
      <c r="EM225" s="1093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68" t="s">
        <v>715</v>
      </c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1068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78"/>
      <c r="AW227" s="178"/>
      <c r="AX227" s="1068" t="s">
        <v>715</v>
      </c>
      <c r="AY227" s="1068"/>
      <c r="AZ227" s="1068"/>
      <c r="BA227" s="1068"/>
      <c r="BB227" s="1068"/>
      <c r="BC227" s="1068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1068"/>
      <c r="BV227" s="1068"/>
      <c r="BW227" s="1068"/>
      <c r="BX227" s="1068"/>
      <c r="BY227" s="1068"/>
      <c r="BZ227" s="1068"/>
      <c r="CA227" s="1068"/>
      <c r="CB227" s="1068"/>
      <c r="CC227" s="1068"/>
      <c r="CD227" s="1068"/>
      <c r="CE227" s="1068"/>
      <c r="CF227" s="1068"/>
      <c r="CG227" s="1068"/>
      <c r="CH227" s="1068"/>
      <c r="CI227" s="1068"/>
      <c r="CJ227" s="1068"/>
      <c r="CK227" s="1068"/>
      <c r="CL227" s="1068"/>
      <c r="CM227" s="1068"/>
      <c r="CN227" s="1068"/>
      <c r="CO227" s="1068"/>
      <c r="CP227" s="1068"/>
      <c r="CQ227" s="1068"/>
      <c r="CS227" s="178"/>
      <c r="CT227" s="1068" t="s">
        <v>715</v>
      </c>
      <c r="CU227" s="1068"/>
      <c r="CV227" s="1068"/>
      <c r="CW227" s="1068"/>
      <c r="CX227" s="1068"/>
      <c r="CY227" s="1068"/>
      <c r="CZ227" s="1068"/>
      <c r="DA227" s="1068"/>
      <c r="DB227" s="1068"/>
      <c r="DC227" s="1068"/>
      <c r="DD227" s="1068"/>
      <c r="DE227" s="1068"/>
      <c r="DF227" s="1068"/>
      <c r="DG227" s="1068"/>
      <c r="DH227" s="1068"/>
      <c r="DI227" s="1068"/>
      <c r="DJ227" s="1068"/>
      <c r="DK227" s="1068"/>
      <c r="DL227" s="1068"/>
      <c r="DM227" s="1068"/>
      <c r="DN227" s="1068"/>
      <c r="DO227" s="1068"/>
      <c r="DP227" s="1068"/>
      <c r="DQ227" s="1068"/>
      <c r="DR227" s="1068"/>
      <c r="DS227" s="1068"/>
      <c r="DT227" s="1068"/>
      <c r="DU227" s="1068"/>
      <c r="DV227" s="1068"/>
      <c r="DW227" s="1068"/>
      <c r="DX227" s="1068"/>
      <c r="DY227" s="1068"/>
      <c r="DZ227" s="1068"/>
      <c r="EA227" s="1068"/>
      <c r="EB227" s="1068"/>
      <c r="EC227" s="1068"/>
      <c r="ED227" s="1068"/>
      <c r="EE227" s="1068"/>
      <c r="EF227" s="1068"/>
      <c r="EG227" s="1068"/>
      <c r="EH227" s="1068"/>
      <c r="EI227" s="1068"/>
      <c r="EJ227" s="1068"/>
      <c r="EK227" s="1068"/>
      <c r="EL227" s="1068"/>
      <c r="EM227" s="1068"/>
    </row>
    <row r="228" spans="1:143" ht="18.75" customHeight="1">
      <c r="A228" s="178"/>
      <c r="B228" s="1068" t="s">
        <v>716</v>
      </c>
      <c r="C228" s="1068"/>
      <c r="D228" s="1068"/>
      <c r="E228" s="1068"/>
      <c r="F228" s="1068"/>
      <c r="G228" s="1068"/>
      <c r="H228" s="1068"/>
      <c r="I228" s="1068"/>
      <c r="J228" s="1068"/>
      <c r="K228" s="1068"/>
      <c r="L228" s="1068"/>
      <c r="M228" s="1068"/>
      <c r="N228" s="1068"/>
      <c r="O228" s="1068"/>
      <c r="P228" s="1068"/>
      <c r="Q228" s="1068"/>
      <c r="R228" s="1068"/>
      <c r="S228" s="1068"/>
      <c r="T228" s="1068"/>
      <c r="U228" s="1068"/>
      <c r="V228" s="1068"/>
      <c r="W228" s="1068"/>
      <c r="X228" s="1068"/>
      <c r="Y228" s="1068"/>
      <c r="Z228" s="1068"/>
      <c r="AA228" s="1068"/>
      <c r="AB228" s="1068"/>
      <c r="AC228" s="1068"/>
      <c r="AD228" s="1068"/>
      <c r="AE228" s="1068"/>
      <c r="AF228" s="1068"/>
      <c r="AG228" s="1068"/>
      <c r="AH228" s="1068"/>
      <c r="AI228" s="1068"/>
      <c r="AJ228" s="1068"/>
      <c r="AK228" s="1068"/>
      <c r="AL228" s="1068"/>
      <c r="AM228" s="1068"/>
      <c r="AN228" s="1068"/>
      <c r="AO228" s="1068"/>
      <c r="AP228" s="1068"/>
      <c r="AQ228" s="1068"/>
      <c r="AR228" s="1068"/>
      <c r="AS228" s="1068"/>
      <c r="AT228" s="1068"/>
      <c r="AU228" s="1068"/>
      <c r="AV228" s="178"/>
      <c r="AW228" s="178"/>
      <c r="AX228" s="1068" t="s">
        <v>716</v>
      </c>
      <c r="AY228" s="1068"/>
      <c r="AZ228" s="1068"/>
      <c r="BA228" s="1068"/>
      <c r="BB228" s="1068"/>
      <c r="BC228" s="1068"/>
      <c r="BD228" s="1068"/>
      <c r="BE228" s="1068"/>
      <c r="BF228" s="1068"/>
      <c r="BG228" s="1068"/>
      <c r="BH228" s="1068"/>
      <c r="BI228" s="1068"/>
      <c r="BJ228" s="1068"/>
      <c r="BK228" s="1068"/>
      <c r="BL228" s="1068"/>
      <c r="BM228" s="1068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  <c r="BX228" s="1068"/>
      <c r="BY228" s="1068"/>
      <c r="BZ228" s="1068"/>
      <c r="CA228" s="1068"/>
      <c r="CB228" s="1068"/>
      <c r="CC228" s="1068"/>
      <c r="CD228" s="1068"/>
      <c r="CE228" s="1068"/>
      <c r="CF228" s="1068"/>
      <c r="CG228" s="1068"/>
      <c r="CH228" s="1068"/>
      <c r="CI228" s="1068"/>
      <c r="CJ228" s="1068"/>
      <c r="CK228" s="1068"/>
      <c r="CL228" s="1068"/>
      <c r="CM228" s="1068"/>
      <c r="CN228" s="1068"/>
      <c r="CO228" s="1068"/>
      <c r="CP228" s="1068"/>
      <c r="CQ228" s="1068"/>
      <c r="CS228" s="178"/>
      <c r="CT228" s="1068" t="s">
        <v>716</v>
      </c>
      <c r="CU228" s="1068"/>
      <c r="CV228" s="1068"/>
      <c r="CW228" s="1068"/>
      <c r="CX228" s="1068"/>
      <c r="CY228" s="1068"/>
      <c r="CZ228" s="1068"/>
      <c r="DA228" s="1068"/>
      <c r="DB228" s="1068"/>
      <c r="DC228" s="1068"/>
      <c r="DD228" s="1068"/>
      <c r="DE228" s="1068"/>
      <c r="DF228" s="1068"/>
      <c r="DG228" s="1068"/>
      <c r="DH228" s="1068"/>
      <c r="DI228" s="1068"/>
      <c r="DJ228" s="1068"/>
      <c r="DK228" s="1068"/>
      <c r="DL228" s="1068"/>
      <c r="DM228" s="1068"/>
      <c r="DN228" s="1068"/>
      <c r="DO228" s="1068"/>
      <c r="DP228" s="1068"/>
      <c r="DQ228" s="1068"/>
      <c r="DR228" s="1068"/>
      <c r="DS228" s="1068"/>
      <c r="DT228" s="1068"/>
      <c r="DU228" s="1068"/>
      <c r="DV228" s="1068"/>
      <c r="DW228" s="1068"/>
      <c r="DX228" s="1068"/>
      <c r="DY228" s="1068"/>
      <c r="DZ228" s="1068"/>
      <c r="EA228" s="1068"/>
      <c r="EB228" s="1068"/>
      <c r="EC228" s="1068"/>
      <c r="ED228" s="1068"/>
      <c r="EE228" s="1068"/>
      <c r="EF228" s="1068"/>
      <c r="EG228" s="1068"/>
      <c r="EH228" s="1068"/>
      <c r="EI228" s="1068"/>
      <c r="EJ228" s="1068"/>
      <c r="EK228" s="1068"/>
      <c r="EL228" s="1068"/>
      <c r="EM228" s="1068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69">
        <f>AA$38</f>
        <v>0</v>
      </c>
      <c r="H230" s="1069"/>
      <c r="I230" s="1069"/>
      <c r="J230" s="1069"/>
      <c r="K230" s="1069"/>
      <c r="L230" s="1069"/>
      <c r="M230" s="1069"/>
      <c r="N230" s="1069"/>
      <c r="O230" s="1069"/>
      <c r="P230" s="1069"/>
      <c r="Q230" s="1069"/>
      <c r="R230" s="1069"/>
      <c r="S230" s="1069"/>
      <c r="T230" s="1069"/>
      <c r="U230" s="1069"/>
      <c r="V230" s="1069"/>
      <c r="W230" s="1069"/>
      <c r="X230" s="1069"/>
      <c r="Y230" s="1069"/>
      <c r="Z230" s="1069"/>
      <c r="AA230" s="1069"/>
      <c r="AB230" s="1069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1069"/>
      <c r="AO230" s="1069"/>
      <c r="AP230" s="1069"/>
      <c r="AQ230" s="1069"/>
      <c r="AR230" s="1069"/>
      <c r="AS230" s="1069"/>
      <c r="AT230" s="1069"/>
      <c r="AU230" s="1069"/>
      <c r="AV230" s="178"/>
      <c r="AW230" s="178"/>
      <c r="AX230" s="184"/>
      <c r="AY230" s="184"/>
      <c r="AZ230" s="184"/>
      <c r="BA230" s="185" t="s">
        <v>717</v>
      </c>
      <c r="BB230" s="185"/>
      <c r="BC230" s="1069">
        <f>BW$38</f>
        <v>0</v>
      </c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  <c r="BX230" s="1069"/>
      <c r="BY230" s="1069"/>
      <c r="BZ230" s="1069"/>
      <c r="CA230" s="1069"/>
      <c r="CB230" s="1069"/>
      <c r="CC230" s="1069"/>
      <c r="CD230" s="1069"/>
      <c r="CE230" s="1069"/>
      <c r="CF230" s="1069"/>
      <c r="CG230" s="1069"/>
      <c r="CH230" s="1069"/>
      <c r="CI230" s="1069"/>
      <c r="CJ230" s="1069"/>
      <c r="CK230" s="1069"/>
      <c r="CL230" s="1069"/>
      <c r="CM230" s="1069"/>
      <c r="CN230" s="1069"/>
      <c r="CO230" s="1069"/>
      <c r="CP230" s="1069"/>
      <c r="CQ230" s="1069"/>
      <c r="CS230" s="178"/>
      <c r="CT230" s="184"/>
      <c r="CU230" s="184"/>
      <c r="CV230" s="184"/>
      <c r="CW230" s="185" t="s">
        <v>717</v>
      </c>
      <c r="CX230" s="185"/>
      <c r="CY230" s="1069">
        <f>DS$38</f>
        <v>0</v>
      </c>
      <c r="CZ230" s="1069"/>
      <c r="DA230" s="1069"/>
      <c r="DB230" s="1069"/>
      <c r="DC230" s="1069"/>
      <c r="DD230" s="1069"/>
      <c r="DE230" s="1069"/>
      <c r="DF230" s="1069"/>
      <c r="DG230" s="1069"/>
      <c r="DH230" s="1069"/>
      <c r="DI230" s="1069"/>
      <c r="DJ230" s="1069"/>
      <c r="DK230" s="1069"/>
      <c r="DL230" s="1069"/>
      <c r="DM230" s="1069"/>
      <c r="DN230" s="1069"/>
      <c r="DO230" s="1069"/>
      <c r="DP230" s="1069"/>
      <c r="DQ230" s="1069"/>
      <c r="DR230" s="1069"/>
      <c r="DS230" s="1069"/>
      <c r="DT230" s="1069"/>
      <c r="DU230" s="1069"/>
      <c r="DV230" s="1069"/>
      <c r="DW230" s="1069"/>
      <c r="DX230" s="1069"/>
      <c r="DY230" s="1069"/>
      <c r="DZ230" s="1069"/>
      <c r="EA230" s="1069"/>
      <c r="EB230" s="1069"/>
      <c r="EC230" s="1069"/>
      <c r="ED230" s="1069"/>
      <c r="EE230" s="1069"/>
      <c r="EF230" s="1069"/>
      <c r="EG230" s="1069"/>
      <c r="EH230" s="1069"/>
      <c r="EI230" s="1069"/>
      <c r="EJ230" s="1069"/>
      <c r="EK230" s="1069"/>
      <c r="EL230" s="1069"/>
      <c r="EM230" s="1069"/>
    </row>
    <row r="231" spans="1:143" ht="40.5" customHeight="1">
      <c r="A231" s="178"/>
      <c r="B231" s="1070" t="s">
        <v>718</v>
      </c>
      <c r="C231" s="1070"/>
      <c r="D231" s="1070"/>
      <c r="E231" s="1070"/>
      <c r="F231" s="1070"/>
      <c r="G231" s="1070"/>
      <c r="H231" s="1070"/>
      <c r="I231" s="1070"/>
      <c r="J231" s="1070"/>
      <c r="K231" s="1070"/>
      <c r="L231" s="1070"/>
      <c r="M231" s="1070"/>
      <c r="N231" s="1070"/>
      <c r="O231" s="1070"/>
      <c r="P231" s="1070"/>
      <c r="Q231" s="1070"/>
      <c r="R231" s="1070"/>
      <c r="S231" s="1070"/>
      <c r="T231" s="1070"/>
      <c r="U231" s="1070"/>
      <c r="V231" s="1070"/>
      <c r="W231" s="1071">
        <f>F$138</f>
        <v>0</v>
      </c>
      <c r="X231" s="1071"/>
      <c r="Y231" s="1071"/>
      <c r="Z231" s="1071"/>
      <c r="AA231" s="1071"/>
      <c r="AB231" s="1071"/>
      <c r="AC231" s="1071"/>
      <c r="AD231" s="1071"/>
      <c r="AE231" s="1071"/>
      <c r="AF231" s="1071"/>
      <c r="AG231" s="1071"/>
      <c r="AH231" s="1071"/>
      <c r="AI231" s="1071"/>
      <c r="AJ231" s="1071"/>
      <c r="AK231" s="1071"/>
      <c r="AL231" s="1071"/>
      <c r="AM231" s="1071"/>
      <c r="AN231" s="1071"/>
      <c r="AO231" s="1071"/>
      <c r="AP231" s="1071"/>
      <c r="AQ231" s="1071"/>
      <c r="AR231" s="1071"/>
      <c r="AS231" s="1071"/>
      <c r="AT231" s="1071"/>
      <c r="AU231" s="1071"/>
      <c r="AV231" s="178"/>
      <c r="AW231" s="178"/>
      <c r="AX231" s="1070" t="s">
        <v>718</v>
      </c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1">
        <f>BB$138</f>
        <v>0</v>
      </c>
      <c r="BT231" s="1071"/>
      <c r="BU231" s="1071"/>
      <c r="BV231" s="1071"/>
      <c r="BW231" s="1071"/>
      <c r="BX231" s="1071"/>
      <c r="BY231" s="1071"/>
      <c r="BZ231" s="1071"/>
      <c r="CA231" s="1071"/>
      <c r="CB231" s="1071"/>
      <c r="CC231" s="1071"/>
      <c r="CD231" s="1071"/>
      <c r="CE231" s="1071"/>
      <c r="CF231" s="1071"/>
      <c r="CG231" s="1071"/>
      <c r="CH231" s="1071"/>
      <c r="CI231" s="1071"/>
      <c r="CJ231" s="1071"/>
      <c r="CK231" s="1071"/>
      <c r="CL231" s="1071"/>
      <c r="CM231" s="1071"/>
      <c r="CN231" s="1071"/>
      <c r="CO231" s="1071"/>
      <c r="CP231" s="1071"/>
      <c r="CQ231" s="1071"/>
      <c r="CS231" s="178"/>
      <c r="CT231" s="1070" t="s">
        <v>718</v>
      </c>
      <c r="CU231" s="1070"/>
      <c r="CV231" s="1070"/>
      <c r="CW231" s="1070"/>
      <c r="CX231" s="1070"/>
      <c r="CY231" s="1070"/>
      <c r="CZ231" s="1070"/>
      <c r="DA231" s="1070"/>
      <c r="DB231" s="1070"/>
      <c r="DC231" s="1070"/>
      <c r="DD231" s="1070"/>
      <c r="DE231" s="1070"/>
      <c r="DF231" s="1070"/>
      <c r="DG231" s="1070"/>
      <c r="DH231" s="1070"/>
      <c r="DI231" s="1070"/>
      <c r="DJ231" s="1070"/>
      <c r="DK231" s="1070"/>
      <c r="DL231" s="1070"/>
      <c r="DM231" s="1070"/>
      <c r="DN231" s="1070"/>
      <c r="DO231" s="1071">
        <f>CX$138</f>
        <v>0</v>
      </c>
      <c r="DP231" s="1071"/>
      <c r="DQ231" s="1071"/>
      <c r="DR231" s="1071"/>
      <c r="DS231" s="1071"/>
      <c r="DT231" s="1071"/>
      <c r="DU231" s="1071"/>
      <c r="DV231" s="1071"/>
      <c r="DW231" s="1071"/>
      <c r="DX231" s="1071"/>
      <c r="DY231" s="1071"/>
      <c r="DZ231" s="1071"/>
      <c r="EA231" s="1071"/>
      <c r="EB231" s="1071"/>
      <c r="EC231" s="1071"/>
      <c r="ED231" s="1071"/>
      <c r="EE231" s="1071"/>
      <c r="EF231" s="1071"/>
      <c r="EG231" s="1071"/>
      <c r="EH231" s="1071"/>
      <c r="EI231" s="1071"/>
      <c r="EJ231" s="1071"/>
      <c r="EK231" s="1071"/>
      <c r="EL231" s="1071"/>
      <c r="EM231" s="1071"/>
    </row>
    <row r="232" spans="1:143" ht="18.75" customHeight="1">
      <c r="A232" s="178"/>
      <c r="B232" s="1072" t="s">
        <v>719</v>
      </c>
      <c r="C232" s="1072"/>
      <c r="D232" s="1072"/>
      <c r="E232" s="1072"/>
      <c r="F232" s="1072"/>
      <c r="G232" s="1072"/>
      <c r="H232" s="1072"/>
      <c r="I232" s="1072"/>
      <c r="J232" s="1072"/>
      <c r="K232" s="1072"/>
      <c r="L232" s="1072"/>
      <c r="M232" s="1072"/>
      <c r="N232" s="1072"/>
      <c r="O232" s="1072"/>
      <c r="P232" s="1072"/>
      <c r="Q232" s="1072"/>
      <c r="R232" s="1072"/>
      <c r="S232" s="1072"/>
      <c r="T232" s="1072"/>
      <c r="U232" s="1072"/>
      <c r="V232" s="1072"/>
      <c r="W232" s="1072"/>
      <c r="X232" s="1072"/>
      <c r="Y232" s="1072"/>
      <c r="Z232" s="1072"/>
      <c r="AA232" s="1072"/>
      <c r="AB232" s="1072"/>
      <c r="AC232" s="1072"/>
      <c r="AD232" s="1072"/>
      <c r="AE232" s="1072"/>
      <c r="AF232" s="1072"/>
      <c r="AG232" s="1072"/>
      <c r="AH232" s="1071">
        <f>I$135</f>
        <v>0</v>
      </c>
      <c r="AI232" s="1071"/>
      <c r="AJ232" s="1071"/>
      <c r="AK232" s="1071"/>
      <c r="AL232" s="1071"/>
      <c r="AM232" s="1071"/>
      <c r="AN232" s="1073" t="s">
        <v>680</v>
      </c>
      <c r="AO232" s="1073"/>
      <c r="AP232" s="1074">
        <f>Q$135</f>
        <v>0</v>
      </c>
      <c r="AQ232" s="1074"/>
      <c r="AR232" s="1074"/>
      <c r="AS232" s="1074"/>
      <c r="AT232" s="1074"/>
      <c r="AU232" s="1074"/>
      <c r="AV232" s="178"/>
      <c r="AW232" s="178"/>
      <c r="AX232" s="1072" t="s">
        <v>719</v>
      </c>
      <c r="AY232" s="1072"/>
      <c r="AZ232" s="1072"/>
      <c r="BA232" s="1072"/>
      <c r="BB232" s="1072"/>
      <c r="BC232" s="1072"/>
      <c r="BD232" s="1072"/>
      <c r="BE232" s="1072"/>
      <c r="BF232" s="1072"/>
      <c r="BG232" s="1072"/>
      <c r="BH232" s="1072"/>
      <c r="BI232" s="1072"/>
      <c r="BJ232" s="1072"/>
      <c r="BK232" s="1072"/>
      <c r="BL232" s="1072"/>
      <c r="BM232" s="1072"/>
      <c r="BN232" s="1072"/>
      <c r="BO232" s="1072"/>
      <c r="BP232" s="1072"/>
      <c r="BQ232" s="1072"/>
      <c r="BR232" s="1072"/>
      <c r="BS232" s="1072"/>
      <c r="BT232" s="1072"/>
      <c r="BU232" s="1072"/>
      <c r="BV232" s="1072"/>
      <c r="BW232" s="1072"/>
      <c r="BX232" s="1072"/>
      <c r="BY232" s="1072"/>
      <c r="BZ232" s="1072"/>
      <c r="CA232" s="1072"/>
      <c r="CB232" s="1072"/>
      <c r="CC232" s="1072"/>
      <c r="CD232" s="1071">
        <f>BE$135</f>
        <v>0</v>
      </c>
      <c r="CE232" s="1071"/>
      <c r="CF232" s="1071"/>
      <c r="CG232" s="1071"/>
      <c r="CH232" s="1071"/>
      <c r="CI232" s="1071"/>
      <c r="CJ232" s="1073" t="s">
        <v>680</v>
      </c>
      <c r="CK232" s="1073"/>
      <c r="CL232" s="1074">
        <f>BM$135</f>
        <v>0</v>
      </c>
      <c r="CM232" s="1074"/>
      <c r="CN232" s="1074"/>
      <c r="CO232" s="1074"/>
      <c r="CP232" s="1074"/>
      <c r="CQ232" s="1074"/>
      <c r="CS232" s="178"/>
      <c r="CT232" s="1072" t="s">
        <v>719</v>
      </c>
      <c r="CU232" s="1072"/>
      <c r="CV232" s="1072"/>
      <c r="CW232" s="1072"/>
      <c r="CX232" s="1072"/>
      <c r="CY232" s="1072"/>
      <c r="CZ232" s="1072"/>
      <c r="DA232" s="1072"/>
      <c r="DB232" s="1072"/>
      <c r="DC232" s="1072"/>
      <c r="DD232" s="1072"/>
      <c r="DE232" s="1072"/>
      <c r="DF232" s="1072"/>
      <c r="DG232" s="1072"/>
      <c r="DH232" s="1072"/>
      <c r="DI232" s="1072"/>
      <c r="DJ232" s="1072"/>
      <c r="DK232" s="1072"/>
      <c r="DL232" s="1072"/>
      <c r="DM232" s="1072"/>
      <c r="DN232" s="1072"/>
      <c r="DO232" s="1072"/>
      <c r="DP232" s="1072"/>
      <c r="DQ232" s="1072"/>
      <c r="DR232" s="1072"/>
      <c r="DS232" s="1072"/>
      <c r="DT232" s="1072"/>
      <c r="DU232" s="1072"/>
      <c r="DV232" s="1072"/>
      <c r="DW232" s="1072"/>
      <c r="DX232" s="1072"/>
      <c r="DY232" s="1072"/>
      <c r="DZ232" s="1071">
        <f>DA$135</f>
        <v>0</v>
      </c>
      <c r="EA232" s="1071"/>
      <c r="EB232" s="1071"/>
      <c r="EC232" s="1071"/>
      <c r="ED232" s="1071"/>
      <c r="EE232" s="1071"/>
      <c r="EF232" s="1073" t="s">
        <v>680</v>
      </c>
      <c r="EG232" s="1073"/>
      <c r="EH232" s="1074">
        <f>DI$135</f>
        <v>0</v>
      </c>
      <c r="EI232" s="1074"/>
      <c r="EJ232" s="1074"/>
      <c r="EK232" s="1074"/>
      <c r="EL232" s="1074"/>
      <c r="EM232" s="1074"/>
    </row>
    <row r="233" spans="1:143" ht="18.75" customHeight="1">
      <c r="A233" s="178"/>
      <c r="B233" s="1072" t="s">
        <v>720</v>
      </c>
      <c r="C233" s="1072"/>
      <c r="D233" s="1072"/>
      <c r="E233" s="1072"/>
      <c r="F233" s="1075">
        <f>F$136</f>
        <v>0</v>
      </c>
      <c r="G233" s="1075"/>
      <c r="H233" s="1075"/>
      <c r="I233" s="1075"/>
      <c r="J233" s="1075"/>
      <c r="K233" s="1075"/>
      <c r="L233" s="1075"/>
      <c r="M233" s="1075"/>
      <c r="N233" s="1075"/>
      <c r="O233" s="1075"/>
      <c r="P233" s="1075"/>
      <c r="Q233" s="1075"/>
      <c r="R233" s="1075"/>
      <c r="S233" s="1075"/>
      <c r="T233" s="1075"/>
      <c r="U233" s="1075"/>
      <c r="V233" s="1075"/>
      <c r="W233" s="1075"/>
      <c r="X233" s="1075"/>
      <c r="Y233" s="1075"/>
      <c r="Z233" s="1075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78"/>
      <c r="AW233" s="178"/>
      <c r="AX233" s="1072" t="s">
        <v>720</v>
      </c>
      <c r="AY233" s="1072"/>
      <c r="AZ233" s="1072"/>
      <c r="BA233" s="1072"/>
      <c r="BB233" s="1075">
        <f>BB$136</f>
        <v>0</v>
      </c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  <c r="BX233" s="1075"/>
      <c r="BY233" s="1075"/>
      <c r="BZ233" s="1075"/>
      <c r="CA233" s="1075"/>
      <c r="CB233" s="1075"/>
      <c r="CC233" s="1075"/>
      <c r="CD233" s="1075"/>
      <c r="CE233" s="1075"/>
      <c r="CF233" s="1075"/>
      <c r="CG233" s="1075"/>
      <c r="CH233" s="1075"/>
      <c r="CI233" s="1075"/>
      <c r="CJ233" s="1075"/>
      <c r="CK233" s="1075"/>
      <c r="CL233" s="1075"/>
      <c r="CM233" s="1075"/>
      <c r="CN233" s="1075"/>
      <c r="CO233" s="1075"/>
      <c r="CP233" s="1075"/>
      <c r="CQ233" s="1075"/>
      <c r="CS233" s="178"/>
      <c r="CT233" s="1072" t="s">
        <v>720</v>
      </c>
      <c r="CU233" s="1072"/>
      <c r="CV233" s="1072"/>
      <c r="CW233" s="1072"/>
      <c r="CX233" s="1075">
        <f>CX$136</f>
        <v>0</v>
      </c>
      <c r="CY233" s="1075"/>
      <c r="CZ233" s="1075"/>
      <c r="DA233" s="1075"/>
      <c r="DB233" s="1075"/>
      <c r="DC233" s="1075"/>
      <c r="DD233" s="1075"/>
      <c r="DE233" s="1075"/>
      <c r="DF233" s="1075"/>
      <c r="DG233" s="1075"/>
      <c r="DH233" s="1075"/>
      <c r="DI233" s="1075"/>
      <c r="DJ233" s="1075"/>
      <c r="DK233" s="1075"/>
      <c r="DL233" s="1075"/>
      <c r="DM233" s="1075"/>
      <c r="DN233" s="1075"/>
      <c r="DO233" s="1075"/>
      <c r="DP233" s="1075"/>
      <c r="DQ233" s="1075"/>
      <c r="DR233" s="1075"/>
      <c r="DS233" s="1075"/>
      <c r="DT233" s="1075"/>
      <c r="DU233" s="1075"/>
      <c r="DV233" s="1075"/>
      <c r="DW233" s="1075"/>
      <c r="DX233" s="1075"/>
      <c r="DY233" s="1075"/>
      <c r="DZ233" s="1075"/>
      <c r="EA233" s="1075"/>
      <c r="EB233" s="1075"/>
      <c r="EC233" s="1075"/>
      <c r="ED233" s="1075"/>
      <c r="EE233" s="1075"/>
      <c r="EF233" s="1075"/>
      <c r="EG233" s="1075"/>
      <c r="EH233" s="1075"/>
      <c r="EI233" s="1075"/>
      <c r="EJ233" s="1075"/>
      <c r="EK233" s="1075"/>
      <c r="EL233" s="1075"/>
      <c r="EM233" s="1075"/>
    </row>
    <row r="234" spans="1:143" ht="36" customHeight="1">
      <c r="A234" s="178"/>
      <c r="B234" s="1072" t="s">
        <v>721</v>
      </c>
      <c r="C234" s="1072"/>
      <c r="D234" s="1072"/>
      <c r="E234" s="1072"/>
      <c r="F234" s="1072"/>
      <c r="G234" s="1072"/>
      <c r="H234" s="1072"/>
      <c r="I234" s="1072"/>
      <c r="J234" s="1072"/>
      <c r="K234" s="1072"/>
      <c r="L234" s="1072"/>
      <c r="M234" s="1072"/>
      <c r="N234" s="1072"/>
      <c r="O234" s="1072"/>
      <c r="P234" s="1072"/>
      <c r="Q234" s="1072"/>
      <c r="R234" s="1072"/>
      <c r="S234" s="1072"/>
      <c r="T234" s="1072"/>
      <c r="U234" s="1072"/>
      <c r="V234" s="1072"/>
      <c r="W234" s="1076">
        <f>'Настройки УИК'!$C$27</f>
        <v>0</v>
      </c>
      <c r="X234" s="1076"/>
      <c r="Y234" s="1076"/>
      <c r="Z234" s="1076"/>
      <c r="AA234" s="1076"/>
      <c r="AB234" s="1076"/>
      <c r="AC234" s="1076"/>
      <c r="AD234" s="1076"/>
      <c r="AE234" s="1076"/>
      <c r="AF234" s="1076"/>
      <c r="AG234" s="1076"/>
      <c r="AH234" s="1076"/>
      <c r="AI234" s="1076"/>
      <c r="AJ234" s="1076"/>
      <c r="AK234" s="1076"/>
      <c r="AL234" s="1076"/>
      <c r="AM234" s="1076"/>
      <c r="AN234" s="1076"/>
      <c r="AO234" s="1076"/>
      <c r="AP234" s="1076"/>
      <c r="AQ234" s="1076"/>
      <c r="AR234" s="1076"/>
      <c r="AS234" s="1076"/>
      <c r="AT234" s="1076"/>
      <c r="AU234" s="1076"/>
      <c r="AV234" s="178"/>
      <c r="AW234" s="178"/>
      <c r="AX234" s="1072" t="s">
        <v>721</v>
      </c>
      <c r="AY234" s="1072"/>
      <c r="AZ234" s="1072"/>
      <c r="BA234" s="1072"/>
      <c r="BB234" s="1072"/>
      <c r="BC234" s="1072"/>
      <c r="BD234" s="1072"/>
      <c r="BE234" s="1072"/>
      <c r="BF234" s="1072"/>
      <c r="BG234" s="1072"/>
      <c r="BH234" s="1072"/>
      <c r="BI234" s="1072"/>
      <c r="BJ234" s="1072"/>
      <c r="BK234" s="1072"/>
      <c r="BL234" s="1072"/>
      <c r="BM234" s="1072"/>
      <c r="BN234" s="1072"/>
      <c r="BO234" s="1072"/>
      <c r="BP234" s="1072"/>
      <c r="BQ234" s="1072"/>
      <c r="BR234" s="1072"/>
      <c r="BS234" s="1076">
        <f>'Настройки УИК'!$C$27</f>
        <v>0</v>
      </c>
      <c r="BT234" s="1076"/>
      <c r="BU234" s="1076"/>
      <c r="BV234" s="1076"/>
      <c r="BW234" s="1076"/>
      <c r="BX234" s="1076"/>
      <c r="BY234" s="1076"/>
      <c r="BZ234" s="1076"/>
      <c r="CA234" s="1076"/>
      <c r="CB234" s="1076"/>
      <c r="CC234" s="1076"/>
      <c r="CD234" s="1076"/>
      <c r="CE234" s="1076"/>
      <c r="CF234" s="1076"/>
      <c r="CG234" s="1076"/>
      <c r="CH234" s="1076"/>
      <c r="CI234" s="1076"/>
      <c r="CJ234" s="1076"/>
      <c r="CK234" s="1076"/>
      <c r="CL234" s="1076"/>
      <c r="CM234" s="1076"/>
      <c r="CN234" s="1076"/>
      <c r="CO234" s="1076"/>
      <c r="CP234" s="1076"/>
      <c r="CQ234" s="1076"/>
      <c r="CS234" s="178"/>
      <c r="CT234" s="1072" t="s">
        <v>721</v>
      </c>
      <c r="CU234" s="1072"/>
      <c r="CV234" s="1072"/>
      <c r="CW234" s="1072"/>
      <c r="CX234" s="1072"/>
      <c r="CY234" s="1072"/>
      <c r="CZ234" s="1072"/>
      <c r="DA234" s="1072"/>
      <c r="DB234" s="1072"/>
      <c r="DC234" s="1072"/>
      <c r="DD234" s="1072"/>
      <c r="DE234" s="1072"/>
      <c r="DF234" s="1072"/>
      <c r="DG234" s="1072"/>
      <c r="DH234" s="1072"/>
      <c r="DI234" s="1072"/>
      <c r="DJ234" s="1072"/>
      <c r="DK234" s="1072"/>
      <c r="DL234" s="1072"/>
      <c r="DM234" s="1072"/>
      <c r="DN234" s="1072"/>
      <c r="DO234" s="1076">
        <f>'Настройки УИК'!$C$27</f>
        <v>0</v>
      </c>
      <c r="DP234" s="1076"/>
      <c r="DQ234" s="1076"/>
      <c r="DR234" s="1076"/>
      <c r="DS234" s="1076"/>
      <c r="DT234" s="1076"/>
      <c r="DU234" s="1076"/>
      <c r="DV234" s="1076"/>
      <c r="DW234" s="1076"/>
      <c r="DX234" s="1076"/>
      <c r="DY234" s="1076"/>
      <c r="DZ234" s="1076"/>
      <c r="EA234" s="1076"/>
      <c r="EB234" s="1076"/>
      <c r="EC234" s="1076"/>
      <c r="ED234" s="1076"/>
      <c r="EE234" s="1076"/>
      <c r="EF234" s="1076"/>
      <c r="EG234" s="1076"/>
      <c r="EH234" s="1076"/>
      <c r="EI234" s="1076"/>
      <c r="EJ234" s="1076"/>
      <c r="EK234" s="1076"/>
      <c r="EL234" s="1076"/>
      <c r="EM234" s="1076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77" t="s">
        <v>723</v>
      </c>
      <c r="C236" s="1077"/>
      <c r="D236" s="1077"/>
      <c r="E236" s="1077"/>
      <c r="F236" s="1077"/>
      <c r="G236" s="1077"/>
      <c r="H236" s="1077"/>
      <c r="I236" s="1077"/>
      <c r="J236" s="1077"/>
      <c r="K236" s="1077"/>
      <c r="L236" s="1077"/>
      <c r="M236" s="1077"/>
      <c r="N236" s="1077"/>
      <c r="O236" s="1077"/>
      <c r="P236" s="1077"/>
      <c r="Q236" s="1077"/>
      <c r="R236" s="1077"/>
      <c r="S236" s="1077"/>
      <c r="T236" s="1077"/>
      <c r="U236" s="1077"/>
      <c r="V236" s="1077"/>
      <c r="W236" s="1077"/>
      <c r="X236" s="1077"/>
      <c r="Y236" s="1077"/>
      <c r="Z236" s="1077"/>
      <c r="AA236" s="1077"/>
      <c r="AB236" s="1077"/>
      <c r="AC236" s="1077"/>
      <c r="AD236" s="1077"/>
      <c r="AE236" s="1077"/>
      <c r="AF236" s="1077"/>
      <c r="AG236" s="1077"/>
      <c r="AH236" s="1077"/>
      <c r="AI236" s="1077"/>
      <c r="AJ236" s="1077"/>
      <c r="AK236" s="1077"/>
      <c r="AL236" s="1077"/>
      <c r="AM236" s="1077"/>
      <c r="AN236" s="1077"/>
      <c r="AO236" s="1077"/>
      <c r="AP236" s="1077"/>
      <c r="AQ236" s="1077"/>
      <c r="AR236" s="1077"/>
      <c r="AS236" s="1077"/>
      <c r="AT236" s="1077"/>
      <c r="AU236" s="1077"/>
      <c r="AV236" s="178"/>
      <c r="AW236" s="178"/>
      <c r="AX236" s="1077" t="s">
        <v>723</v>
      </c>
      <c r="AY236" s="1077"/>
      <c r="AZ236" s="1077"/>
      <c r="BA236" s="1077"/>
      <c r="BB236" s="1077"/>
      <c r="BC236" s="1077"/>
      <c r="BD236" s="1077"/>
      <c r="BE236" s="1077"/>
      <c r="BF236" s="1077"/>
      <c r="BG236" s="1077"/>
      <c r="BH236" s="1077"/>
      <c r="BI236" s="1077"/>
      <c r="BJ236" s="1077"/>
      <c r="BK236" s="1077"/>
      <c r="BL236" s="1077"/>
      <c r="BM236" s="1077"/>
      <c r="BN236" s="1077"/>
      <c r="BO236" s="1077"/>
      <c r="BP236" s="1077"/>
      <c r="BQ236" s="1077"/>
      <c r="BR236" s="1077"/>
      <c r="BS236" s="1077"/>
      <c r="BT236" s="1077"/>
      <c r="BU236" s="1077"/>
      <c r="BV236" s="1077"/>
      <c r="BW236" s="1077"/>
      <c r="BX236" s="1077"/>
      <c r="BY236" s="1077"/>
      <c r="BZ236" s="1077"/>
      <c r="CA236" s="1077"/>
      <c r="CB236" s="1077"/>
      <c r="CC236" s="1077"/>
      <c r="CD236" s="1077"/>
      <c r="CE236" s="1077"/>
      <c r="CF236" s="1077"/>
      <c r="CG236" s="1077"/>
      <c r="CH236" s="1077"/>
      <c r="CI236" s="1077"/>
      <c r="CJ236" s="1077"/>
      <c r="CK236" s="1077"/>
      <c r="CL236" s="1077"/>
      <c r="CM236" s="1077"/>
      <c r="CN236" s="1077"/>
      <c r="CO236" s="1077"/>
      <c r="CP236" s="1077"/>
      <c r="CQ236" s="1077"/>
      <c r="CS236" s="178"/>
      <c r="CT236" s="1077" t="s">
        <v>723</v>
      </c>
      <c r="CU236" s="1077"/>
      <c r="CV236" s="1077"/>
      <c r="CW236" s="1077"/>
      <c r="CX236" s="1077"/>
      <c r="CY236" s="1077"/>
      <c r="CZ236" s="1077"/>
      <c r="DA236" s="1077"/>
      <c r="DB236" s="1077"/>
      <c r="DC236" s="1077"/>
      <c r="DD236" s="1077"/>
      <c r="DE236" s="1077"/>
      <c r="DF236" s="1077"/>
      <c r="DG236" s="1077"/>
      <c r="DH236" s="1077"/>
      <c r="DI236" s="1077"/>
      <c r="DJ236" s="1077"/>
      <c r="DK236" s="1077"/>
      <c r="DL236" s="1077"/>
      <c r="DM236" s="1077"/>
      <c r="DN236" s="1077"/>
      <c r="DO236" s="1077"/>
      <c r="DP236" s="1077"/>
      <c r="DQ236" s="1077"/>
      <c r="DR236" s="1077"/>
      <c r="DS236" s="1077"/>
      <c r="DT236" s="1077"/>
      <c r="DU236" s="1077"/>
      <c r="DV236" s="1077"/>
      <c r="DW236" s="1077"/>
      <c r="DX236" s="1077"/>
      <c r="DY236" s="1077"/>
      <c r="DZ236" s="1077"/>
      <c r="EA236" s="1077"/>
      <c r="EB236" s="1077"/>
      <c r="EC236" s="1077"/>
      <c r="ED236" s="1077"/>
      <c r="EE236" s="1077"/>
      <c r="EF236" s="1077"/>
      <c r="EG236" s="1077"/>
      <c r="EH236" s="1077"/>
      <c r="EI236" s="1077"/>
      <c r="EJ236" s="1077"/>
      <c r="EK236" s="1077"/>
      <c r="EL236" s="1077"/>
      <c r="EM236" s="1077"/>
    </row>
    <row r="237" spans="1:143" ht="42.75" customHeight="1">
      <c r="A237" s="178"/>
      <c r="B237" s="1072" t="s">
        <v>724</v>
      </c>
      <c r="C237" s="1072"/>
      <c r="D237" s="1072"/>
      <c r="E237" s="1072"/>
      <c r="F237" s="1072"/>
      <c r="G237" s="1072"/>
      <c r="H237" s="1072"/>
      <c r="I237" s="1072"/>
      <c r="J237" s="1072"/>
      <c r="K237" s="1072"/>
      <c r="L237" s="1072"/>
      <c r="M237" s="1072"/>
      <c r="N237" s="1072"/>
      <c r="O237" s="1072"/>
      <c r="P237" s="1072"/>
      <c r="Q237" s="1072"/>
      <c r="R237" s="1072"/>
      <c r="S237" s="1072"/>
      <c r="T237" s="1072"/>
      <c r="U237" s="1072"/>
      <c r="V237" s="1078">
        <f>'Настройки УИК'!$C$29</f>
        <v>0</v>
      </c>
      <c r="W237" s="1071"/>
      <c r="X237" s="1071"/>
      <c r="Y237" s="1071"/>
      <c r="Z237" s="1071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071"/>
      <c r="AO237" s="1071"/>
      <c r="AP237" s="1071"/>
      <c r="AQ237" s="1071"/>
      <c r="AR237" s="1071"/>
      <c r="AS237" s="1071"/>
      <c r="AT237" s="1071"/>
      <c r="AU237" s="1071"/>
      <c r="AV237" s="178"/>
      <c r="AW237" s="178"/>
      <c r="AX237" s="1072" t="s">
        <v>724</v>
      </c>
      <c r="AY237" s="1072"/>
      <c r="AZ237" s="1072"/>
      <c r="BA237" s="1072"/>
      <c r="BB237" s="1072"/>
      <c r="BC237" s="1072"/>
      <c r="BD237" s="1072"/>
      <c r="BE237" s="1072"/>
      <c r="BF237" s="1072"/>
      <c r="BG237" s="1072"/>
      <c r="BH237" s="1072"/>
      <c r="BI237" s="1072"/>
      <c r="BJ237" s="1072"/>
      <c r="BK237" s="1072"/>
      <c r="BL237" s="1072"/>
      <c r="BM237" s="1072"/>
      <c r="BN237" s="1072"/>
      <c r="BO237" s="1072"/>
      <c r="BP237" s="1072"/>
      <c r="BQ237" s="1072"/>
      <c r="BR237" s="1078">
        <f>'Настройки УИК'!$C$29</f>
        <v>0</v>
      </c>
      <c r="BS237" s="1071"/>
      <c r="BT237" s="1071"/>
      <c r="BU237" s="1071"/>
      <c r="BV237" s="1071"/>
      <c r="BW237" s="1071"/>
      <c r="BX237" s="1071"/>
      <c r="BY237" s="1071"/>
      <c r="BZ237" s="1071"/>
      <c r="CA237" s="1071"/>
      <c r="CB237" s="1071"/>
      <c r="CC237" s="1071"/>
      <c r="CD237" s="1071"/>
      <c r="CE237" s="1071"/>
      <c r="CF237" s="1071"/>
      <c r="CG237" s="1071"/>
      <c r="CH237" s="1071"/>
      <c r="CI237" s="1071"/>
      <c r="CJ237" s="1071"/>
      <c r="CK237" s="1071"/>
      <c r="CL237" s="1071"/>
      <c r="CM237" s="1071"/>
      <c r="CN237" s="1071"/>
      <c r="CO237" s="1071"/>
      <c r="CP237" s="1071"/>
      <c r="CQ237" s="1071"/>
      <c r="CS237" s="178"/>
      <c r="CT237" s="1072" t="s">
        <v>724</v>
      </c>
      <c r="CU237" s="1072"/>
      <c r="CV237" s="1072"/>
      <c r="CW237" s="1072"/>
      <c r="CX237" s="1072"/>
      <c r="CY237" s="1072"/>
      <c r="CZ237" s="1072"/>
      <c r="DA237" s="1072"/>
      <c r="DB237" s="1072"/>
      <c r="DC237" s="1072"/>
      <c r="DD237" s="1072"/>
      <c r="DE237" s="1072"/>
      <c r="DF237" s="1072"/>
      <c r="DG237" s="1072"/>
      <c r="DH237" s="1072"/>
      <c r="DI237" s="1072"/>
      <c r="DJ237" s="1072"/>
      <c r="DK237" s="1072"/>
      <c r="DL237" s="1072"/>
      <c r="DM237" s="1072"/>
      <c r="DN237" s="1078">
        <f>'Настройки УИК'!$C$29</f>
        <v>0</v>
      </c>
      <c r="DO237" s="1071"/>
      <c r="DP237" s="1071"/>
      <c r="DQ237" s="1071"/>
      <c r="DR237" s="1071"/>
      <c r="DS237" s="1071"/>
      <c r="DT237" s="1071"/>
      <c r="DU237" s="1071"/>
      <c r="DV237" s="1071"/>
      <c r="DW237" s="1071"/>
      <c r="DX237" s="1071"/>
      <c r="DY237" s="1071"/>
      <c r="DZ237" s="1071"/>
      <c r="EA237" s="1071"/>
      <c r="EB237" s="1071"/>
      <c r="EC237" s="1071"/>
      <c r="ED237" s="1071"/>
      <c r="EE237" s="1071"/>
      <c r="EF237" s="1071"/>
      <c r="EG237" s="1071"/>
      <c r="EH237" s="1071"/>
      <c r="EI237" s="1071"/>
      <c r="EJ237" s="1071"/>
      <c r="EK237" s="1071"/>
      <c r="EL237" s="1071"/>
      <c r="EM237" s="1071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77" t="s">
        <v>726</v>
      </c>
      <c r="C239" s="1077"/>
      <c r="D239" s="1077"/>
      <c r="E239" s="1077"/>
      <c r="F239" s="1077"/>
      <c r="G239" s="1077"/>
      <c r="H239" s="1077"/>
      <c r="I239" s="1077"/>
      <c r="J239" s="1077"/>
      <c r="K239" s="1077"/>
      <c r="L239" s="1077"/>
      <c r="M239" s="1077"/>
      <c r="N239" s="1077"/>
      <c r="O239" s="1077"/>
      <c r="P239" s="1077"/>
      <c r="Q239" s="1077"/>
      <c r="R239" s="1077"/>
      <c r="S239" s="1077"/>
      <c r="T239" s="1077"/>
      <c r="U239" s="1077"/>
      <c r="V239" s="1077"/>
      <c r="W239" s="1077"/>
      <c r="X239" s="1077"/>
      <c r="Y239" s="1077"/>
      <c r="Z239" s="1077"/>
      <c r="AA239" s="1077"/>
      <c r="AB239" s="1077"/>
      <c r="AC239" s="1077"/>
      <c r="AD239" s="1077"/>
      <c r="AE239" s="1077"/>
      <c r="AF239" s="1077"/>
      <c r="AG239" s="1077"/>
      <c r="AH239" s="1077"/>
      <c r="AI239" s="1077"/>
      <c r="AJ239" s="1077"/>
      <c r="AK239" s="1077"/>
      <c r="AL239" s="1077"/>
      <c r="AM239" s="1077"/>
      <c r="AN239" s="1077"/>
      <c r="AO239" s="1077"/>
      <c r="AP239" s="1077"/>
      <c r="AQ239" s="1077"/>
      <c r="AR239" s="1077"/>
      <c r="AS239" s="1077"/>
      <c r="AT239" s="1077"/>
      <c r="AU239" s="1077"/>
      <c r="AV239" s="178"/>
      <c r="AW239" s="178"/>
      <c r="AX239" s="1077" t="s">
        <v>726</v>
      </c>
      <c r="AY239" s="1077"/>
      <c r="AZ239" s="1077"/>
      <c r="BA239" s="1077"/>
      <c r="BB239" s="1077"/>
      <c r="BC239" s="1077"/>
      <c r="BD239" s="1077"/>
      <c r="BE239" s="1077"/>
      <c r="BF239" s="1077"/>
      <c r="BG239" s="1077"/>
      <c r="BH239" s="1077"/>
      <c r="BI239" s="1077"/>
      <c r="BJ239" s="1077"/>
      <c r="BK239" s="1077"/>
      <c r="BL239" s="1077"/>
      <c r="BM239" s="107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  <c r="BX239" s="1077"/>
      <c r="BY239" s="1077"/>
      <c r="BZ239" s="1077"/>
      <c r="CA239" s="1077"/>
      <c r="CB239" s="1077"/>
      <c r="CC239" s="1077"/>
      <c r="CD239" s="1077"/>
      <c r="CE239" s="1077"/>
      <c r="CF239" s="1077"/>
      <c r="CG239" s="1077"/>
      <c r="CH239" s="1077"/>
      <c r="CI239" s="1077"/>
      <c r="CJ239" s="1077"/>
      <c r="CK239" s="1077"/>
      <c r="CL239" s="1077"/>
      <c r="CM239" s="1077"/>
      <c r="CN239" s="1077"/>
      <c r="CO239" s="1077"/>
      <c r="CP239" s="1077"/>
      <c r="CQ239" s="1077"/>
      <c r="CS239" s="178"/>
      <c r="CT239" s="1077" t="s">
        <v>726</v>
      </c>
      <c r="CU239" s="1077"/>
      <c r="CV239" s="1077"/>
      <c r="CW239" s="1077"/>
      <c r="CX239" s="1077"/>
      <c r="CY239" s="1077"/>
      <c r="CZ239" s="1077"/>
      <c r="DA239" s="1077"/>
      <c r="DB239" s="1077"/>
      <c r="DC239" s="1077"/>
      <c r="DD239" s="1077"/>
      <c r="DE239" s="1077"/>
      <c r="DF239" s="1077"/>
      <c r="DG239" s="1077"/>
      <c r="DH239" s="1077"/>
      <c r="DI239" s="1077"/>
      <c r="DJ239" s="1077"/>
      <c r="DK239" s="1077"/>
      <c r="DL239" s="1077"/>
      <c r="DM239" s="1077"/>
      <c r="DN239" s="1077"/>
      <c r="DO239" s="1077"/>
      <c r="DP239" s="1077"/>
      <c r="DQ239" s="1077"/>
      <c r="DR239" s="1077"/>
      <c r="DS239" s="1077"/>
      <c r="DT239" s="1077"/>
      <c r="DU239" s="1077"/>
      <c r="DV239" s="1077"/>
      <c r="DW239" s="1077"/>
      <c r="DX239" s="1077"/>
      <c r="DY239" s="1077"/>
      <c r="DZ239" s="1077"/>
      <c r="EA239" s="1077"/>
      <c r="EB239" s="1077"/>
      <c r="EC239" s="1077"/>
      <c r="ED239" s="1077"/>
      <c r="EE239" s="1077"/>
      <c r="EF239" s="1077"/>
      <c r="EG239" s="1077"/>
      <c r="EH239" s="1077"/>
      <c r="EI239" s="1077"/>
      <c r="EJ239" s="1077"/>
      <c r="EK239" s="1077"/>
      <c r="EL239" s="1077"/>
      <c r="EM239" s="1077"/>
    </row>
    <row r="240" spans="1:143" s="302" customFormat="1" ht="18.75" customHeight="1">
      <c r="A240" s="170"/>
      <c r="B240" s="1079" t="s">
        <v>705</v>
      </c>
      <c r="C240" s="1079"/>
      <c r="D240" s="1079"/>
      <c r="E240" s="1079"/>
      <c r="F240" s="1079"/>
      <c r="G240" s="1079"/>
      <c r="H240" s="1079"/>
      <c r="I240" s="1079"/>
      <c r="J240" s="1079"/>
      <c r="K240" s="1079"/>
      <c r="L240" s="1079"/>
      <c r="M240" s="1079"/>
      <c r="N240" s="1079"/>
      <c r="O240" s="1079"/>
      <c r="P240" s="1079"/>
      <c r="Q240" s="1079"/>
      <c r="R240" s="1079"/>
      <c r="S240" s="1079"/>
      <c r="T240" s="1079"/>
      <c r="U240" s="1079"/>
      <c r="V240" s="1079"/>
      <c r="W240" s="1079"/>
      <c r="X240" s="1079"/>
      <c r="Y240" s="1079"/>
      <c r="Z240" s="1079"/>
      <c r="AA240" s="1080">
        <f>Z225</f>
        <v>0</v>
      </c>
      <c r="AB240" s="1080"/>
      <c r="AC240" s="300" t="s">
        <v>524</v>
      </c>
      <c r="AD240" s="1080">
        <f>AC225</f>
        <v>0</v>
      </c>
      <c r="AE240" s="1080"/>
      <c r="AF240" s="1080"/>
      <c r="AG240" s="1080"/>
      <c r="AH240" s="1080"/>
      <c r="AI240" s="1080"/>
      <c r="AJ240" s="1080"/>
      <c r="AK240" s="1080">
        <f>AJ225</f>
        <v>0</v>
      </c>
      <c r="AL240" s="1080"/>
      <c r="AM240" s="1080"/>
      <c r="AN240" s="1080"/>
      <c r="AO240" s="1070" t="s">
        <v>727</v>
      </c>
      <c r="AP240" s="1070"/>
      <c r="AQ240" s="1070"/>
      <c r="AR240" s="1070"/>
      <c r="AS240" s="1071">
        <f>AR225</f>
        <v>0</v>
      </c>
      <c r="AT240" s="1071"/>
      <c r="AU240" s="1071"/>
      <c r="AV240" s="170"/>
      <c r="AW240" s="170"/>
      <c r="AX240" s="1079" t="s">
        <v>705</v>
      </c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80">
        <f>BV225</f>
        <v>0</v>
      </c>
      <c r="BX240" s="1080"/>
      <c r="BY240" s="300" t="s">
        <v>524</v>
      </c>
      <c r="BZ240" s="1080">
        <f>BY225</f>
        <v>0</v>
      </c>
      <c r="CA240" s="1080"/>
      <c r="CB240" s="1080"/>
      <c r="CC240" s="1080"/>
      <c r="CD240" s="1080"/>
      <c r="CE240" s="1080"/>
      <c r="CF240" s="1080"/>
      <c r="CG240" s="1080">
        <f>CF225</f>
        <v>0</v>
      </c>
      <c r="CH240" s="1080"/>
      <c r="CI240" s="1080"/>
      <c r="CJ240" s="1080"/>
      <c r="CK240" s="1070" t="s">
        <v>727</v>
      </c>
      <c r="CL240" s="1070"/>
      <c r="CM240" s="1070"/>
      <c r="CN240" s="1070"/>
      <c r="CO240" s="1071">
        <f>CN225</f>
        <v>0</v>
      </c>
      <c r="CP240" s="1071"/>
      <c r="CQ240" s="1071"/>
      <c r="CS240" s="170"/>
      <c r="CT240" s="1079" t="s">
        <v>705</v>
      </c>
      <c r="CU240" s="1079"/>
      <c r="CV240" s="1079"/>
      <c r="CW240" s="1079"/>
      <c r="CX240" s="1079"/>
      <c r="CY240" s="1079"/>
      <c r="CZ240" s="1079"/>
      <c r="DA240" s="1079"/>
      <c r="DB240" s="1079"/>
      <c r="DC240" s="1079"/>
      <c r="DD240" s="1079"/>
      <c r="DE240" s="1079"/>
      <c r="DF240" s="1079"/>
      <c r="DG240" s="1079"/>
      <c r="DH240" s="1079"/>
      <c r="DI240" s="1079"/>
      <c r="DJ240" s="1079"/>
      <c r="DK240" s="1079"/>
      <c r="DL240" s="1079"/>
      <c r="DM240" s="1079"/>
      <c r="DN240" s="1079"/>
      <c r="DO240" s="1079"/>
      <c r="DP240" s="1079"/>
      <c r="DQ240" s="1079"/>
      <c r="DR240" s="1079"/>
      <c r="DS240" s="1080">
        <f>DR225</f>
        <v>0</v>
      </c>
      <c r="DT240" s="1080"/>
      <c r="DU240" s="300" t="s">
        <v>524</v>
      </c>
      <c r="DV240" s="1080">
        <f>DU225</f>
        <v>0</v>
      </c>
      <c r="DW240" s="1080"/>
      <c r="DX240" s="1080"/>
      <c r="DY240" s="1080"/>
      <c r="DZ240" s="1080"/>
      <c r="EA240" s="1080"/>
      <c r="EB240" s="1080"/>
      <c r="EC240" s="1080">
        <f>EB225</f>
        <v>0</v>
      </c>
      <c r="ED240" s="1080"/>
      <c r="EE240" s="1080"/>
      <c r="EF240" s="1080"/>
      <c r="EG240" s="1070" t="s">
        <v>727</v>
      </c>
      <c r="EH240" s="1070"/>
      <c r="EI240" s="1070"/>
      <c r="EJ240" s="1070"/>
      <c r="EK240" s="1071">
        <f>EJ225</f>
        <v>0</v>
      </c>
      <c r="EL240" s="1071"/>
      <c r="EM240" s="1071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7"/>
      <c r="S242" s="1057"/>
      <c r="T242" s="1057"/>
      <c r="U242" s="1057"/>
      <c r="V242" s="1057"/>
      <c r="W242" s="1057"/>
      <c r="X242" s="1057"/>
      <c r="Y242" s="1057"/>
      <c r="Z242" s="1057"/>
      <c r="AA242" s="1057"/>
      <c r="AB242" s="1057"/>
      <c r="AC242" s="1057"/>
      <c r="AD242" s="1057"/>
      <c r="AE242" s="1057"/>
      <c r="AF242" s="178"/>
      <c r="AG242" s="1058"/>
      <c r="AH242" s="1058"/>
      <c r="AI242" s="1058"/>
      <c r="AJ242" s="1058"/>
      <c r="AK242" s="1058"/>
      <c r="AL242" s="1058"/>
      <c r="AM242" s="1058"/>
      <c r="AN242" s="1058"/>
      <c r="AO242" s="1058"/>
      <c r="AP242" s="1058"/>
      <c r="AQ242" s="1058"/>
      <c r="AR242" s="1058"/>
      <c r="AS242" s="1058"/>
      <c r="AT242" s="1058"/>
      <c r="AU242" s="105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7"/>
      <c r="BO242" s="1057"/>
      <c r="BP242" s="1057"/>
      <c r="BQ242" s="1057"/>
      <c r="BR242" s="1057"/>
      <c r="BS242" s="1057"/>
      <c r="BT242" s="1057"/>
      <c r="BU242" s="1057"/>
      <c r="BV242" s="1057"/>
      <c r="BW242" s="1057"/>
      <c r="BX242" s="1057"/>
      <c r="BY242" s="1057"/>
      <c r="BZ242" s="1057"/>
      <c r="CA242" s="1057"/>
      <c r="CB242" s="178"/>
      <c r="CC242" s="1058"/>
      <c r="CD242" s="1058"/>
      <c r="CE242" s="1058"/>
      <c r="CF242" s="1058"/>
      <c r="CG242" s="1058"/>
      <c r="CH242" s="1058"/>
      <c r="CI242" s="1058"/>
      <c r="CJ242" s="1058"/>
      <c r="CK242" s="1058"/>
      <c r="CL242" s="1058"/>
      <c r="CM242" s="1058"/>
      <c r="CN242" s="1058"/>
      <c r="CO242" s="1058"/>
      <c r="CP242" s="1058"/>
      <c r="CQ242" s="1058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7"/>
      <c r="DK242" s="1057"/>
      <c r="DL242" s="1057"/>
      <c r="DM242" s="1057"/>
      <c r="DN242" s="1057"/>
      <c r="DO242" s="1057"/>
      <c r="DP242" s="1057"/>
      <c r="DQ242" s="1057"/>
      <c r="DR242" s="1057"/>
      <c r="DS242" s="1057"/>
      <c r="DT242" s="1057"/>
      <c r="DU242" s="1057"/>
      <c r="DV242" s="1057"/>
      <c r="DW242" s="1057"/>
      <c r="DX242" s="178"/>
      <c r="DY242" s="1058"/>
      <c r="DZ242" s="1058"/>
      <c r="EA242" s="1058"/>
      <c r="EB242" s="1058"/>
      <c r="EC242" s="1058"/>
      <c r="ED242" s="1058"/>
      <c r="EE242" s="1058"/>
      <c r="EF242" s="1058"/>
      <c r="EG242" s="1058"/>
      <c r="EH242" s="1058"/>
      <c r="EI242" s="1058"/>
      <c r="EJ242" s="1058"/>
      <c r="EK242" s="1058"/>
      <c r="EL242" s="1058"/>
      <c r="EM242" s="1058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9" t="s">
        <v>5</v>
      </c>
      <c r="S243" s="1059"/>
      <c r="T243" s="1059"/>
      <c r="U243" s="1059"/>
      <c r="V243" s="1059"/>
      <c r="W243" s="1059"/>
      <c r="X243" s="1059"/>
      <c r="Y243" s="1059"/>
      <c r="Z243" s="1059"/>
      <c r="AA243" s="1059"/>
      <c r="AB243" s="1059"/>
      <c r="AC243" s="1059"/>
      <c r="AD243" s="1059"/>
      <c r="AE243" s="1059"/>
      <c r="AF243" s="178"/>
      <c r="AG243" s="1060" t="s">
        <v>728</v>
      </c>
      <c r="AH243" s="1060"/>
      <c r="AI243" s="1060"/>
      <c r="AJ243" s="1060"/>
      <c r="AK243" s="1060"/>
      <c r="AL243" s="1060"/>
      <c r="AM243" s="1060"/>
      <c r="AN243" s="1060"/>
      <c r="AO243" s="1060"/>
      <c r="AP243" s="1060"/>
      <c r="AQ243" s="1060"/>
      <c r="AR243" s="1060"/>
      <c r="AS243" s="1060"/>
      <c r="AT243" s="1060"/>
      <c r="AU243" s="106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9" t="s">
        <v>5</v>
      </c>
      <c r="BO243" s="1059"/>
      <c r="BP243" s="1059"/>
      <c r="BQ243" s="1059"/>
      <c r="BR243" s="1059"/>
      <c r="BS243" s="1059"/>
      <c r="BT243" s="1059"/>
      <c r="BU243" s="1059"/>
      <c r="BV243" s="1059"/>
      <c r="BW243" s="1059"/>
      <c r="BX243" s="1059"/>
      <c r="BY243" s="1059"/>
      <c r="BZ243" s="1059"/>
      <c r="CA243" s="1059"/>
      <c r="CB243" s="178"/>
      <c r="CC243" s="1060" t="s">
        <v>728</v>
      </c>
      <c r="CD243" s="1060"/>
      <c r="CE243" s="1060"/>
      <c r="CF243" s="1060"/>
      <c r="CG243" s="1060"/>
      <c r="CH243" s="1060"/>
      <c r="CI243" s="1060"/>
      <c r="CJ243" s="1060"/>
      <c r="CK243" s="1060"/>
      <c r="CL243" s="1060"/>
      <c r="CM243" s="1060"/>
      <c r="CN243" s="1060"/>
      <c r="CO243" s="1060"/>
      <c r="CP243" s="1060"/>
      <c r="CQ243" s="106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9" t="s">
        <v>5</v>
      </c>
      <c r="DK243" s="1059"/>
      <c r="DL243" s="1059"/>
      <c r="DM243" s="1059"/>
      <c r="DN243" s="1059"/>
      <c r="DO243" s="1059"/>
      <c r="DP243" s="1059"/>
      <c r="DQ243" s="1059"/>
      <c r="DR243" s="1059"/>
      <c r="DS243" s="1059"/>
      <c r="DT243" s="1059"/>
      <c r="DU243" s="1059"/>
      <c r="DV243" s="1059"/>
      <c r="DW243" s="1059"/>
      <c r="DX243" s="178"/>
      <c r="DY243" s="1060" t="s">
        <v>728</v>
      </c>
      <c r="DZ243" s="1060"/>
      <c r="EA243" s="1060"/>
      <c r="EB243" s="1060"/>
      <c r="EC243" s="1060"/>
      <c r="ED243" s="1060"/>
      <c r="EE243" s="1060"/>
      <c r="EF243" s="1060"/>
      <c r="EG243" s="1060"/>
      <c r="EH243" s="1060"/>
      <c r="EI243" s="1060"/>
      <c r="EJ243" s="1060"/>
      <c r="EK243" s="1060"/>
      <c r="EL243" s="1060"/>
      <c r="EM243" s="1060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1"/>
      <c r="T244" s="1061"/>
      <c r="U244" s="1061"/>
      <c r="V244" s="1061"/>
      <c r="W244" s="1061"/>
      <c r="X244" s="1061"/>
      <c r="Y244" s="1061"/>
      <c r="Z244" s="1061"/>
      <c r="AA244" s="1061"/>
      <c r="AB244" s="1061"/>
      <c r="AC244" s="1061"/>
      <c r="AD244" s="1061"/>
      <c r="AE244" s="1061"/>
      <c r="AF244" s="1061"/>
      <c r="AG244" s="1061"/>
      <c r="AH244" s="1061"/>
      <c r="AI244" s="1061"/>
      <c r="AJ244" s="1061"/>
      <c r="AK244" s="1061"/>
      <c r="AL244" s="1061"/>
      <c r="AM244" s="1061"/>
      <c r="AN244" s="1061"/>
      <c r="AO244" s="1061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1"/>
      <c r="BP244" s="1061"/>
      <c r="BQ244" s="1061"/>
      <c r="BR244" s="1061"/>
      <c r="BS244" s="1061"/>
      <c r="BT244" s="1061"/>
      <c r="BU244" s="1061"/>
      <c r="BV244" s="1061"/>
      <c r="BW244" s="1061"/>
      <c r="BX244" s="1061"/>
      <c r="BY244" s="1061"/>
      <c r="BZ244" s="1061"/>
      <c r="CA244" s="1061"/>
      <c r="CB244" s="1061"/>
      <c r="CC244" s="1061"/>
      <c r="CD244" s="1061"/>
      <c r="CE244" s="1061"/>
      <c r="CF244" s="1061"/>
      <c r="CG244" s="1061"/>
      <c r="CH244" s="1061"/>
      <c r="CI244" s="1061"/>
      <c r="CJ244" s="1061"/>
      <c r="CK244" s="1061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1"/>
      <c r="DL244" s="1061"/>
      <c r="DM244" s="1061"/>
      <c r="DN244" s="1061"/>
      <c r="DO244" s="1061"/>
      <c r="DP244" s="1061"/>
      <c r="DQ244" s="1061"/>
      <c r="DR244" s="1061"/>
      <c r="DS244" s="1061"/>
      <c r="DT244" s="1061"/>
      <c r="DU244" s="1061"/>
      <c r="DV244" s="1061"/>
      <c r="DW244" s="1061"/>
      <c r="DX244" s="1061"/>
      <c r="DY244" s="1061"/>
      <c r="DZ244" s="1061"/>
      <c r="EA244" s="1061"/>
      <c r="EB244" s="1061"/>
      <c r="EC244" s="1061"/>
      <c r="ED244" s="1061"/>
      <c r="EE244" s="1061"/>
      <c r="EF244" s="1061"/>
      <c r="EG244" s="1061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2"/>
      <c r="AH245" s="1062"/>
      <c r="AI245" s="1062"/>
      <c r="AJ245" s="1062"/>
      <c r="AK245" s="1062"/>
      <c r="AL245" s="1062"/>
      <c r="AM245" s="1062"/>
      <c r="AN245" s="1062"/>
      <c r="AO245" s="1062"/>
      <c r="AP245" s="1062"/>
      <c r="AQ245" s="1062"/>
      <c r="AR245" s="1062"/>
      <c r="AS245" s="1062"/>
      <c r="AT245" s="1062"/>
      <c r="AU245" s="106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2"/>
      <c r="CD245" s="1062"/>
      <c r="CE245" s="1062"/>
      <c r="CF245" s="1062"/>
      <c r="CG245" s="1062"/>
      <c r="CH245" s="1062"/>
      <c r="CI245" s="1062"/>
      <c r="CJ245" s="1062"/>
      <c r="CK245" s="1062"/>
      <c r="CL245" s="1062"/>
      <c r="CM245" s="1062"/>
      <c r="CN245" s="1062"/>
      <c r="CO245" s="1062"/>
      <c r="CP245" s="1062"/>
      <c r="CQ245" s="106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2"/>
      <c r="DZ245" s="1062"/>
      <c r="EA245" s="1062"/>
      <c r="EB245" s="1062"/>
      <c r="EC245" s="1062"/>
      <c r="ED245" s="1062"/>
      <c r="EE245" s="1062"/>
      <c r="EF245" s="1062"/>
      <c r="EG245" s="1062"/>
      <c r="EH245" s="1062"/>
      <c r="EI245" s="1062"/>
      <c r="EJ245" s="1062"/>
      <c r="EK245" s="1062"/>
      <c r="EL245" s="1062"/>
      <c r="EM245" s="1062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60" t="s">
        <v>729</v>
      </c>
      <c r="AH246" s="1060"/>
      <c r="AI246" s="1060"/>
      <c r="AJ246" s="1060"/>
      <c r="AK246" s="1060"/>
      <c r="AL246" s="1060"/>
      <c r="AM246" s="1060"/>
      <c r="AN246" s="1060"/>
      <c r="AO246" s="1060"/>
      <c r="AP246" s="1060"/>
      <c r="AQ246" s="1060"/>
      <c r="AR246" s="1060"/>
      <c r="AS246" s="1060"/>
      <c r="AT246" s="1060"/>
      <c r="AU246" s="106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60" t="s">
        <v>729</v>
      </c>
      <c r="CD246" s="1060"/>
      <c r="CE246" s="1060"/>
      <c r="CF246" s="1060"/>
      <c r="CG246" s="1060"/>
      <c r="CH246" s="1060"/>
      <c r="CI246" s="1060"/>
      <c r="CJ246" s="1060"/>
      <c r="CK246" s="1060"/>
      <c r="CL246" s="1060"/>
      <c r="CM246" s="1060"/>
      <c r="CN246" s="1060"/>
      <c r="CO246" s="1060"/>
      <c r="CP246" s="1060"/>
      <c r="CQ246" s="106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60" t="s">
        <v>729</v>
      </c>
      <c r="DZ246" s="1060"/>
      <c r="EA246" s="1060"/>
      <c r="EB246" s="1060"/>
      <c r="EC246" s="1060"/>
      <c r="ED246" s="1060"/>
      <c r="EE246" s="1060"/>
      <c r="EF246" s="1060"/>
      <c r="EG246" s="1060"/>
      <c r="EH246" s="1060"/>
      <c r="EI246" s="1060"/>
      <c r="EJ246" s="1060"/>
      <c r="EK246" s="1060"/>
      <c r="EL246" s="1060"/>
      <c r="EM246" s="1060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50" t="s">
        <v>373</v>
      </c>
      <c r="J249" s="950"/>
      <c r="K249" s="950"/>
      <c r="L249" s="1063"/>
      <c r="M249" s="1063"/>
      <c r="N249" s="1063"/>
      <c r="O249" s="1063"/>
      <c r="P249" s="1021" t="s">
        <v>179</v>
      </c>
      <c r="Q249" s="1021"/>
      <c r="R249" s="1044"/>
      <c r="S249" s="1044"/>
      <c r="T249" s="1044"/>
      <c r="U249" s="1044"/>
      <c r="V249" s="1044"/>
      <c r="W249" s="950">
        <v>20</v>
      </c>
      <c r="X249" s="950"/>
      <c r="Y249" s="950"/>
      <c r="Z249" s="1045"/>
      <c r="AA249" s="1045"/>
      <c r="AB249" s="950" t="s">
        <v>374</v>
      </c>
      <c r="AC249" s="950"/>
      <c r="AD249" s="950"/>
      <c r="AE249" s="1021" t="s">
        <v>179</v>
      </c>
      <c r="AF249" s="1021"/>
      <c r="AG249" s="1044"/>
      <c r="AH249" s="1044"/>
      <c r="AI249" s="1044"/>
      <c r="AJ249" s="1044"/>
      <c r="AK249" s="1044"/>
      <c r="AL249" s="950">
        <v>20</v>
      </c>
      <c r="AM249" s="950"/>
      <c r="AN249" s="950"/>
      <c r="AO249" s="1045"/>
      <c r="AP249" s="1045"/>
      <c r="AQ249" s="1039" t="s">
        <v>375</v>
      </c>
      <c r="AR249" s="1039"/>
      <c r="AS249" s="1039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50" t="s">
        <v>373</v>
      </c>
      <c r="BF249" s="950"/>
      <c r="BG249" s="950"/>
      <c r="BH249" s="1063"/>
      <c r="BI249" s="1063"/>
      <c r="BJ249" s="1063"/>
      <c r="BK249" s="1063"/>
      <c r="BL249" s="1021" t="s">
        <v>179</v>
      </c>
      <c r="BM249" s="1021"/>
      <c r="BN249" s="1044"/>
      <c r="BO249" s="1044"/>
      <c r="BP249" s="1044"/>
      <c r="BQ249" s="1044"/>
      <c r="BR249" s="1044"/>
      <c r="BS249" s="950">
        <v>20</v>
      </c>
      <c r="BT249" s="950"/>
      <c r="BU249" s="950"/>
      <c r="BV249" s="1045"/>
      <c r="BW249" s="1045"/>
      <c r="BX249" s="950" t="s">
        <v>374</v>
      </c>
      <c r="BY249" s="950"/>
      <c r="BZ249" s="950"/>
      <c r="CA249" s="1021" t="s">
        <v>179</v>
      </c>
      <c r="CB249" s="1021"/>
      <c r="CC249" s="1044"/>
      <c r="CD249" s="1044"/>
      <c r="CE249" s="1044"/>
      <c r="CF249" s="1044"/>
      <c r="CG249" s="1044"/>
      <c r="CH249" s="950">
        <v>20</v>
      </c>
      <c r="CI249" s="950"/>
      <c r="CJ249" s="950"/>
      <c r="CK249" s="1045"/>
      <c r="CL249" s="1045"/>
      <c r="CM249" s="1039" t="s">
        <v>375</v>
      </c>
      <c r="CN249" s="1039"/>
      <c r="CO249" s="1039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50" t="s">
        <v>373</v>
      </c>
      <c r="DB249" s="950"/>
      <c r="DC249" s="950"/>
      <c r="DD249" s="1063"/>
      <c r="DE249" s="1063"/>
      <c r="DF249" s="1063"/>
      <c r="DG249" s="1063"/>
      <c r="DH249" s="1021" t="s">
        <v>179</v>
      </c>
      <c r="DI249" s="1021"/>
      <c r="DJ249" s="1044"/>
      <c r="DK249" s="1044"/>
      <c r="DL249" s="1044"/>
      <c r="DM249" s="1044"/>
      <c r="DN249" s="1044"/>
      <c r="DO249" s="950">
        <v>20</v>
      </c>
      <c r="DP249" s="950"/>
      <c r="DQ249" s="950"/>
      <c r="DR249" s="1045"/>
      <c r="DS249" s="1045"/>
      <c r="DT249" s="950" t="s">
        <v>374</v>
      </c>
      <c r="DU249" s="950"/>
      <c r="DV249" s="950"/>
      <c r="DW249" s="1021" t="s">
        <v>179</v>
      </c>
      <c r="DX249" s="1021"/>
      <c r="DY249" s="1044"/>
      <c r="DZ249" s="1044"/>
      <c r="EA249" s="1044"/>
      <c r="EB249" s="1044"/>
      <c r="EC249" s="1044"/>
      <c r="ED249" s="950">
        <v>20</v>
      </c>
      <c r="EE249" s="950"/>
      <c r="EF249" s="950"/>
      <c r="EG249" s="1045"/>
      <c r="EH249" s="1045"/>
      <c r="EI249" s="1039" t="s">
        <v>375</v>
      </c>
      <c r="EJ249" s="1039"/>
      <c r="EK249" s="1039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4"/>
      <c r="Q250" s="960"/>
      <c r="R250" s="960"/>
      <c r="S250" s="960"/>
      <c r="T250" s="960"/>
      <c r="U250" s="960"/>
      <c r="V250" s="960"/>
      <c r="W250" s="960"/>
      <c r="X250" s="960"/>
      <c r="Y250" s="960"/>
      <c r="Z250" s="960"/>
      <c r="AA250" s="960"/>
      <c r="AB250" s="960"/>
      <c r="AC250" s="960"/>
      <c r="AD250" s="960"/>
      <c r="AE250" s="960"/>
      <c r="AF250" s="960"/>
      <c r="AG250" s="960"/>
      <c r="AH250" s="960"/>
      <c r="AI250" s="960"/>
      <c r="AJ250" s="960"/>
      <c r="AK250" s="960"/>
      <c r="AL250" s="960"/>
      <c r="AM250" s="960"/>
      <c r="AN250" s="960"/>
      <c r="AO250" s="960"/>
      <c r="AP250" s="960"/>
      <c r="AQ250" s="960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4"/>
      <c r="BM250" s="960"/>
      <c r="BN250" s="960"/>
      <c r="BO250" s="960"/>
      <c r="BP250" s="960"/>
      <c r="BQ250" s="960"/>
      <c r="BR250" s="960"/>
      <c r="BS250" s="960"/>
      <c r="BT250" s="960"/>
      <c r="BU250" s="960"/>
      <c r="BV250" s="960"/>
      <c r="BW250" s="960"/>
      <c r="BX250" s="960"/>
      <c r="BY250" s="960"/>
      <c r="BZ250" s="960"/>
      <c r="CA250" s="960"/>
      <c r="CB250" s="960"/>
      <c r="CC250" s="960"/>
      <c r="CD250" s="960"/>
      <c r="CE250" s="960"/>
      <c r="CF250" s="960"/>
      <c r="CG250" s="960"/>
      <c r="CH250" s="960"/>
      <c r="CI250" s="960"/>
      <c r="CJ250" s="960"/>
      <c r="CK250" s="960"/>
      <c r="CL250" s="960"/>
      <c r="CM250" s="960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4"/>
      <c r="DI250" s="960"/>
      <c r="DJ250" s="960"/>
      <c r="DK250" s="960"/>
      <c r="DL250" s="960"/>
      <c r="DM250" s="960"/>
      <c r="DN250" s="960"/>
      <c r="DO250" s="960"/>
      <c r="DP250" s="960"/>
      <c r="DQ250" s="960"/>
      <c r="DR250" s="960"/>
      <c r="DS250" s="960"/>
      <c r="DT250" s="960"/>
      <c r="DU250" s="960"/>
      <c r="DV250" s="960"/>
      <c r="DW250" s="960"/>
      <c r="DX250" s="960"/>
      <c r="DY250" s="960"/>
      <c r="DZ250" s="960"/>
      <c r="EA250" s="960"/>
      <c r="EB250" s="960"/>
      <c r="EC250" s="960"/>
      <c r="ED250" s="960"/>
      <c r="EE250" s="960"/>
      <c r="EF250" s="960"/>
      <c r="EG250" s="960"/>
      <c r="EH250" s="960"/>
      <c r="EI250" s="960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5"/>
      <c r="V251" s="1065"/>
      <c r="W251" s="1065"/>
      <c r="X251" s="1065"/>
      <c r="Y251" s="1065"/>
      <c r="Z251" s="1065"/>
      <c r="AA251" s="1065"/>
      <c r="AB251" s="1065"/>
      <c r="AC251" s="1066">
        <f>I$9</f>
        <v>0</v>
      </c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5"/>
      <c r="BR251" s="1065"/>
      <c r="BS251" s="1065"/>
      <c r="BT251" s="1065"/>
      <c r="BU251" s="1065"/>
      <c r="BV251" s="1065"/>
      <c r="BW251" s="1065"/>
      <c r="BX251" s="1065"/>
      <c r="BY251" s="1066">
        <f>BE$9</f>
        <v>0</v>
      </c>
      <c r="BZ251" s="1067"/>
      <c r="CA251" s="1067"/>
      <c r="CB251" s="1067"/>
      <c r="CC251" s="1067"/>
      <c r="CD251" s="1067"/>
      <c r="CE251" s="1067"/>
      <c r="CF251" s="1067"/>
      <c r="CG251" s="1067"/>
      <c r="CH251" s="1067"/>
      <c r="CI251" s="1067"/>
      <c r="CJ251" s="1067"/>
      <c r="CK251" s="1067"/>
      <c r="CL251" s="1067"/>
      <c r="CM251" s="106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5"/>
      <c r="DN251" s="1065"/>
      <c r="DO251" s="1065"/>
      <c r="DP251" s="1065"/>
      <c r="DQ251" s="1065"/>
      <c r="DR251" s="1065"/>
      <c r="DS251" s="1065"/>
      <c r="DT251" s="1065"/>
      <c r="DU251" s="1066">
        <f>DA$9</f>
        <v>0</v>
      </c>
      <c r="DV251" s="1067"/>
      <c r="DW251" s="1067"/>
      <c r="DX251" s="1067"/>
      <c r="DY251" s="1067"/>
      <c r="DZ251" s="1067"/>
      <c r="EA251" s="1067"/>
      <c r="EB251" s="1067"/>
      <c r="EC251" s="1067"/>
      <c r="ED251" s="1067"/>
      <c r="EE251" s="1067"/>
      <c r="EF251" s="1067"/>
      <c r="EG251" s="1067"/>
      <c r="EH251" s="1067"/>
      <c r="EI251" s="1067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19" t="s">
        <v>5</v>
      </c>
      <c r="V252" s="1019"/>
      <c r="W252" s="1019"/>
      <c r="X252" s="1019"/>
      <c r="Y252" s="1019"/>
      <c r="Z252" s="1019"/>
      <c r="AA252" s="1019"/>
      <c r="AB252" s="1019"/>
      <c r="AC252" s="1019" t="s">
        <v>6</v>
      </c>
      <c r="AD252" s="1019"/>
      <c r="AE252" s="1019"/>
      <c r="AF252" s="1019"/>
      <c r="AG252" s="1019"/>
      <c r="AH252" s="1019"/>
      <c r="AI252" s="1019"/>
      <c r="AJ252" s="1019"/>
      <c r="AK252" s="1019"/>
      <c r="AL252" s="1019"/>
      <c r="AM252" s="1019"/>
      <c r="AN252" s="1019"/>
      <c r="AO252" s="1019"/>
      <c r="AP252" s="1019"/>
      <c r="AQ252" s="1019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19" t="s">
        <v>5</v>
      </c>
      <c r="BR252" s="1019"/>
      <c r="BS252" s="1019"/>
      <c r="BT252" s="1019"/>
      <c r="BU252" s="1019"/>
      <c r="BV252" s="1019"/>
      <c r="BW252" s="1019"/>
      <c r="BX252" s="1019"/>
      <c r="BY252" s="1019" t="s">
        <v>6</v>
      </c>
      <c r="BZ252" s="1019"/>
      <c r="CA252" s="1019"/>
      <c r="CB252" s="1019"/>
      <c r="CC252" s="1019"/>
      <c r="CD252" s="1019"/>
      <c r="CE252" s="1019"/>
      <c r="CF252" s="1019"/>
      <c r="CG252" s="1019"/>
      <c r="CH252" s="1019"/>
      <c r="CI252" s="1019"/>
      <c r="CJ252" s="1019"/>
      <c r="CK252" s="1019"/>
      <c r="CL252" s="1019"/>
      <c r="CM252" s="1019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19" t="s">
        <v>5</v>
      </c>
      <c r="DN252" s="1019"/>
      <c r="DO252" s="1019"/>
      <c r="DP252" s="1019"/>
      <c r="DQ252" s="1019"/>
      <c r="DR252" s="1019"/>
      <c r="DS252" s="1019"/>
      <c r="DT252" s="1019"/>
      <c r="DU252" s="1019" t="s">
        <v>6</v>
      </c>
      <c r="DV252" s="1019"/>
      <c r="DW252" s="1019"/>
      <c r="DX252" s="1019"/>
      <c r="DY252" s="1019"/>
      <c r="DZ252" s="1019"/>
      <c r="EA252" s="1019"/>
      <c r="EB252" s="1019"/>
      <c r="EC252" s="1019"/>
      <c r="ED252" s="1019"/>
      <c r="EE252" s="1019"/>
      <c r="EF252" s="1019"/>
      <c r="EG252" s="1019"/>
      <c r="EH252" s="1019"/>
      <c r="EI252" s="1019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9"/>
      <c r="V253" s="949"/>
      <c r="W253" s="949"/>
      <c r="X253" s="949"/>
      <c r="Y253" s="949"/>
      <c r="Z253" s="949"/>
      <c r="AA253" s="949"/>
      <c r="AB253" s="949"/>
      <c r="AC253" s="949"/>
      <c r="AD253" s="949"/>
      <c r="AE253" s="949"/>
      <c r="AF253" s="949"/>
      <c r="AG253" s="949"/>
      <c r="AH253" s="949"/>
      <c r="AI253" s="949"/>
      <c r="AJ253" s="949"/>
      <c r="AK253" s="949"/>
      <c r="AL253" s="949"/>
      <c r="AM253" s="949"/>
      <c r="AN253" s="949"/>
      <c r="AO253" s="949"/>
      <c r="AP253" s="949"/>
      <c r="AQ253" s="949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9"/>
      <c r="BR253" s="949"/>
      <c r="BS253" s="949"/>
      <c r="BT253" s="949"/>
      <c r="BU253" s="949"/>
      <c r="BV253" s="949"/>
      <c r="BW253" s="949"/>
      <c r="BX253" s="949"/>
      <c r="BY253" s="949"/>
      <c r="BZ253" s="949"/>
      <c r="CA253" s="949"/>
      <c r="CB253" s="949"/>
      <c r="CC253" s="949"/>
      <c r="CD253" s="949"/>
      <c r="CE253" s="949"/>
      <c r="CF253" s="949"/>
      <c r="CG253" s="949"/>
      <c r="CH253" s="949"/>
      <c r="CI253" s="949"/>
      <c r="CJ253" s="949"/>
      <c r="CK253" s="949"/>
      <c r="CL253" s="949"/>
      <c r="CM253" s="949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9"/>
      <c r="DN253" s="949"/>
      <c r="DO253" s="949"/>
      <c r="DP253" s="949"/>
      <c r="DQ253" s="949"/>
      <c r="DR253" s="949"/>
      <c r="DS253" s="949"/>
      <c r="DT253" s="949"/>
      <c r="DU253" s="949"/>
      <c r="DV253" s="949"/>
      <c r="DW253" s="949"/>
      <c r="DX253" s="949"/>
      <c r="DY253" s="949"/>
      <c r="DZ253" s="949"/>
      <c r="EA253" s="949"/>
      <c r="EB253" s="949"/>
      <c r="EC253" s="949"/>
      <c r="ED253" s="949"/>
      <c r="EE253" s="949"/>
      <c r="EF253" s="949"/>
      <c r="EG253" s="949"/>
      <c r="EH253" s="949"/>
      <c r="EI253" s="949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19" t="s">
        <v>5</v>
      </c>
      <c r="V254" s="1019"/>
      <c r="W254" s="1019"/>
      <c r="X254" s="1019"/>
      <c r="Y254" s="1019"/>
      <c r="Z254" s="1019"/>
      <c r="AA254" s="1019"/>
      <c r="AB254" s="1019"/>
      <c r="AC254" s="1019" t="s">
        <v>6</v>
      </c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19" t="s">
        <v>5</v>
      </c>
      <c r="BR254" s="1019"/>
      <c r="BS254" s="1019"/>
      <c r="BT254" s="1019"/>
      <c r="BU254" s="1019"/>
      <c r="BV254" s="1019"/>
      <c r="BW254" s="1019"/>
      <c r="BX254" s="1019"/>
      <c r="BY254" s="1019" t="s">
        <v>6</v>
      </c>
      <c r="BZ254" s="1019"/>
      <c r="CA254" s="1019"/>
      <c r="CB254" s="1019"/>
      <c r="CC254" s="1019"/>
      <c r="CD254" s="1019"/>
      <c r="CE254" s="1019"/>
      <c r="CF254" s="1019"/>
      <c r="CG254" s="1019"/>
      <c r="CH254" s="1019"/>
      <c r="CI254" s="1019"/>
      <c r="CJ254" s="1019"/>
      <c r="CK254" s="1019"/>
      <c r="CL254" s="1019"/>
      <c r="CM254" s="1019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19" t="s">
        <v>5</v>
      </c>
      <c r="DN254" s="1019"/>
      <c r="DO254" s="1019"/>
      <c r="DP254" s="1019"/>
      <c r="DQ254" s="1019"/>
      <c r="DR254" s="1019"/>
      <c r="DS254" s="1019"/>
      <c r="DT254" s="1019"/>
      <c r="DU254" s="1019" t="s">
        <v>6</v>
      </c>
      <c r="DV254" s="1019"/>
      <c r="DW254" s="1019"/>
      <c r="DX254" s="1019"/>
      <c r="DY254" s="1019"/>
      <c r="DZ254" s="1019"/>
      <c r="EA254" s="1019"/>
      <c r="EB254" s="1019"/>
      <c r="EC254" s="1019"/>
      <c r="ED254" s="1019"/>
      <c r="EE254" s="1019"/>
      <c r="EF254" s="1019"/>
      <c r="EG254" s="1019"/>
      <c r="EH254" s="1019"/>
      <c r="EI254" s="1019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6"/>
      <c r="AB256" s="1046"/>
      <c r="AC256" s="1046"/>
      <c r="AD256" s="1046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7" t="s">
        <v>182</v>
      </c>
      <c r="AR256" s="1048"/>
      <c r="AS256" s="1048"/>
      <c r="AT256" s="1048"/>
      <c r="AU256" s="1049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6"/>
      <c r="BX256" s="1046"/>
      <c r="BY256" s="1046"/>
      <c r="BZ256" s="1046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7" t="s">
        <v>182</v>
      </c>
      <c r="CN256" s="1048"/>
      <c r="CO256" s="1048"/>
      <c r="CP256" s="1048"/>
      <c r="CQ256" s="1049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6"/>
      <c r="DT256" s="1046"/>
      <c r="DU256" s="1046"/>
      <c r="DV256" s="1046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7" t="s">
        <v>182</v>
      </c>
      <c r="EJ256" s="1048"/>
      <c r="EK256" s="1048"/>
      <c r="EL256" s="1048"/>
      <c r="EM256" s="1049"/>
    </row>
    <row r="257" spans="1:143" ht="18.75" customHeight="1">
      <c r="A257" s="87"/>
      <c r="B257" s="88"/>
      <c r="C257" s="88"/>
      <c r="D257" s="88"/>
      <c r="E257" s="1054"/>
      <c r="F257" s="1054"/>
      <c r="G257" s="1054"/>
      <c r="H257" s="1054"/>
      <c r="I257" s="1054"/>
      <c r="J257" s="1054"/>
      <c r="K257" s="1054"/>
      <c r="L257" s="1054"/>
      <c r="M257" s="1054"/>
      <c r="N257" s="1054"/>
      <c r="O257" s="1054"/>
      <c r="P257" s="1054"/>
      <c r="Q257" s="1054"/>
      <c r="R257" s="1054"/>
      <c r="S257" s="1054"/>
      <c r="T257" s="1054"/>
      <c r="U257" s="1054"/>
      <c r="V257" s="1054"/>
      <c r="W257" s="1054"/>
      <c r="X257" s="1054"/>
      <c r="Y257" s="1054"/>
      <c r="Z257" s="1054"/>
      <c r="AA257" s="1054"/>
      <c r="AB257" s="1054"/>
      <c r="AC257" s="1054"/>
      <c r="AD257" s="1054"/>
      <c r="AE257" s="1054"/>
      <c r="AF257" s="1054"/>
      <c r="AG257" s="1054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50" t="s">
        <v>380</v>
      </c>
      <c r="AR257" s="999"/>
      <c r="AS257" s="999"/>
      <c r="AT257" s="999"/>
      <c r="AU257" s="1000"/>
      <c r="AW257" s="87"/>
      <c r="AX257" s="88"/>
      <c r="AY257" s="88"/>
      <c r="AZ257" s="88"/>
      <c r="BA257" s="1054"/>
      <c r="BB257" s="1054"/>
      <c r="BC257" s="1054"/>
      <c r="BD257" s="1054"/>
      <c r="BE257" s="1054"/>
      <c r="BF257" s="1054"/>
      <c r="BG257" s="1054"/>
      <c r="BH257" s="1054"/>
      <c r="BI257" s="1054"/>
      <c r="BJ257" s="1054"/>
      <c r="BK257" s="1054"/>
      <c r="BL257" s="1054"/>
      <c r="BM257" s="1054"/>
      <c r="BN257" s="1054"/>
      <c r="BO257" s="1054"/>
      <c r="BP257" s="1054"/>
      <c r="BQ257" s="1054"/>
      <c r="BR257" s="1054"/>
      <c r="BS257" s="1054"/>
      <c r="BT257" s="1054"/>
      <c r="BU257" s="1054"/>
      <c r="BV257" s="1054"/>
      <c r="BW257" s="1054"/>
      <c r="BX257" s="1054"/>
      <c r="BY257" s="1054"/>
      <c r="BZ257" s="1054"/>
      <c r="CA257" s="1054"/>
      <c r="CB257" s="1054"/>
      <c r="CC257" s="1054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50" t="s">
        <v>380</v>
      </c>
      <c r="CN257" s="999"/>
      <c r="CO257" s="999"/>
      <c r="CP257" s="999"/>
      <c r="CQ257" s="1000"/>
      <c r="CR257" s="234"/>
      <c r="CS257" s="87"/>
      <c r="CT257" s="88"/>
      <c r="CU257" s="88"/>
      <c r="CV257" s="88"/>
      <c r="CW257" s="1054"/>
      <c r="CX257" s="1054"/>
      <c r="CY257" s="1054"/>
      <c r="CZ257" s="1054"/>
      <c r="DA257" s="1054"/>
      <c r="DB257" s="1054"/>
      <c r="DC257" s="1054"/>
      <c r="DD257" s="1054"/>
      <c r="DE257" s="1054"/>
      <c r="DF257" s="1054"/>
      <c r="DG257" s="1054"/>
      <c r="DH257" s="1054"/>
      <c r="DI257" s="1054"/>
      <c r="DJ257" s="1054"/>
      <c r="DK257" s="1054"/>
      <c r="DL257" s="1054"/>
      <c r="DM257" s="1054"/>
      <c r="DN257" s="1054"/>
      <c r="DO257" s="1054"/>
      <c r="DP257" s="1054"/>
      <c r="DQ257" s="1054"/>
      <c r="DR257" s="1054"/>
      <c r="DS257" s="1054"/>
      <c r="DT257" s="1054"/>
      <c r="DU257" s="1054"/>
      <c r="DV257" s="1054"/>
      <c r="DW257" s="1054"/>
      <c r="DX257" s="1054"/>
      <c r="DY257" s="1054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50" t="s">
        <v>380</v>
      </c>
      <c r="EJ257" s="999"/>
      <c r="EK257" s="999"/>
      <c r="EL257" s="999"/>
      <c r="EM257" s="1000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1001"/>
      <c r="H258" s="1001"/>
      <c r="I258" s="1001"/>
      <c r="J258" s="1001"/>
      <c r="K258" s="1001"/>
      <c r="L258" s="1001"/>
      <c r="M258" s="1001"/>
      <c r="N258" s="1001"/>
      <c r="O258" s="1001"/>
      <c r="P258" s="1001"/>
      <c r="Q258" s="1001"/>
      <c r="R258" s="1001"/>
      <c r="S258" s="1001"/>
      <c r="T258" s="1001"/>
      <c r="U258" s="1055">
        <v>20</v>
      </c>
      <c r="V258" s="1055"/>
      <c r="W258" s="1056"/>
      <c r="X258" s="1056"/>
      <c r="Y258" s="105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1"/>
      <c r="AR258" s="1052"/>
      <c r="AS258" s="1052"/>
      <c r="AT258" s="1052"/>
      <c r="AU258" s="1053"/>
      <c r="AW258" s="129"/>
      <c r="AX258" s="129"/>
      <c r="AY258" s="129"/>
      <c r="AZ258" s="129"/>
      <c r="BA258" s="129"/>
      <c r="BB258" s="130" t="s">
        <v>381</v>
      </c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55">
        <v>20</v>
      </c>
      <c r="BR258" s="1055"/>
      <c r="BS258" s="1056"/>
      <c r="BT258" s="1056"/>
      <c r="BU258" s="105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1"/>
      <c r="CN258" s="1052"/>
      <c r="CO258" s="1052"/>
      <c r="CP258" s="1052"/>
      <c r="CQ258" s="1053"/>
      <c r="CR258" s="234"/>
      <c r="CS258" s="129"/>
      <c r="CT258" s="129"/>
      <c r="CU258" s="129"/>
      <c r="CV258" s="129"/>
      <c r="CW258" s="129"/>
      <c r="CX258" s="130" t="s">
        <v>381</v>
      </c>
      <c r="CY258" s="1001"/>
      <c r="CZ258" s="1001"/>
      <c r="DA258" s="1001"/>
      <c r="DB258" s="1001"/>
      <c r="DC258" s="1001"/>
      <c r="DD258" s="1001"/>
      <c r="DE258" s="1001"/>
      <c r="DF258" s="1001"/>
      <c r="DG258" s="1001"/>
      <c r="DH258" s="1001"/>
      <c r="DI258" s="1001"/>
      <c r="DJ258" s="1001"/>
      <c r="DK258" s="1001"/>
      <c r="DL258" s="1001"/>
      <c r="DM258" s="1055">
        <v>20</v>
      </c>
      <c r="DN258" s="1055"/>
      <c r="DO258" s="1056"/>
      <c r="DP258" s="1056"/>
      <c r="DQ258" s="105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1"/>
      <c r="EJ258" s="1052"/>
      <c r="EK258" s="1052"/>
      <c r="EL258" s="1052"/>
      <c r="EM258" s="1053"/>
    </row>
    <row r="259" spans="1:143" ht="18.75" customHeight="1">
      <c r="A259" s="129" t="s">
        <v>186</v>
      </c>
      <c r="B259" s="129"/>
      <c r="C259" s="129"/>
      <c r="D259" s="129"/>
      <c r="E259" s="1054"/>
      <c r="F259" s="1054"/>
      <c r="G259" s="1054"/>
      <c r="H259" s="1054"/>
      <c r="I259" s="1054"/>
      <c r="J259" s="1054"/>
      <c r="K259" s="1054"/>
      <c r="L259" s="1054"/>
      <c r="M259" s="1054"/>
      <c r="N259" s="1054"/>
      <c r="O259" s="1054"/>
      <c r="P259" s="1054"/>
      <c r="Q259" s="1054"/>
      <c r="R259" s="1054"/>
      <c r="S259" s="1054"/>
      <c r="T259" s="1054"/>
      <c r="U259" s="1054"/>
      <c r="V259" s="1054"/>
      <c r="W259" s="1054"/>
      <c r="X259" s="1054"/>
      <c r="Y259" s="1054"/>
      <c r="Z259" s="1054"/>
      <c r="AA259" s="1054"/>
      <c r="AB259" s="1054"/>
      <c r="AC259" s="1054"/>
      <c r="AD259" s="1054"/>
      <c r="AE259" s="1054"/>
      <c r="AF259" s="1054"/>
      <c r="AG259" s="1054"/>
      <c r="AH259" s="1054"/>
      <c r="AI259" s="1054"/>
      <c r="AJ259" s="1054"/>
      <c r="AK259" s="317"/>
      <c r="AL259" s="317"/>
      <c r="AM259" s="318"/>
      <c r="AN259" s="318"/>
      <c r="AO259" s="130" t="s">
        <v>187</v>
      </c>
      <c r="AP259" s="129"/>
      <c r="AQ259" s="1012"/>
      <c r="AR259" s="1013"/>
      <c r="AS259" s="1013"/>
      <c r="AT259" s="1013"/>
      <c r="AU259" s="1014"/>
      <c r="AW259" s="129" t="s">
        <v>186</v>
      </c>
      <c r="AX259" s="129"/>
      <c r="AY259" s="129"/>
      <c r="AZ259" s="129"/>
      <c r="BA259" s="1054"/>
      <c r="BB259" s="1054"/>
      <c r="BC259" s="1054"/>
      <c r="BD259" s="1054"/>
      <c r="BE259" s="1054"/>
      <c r="BF259" s="1054"/>
      <c r="BG259" s="1054"/>
      <c r="BH259" s="1054"/>
      <c r="BI259" s="1054"/>
      <c r="BJ259" s="1054"/>
      <c r="BK259" s="1054"/>
      <c r="BL259" s="1054"/>
      <c r="BM259" s="1054"/>
      <c r="BN259" s="1054"/>
      <c r="BO259" s="1054"/>
      <c r="BP259" s="1054"/>
      <c r="BQ259" s="1054"/>
      <c r="BR259" s="1054"/>
      <c r="BS259" s="1054"/>
      <c r="BT259" s="1054"/>
      <c r="BU259" s="1054"/>
      <c r="BV259" s="1054"/>
      <c r="BW259" s="1054"/>
      <c r="BX259" s="1054"/>
      <c r="BY259" s="1054"/>
      <c r="BZ259" s="1054"/>
      <c r="CA259" s="1054"/>
      <c r="CB259" s="1054"/>
      <c r="CC259" s="1054"/>
      <c r="CD259" s="1054"/>
      <c r="CE259" s="1054"/>
      <c r="CF259" s="1054"/>
      <c r="CG259" s="317"/>
      <c r="CH259" s="317"/>
      <c r="CI259" s="318"/>
      <c r="CJ259" s="318"/>
      <c r="CK259" s="130" t="s">
        <v>187</v>
      </c>
      <c r="CL259" s="129"/>
      <c r="CM259" s="1012"/>
      <c r="CN259" s="1013"/>
      <c r="CO259" s="1013"/>
      <c r="CP259" s="1013"/>
      <c r="CQ259" s="1014"/>
      <c r="CR259" s="234"/>
      <c r="CS259" s="129" t="s">
        <v>186</v>
      </c>
      <c r="CT259" s="129"/>
      <c r="CU259" s="129"/>
      <c r="CV259" s="129"/>
      <c r="CW259" s="1054"/>
      <c r="CX259" s="1054"/>
      <c r="CY259" s="1054"/>
      <c r="CZ259" s="1054"/>
      <c r="DA259" s="1054"/>
      <c r="DB259" s="1054"/>
      <c r="DC259" s="1054"/>
      <c r="DD259" s="1054"/>
      <c r="DE259" s="1054"/>
      <c r="DF259" s="1054"/>
      <c r="DG259" s="1054"/>
      <c r="DH259" s="1054"/>
      <c r="DI259" s="1054"/>
      <c r="DJ259" s="1054"/>
      <c r="DK259" s="1054"/>
      <c r="DL259" s="1054"/>
      <c r="DM259" s="1054"/>
      <c r="DN259" s="1054"/>
      <c r="DO259" s="1054"/>
      <c r="DP259" s="1054"/>
      <c r="DQ259" s="1054"/>
      <c r="DR259" s="1054"/>
      <c r="DS259" s="1054"/>
      <c r="DT259" s="1054"/>
      <c r="DU259" s="1054"/>
      <c r="DV259" s="1054"/>
      <c r="DW259" s="1054"/>
      <c r="DX259" s="1054"/>
      <c r="DY259" s="1054"/>
      <c r="DZ259" s="1054"/>
      <c r="EA259" s="1054"/>
      <c r="EB259" s="1054"/>
      <c r="EC259" s="317"/>
      <c r="ED259" s="317"/>
      <c r="EE259" s="318"/>
      <c r="EF259" s="318"/>
      <c r="EG259" s="130" t="s">
        <v>187</v>
      </c>
      <c r="EH259" s="129"/>
      <c r="EI259" s="1012"/>
      <c r="EJ259" s="1013"/>
      <c r="EK259" s="1013"/>
      <c r="EL259" s="1013"/>
      <c r="EM259" s="1014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4"/>
      <c r="AR260" s="1035"/>
      <c r="AS260" s="1035"/>
      <c r="AT260" s="1035"/>
      <c r="AU260" s="1036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4"/>
      <c r="CN260" s="1035"/>
      <c r="CO260" s="1035"/>
      <c r="CP260" s="1035"/>
      <c r="CQ260" s="1036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4"/>
      <c r="EJ260" s="1035"/>
      <c r="EK260" s="1035"/>
      <c r="EL260" s="1035"/>
      <c r="EM260" s="1036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5"/>
      <c r="Z261" s="996"/>
      <c r="AA261" s="996"/>
      <c r="AB261" s="996"/>
      <c r="AC261" s="996"/>
      <c r="AD261" s="996"/>
      <c r="AE261" s="996"/>
      <c r="AF261" s="996"/>
      <c r="AG261" s="996"/>
      <c r="AH261" s="996"/>
      <c r="AI261" s="996"/>
      <c r="AJ261" s="996"/>
      <c r="AK261" s="996"/>
      <c r="AL261" s="997"/>
      <c r="AM261" s="129"/>
      <c r="AN261" s="129"/>
      <c r="AO261" s="130" t="s">
        <v>189</v>
      </c>
      <c r="AP261" s="129"/>
      <c r="AQ261" s="1037"/>
      <c r="AR261" s="942"/>
      <c r="AS261" s="942"/>
      <c r="AT261" s="942"/>
      <c r="AU261" s="1038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5"/>
      <c r="BV261" s="996"/>
      <c r="BW261" s="996"/>
      <c r="BX261" s="996"/>
      <c r="BY261" s="996"/>
      <c r="BZ261" s="996"/>
      <c r="CA261" s="996"/>
      <c r="CB261" s="996"/>
      <c r="CC261" s="996"/>
      <c r="CD261" s="996"/>
      <c r="CE261" s="996"/>
      <c r="CF261" s="996"/>
      <c r="CG261" s="996"/>
      <c r="CH261" s="997"/>
      <c r="CI261" s="129"/>
      <c r="CJ261" s="129"/>
      <c r="CK261" s="130" t="s">
        <v>189</v>
      </c>
      <c r="CL261" s="129"/>
      <c r="CM261" s="1037"/>
      <c r="CN261" s="942"/>
      <c r="CO261" s="942"/>
      <c r="CP261" s="942"/>
      <c r="CQ261" s="1038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5"/>
      <c r="DR261" s="996"/>
      <c r="DS261" s="996"/>
      <c r="DT261" s="996"/>
      <c r="DU261" s="996"/>
      <c r="DV261" s="996"/>
      <c r="DW261" s="996"/>
      <c r="DX261" s="996"/>
      <c r="DY261" s="996"/>
      <c r="DZ261" s="996"/>
      <c r="EA261" s="996"/>
      <c r="EB261" s="996"/>
      <c r="EC261" s="996"/>
      <c r="ED261" s="997"/>
      <c r="EE261" s="129"/>
      <c r="EF261" s="129"/>
      <c r="EG261" s="130" t="s">
        <v>189</v>
      </c>
      <c r="EH261" s="129"/>
      <c r="EI261" s="1037"/>
      <c r="EJ261" s="942"/>
      <c r="EK261" s="942"/>
      <c r="EL261" s="942"/>
      <c r="EM261" s="1038"/>
    </row>
    <row r="262" spans="1:143" ht="18.75" customHeight="1">
      <c r="A262" s="1039" t="s">
        <v>190</v>
      </c>
      <c r="B262" s="1039"/>
      <c r="C262" s="1039"/>
      <c r="D262" s="1039"/>
      <c r="E262" s="1039"/>
      <c r="F262" s="1039"/>
      <c r="G262" s="1039"/>
      <c r="H262" s="1039"/>
      <c r="I262" s="1039"/>
      <c r="J262" s="1039"/>
      <c r="K262" s="949"/>
      <c r="L262" s="949"/>
      <c r="M262" s="949"/>
      <c r="N262" s="949"/>
      <c r="O262" s="949"/>
      <c r="P262" s="949"/>
      <c r="Q262" s="949"/>
      <c r="R262" s="949"/>
      <c r="S262" s="949"/>
      <c r="T262" s="949"/>
      <c r="U262" s="949"/>
      <c r="V262" s="949"/>
      <c r="W262" s="949"/>
      <c r="X262" s="949"/>
      <c r="Y262" s="949"/>
      <c r="Z262" s="949"/>
      <c r="AA262" s="949"/>
      <c r="AB262" s="949"/>
      <c r="AC262" s="949"/>
      <c r="AD262" s="949"/>
      <c r="AE262" s="949"/>
      <c r="AF262" s="949"/>
      <c r="AG262" s="949"/>
      <c r="AH262" s="949"/>
      <c r="AI262" s="949"/>
      <c r="AJ262" s="949"/>
      <c r="AK262" s="949"/>
      <c r="AL262" s="90"/>
      <c r="AM262" s="80"/>
      <c r="AN262" s="80"/>
      <c r="AO262" s="80"/>
      <c r="AP262" s="80"/>
      <c r="AQ262" s="1016"/>
      <c r="AR262" s="1017"/>
      <c r="AS262" s="1017"/>
      <c r="AT262" s="1017"/>
      <c r="AU262" s="1018"/>
      <c r="AW262" s="1039" t="s">
        <v>190</v>
      </c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949"/>
      <c r="BH262" s="949"/>
      <c r="BI262" s="949"/>
      <c r="BJ262" s="949"/>
      <c r="BK262" s="949"/>
      <c r="BL262" s="949"/>
      <c r="BM262" s="949"/>
      <c r="BN262" s="949"/>
      <c r="BO262" s="949"/>
      <c r="BP262" s="949"/>
      <c r="BQ262" s="949"/>
      <c r="BR262" s="949"/>
      <c r="BS262" s="949"/>
      <c r="BT262" s="949"/>
      <c r="BU262" s="949"/>
      <c r="BV262" s="949"/>
      <c r="BW262" s="949"/>
      <c r="BX262" s="949"/>
      <c r="BY262" s="949"/>
      <c r="BZ262" s="949"/>
      <c r="CA262" s="949"/>
      <c r="CB262" s="949"/>
      <c r="CC262" s="949"/>
      <c r="CD262" s="949"/>
      <c r="CE262" s="949"/>
      <c r="CF262" s="949"/>
      <c r="CG262" s="949"/>
      <c r="CH262" s="90"/>
      <c r="CI262" s="80"/>
      <c r="CJ262" s="80"/>
      <c r="CK262" s="80"/>
      <c r="CL262" s="80"/>
      <c r="CM262" s="1016"/>
      <c r="CN262" s="1017"/>
      <c r="CO262" s="1017"/>
      <c r="CP262" s="1017"/>
      <c r="CQ262" s="1018"/>
      <c r="CR262" s="234"/>
      <c r="CS262" s="1039" t="s">
        <v>190</v>
      </c>
      <c r="CT262" s="1039"/>
      <c r="CU262" s="1039"/>
      <c r="CV262" s="1039"/>
      <c r="CW262" s="1039"/>
      <c r="CX262" s="1039"/>
      <c r="CY262" s="1039"/>
      <c r="CZ262" s="1039"/>
      <c r="DA262" s="1039"/>
      <c r="DB262" s="1039"/>
      <c r="DC262" s="949"/>
      <c r="DD262" s="949"/>
      <c r="DE262" s="949"/>
      <c r="DF262" s="949"/>
      <c r="DG262" s="949"/>
      <c r="DH262" s="949"/>
      <c r="DI262" s="949"/>
      <c r="DJ262" s="949"/>
      <c r="DK262" s="949"/>
      <c r="DL262" s="949"/>
      <c r="DM262" s="949"/>
      <c r="DN262" s="949"/>
      <c r="DO262" s="949"/>
      <c r="DP262" s="949"/>
      <c r="DQ262" s="949"/>
      <c r="DR262" s="949"/>
      <c r="DS262" s="949"/>
      <c r="DT262" s="949"/>
      <c r="DU262" s="949"/>
      <c r="DV262" s="949"/>
      <c r="DW262" s="949"/>
      <c r="DX262" s="949"/>
      <c r="DY262" s="949"/>
      <c r="DZ262" s="949"/>
      <c r="EA262" s="949"/>
      <c r="EB262" s="949"/>
      <c r="EC262" s="949"/>
      <c r="ED262" s="90"/>
      <c r="EE262" s="80"/>
      <c r="EF262" s="80"/>
      <c r="EG262" s="80"/>
      <c r="EH262" s="80"/>
      <c r="EI262" s="1016"/>
      <c r="EJ262" s="1017"/>
      <c r="EK262" s="1017"/>
      <c r="EL262" s="1017"/>
      <c r="EM262" s="1018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40" t="s">
        <v>285</v>
      </c>
      <c r="AR263" s="1006"/>
      <c r="AS263" s="1006"/>
      <c r="AT263" s="1006"/>
      <c r="AU263" s="1007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40" t="s">
        <v>285</v>
      </c>
      <c r="CN263" s="1006"/>
      <c r="CO263" s="1006"/>
      <c r="CP263" s="1006"/>
      <c r="CQ263" s="1007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40" t="s">
        <v>285</v>
      </c>
      <c r="EJ263" s="1006"/>
      <c r="EK263" s="1006"/>
      <c r="EL263" s="1006"/>
      <c r="EM263" s="1007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67" t="s">
        <v>384</v>
      </c>
      <c r="B265" s="968"/>
      <c r="C265" s="968"/>
      <c r="D265" s="968"/>
      <c r="E265" s="968"/>
      <c r="F265" s="968"/>
      <c r="G265" s="968"/>
      <c r="H265" s="968"/>
      <c r="I265" s="969"/>
      <c r="J265" s="80"/>
      <c r="K265" s="80"/>
      <c r="L265" s="80"/>
      <c r="M265" s="967" t="s">
        <v>385</v>
      </c>
      <c r="N265" s="968"/>
      <c r="O265" s="968"/>
      <c r="P265" s="968"/>
      <c r="Q265" s="968"/>
      <c r="R265" s="968"/>
      <c r="S265" s="968"/>
      <c r="T265" s="968"/>
      <c r="U265" s="968"/>
      <c r="V265" s="968"/>
      <c r="W265" s="968"/>
      <c r="X265" s="968"/>
      <c r="Y265" s="968"/>
      <c r="Z265" s="968"/>
      <c r="AA265" s="968"/>
      <c r="AB265" s="968"/>
      <c r="AC265" s="968"/>
      <c r="AD265" s="968"/>
      <c r="AE265" s="968"/>
      <c r="AF265" s="968"/>
      <c r="AG265" s="968"/>
      <c r="AH265" s="968"/>
      <c r="AI265" s="968"/>
      <c r="AJ265" s="968"/>
      <c r="AK265" s="968"/>
      <c r="AL265" s="968"/>
      <c r="AM265" s="968"/>
      <c r="AN265" s="968"/>
      <c r="AO265" s="968"/>
      <c r="AP265" s="968"/>
      <c r="AQ265" s="968"/>
      <c r="AR265" s="968"/>
      <c r="AS265" s="968"/>
      <c r="AT265" s="968"/>
      <c r="AU265" s="969"/>
      <c r="AW265" s="967" t="s">
        <v>384</v>
      </c>
      <c r="AX265" s="968"/>
      <c r="AY265" s="968"/>
      <c r="AZ265" s="968"/>
      <c r="BA265" s="968"/>
      <c r="BB265" s="968"/>
      <c r="BC265" s="968"/>
      <c r="BD265" s="968"/>
      <c r="BE265" s="969"/>
      <c r="BF265" s="80"/>
      <c r="BG265" s="80"/>
      <c r="BH265" s="80"/>
      <c r="BI265" s="967" t="s">
        <v>385</v>
      </c>
      <c r="BJ265" s="968"/>
      <c r="BK265" s="968"/>
      <c r="BL265" s="968"/>
      <c r="BM265" s="968"/>
      <c r="BN265" s="968"/>
      <c r="BO265" s="968"/>
      <c r="BP265" s="968"/>
      <c r="BQ265" s="968"/>
      <c r="BR265" s="968"/>
      <c r="BS265" s="968"/>
      <c r="BT265" s="968"/>
      <c r="BU265" s="968"/>
      <c r="BV265" s="968"/>
      <c r="BW265" s="968"/>
      <c r="BX265" s="968"/>
      <c r="BY265" s="968"/>
      <c r="BZ265" s="968"/>
      <c r="CA265" s="968"/>
      <c r="CB265" s="968"/>
      <c r="CC265" s="968"/>
      <c r="CD265" s="968"/>
      <c r="CE265" s="968"/>
      <c r="CF265" s="968"/>
      <c r="CG265" s="968"/>
      <c r="CH265" s="968"/>
      <c r="CI265" s="968"/>
      <c r="CJ265" s="968"/>
      <c r="CK265" s="968"/>
      <c r="CL265" s="968"/>
      <c r="CM265" s="968"/>
      <c r="CN265" s="968"/>
      <c r="CO265" s="968"/>
      <c r="CP265" s="968"/>
      <c r="CQ265" s="969"/>
      <c r="CR265" s="234"/>
      <c r="CS265" s="967" t="s">
        <v>384</v>
      </c>
      <c r="CT265" s="968"/>
      <c r="CU265" s="968"/>
      <c r="CV265" s="968"/>
      <c r="CW265" s="968"/>
      <c r="CX265" s="968"/>
      <c r="CY265" s="968"/>
      <c r="CZ265" s="968"/>
      <c r="DA265" s="969"/>
      <c r="DB265" s="80"/>
      <c r="DC265" s="80"/>
      <c r="DD265" s="80"/>
      <c r="DE265" s="967" t="s">
        <v>385</v>
      </c>
      <c r="DF265" s="968"/>
      <c r="DG265" s="968"/>
      <c r="DH265" s="968"/>
      <c r="DI265" s="968"/>
      <c r="DJ265" s="968"/>
      <c r="DK265" s="968"/>
      <c r="DL265" s="968"/>
      <c r="DM265" s="968"/>
      <c r="DN265" s="968"/>
      <c r="DO265" s="968"/>
      <c r="DP265" s="968"/>
      <c r="DQ265" s="968"/>
      <c r="DR265" s="968"/>
      <c r="DS265" s="968"/>
      <c r="DT265" s="968"/>
      <c r="DU265" s="968"/>
      <c r="DV265" s="968"/>
      <c r="DW265" s="968"/>
      <c r="DX265" s="968"/>
      <c r="DY265" s="968"/>
      <c r="DZ265" s="968"/>
      <c r="EA265" s="968"/>
      <c r="EB265" s="968"/>
      <c r="EC265" s="968"/>
      <c r="ED265" s="968"/>
      <c r="EE265" s="968"/>
      <c r="EF265" s="968"/>
      <c r="EG265" s="968"/>
      <c r="EH265" s="968"/>
      <c r="EI265" s="968"/>
      <c r="EJ265" s="968"/>
      <c r="EK265" s="968"/>
      <c r="EL265" s="968"/>
      <c r="EM265" s="969"/>
    </row>
    <row r="266" spans="1:143" ht="18.75" customHeight="1">
      <c r="A266" s="1041" t="s">
        <v>230</v>
      </c>
      <c r="B266" s="1041"/>
      <c r="C266" s="1041"/>
      <c r="D266" s="1041"/>
      <c r="E266" s="1041" t="s">
        <v>231</v>
      </c>
      <c r="F266" s="1041"/>
      <c r="G266" s="1041"/>
      <c r="H266" s="1041"/>
      <c r="I266" s="1041"/>
      <c r="J266" s="80"/>
      <c r="K266" s="94"/>
      <c r="L266" s="95"/>
      <c r="M266" s="967" t="s">
        <v>386</v>
      </c>
      <c r="N266" s="968"/>
      <c r="O266" s="968"/>
      <c r="P266" s="968"/>
      <c r="Q266" s="968"/>
      <c r="R266" s="968"/>
      <c r="S266" s="968"/>
      <c r="T266" s="968"/>
      <c r="U266" s="968"/>
      <c r="V266" s="968"/>
      <c r="W266" s="968"/>
      <c r="X266" s="968"/>
      <c r="Y266" s="968"/>
      <c r="Z266" s="968"/>
      <c r="AA266" s="968"/>
      <c r="AB266" s="968"/>
      <c r="AC266" s="968"/>
      <c r="AD266" s="968"/>
      <c r="AE266" s="969"/>
      <c r="AF266" s="967" t="s">
        <v>387</v>
      </c>
      <c r="AG266" s="968"/>
      <c r="AH266" s="968"/>
      <c r="AI266" s="968"/>
      <c r="AJ266" s="968"/>
      <c r="AK266" s="968"/>
      <c r="AL266" s="968"/>
      <c r="AM266" s="968"/>
      <c r="AN266" s="968"/>
      <c r="AO266" s="968"/>
      <c r="AP266" s="968"/>
      <c r="AQ266" s="968"/>
      <c r="AR266" s="968"/>
      <c r="AS266" s="968"/>
      <c r="AT266" s="968"/>
      <c r="AU266" s="969"/>
      <c r="AW266" s="1041" t="s">
        <v>230</v>
      </c>
      <c r="AX266" s="1041"/>
      <c r="AY266" s="1041"/>
      <c r="AZ266" s="1041"/>
      <c r="BA266" s="1041" t="s">
        <v>231</v>
      </c>
      <c r="BB266" s="1041"/>
      <c r="BC266" s="1041"/>
      <c r="BD266" s="1041"/>
      <c r="BE266" s="1041"/>
      <c r="BF266" s="80"/>
      <c r="BG266" s="94"/>
      <c r="BH266" s="95"/>
      <c r="BI266" s="967" t="s">
        <v>386</v>
      </c>
      <c r="BJ266" s="968"/>
      <c r="BK266" s="968"/>
      <c r="BL266" s="968"/>
      <c r="BM266" s="968"/>
      <c r="BN266" s="968"/>
      <c r="BO266" s="968"/>
      <c r="BP266" s="968"/>
      <c r="BQ266" s="968"/>
      <c r="BR266" s="968"/>
      <c r="BS266" s="968"/>
      <c r="BT266" s="968"/>
      <c r="BU266" s="968"/>
      <c r="BV266" s="968"/>
      <c r="BW266" s="968"/>
      <c r="BX266" s="968"/>
      <c r="BY266" s="968"/>
      <c r="BZ266" s="968"/>
      <c r="CA266" s="969"/>
      <c r="CB266" s="967" t="s">
        <v>387</v>
      </c>
      <c r="CC266" s="968"/>
      <c r="CD266" s="968"/>
      <c r="CE266" s="968"/>
      <c r="CF266" s="968"/>
      <c r="CG266" s="968"/>
      <c r="CH266" s="968"/>
      <c r="CI266" s="968"/>
      <c r="CJ266" s="968"/>
      <c r="CK266" s="968"/>
      <c r="CL266" s="968"/>
      <c r="CM266" s="968"/>
      <c r="CN266" s="968"/>
      <c r="CO266" s="968"/>
      <c r="CP266" s="968"/>
      <c r="CQ266" s="969"/>
      <c r="CR266" s="234"/>
      <c r="CS266" s="1041" t="s">
        <v>230</v>
      </c>
      <c r="CT266" s="1041"/>
      <c r="CU266" s="1041"/>
      <c r="CV266" s="1041"/>
      <c r="CW266" s="1041" t="s">
        <v>231</v>
      </c>
      <c r="CX266" s="1041"/>
      <c r="CY266" s="1041"/>
      <c r="CZ266" s="1041"/>
      <c r="DA266" s="1041"/>
      <c r="DB266" s="80"/>
      <c r="DC266" s="94"/>
      <c r="DD266" s="95"/>
      <c r="DE266" s="967" t="s">
        <v>386</v>
      </c>
      <c r="DF266" s="968"/>
      <c r="DG266" s="968"/>
      <c r="DH266" s="968"/>
      <c r="DI266" s="968"/>
      <c r="DJ266" s="968"/>
      <c r="DK266" s="968"/>
      <c r="DL266" s="968"/>
      <c r="DM266" s="968"/>
      <c r="DN266" s="968"/>
      <c r="DO266" s="968"/>
      <c r="DP266" s="968"/>
      <c r="DQ266" s="968"/>
      <c r="DR266" s="968"/>
      <c r="DS266" s="968"/>
      <c r="DT266" s="968"/>
      <c r="DU266" s="968"/>
      <c r="DV266" s="968"/>
      <c r="DW266" s="969"/>
      <c r="DX266" s="967" t="s">
        <v>387</v>
      </c>
      <c r="DY266" s="968"/>
      <c r="DZ266" s="968"/>
      <c r="EA266" s="968"/>
      <c r="EB266" s="968"/>
      <c r="EC266" s="968"/>
      <c r="ED266" s="968"/>
      <c r="EE266" s="968"/>
      <c r="EF266" s="968"/>
      <c r="EG266" s="968"/>
      <c r="EH266" s="968"/>
      <c r="EI266" s="968"/>
      <c r="EJ266" s="968"/>
      <c r="EK266" s="968"/>
      <c r="EL266" s="968"/>
      <c r="EM266" s="969"/>
    </row>
    <row r="267" spans="1:143" ht="18.75" customHeight="1">
      <c r="A267" s="966"/>
      <c r="B267" s="966"/>
      <c r="C267" s="966"/>
      <c r="D267" s="966"/>
      <c r="E267" s="966"/>
      <c r="F267" s="966"/>
      <c r="G267" s="966"/>
      <c r="H267" s="966"/>
      <c r="I267" s="966"/>
      <c r="J267" s="80"/>
      <c r="K267" s="80"/>
      <c r="L267" s="80"/>
      <c r="M267" s="985"/>
      <c r="N267" s="986"/>
      <c r="O267" s="986"/>
      <c r="P267" s="986"/>
      <c r="Q267" s="986"/>
      <c r="R267" s="986"/>
      <c r="S267" s="986"/>
      <c r="T267" s="986"/>
      <c r="U267" s="986"/>
      <c r="V267" s="986"/>
      <c r="W267" s="986"/>
      <c r="X267" s="986"/>
      <c r="Y267" s="986"/>
      <c r="Z267" s="986"/>
      <c r="AA267" s="986"/>
      <c r="AB267" s="986"/>
      <c r="AC267" s="986"/>
      <c r="AD267" s="986"/>
      <c r="AE267" s="987"/>
      <c r="AF267" s="985"/>
      <c r="AG267" s="986"/>
      <c r="AH267" s="986"/>
      <c r="AI267" s="986"/>
      <c r="AJ267" s="986"/>
      <c r="AK267" s="986"/>
      <c r="AL267" s="986"/>
      <c r="AM267" s="986"/>
      <c r="AN267" s="986"/>
      <c r="AO267" s="986"/>
      <c r="AP267" s="986"/>
      <c r="AQ267" s="986"/>
      <c r="AR267" s="986"/>
      <c r="AS267" s="986"/>
      <c r="AT267" s="986"/>
      <c r="AU267" s="987"/>
      <c r="AW267" s="966"/>
      <c r="AX267" s="966"/>
      <c r="AY267" s="966"/>
      <c r="AZ267" s="966"/>
      <c r="BA267" s="966"/>
      <c r="BB267" s="966"/>
      <c r="BC267" s="966"/>
      <c r="BD267" s="966"/>
      <c r="BE267" s="966"/>
      <c r="BF267" s="80"/>
      <c r="BG267" s="80"/>
      <c r="BH267" s="80"/>
      <c r="BI267" s="985"/>
      <c r="BJ267" s="986"/>
      <c r="BK267" s="986"/>
      <c r="BL267" s="986"/>
      <c r="BM267" s="986"/>
      <c r="BN267" s="986"/>
      <c r="BO267" s="986"/>
      <c r="BP267" s="986"/>
      <c r="BQ267" s="986"/>
      <c r="BR267" s="986"/>
      <c r="BS267" s="986"/>
      <c r="BT267" s="986"/>
      <c r="BU267" s="986"/>
      <c r="BV267" s="986"/>
      <c r="BW267" s="986"/>
      <c r="BX267" s="986"/>
      <c r="BY267" s="986"/>
      <c r="BZ267" s="986"/>
      <c r="CA267" s="987"/>
      <c r="CB267" s="985"/>
      <c r="CC267" s="986"/>
      <c r="CD267" s="986"/>
      <c r="CE267" s="986"/>
      <c r="CF267" s="986"/>
      <c r="CG267" s="986"/>
      <c r="CH267" s="986"/>
      <c r="CI267" s="986"/>
      <c r="CJ267" s="986"/>
      <c r="CK267" s="986"/>
      <c r="CL267" s="986"/>
      <c r="CM267" s="986"/>
      <c r="CN267" s="986"/>
      <c r="CO267" s="986"/>
      <c r="CP267" s="986"/>
      <c r="CQ267" s="987"/>
      <c r="CR267" s="234"/>
      <c r="CS267" s="966"/>
      <c r="CT267" s="966"/>
      <c r="CU267" s="966"/>
      <c r="CV267" s="966"/>
      <c r="CW267" s="966"/>
      <c r="CX267" s="966"/>
      <c r="CY267" s="966"/>
      <c r="CZ267" s="966"/>
      <c r="DA267" s="966"/>
      <c r="DB267" s="80"/>
      <c r="DC267" s="80"/>
      <c r="DD267" s="80"/>
      <c r="DE267" s="985"/>
      <c r="DF267" s="986"/>
      <c r="DG267" s="986"/>
      <c r="DH267" s="986"/>
      <c r="DI267" s="986"/>
      <c r="DJ267" s="986"/>
      <c r="DK267" s="986"/>
      <c r="DL267" s="986"/>
      <c r="DM267" s="986"/>
      <c r="DN267" s="986"/>
      <c r="DO267" s="986"/>
      <c r="DP267" s="986"/>
      <c r="DQ267" s="986"/>
      <c r="DR267" s="986"/>
      <c r="DS267" s="986"/>
      <c r="DT267" s="986"/>
      <c r="DU267" s="986"/>
      <c r="DV267" s="986"/>
      <c r="DW267" s="987"/>
      <c r="DX267" s="985"/>
      <c r="DY267" s="986"/>
      <c r="DZ267" s="986"/>
      <c r="EA267" s="986"/>
      <c r="EB267" s="986"/>
      <c r="EC267" s="986"/>
      <c r="ED267" s="986"/>
      <c r="EE267" s="986"/>
      <c r="EF267" s="986"/>
      <c r="EG267" s="986"/>
      <c r="EH267" s="986"/>
      <c r="EI267" s="986"/>
      <c r="EJ267" s="986"/>
      <c r="EK267" s="986"/>
      <c r="EL267" s="986"/>
      <c r="EM267" s="987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5"/>
      <c r="N268" s="986"/>
      <c r="O268" s="986"/>
      <c r="P268" s="986"/>
      <c r="Q268" s="986"/>
      <c r="R268" s="986"/>
      <c r="S268" s="986"/>
      <c r="T268" s="986"/>
      <c r="U268" s="986"/>
      <c r="V268" s="986"/>
      <c r="W268" s="986"/>
      <c r="X268" s="986"/>
      <c r="Y268" s="986"/>
      <c r="Z268" s="986"/>
      <c r="AA268" s="986"/>
      <c r="AB268" s="986"/>
      <c r="AC268" s="986"/>
      <c r="AD268" s="986"/>
      <c r="AE268" s="987"/>
      <c r="AF268" s="985"/>
      <c r="AG268" s="986"/>
      <c r="AH268" s="986"/>
      <c r="AI268" s="986"/>
      <c r="AJ268" s="986"/>
      <c r="AK268" s="986"/>
      <c r="AL268" s="986"/>
      <c r="AM268" s="986"/>
      <c r="AN268" s="986"/>
      <c r="AO268" s="986"/>
      <c r="AP268" s="986"/>
      <c r="AQ268" s="986"/>
      <c r="AR268" s="986"/>
      <c r="AS268" s="986"/>
      <c r="AT268" s="986"/>
      <c r="AU268" s="987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5"/>
      <c r="BJ268" s="986"/>
      <c r="BK268" s="986"/>
      <c r="BL268" s="986"/>
      <c r="BM268" s="986"/>
      <c r="BN268" s="986"/>
      <c r="BO268" s="986"/>
      <c r="BP268" s="986"/>
      <c r="BQ268" s="986"/>
      <c r="BR268" s="986"/>
      <c r="BS268" s="986"/>
      <c r="BT268" s="986"/>
      <c r="BU268" s="986"/>
      <c r="BV268" s="986"/>
      <c r="BW268" s="986"/>
      <c r="BX268" s="986"/>
      <c r="BY268" s="986"/>
      <c r="BZ268" s="986"/>
      <c r="CA268" s="987"/>
      <c r="CB268" s="985"/>
      <c r="CC268" s="986"/>
      <c r="CD268" s="986"/>
      <c r="CE268" s="986"/>
      <c r="CF268" s="986"/>
      <c r="CG268" s="986"/>
      <c r="CH268" s="986"/>
      <c r="CI268" s="986"/>
      <c r="CJ268" s="986"/>
      <c r="CK268" s="986"/>
      <c r="CL268" s="986"/>
      <c r="CM268" s="986"/>
      <c r="CN268" s="986"/>
      <c r="CO268" s="986"/>
      <c r="CP268" s="986"/>
      <c r="CQ268" s="987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5"/>
      <c r="DF268" s="986"/>
      <c r="DG268" s="986"/>
      <c r="DH268" s="986"/>
      <c r="DI268" s="986"/>
      <c r="DJ268" s="986"/>
      <c r="DK268" s="986"/>
      <c r="DL268" s="986"/>
      <c r="DM268" s="986"/>
      <c r="DN268" s="986"/>
      <c r="DO268" s="986"/>
      <c r="DP268" s="986"/>
      <c r="DQ268" s="986"/>
      <c r="DR268" s="986"/>
      <c r="DS268" s="986"/>
      <c r="DT268" s="986"/>
      <c r="DU268" s="986"/>
      <c r="DV268" s="986"/>
      <c r="DW268" s="987"/>
      <c r="DX268" s="985"/>
      <c r="DY268" s="986"/>
      <c r="DZ268" s="986"/>
      <c r="EA268" s="986"/>
      <c r="EB268" s="986"/>
      <c r="EC268" s="986"/>
      <c r="ED268" s="986"/>
      <c r="EE268" s="986"/>
      <c r="EF268" s="986"/>
      <c r="EG268" s="986"/>
      <c r="EH268" s="986"/>
      <c r="EI268" s="986"/>
      <c r="EJ268" s="986"/>
      <c r="EK268" s="986"/>
      <c r="EL268" s="986"/>
      <c r="EM268" s="987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72" t="s">
        <v>43</v>
      </c>
      <c r="B270" s="973"/>
      <c r="C270" s="974"/>
      <c r="D270" s="972" t="s">
        <v>141</v>
      </c>
      <c r="E270" s="973"/>
      <c r="F270" s="973"/>
      <c r="G270" s="973"/>
      <c r="H270" s="973"/>
      <c r="I270" s="973"/>
      <c r="J270" s="973"/>
      <c r="K270" s="973"/>
      <c r="L270" s="973"/>
      <c r="M270" s="973"/>
      <c r="N270" s="973"/>
      <c r="O270" s="973"/>
      <c r="P270" s="973"/>
      <c r="Q270" s="974"/>
      <c r="R270" s="967" t="s">
        <v>388</v>
      </c>
      <c r="S270" s="968"/>
      <c r="T270" s="968"/>
      <c r="U270" s="968"/>
      <c r="V270" s="968"/>
      <c r="W270" s="968"/>
      <c r="X270" s="968"/>
      <c r="Y270" s="968"/>
      <c r="Z270" s="968"/>
      <c r="AA270" s="968"/>
      <c r="AB270" s="968"/>
      <c r="AC270" s="968"/>
      <c r="AD270" s="968"/>
      <c r="AE270" s="969"/>
      <c r="AF270" s="972" t="s">
        <v>198</v>
      </c>
      <c r="AG270" s="973"/>
      <c r="AH270" s="973"/>
      <c r="AI270" s="973"/>
      <c r="AJ270" s="973"/>
      <c r="AK270" s="973"/>
      <c r="AL270" s="974"/>
      <c r="AM270" s="972" t="s">
        <v>389</v>
      </c>
      <c r="AN270" s="973"/>
      <c r="AO270" s="973"/>
      <c r="AP270" s="973"/>
      <c r="AQ270" s="973"/>
      <c r="AR270" s="973"/>
      <c r="AS270" s="973"/>
      <c r="AT270" s="973"/>
      <c r="AU270" s="974"/>
      <c r="AW270" s="972" t="s">
        <v>43</v>
      </c>
      <c r="AX270" s="973"/>
      <c r="AY270" s="974"/>
      <c r="AZ270" s="972" t="s">
        <v>141</v>
      </c>
      <c r="BA270" s="973"/>
      <c r="BB270" s="973"/>
      <c r="BC270" s="973"/>
      <c r="BD270" s="973"/>
      <c r="BE270" s="973"/>
      <c r="BF270" s="973"/>
      <c r="BG270" s="973"/>
      <c r="BH270" s="973"/>
      <c r="BI270" s="973"/>
      <c r="BJ270" s="973"/>
      <c r="BK270" s="973"/>
      <c r="BL270" s="973"/>
      <c r="BM270" s="974"/>
      <c r="BN270" s="967" t="s">
        <v>388</v>
      </c>
      <c r="BO270" s="968"/>
      <c r="BP270" s="968"/>
      <c r="BQ270" s="968"/>
      <c r="BR270" s="968"/>
      <c r="BS270" s="968"/>
      <c r="BT270" s="968"/>
      <c r="BU270" s="968"/>
      <c r="BV270" s="968"/>
      <c r="BW270" s="968"/>
      <c r="BX270" s="968"/>
      <c r="BY270" s="968"/>
      <c r="BZ270" s="968"/>
      <c r="CA270" s="969"/>
      <c r="CB270" s="972" t="s">
        <v>198</v>
      </c>
      <c r="CC270" s="973"/>
      <c r="CD270" s="973"/>
      <c r="CE270" s="973"/>
      <c r="CF270" s="973"/>
      <c r="CG270" s="973"/>
      <c r="CH270" s="974"/>
      <c r="CI270" s="972" t="s">
        <v>389</v>
      </c>
      <c r="CJ270" s="973"/>
      <c r="CK270" s="973"/>
      <c r="CL270" s="973"/>
      <c r="CM270" s="973"/>
      <c r="CN270" s="973"/>
      <c r="CO270" s="973"/>
      <c r="CP270" s="973"/>
      <c r="CQ270" s="974"/>
      <c r="CR270" s="234"/>
      <c r="CS270" s="972" t="s">
        <v>43</v>
      </c>
      <c r="CT270" s="973"/>
      <c r="CU270" s="974"/>
      <c r="CV270" s="972" t="s">
        <v>141</v>
      </c>
      <c r="CW270" s="973"/>
      <c r="CX270" s="973"/>
      <c r="CY270" s="973"/>
      <c r="CZ270" s="973"/>
      <c r="DA270" s="973"/>
      <c r="DB270" s="973"/>
      <c r="DC270" s="973"/>
      <c r="DD270" s="973"/>
      <c r="DE270" s="973"/>
      <c r="DF270" s="973"/>
      <c r="DG270" s="973"/>
      <c r="DH270" s="973"/>
      <c r="DI270" s="974"/>
      <c r="DJ270" s="967" t="s">
        <v>388</v>
      </c>
      <c r="DK270" s="968"/>
      <c r="DL270" s="968"/>
      <c r="DM270" s="968"/>
      <c r="DN270" s="968"/>
      <c r="DO270" s="968"/>
      <c r="DP270" s="968"/>
      <c r="DQ270" s="968"/>
      <c r="DR270" s="968"/>
      <c r="DS270" s="968"/>
      <c r="DT270" s="968"/>
      <c r="DU270" s="968"/>
      <c r="DV270" s="968"/>
      <c r="DW270" s="969"/>
      <c r="DX270" s="972" t="s">
        <v>198</v>
      </c>
      <c r="DY270" s="973"/>
      <c r="DZ270" s="973"/>
      <c r="EA270" s="973"/>
      <c r="EB270" s="973"/>
      <c r="EC270" s="973"/>
      <c r="ED270" s="974"/>
      <c r="EE270" s="972" t="s">
        <v>389</v>
      </c>
      <c r="EF270" s="973"/>
      <c r="EG270" s="973"/>
      <c r="EH270" s="973"/>
      <c r="EI270" s="973"/>
      <c r="EJ270" s="973"/>
      <c r="EK270" s="973"/>
      <c r="EL270" s="973"/>
      <c r="EM270" s="974"/>
    </row>
    <row r="271" spans="1:143" ht="18.75" customHeight="1">
      <c r="A271" s="975"/>
      <c r="B271" s="976"/>
      <c r="C271" s="977"/>
      <c r="D271" s="975"/>
      <c r="E271" s="976"/>
      <c r="F271" s="976"/>
      <c r="G271" s="976"/>
      <c r="H271" s="976"/>
      <c r="I271" s="976"/>
      <c r="J271" s="976"/>
      <c r="K271" s="976"/>
      <c r="L271" s="976"/>
      <c r="M271" s="976"/>
      <c r="N271" s="976"/>
      <c r="O271" s="976"/>
      <c r="P271" s="976"/>
      <c r="Q271" s="977"/>
      <c r="R271" s="988"/>
      <c r="S271" s="989"/>
      <c r="T271" s="989"/>
      <c r="U271" s="989"/>
      <c r="V271" s="989"/>
      <c r="W271" s="989"/>
      <c r="X271" s="990"/>
      <c r="Y271" s="988"/>
      <c r="Z271" s="989"/>
      <c r="AA271" s="989"/>
      <c r="AB271" s="989"/>
      <c r="AC271" s="989"/>
      <c r="AD271" s="989"/>
      <c r="AE271" s="990"/>
      <c r="AF271" s="975"/>
      <c r="AG271" s="976"/>
      <c r="AH271" s="976"/>
      <c r="AI271" s="976"/>
      <c r="AJ271" s="976"/>
      <c r="AK271" s="976"/>
      <c r="AL271" s="977"/>
      <c r="AM271" s="975"/>
      <c r="AN271" s="976"/>
      <c r="AO271" s="976"/>
      <c r="AP271" s="976"/>
      <c r="AQ271" s="976"/>
      <c r="AR271" s="976"/>
      <c r="AS271" s="976"/>
      <c r="AT271" s="976"/>
      <c r="AU271" s="977"/>
      <c r="AW271" s="975"/>
      <c r="AX271" s="976"/>
      <c r="AY271" s="977"/>
      <c r="AZ271" s="975"/>
      <c r="BA271" s="976"/>
      <c r="BB271" s="976"/>
      <c r="BC271" s="976"/>
      <c r="BD271" s="976"/>
      <c r="BE271" s="976"/>
      <c r="BF271" s="976"/>
      <c r="BG271" s="976"/>
      <c r="BH271" s="976"/>
      <c r="BI271" s="976"/>
      <c r="BJ271" s="976"/>
      <c r="BK271" s="976"/>
      <c r="BL271" s="976"/>
      <c r="BM271" s="977"/>
      <c r="BN271" s="988"/>
      <c r="BO271" s="989"/>
      <c r="BP271" s="989"/>
      <c r="BQ271" s="989"/>
      <c r="BR271" s="989"/>
      <c r="BS271" s="989"/>
      <c r="BT271" s="990"/>
      <c r="BU271" s="988"/>
      <c r="BV271" s="989"/>
      <c r="BW271" s="989"/>
      <c r="BX271" s="989"/>
      <c r="BY271" s="989"/>
      <c r="BZ271" s="989"/>
      <c r="CA271" s="990"/>
      <c r="CB271" s="975"/>
      <c r="CC271" s="976"/>
      <c r="CD271" s="976"/>
      <c r="CE271" s="976"/>
      <c r="CF271" s="976"/>
      <c r="CG271" s="976"/>
      <c r="CH271" s="977"/>
      <c r="CI271" s="975"/>
      <c r="CJ271" s="976"/>
      <c r="CK271" s="976"/>
      <c r="CL271" s="976"/>
      <c r="CM271" s="976"/>
      <c r="CN271" s="976"/>
      <c r="CO271" s="976"/>
      <c r="CP271" s="976"/>
      <c r="CQ271" s="977"/>
      <c r="CR271" s="234"/>
      <c r="CS271" s="975"/>
      <c r="CT271" s="976"/>
      <c r="CU271" s="977"/>
      <c r="CV271" s="975"/>
      <c r="CW271" s="976"/>
      <c r="CX271" s="976"/>
      <c r="CY271" s="976"/>
      <c r="CZ271" s="976"/>
      <c r="DA271" s="976"/>
      <c r="DB271" s="976"/>
      <c r="DC271" s="976"/>
      <c r="DD271" s="976"/>
      <c r="DE271" s="976"/>
      <c r="DF271" s="976"/>
      <c r="DG271" s="976"/>
      <c r="DH271" s="976"/>
      <c r="DI271" s="977"/>
      <c r="DJ271" s="988"/>
      <c r="DK271" s="989"/>
      <c r="DL271" s="989"/>
      <c r="DM271" s="989"/>
      <c r="DN271" s="989"/>
      <c r="DO271" s="989"/>
      <c r="DP271" s="990"/>
      <c r="DQ271" s="988"/>
      <c r="DR271" s="989"/>
      <c r="DS271" s="989"/>
      <c r="DT271" s="989"/>
      <c r="DU271" s="989"/>
      <c r="DV271" s="989"/>
      <c r="DW271" s="990"/>
      <c r="DX271" s="975"/>
      <c r="DY271" s="976"/>
      <c r="DZ271" s="976"/>
      <c r="EA271" s="976"/>
      <c r="EB271" s="976"/>
      <c r="EC271" s="976"/>
      <c r="ED271" s="977"/>
      <c r="EE271" s="975"/>
      <c r="EF271" s="976"/>
      <c r="EG271" s="976"/>
      <c r="EH271" s="976"/>
      <c r="EI271" s="976"/>
      <c r="EJ271" s="976"/>
      <c r="EK271" s="976"/>
      <c r="EL271" s="976"/>
      <c r="EM271" s="977"/>
    </row>
    <row r="272" spans="1:143" ht="18.75" customHeight="1">
      <c r="A272" s="1042" t="s">
        <v>399</v>
      </c>
      <c r="B272" s="1043"/>
      <c r="C272" s="1043"/>
      <c r="D272" s="1031" t="s">
        <v>400</v>
      </c>
      <c r="E272" s="1032"/>
      <c r="F272" s="1032"/>
      <c r="G272" s="1032"/>
      <c r="H272" s="1032"/>
      <c r="I272" s="1032"/>
      <c r="J272" s="1032"/>
      <c r="K272" s="1032"/>
      <c r="L272" s="1032"/>
      <c r="M272" s="1032"/>
      <c r="N272" s="1032"/>
      <c r="O272" s="1032"/>
      <c r="P272" s="1032"/>
      <c r="Q272" s="1033"/>
      <c r="R272" s="1031" t="s">
        <v>401</v>
      </c>
      <c r="S272" s="1032"/>
      <c r="T272" s="1032"/>
      <c r="U272" s="1032"/>
      <c r="V272" s="1032"/>
      <c r="W272" s="1032"/>
      <c r="X272" s="1033"/>
      <c r="Y272" s="1031" t="s">
        <v>402</v>
      </c>
      <c r="Z272" s="1032"/>
      <c r="AA272" s="1032"/>
      <c r="AB272" s="1032"/>
      <c r="AC272" s="1032"/>
      <c r="AD272" s="1032"/>
      <c r="AE272" s="1033"/>
      <c r="AF272" s="1031" t="s">
        <v>403</v>
      </c>
      <c r="AG272" s="1032"/>
      <c r="AH272" s="1032"/>
      <c r="AI272" s="1032"/>
      <c r="AJ272" s="1032"/>
      <c r="AK272" s="1032"/>
      <c r="AL272" s="1033"/>
      <c r="AM272" s="1031" t="s">
        <v>404</v>
      </c>
      <c r="AN272" s="1032"/>
      <c r="AO272" s="1032"/>
      <c r="AP272" s="1032"/>
      <c r="AQ272" s="1032"/>
      <c r="AR272" s="1032"/>
      <c r="AS272" s="1032"/>
      <c r="AT272" s="1032"/>
      <c r="AU272" s="1033"/>
      <c r="AV272" s="486"/>
      <c r="AW272" s="1042" t="s">
        <v>399</v>
      </c>
      <c r="AX272" s="1043"/>
      <c r="AY272" s="1043"/>
      <c r="AZ272" s="1031" t="s">
        <v>400</v>
      </c>
      <c r="BA272" s="1032"/>
      <c r="BB272" s="1032"/>
      <c r="BC272" s="1032"/>
      <c r="BD272" s="1032"/>
      <c r="BE272" s="1032"/>
      <c r="BF272" s="1032"/>
      <c r="BG272" s="1032"/>
      <c r="BH272" s="1032"/>
      <c r="BI272" s="1032"/>
      <c r="BJ272" s="1032"/>
      <c r="BK272" s="1032"/>
      <c r="BL272" s="1032"/>
      <c r="BM272" s="1033"/>
      <c r="BN272" s="1031" t="s">
        <v>401</v>
      </c>
      <c r="BO272" s="1032"/>
      <c r="BP272" s="1032"/>
      <c r="BQ272" s="1032"/>
      <c r="BR272" s="1032"/>
      <c r="BS272" s="1032"/>
      <c r="BT272" s="1033"/>
      <c r="BU272" s="1031" t="s">
        <v>402</v>
      </c>
      <c r="BV272" s="1032"/>
      <c r="BW272" s="1032"/>
      <c r="BX272" s="1032"/>
      <c r="BY272" s="1032"/>
      <c r="BZ272" s="1032"/>
      <c r="CA272" s="1033"/>
      <c r="CB272" s="1031" t="s">
        <v>403</v>
      </c>
      <c r="CC272" s="1032"/>
      <c r="CD272" s="1032"/>
      <c r="CE272" s="1032"/>
      <c r="CF272" s="1032"/>
      <c r="CG272" s="1032"/>
      <c r="CH272" s="1033"/>
      <c r="CI272" s="1031" t="s">
        <v>404</v>
      </c>
      <c r="CJ272" s="1032"/>
      <c r="CK272" s="1032"/>
      <c r="CL272" s="1032"/>
      <c r="CM272" s="1032"/>
      <c r="CN272" s="1032"/>
      <c r="CO272" s="1032"/>
      <c r="CP272" s="1032"/>
      <c r="CQ272" s="1033"/>
      <c r="CR272" s="486"/>
      <c r="CS272" s="1042" t="s">
        <v>399</v>
      </c>
      <c r="CT272" s="1043"/>
      <c r="CU272" s="1043"/>
      <c r="CV272" s="1031" t="s">
        <v>400</v>
      </c>
      <c r="CW272" s="1032"/>
      <c r="CX272" s="1032"/>
      <c r="CY272" s="1032"/>
      <c r="CZ272" s="1032"/>
      <c r="DA272" s="1032"/>
      <c r="DB272" s="1032"/>
      <c r="DC272" s="1032"/>
      <c r="DD272" s="1032"/>
      <c r="DE272" s="1032"/>
      <c r="DF272" s="1032"/>
      <c r="DG272" s="1032"/>
      <c r="DH272" s="1032"/>
      <c r="DI272" s="1033"/>
      <c r="DJ272" s="1031" t="s">
        <v>401</v>
      </c>
      <c r="DK272" s="1032"/>
      <c r="DL272" s="1032"/>
      <c r="DM272" s="1032"/>
      <c r="DN272" s="1032"/>
      <c r="DO272" s="1032"/>
      <c r="DP272" s="1033"/>
      <c r="DQ272" s="1031" t="s">
        <v>402</v>
      </c>
      <c r="DR272" s="1032"/>
      <c r="DS272" s="1032"/>
      <c r="DT272" s="1032"/>
      <c r="DU272" s="1032"/>
      <c r="DV272" s="1032"/>
      <c r="DW272" s="1033"/>
      <c r="DX272" s="1031" t="s">
        <v>403</v>
      </c>
      <c r="DY272" s="1032"/>
      <c r="DZ272" s="1032"/>
      <c r="EA272" s="1032"/>
      <c r="EB272" s="1032"/>
      <c r="EC272" s="1032"/>
      <c r="ED272" s="1033"/>
      <c r="EE272" s="1031" t="s">
        <v>404</v>
      </c>
      <c r="EF272" s="1032"/>
      <c r="EG272" s="1032"/>
      <c r="EH272" s="1032"/>
      <c r="EI272" s="1032"/>
      <c r="EJ272" s="1032"/>
      <c r="EK272" s="1032"/>
      <c r="EL272" s="1032"/>
      <c r="EM272" s="1033"/>
    </row>
    <row r="273" spans="1:143" ht="18.75" customHeight="1">
      <c r="A273" s="952" t="s">
        <v>399</v>
      </c>
      <c r="B273" s="952"/>
      <c r="C273" s="952"/>
      <c r="D273" s="953">
        <f>I$16</f>
        <v>0</v>
      </c>
      <c r="E273" s="954"/>
      <c r="F273" s="954"/>
      <c r="G273" s="954"/>
      <c r="H273" s="954"/>
      <c r="I273" s="954"/>
      <c r="J273" s="954"/>
      <c r="K273" s="954"/>
      <c r="L273" s="954"/>
      <c r="M273" s="954"/>
      <c r="N273" s="954"/>
      <c r="O273" s="954"/>
      <c r="P273" s="954"/>
      <c r="Q273" s="955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2">
        <f>I$13</f>
        <v>0</v>
      </c>
      <c r="AG273" s="963"/>
      <c r="AH273" s="963"/>
      <c r="AI273" s="963"/>
      <c r="AJ273" s="963"/>
      <c r="AK273" s="963"/>
      <c r="AL273" s="964"/>
      <c r="AM273" s="1028"/>
      <c r="AN273" s="1029"/>
      <c r="AO273" s="1029"/>
      <c r="AP273" s="1029"/>
      <c r="AQ273" s="1029"/>
      <c r="AR273" s="1029"/>
      <c r="AS273" s="1029"/>
      <c r="AT273" s="1029"/>
      <c r="AU273" s="1030"/>
      <c r="AW273" s="952" t="s">
        <v>399</v>
      </c>
      <c r="AX273" s="952"/>
      <c r="AY273" s="952"/>
      <c r="AZ273" s="953">
        <f>BE$16</f>
        <v>0</v>
      </c>
      <c r="BA273" s="954"/>
      <c r="BB273" s="954"/>
      <c r="BC273" s="954"/>
      <c r="BD273" s="954"/>
      <c r="BE273" s="954"/>
      <c r="BF273" s="954"/>
      <c r="BG273" s="954"/>
      <c r="BH273" s="954"/>
      <c r="BI273" s="954"/>
      <c r="BJ273" s="954"/>
      <c r="BK273" s="954"/>
      <c r="BL273" s="954"/>
      <c r="BM273" s="955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2">
        <f>BE$13</f>
        <v>0</v>
      </c>
      <c r="CC273" s="963"/>
      <c r="CD273" s="963"/>
      <c r="CE273" s="963"/>
      <c r="CF273" s="963"/>
      <c r="CG273" s="963"/>
      <c r="CH273" s="964"/>
      <c r="CI273" s="1028"/>
      <c r="CJ273" s="1029"/>
      <c r="CK273" s="1029"/>
      <c r="CL273" s="1029"/>
      <c r="CM273" s="1029"/>
      <c r="CN273" s="1029"/>
      <c r="CO273" s="1029"/>
      <c r="CP273" s="1029"/>
      <c r="CQ273" s="1030"/>
      <c r="CR273" s="234"/>
      <c r="CS273" s="952" t="s">
        <v>399</v>
      </c>
      <c r="CT273" s="952"/>
      <c r="CU273" s="952"/>
      <c r="CV273" s="953">
        <f>DA$16</f>
        <v>0</v>
      </c>
      <c r="CW273" s="954"/>
      <c r="CX273" s="954"/>
      <c r="CY273" s="954"/>
      <c r="CZ273" s="954"/>
      <c r="DA273" s="954"/>
      <c r="DB273" s="954"/>
      <c r="DC273" s="954"/>
      <c r="DD273" s="954"/>
      <c r="DE273" s="954"/>
      <c r="DF273" s="954"/>
      <c r="DG273" s="954"/>
      <c r="DH273" s="954"/>
      <c r="DI273" s="955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2">
        <f>DA$13</f>
        <v>0</v>
      </c>
      <c r="DY273" s="963"/>
      <c r="DZ273" s="963"/>
      <c r="EA273" s="963"/>
      <c r="EB273" s="963"/>
      <c r="EC273" s="963"/>
      <c r="ED273" s="964"/>
      <c r="EE273" s="1028"/>
      <c r="EF273" s="1029"/>
      <c r="EG273" s="1029"/>
      <c r="EH273" s="1029"/>
      <c r="EI273" s="1029"/>
      <c r="EJ273" s="1029"/>
      <c r="EK273" s="1029"/>
      <c r="EL273" s="1029"/>
      <c r="EM273" s="1030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2">
        <f>SUM(AF273:AL273)</f>
        <v>0</v>
      </c>
      <c r="AG274" s="963"/>
      <c r="AH274" s="963"/>
      <c r="AI274" s="963"/>
      <c r="AJ274" s="963"/>
      <c r="AK274" s="963"/>
      <c r="AL274" s="964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2">
        <f>SUM(CB273:CH273)</f>
        <v>0</v>
      </c>
      <c r="CC274" s="963"/>
      <c r="CD274" s="963"/>
      <c r="CE274" s="963"/>
      <c r="CF274" s="963"/>
      <c r="CG274" s="963"/>
      <c r="CH274" s="964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2">
        <f>SUM(DX273:ED273)</f>
        <v>0</v>
      </c>
      <c r="DY274" s="963"/>
      <c r="DZ274" s="963"/>
      <c r="EA274" s="963"/>
      <c r="EB274" s="963"/>
      <c r="EC274" s="963"/>
      <c r="ED274" s="964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6"/>
      <c r="Q276" s="957"/>
      <c r="R276" s="957"/>
      <c r="S276" s="957"/>
      <c r="T276" s="957"/>
      <c r="U276" s="957"/>
      <c r="V276" s="957"/>
      <c r="W276" s="957"/>
      <c r="X276" s="957"/>
      <c r="Y276" s="957"/>
      <c r="Z276" s="957"/>
      <c r="AA276" s="957"/>
      <c r="AB276" s="957"/>
      <c r="AC276" s="957"/>
      <c r="AD276" s="957"/>
      <c r="AE276" s="957"/>
      <c r="AF276" s="957"/>
      <c r="AG276" s="957"/>
      <c r="AH276" s="957"/>
      <c r="AI276" s="957"/>
      <c r="AJ276" s="957"/>
      <c r="AK276" s="957"/>
      <c r="AL276" s="95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6"/>
      <c r="BM276" s="957"/>
      <c r="BN276" s="957"/>
      <c r="BO276" s="957"/>
      <c r="BP276" s="957"/>
      <c r="BQ276" s="957"/>
      <c r="BR276" s="957"/>
      <c r="BS276" s="957"/>
      <c r="BT276" s="957"/>
      <c r="BU276" s="957"/>
      <c r="BV276" s="957"/>
      <c r="BW276" s="957"/>
      <c r="BX276" s="957"/>
      <c r="BY276" s="957"/>
      <c r="BZ276" s="957"/>
      <c r="CA276" s="957"/>
      <c r="CB276" s="957"/>
      <c r="CC276" s="957"/>
      <c r="CD276" s="957"/>
      <c r="CE276" s="957"/>
      <c r="CF276" s="957"/>
      <c r="CG276" s="957"/>
      <c r="CH276" s="95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6"/>
      <c r="DI276" s="957"/>
      <c r="DJ276" s="957"/>
      <c r="DK276" s="957"/>
      <c r="DL276" s="957"/>
      <c r="DM276" s="957"/>
      <c r="DN276" s="957"/>
      <c r="DO276" s="957"/>
      <c r="DP276" s="957"/>
      <c r="DQ276" s="957"/>
      <c r="DR276" s="957"/>
      <c r="DS276" s="957"/>
      <c r="DT276" s="957"/>
      <c r="DU276" s="957"/>
      <c r="DV276" s="957"/>
      <c r="DW276" s="957"/>
      <c r="DX276" s="957"/>
      <c r="DY276" s="957"/>
      <c r="DZ276" s="957"/>
      <c r="EA276" s="957"/>
      <c r="EB276" s="957"/>
      <c r="EC276" s="957"/>
      <c r="ED276" s="95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6"/>
      <c r="Q278" s="957"/>
      <c r="R278" s="957"/>
      <c r="S278" s="957"/>
      <c r="T278" s="957"/>
      <c r="U278" s="957"/>
      <c r="V278" s="957"/>
      <c r="W278" s="957"/>
      <c r="X278" s="957"/>
      <c r="Y278" s="957"/>
      <c r="Z278" s="957"/>
      <c r="AA278" s="957"/>
      <c r="AB278" s="957"/>
      <c r="AC278" s="957"/>
      <c r="AD278" s="957"/>
      <c r="AE278" s="957"/>
      <c r="AF278" s="957"/>
      <c r="AG278" s="957"/>
      <c r="AH278" s="957"/>
      <c r="AI278" s="957"/>
      <c r="AJ278" s="957"/>
      <c r="AK278" s="957"/>
      <c r="AL278" s="95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6"/>
      <c r="BM278" s="957"/>
      <c r="BN278" s="957"/>
      <c r="BO278" s="957"/>
      <c r="BP278" s="957"/>
      <c r="BQ278" s="957"/>
      <c r="BR278" s="957"/>
      <c r="BS278" s="957"/>
      <c r="BT278" s="957"/>
      <c r="BU278" s="957"/>
      <c r="BV278" s="957"/>
      <c r="BW278" s="957"/>
      <c r="BX278" s="957"/>
      <c r="BY278" s="957"/>
      <c r="BZ278" s="957"/>
      <c r="CA278" s="957"/>
      <c r="CB278" s="957"/>
      <c r="CC278" s="957"/>
      <c r="CD278" s="957"/>
      <c r="CE278" s="957"/>
      <c r="CF278" s="957"/>
      <c r="CG278" s="957"/>
      <c r="CH278" s="95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6"/>
      <c r="DI278" s="957"/>
      <c r="DJ278" s="957"/>
      <c r="DK278" s="957"/>
      <c r="DL278" s="957"/>
      <c r="DM278" s="957"/>
      <c r="DN278" s="957"/>
      <c r="DO278" s="957"/>
      <c r="DP278" s="957"/>
      <c r="DQ278" s="957"/>
      <c r="DR278" s="957"/>
      <c r="DS278" s="957"/>
      <c r="DT278" s="957"/>
      <c r="DU278" s="957"/>
      <c r="DV278" s="957"/>
      <c r="DW278" s="957"/>
      <c r="DX278" s="957"/>
      <c r="DY278" s="957"/>
      <c r="DZ278" s="957"/>
      <c r="EA278" s="957"/>
      <c r="EB278" s="957"/>
      <c r="EC278" s="957"/>
      <c r="ED278" s="95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6"/>
      <c r="Q280" s="957"/>
      <c r="R280" s="957"/>
      <c r="S280" s="957"/>
      <c r="T280" s="957"/>
      <c r="U280" s="957"/>
      <c r="V280" s="957"/>
      <c r="W280" s="957"/>
      <c r="X280" s="957"/>
      <c r="Y280" s="957"/>
      <c r="Z280" s="957"/>
      <c r="AA280" s="957"/>
      <c r="AB280" s="957"/>
      <c r="AC280" s="957"/>
      <c r="AD280" s="957"/>
      <c r="AE280" s="957"/>
      <c r="AF280" s="957"/>
      <c r="AG280" s="957"/>
      <c r="AH280" s="957"/>
      <c r="AI280" s="957"/>
      <c r="AJ280" s="957"/>
      <c r="AK280" s="957"/>
      <c r="AL280" s="95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6"/>
      <c r="BM280" s="957"/>
      <c r="BN280" s="957"/>
      <c r="BO280" s="957"/>
      <c r="BP280" s="957"/>
      <c r="BQ280" s="957"/>
      <c r="BR280" s="957"/>
      <c r="BS280" s="957"/>
      <c r="BT280" s="957"/>
      <c r="BU280" s="957"/>
      <c r="BV280" s="957"/>
      <c r="BW280" s="957"/>
      <c r="BX280" s="957"/>
      <c r="BY280" s="957"/>
      <c r="BZ280" s="957"/>
      <c r="CA280" s="957"/>
      <c r="CB280" s="957"/>
      <c r="CC280" s="957"/>
      <c r="CD280" s="957"/>
      <c r="CE280" s="957"/>
      <c r="CF280" s="957"/>
      <c r="CG280" s="957"/>
      <c r="CH280" s="95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6"/>
      <c r="DI280" s="957"/>
      <c r="DJ280" s="957"/>
      <c r="DK280" s="957"/>
      <c r="DL280" s="957"/>
      <c r="DM280" s="957"/>
      <c r="DN280" s="957"/>
      <c r="DO280" s="957"/>
      <c r="DP280" s="957"/>
      <c r="DQ280" s="957"/>
      <c r="DR280" s="957"/>
      <c r="DS280" s="957"/>
      <c r="DT280" s="957"/>
      <c r="DU280" s="957"/>
      <c r="DV280" s="957"/>
      <c r="DW280" s="957"/>
      <c r="DX280" s="957"/>
      <c r="DY280" s="957"/>
      <c r="DZ280" s="957"/>
      <c r="EA280" s="957"/>
      <c r="EB280" s="957"/>
      <c r="EC280" s="957"/>
      <c r="ED280" s="95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9"/>
      <c r="F282" s="949"/>
      <c r="G282" s="949"/>
      <c r="H282" s="321"/>
      <c r="I282" s="949"/>
      <c r="J282" s="949"/>
      <c r="K282" s="949"/>
      <c r="L282" s="949"/>
      <c r="M282" s="949"/>
      <c r="N282" s="949"/>
      <c r="O282" s="949"/>
      <c r="P282" s="949"/>
      <c r="Q282" s="949"/>
      <c r="R282" s="949"/>
      <c r="S282" s="949"/>
      <c r="T282" s="949"/>
      <c r="U282" s="949"/>
      <c r="V282" s="949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9"/>
      <c r="BB282" s="949"/>
      <c r="BC282" s="949"/>
      <c r="BD282" s="321"/>
      <c r="BE282" s="949"/>
      <c r="BF282" s="949"/>
      <c r="BG282" s="949"/>
      <c r="BH282" s="949"/>
      <c r="BI282" s="949"/>
      <c r="BJ282" s="949"/>
      <c r="BK282" s="949"/>
      <c r="BL282" s="949"/>
      <c r="BM282" s="949"/>
      <c r="BN282" s="949"/>
      <c r="BO282" s="949"/>
      <c r="BP282" s="949"/>
      <c r="BQ282" s="949"/>
      <c r="BR282" s="949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9"/>
      <c r="CX282" s="949"/>
      <c r="CY282" s="949"/>
      <c r="CZ282" s="321"/>
      <c r="DA282" s="949"/>
      <c r="DB282" s="949"/>
      <c r="DC282" s="949"/>
      <c r="DD282" s="949"/>
      <c r="DE282" s="949"/>
      <c r="DF282" s="949"/>
      <c r="DG282" s="949"/>
      <c r="DH282" s="949"/>
      <c r="DI282" s="949"/>
      <c r="DJ282" s="949"/>
      <c r="DK282" s="949"/>
      <c r="DL282" s="949"/>
      <c r="DM282" s="949"/>
      <c r="DN282" s="949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47" t="s">
        <v>5</v>
      </c>
      <c r="F283" s="947"/>
      <c r="G283" s="947"/>
      <c r="H283" s="234"/>
      <c r="I283" s="947" t="s">
        <v>6</v>
      </c>
      <c r="J283" s="947"/>
      <c r="K283" s="947"/>
      <c r="L283" s="947"/>
      <c r="M283" s="947"/>
      <c r="N283" s="947"/>
      <c r="O283" s="947"/>
      <c r="P283" s="947"/>
      <c r="Q283" s="947"/>
      <c r="R283" s="947"/>
      <c r="S283" s="947"/>
      <c r="T283" s="947"/>
      <c r="U283" s="947"/>
      <c r="V283" s="947"/>
      <c r="W283" s="81"/>
      <c r="AP283" s="81"/>
      <c r="AQ283" s="81"/>
      <c r="AR283" s="81"/>
      <c r="AS283" s="81"/>
      <c r="AT283" s="81"/>
      <c r="AU283" s="97"/>
      <c r="AW283" s="81"/>
      <c r="AX283" s="81"/>
      <c r="BA283" s="947" t="s">
        <v>5</v>
      </c>
      <c r="BB283" s="947"/>
      <c r="BC283" s="947"/>
      <c r="BD283" s="234"/>
      <c r="BE283" s="947" t="s">
        <v>6</v>
      </c>
      <c r="BF283" s="947"/>
      <c r="BG283" s="947"/>
      <c r="BH283" s="947"/>
      <c r="BI283" s="947"/>
      <c r="BJ283" s="947"/>
      <c r="BK283" s="947"/>
      <c r="BL283" s="947"/>
      <c r="BM283" s="947"/>
      <c r="BN283" s="947"/>
      <c r="BO283" s="947"/>
      <c r="BP283" s="947"/>
      <c r="BQ283" s="947"/>
      <c r="BR283" s="947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7" t="s">
        <v>5</v>
      </c>
      <c r="CX283" s="947"/>
      <c r="CY283" s="947"/>
      <c r="CZ283" s="234"/>
      <c r="DA283" s="947" t="s">
        <v>6</v>
      </c>
      <c r="DB283" s="947"/>
      <c r="DC283" s="947"/>
      <c r="DD283" s="947"/>
      <c r="DE283" s="947"/>
      <c r="DF283" s="947"/>
      <c r="DG283" s="947"/>
      <c r="DH283" s="947"/>
      <c r="DI283" s="947"/>
      <c r="DJ283" s="947"/>
      <c r="DK283" s="947"/>
      <c r="DL283" s="947"/>
      <c r="DM283" s="947"/>
      <c r="DN283" s="947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943" t="s">
        <v>179</v>
      </c>
      <c r="D284" s="943"/>
      <c r="E284" s="942"/>
      <c r="F284" s="942"/>
      <c r="G284" s="942"/>
      <c r="H284" s="941"/>
      <c r="I284" s="941"/>
      <c r="J284" s="946"/>
      <c r="K284" s="946"/>
      <c r="L284" s="946"/>
      <c r="M284" s="944" t="s">
        <v>180</v>
      </c>
      <c r="N284" s="944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3" t="s">
        <v>179</v>
      </c>
      <c r="AZ284" s="943"/>
      <c r="BA284" s="942"/>
      <c r="BB284" s="942"/>
      <c r="BC284" s="942"/>
      <c r="BD284" s="941"/>
      <c r="BE284" s="941"/>
      <c r="BF284" s="946"/>
      <c r="BG284" s="946"/>
      <c r="BH284" s="946"/>
      <c r="BI284" s="944" t="s">
        <v>180</v>
      </c>
      <c r="BJ284" s="944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3" t="s">
        <v>179</v>
      </c>
      <c r="CV284" s="943"/>
      <c r="CW284" s="942"/>
      <c r="CX284" s="942"/>
      <c r="CY284" s="942"/>
      <c r="CZ284" s="941"/>
      <c r="DA284" s="941"/>
      <c r="DB284" s="946"/>
      <c r="DC284" s="946"/>
      <c r="DD284" s="946"/>
      <c r="DE284" s="944" t="s">
        <v>180</v>
      </c>
      <c r="DF284" s="944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27" t="s">
        <v>140</v>
      </c>
      <c r="F286" s="1027"/>
      <c r="G286" s="1027"/>
      <c r="H286" s="1027"/>
      <c r="I286" s="1027"/>
      <c r="J286" s="81"/>
      <c r="K286" s="81"/>
      <c r="L286" s="960"/>
      <c r="M286" s="960"/>
      <c r="N286" s="960"/>
      <c r="O286" s="960"/>
      <c r="P286" s="960"/>
      <c r="Q286" s="960"/>
      <c r="R286" s="960"/>
      <c r="S286" s="960"/>
      <c r="T286" s="960"/>
      <c r="U286" s="960"/>
      <c r="V286" s="1023">
        <f>I$9</f>
        <v>0</v>
      </c>
      <c r="W286" s="959"/>
      <c r="X286" s="959"/>
      <c r="Y286" s="959"/>
      <c r="Z286" s="959"/>
      <c r="AA286" s="959"/>
      <c r="AB286" s="959"/>
      <c r="AC286" s="959"/>
      <c r="AD286" s="959"/>
      <c r="AE286" s="959"/>
      <c r="AF286" s="959"/>
      <c r="AG286" s="959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7" t="s">
        <v>140</v>
      </c>
      <c r="BB286" s="1027"/>
      <c r="BC286" s="1027"/>
      <c r="BD286" s="1027"/>
      <c r="BE286" s="1027"/>
      <c r="BF286" s="81"/>
      <c r="BG286" s="81"/>
      <c r="BH286" s="960"/>
      <c r="BI286" s="960"/>
      <c r="BJ286" s="960"/>
      <c r="BK286" s="960"/>
      <c r="BL286" s="960"/>
      <c r="BM286" s="960"/>
      <c r="BN286" s="960"/>
      <c r="BO286" s="960"/>
      <c r="BP286" s="960"/>
      <c r="BQ286" s="960"/>
      <c r="BR286" s="1023">
        <f>BE$9</f>
        <v>0</v>
      </c>
      <c r="BS286" s="959"/>
      <c r="BT286" s="959"/>
      <c r="BU286" s="959"/>
      <c r="BV286" s="959"/>
      <c r="BW286" s="959"/>
      <c r="BX286" s="959"/>
      <c r="BY286" s="959"/>
      <c r="BZ286" s="959"/>
      <c r="CA286" s="959"/>
      <c r="CB286" s="959"/>
      <c r="CC286" s="959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7" t="s">
        <v>140</v>
      </c>
      <c r="CX286" s="1027"/>
      <c r="CY286" s="1027"/>
      <c r="CZ286" s="1027"/>
      <c r="DA286" s="1027"/>
      <c r="DB286" s="81"/>
      <c r="DC286" s="81"/>
      <c r="DD286" s="960"/>
      <c r="DE286" s="960"/>
      <c r="DF286" s="960"/>
      <c r="DG286" s="960"/>
      <c r="DH286" s="960"/>
      <c r="DI286" s="960"/>
      <c r="DJ286" s="960"/>
      <c r="DK286" s="960"/>
      <c r="DL286" s="960"/>
      <c r="DM286" s="960"/>
      <c r="DN286" s="1023">
        <f>DA$9</f>
        <v>0</v>
      </c>
      <c r="DO286" s="959"/>
      <c r="DP286" s="959"/>
      <c r="DQ286" s="959"/>
      <c r="DR286" s="959"/>
      <c r="DS286" s="959"/>
      <c r="DT286" s="959"/>
      <c r="DU286" s="959"/>
      <c r="DV286" s="959"/>
      <c r="DW286" s="959"/>
      <c r="DX286" s="959"/>
      <c r="DY286" s="959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47"/>
      <c r="F287" s="947"/>
      <c r="G287" s="947"/>
      <c r="H287" s="947"/>
      <c r="I287" s="947"/>
      <c r="J287" s="81"/>
      <c r="K287" s="81"/>
      <c r="L287" s="947" t="s">
        <v>5</v>
      </c>
      <c r="M287" s="947"/>
      <c r="N287" s="947"/>
      <c r="O287" s="947"/>
      <c r="P287" s="947"/>
      <c r="Q287" s="947"/>
      <c r="R287" s="947"/>
      <c r="S287" s="947"/>
      <c r="T287" s="947"/>
      <c r="U287" s="947"/>
      <c r="V287" s="947"/>
      <c r="W287" s="947"/>
      <c r="X287" s="947"/>
      <c r="Y287" s="947"/>
      <c r="Z287" s="947"/>
      <c r="AA287" s="947"/>
      <c r="AB287" s="947"/>
      <c r="AC287" s="947"/>
      <c r="AD287" s="947"/>
      <c r="AE287" s="947"/>
      <c r="AF287" s="947"/>
      <c r="AG287" s="947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7"/>
      <c r="BB287" s="947"/>
      <c r="BC287" s="947"/>
      <c r="BD287" s="947"/>
      <c r="BE287" s="947"/>
      <c r="BF287" s="81"/>
      <c r="BG287" s="81"/>
      <c r="BH287" s="947" t="s">
        <v>5</v>
      </c>
      <c r="BI287" s="947"/>
      <c r="BJ287" s="947"/>
      <c r="BK287" s="947"/>
      <c r="BL287" s="947"/>
      <c r="BM287" s="947"/>
      <c r="BN287" s="947"/>
      <c r="BO287" s="947"/>
      <c r="BP287" s="947"/>
      <c r="BQ287" s="947"/>
      <c r="BR287" s="947"/>
      <c r="BS287" s="947"/>
      <c r="BT287" s="947"/>
      <c r="BU287" s="947"/>
      <c r="BV287" s="947"/>
      <c r="BW287" s="947"/>
      <c r="BX287" s="947"/>
      <c r="BY287" s="947"/>
      <c r="BZ287" s="947"/>
      <c r="CA287" s="947"/>
      <c r="CB287" s="947"/>
      <c r="CC287" s="947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7"/>
      <c r="CX287" s="947"/>
      <c r="CY287" s="947"/>
      <c r="CZ287" s="947"/>
      <c r="DA287" s="947"/>
      <c r="DB287" s="81"/>
      <c r="DC287" s="81"/>
      <c r="DD287" s="947" t="s">
        <v>5</v>
      </c>
      <c r="DE287" s="947"/>
      <c r="DF287" s="947"/>
      <c r="DG287" s="947"/>
      <c r="DH287" s="947"/>
      <c r="DI287" s="947"/>
      <c r="DJ287" s="947"/>
      <c r="DK287" s="947"/>
      <c r="DL287" s="947"/>
      <c r="DM287" s="947"/>
      <c r="DN287" s="947"/>
      <c r="DO287" s="947"/>
      <c r="DP287" s="947"/>
      <c r="DQ287" s="947"/>
      <c r="DR287" s="947"/>
      <c r="DS287" s="947"/>
      <c r="DT287" s="947"/>
      <c r="DU287" s="947"/>
      <c r="DV287" s="947"/>
      <c r="DW287" s="947"/>
      <c r="DX287" s="947"/>
      <c r="DY287" s="947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943" t="s">
        <v>179</v>
      </c>
      <c r="D288" s="943"/>
      <c r="E288" s="942"/>
      <c r="F288" s="942"/>
      <c r="G288" s="942"/>
      <c r="H288" s="941"/>
      <c r="I288" s="941"/>
      <c r="J288" s="946"/>
      <c r="K288" s="946"/>
      <c r="L288" s="946"/>
      <c r="M288" s="944" t="s">
        <v>180</v>
      </c>
      <c r="N288" s="944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3" t="s">
        <v>179</v>
      </c>
      <c r="AZ288" s="943"/>
      <c r="BA288" s="942"/>
      <c r="BB288" s="942"/>
      <c r="BC288" s="942"/>
      <c r="BD288" s="941"/>
      <c r="BE288" s="941"/>
      <c r="BF288" s="946"/>
      <c r="BG288" s="946"/>
      <c r="BH288" s="946"/>
      <c r="BI288" s="944" t="s">
        <v>180</v>
      </c>
      <c r="BJ288" s="944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3" t="s">
        <v>179</v>
      </c>
      <c r="CV288" s="943"/>
      <c r="CW288" s="942"/>
      <c r="CX288" s="942"/>
      <c r="CY288" s="942"/>
      <c r="CZ288" s="941"/>
      <c r="DA288" s="941"/>
      <c r="DB288" s="946"/>
      <c r="DC288" s="946"/>
      <c r="DD288" s="946"/>
      <c r="DE288" s="944" t="s">
        <v>180</v>
      </c>
      <c r="DF288" s="944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9"/>
      <c r="F290" s="949"/>
      <c r="G290" s="949"/>
      <c r="H290" s="949"/>
      <c r="I290" s="81"/>
      <c r="J290" s="81"/>
      <c r="K290" s="949"/>
      <c r="L290" s="949"/>
      <c r="M290" s="949"/>
      <c r="N290" s="949"/>
      <c r="O290" s="949"/>
      <c r="P290" s="949"/>
      <c r="Q290" s="949"/>
      <c r="R290" s="949"/>
      <c r="S290" s="949"/>
      <c r="T290" s="949"/>
      <c r="U290" s="949"/>
      <c r="V290" s="949"/>
      <c r="W290" s="949"/>
      <c r="X290" s="949"/>
      <c r="Y290" s="949"/>
      <c r="Z290" s="949"/>
      <c r="AA290" s="949"/>
      <c r="AB290" s="949"/>
      <c r="AC290" s="949"/>
      <c r="AD290" s="949"/>
      <c r="AE290" s="949"/>
      <c r="AF290" s="949"/>
      <c r="AG290" s="949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9"/>
      <c r="BB290" s="949"/>
      <c r="BC290" s="949"/>
      <c r="BD290" s="949"/>
      <c r="BE290" s="81"/>
      <c r="BF290" s="81"/>
      <c r="BG290" s="949"/>
      <c r="BH290" s="949"/>
      <c r="BI290" s="949"/>
      <c r="BJ290" s="949"/>
      <c r="BK290" s="949"/>
      <c r="BL290" s="949"/>
      <c r="BM290" s="949"/>
      <c r="BN290" s="949"/>
      <c r="BO290" s="949"/>
      <c r="BP290" s="949"/>
      <c r="BQ290" s="949"/>
      <c r="BR290" s="949"/>
      <c r="BS290" s="949"/>
      <c r="BT290" s="949"/>
      <c r="BU290" s="949"/>
      <c r="BV290" s="949"/>
      <c r="BW290" s="949"/>
      <c r="BX290" s="949"/>
      <c r="BY290" s="949"/>
      <c r="BZ290" s="949"/>
      <c r="CA290" s="949"/>
      <c r="CB290" s="949"/>
      <c r="CC290" s="949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9"/>
      <c r="CX290" s="949"/>
      <c r="CY290" s="949"/>
      <c r="CZ290" s="949"/>
      <c r="DA290" s="81"/>
      <c r="DB290" s="81"/>
      <c r="DC290" s="949"/>
      <c r="DD290" s="949"/>
      <c r="DE290" s="949"/>
      <c r="DF290" s="949"/>
      <c r="DG290" s="949"/>
      <c r="DH290" s="949"/>
      <c r="DI290" s="949"/>
      <c r="DJ290" s="949"/>
      <c r="DK290" s="949"/>
      <c r="DL290" s="949"/>
      <c r="DM290" s="949"/>
      <c r="DN290" s="949"/>
      <c r="DO290" s="949"/>
      <c r="DP290" s="949"/>
      <c r="DQ290" s="949"/>
      <c r="DR290" s="949"/>
      <c r="DS290" s="949"/>
      <c r="DT290" s="949"/>
      <c r="DU290" s="949"/>
      <c r="DV290" s="949"/>
      <c r="DW290" s="949"/>
      <c r="DX290" s="949"/>
      <c r="DY290" s="949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47"/>
      <c r="F291" s="947"/>
      <c r="G291" s="947"/>
      <c r="H291" s="947"/>
      <c r="I291" s="81"/>
      <c r="J291" s="81"/>
      <c r="K291" s="947" t="s">
        <v>5</v>
      </c>
      <c r="L291" s="947"/>
      <c r="M291" s="947"/>
      <c r="N291" s="947"/>
      <c r="O291" s="947"/>
      <c r="P291" s="947"/>
      <c r="Q291" s="947"/>
      <c r="R291" s="947"/>
      <c r="S291" s="947"/>
      <c r="T291" s="947"/>
      <c r="U291" s="947"/>
      <c r="V291" s="947"/>
      <c r="W291" s="947"/>
      <c r="X291" s="947"/>
      <c r="Y291" s="947"/>
      <c r="Z291" s="947"/>
      <c r="AA291" s="947"/>
      <c r="AB291" s="947"/>
      <c r="AC291" s="947"/>
      <c r="AD291" s="947"/>
      <c r="AE291" s="947"/>
      <c r="AF291" s="947"/>
      <c r="AG291" s="947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7"/>
      <c r="BB291" s="947"/>
      <c r="BC291" s="947"/>
      <c r="BD291" s="947"/>
      <c r="BE291" s="81"/>
      <c r="BF291" s="81"/>
      <c r="BG291" s="947" t="s">
        <v>5</v>
      </c>
      <c r="BH291" s="947"/>
      <c r="BI291" s="947"/>
      <c r="BJ291" s="947"/>
      <c r="BK291" s="947"/>
      <c r="BL291" s="947"/>
      <c r="BM291" s="947"/>
      <c r="BN291" s="947"/>
      <c r="BO291" s="947"/>
      <c r="BP291" s="947"/>
      <c r="BQ291" s="947"/>
      <c r="BR291" s="947"/>
      <c r="BS291" s="947"/>
      <c r="BT291" s="947"/>
      <c r="BU291" s="947"/>
      <c r="BV291" s="947"/>
      <c r="BW291" s="947"/>
      <c r="BX291" s="947"/>
      <c r="BY291" s="947"/>
      <c r="BZ291" s="947"/>
      <c r="CA291" s="947"/>
      <c r="CB291" s="947"/>
      <c r="CC291" s="947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7"/>
      <c r="CX291" s="947"/>
      <c r="CY291" s="947"/>
      <c r="CZ291" s="947"/>
      <c r="DA291" s="81"/>
      <c r="DB291" s="81"/>
      <c r="DC291" s="947" t="s">
        <v>5</v>
      </c>
      <c r="DD291" s="947"/>
      <c r="DE291" s="947"/>
      <c r="DF291" s="947"/>
      <c r="DG291" s="947"/>
      <c r="DH291" s="947"/>
      <c r="DI291" s="947"/>
      <c r="DJ291" s="947"/>
      <c r="DK291" s="947"/>
      <c r="DL291" s="947"/>
      <c r="DM291" s="947"/>
      <c r="DN291" s="947"/>
      <c r="DO291" s="947"/>
      <c r="DP291" s="947"/>
      <c r="DQ291" s="947"/>
      <c r="DR291" s="947"/>
      <c r="DS291" s="947"/>
      <c r="DT291" s="947"/>
      <c r="DU291" s="947"/>
      <c r="DV291" s="947"/>
      <c r="DW291" s="947"/>
      <c r="DX291" s="947"/>
      <c r="DY291" s="947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9"/>
      <c r="F292" s="949"/>
      <c r="G292" s="949"/>
      <c r="H292" s="949"/>
      <c r="I292" s="106"/>
      <c r="J292" s="106"/>
      <c r="K292" s="949"/>
      <c r="L292" s="949"/>
      <c r="M292" s="949"/>
      <c r="N292" s="949"/>
      <c r="O292" s="949"/>
      <c r="P292" s="949"/>
      <c r="Q292" s="949"/>
      <c r="R292" s="949"/>
      <c r="S292" s="949"/>
      <c r="T292" s="949"/>
      <c r="U292" s="949"/>
      <c r="V292" s="949"/>
      <c r="W292" s="949"/>
      <c r="X292" s="949"/>
      <c r="Y292" s="949"/>
      <c r="Z292" s="949"/>
      <c r="AA292" s="949"/>
      <c r="AB292" s="949"/>
      <c r="AC292" s="949"/>
      <c r="AD292" s="949"/>
      <c r="AE292" s="949"/>
      <c r="AF292" s="949"/>
      <c r="AG292" s="949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9"/>
      <c r="BB292" s="949"/>
      <c r="BC292" s="949"/>
      <c r="BD292" s="949"/>
      <c r="BE292" s="106"/>
      <c r="BF292" s="106"/>
      <c r="BG292" s="949"/>
      <c r="BH292" s="949"/>
      <c r="BI292" s="949"/>
      <c r="BJ292" s="949"/>
      <c r="BK292" s="949"/>
      <c r="BL292" s="949"/>
      <c r="BM292" s="949"/>
      <c r="BN292" s="949"/>
      <c r="BO292" s="949"/>
      <c r="BP292" s="949"/>
      <c r="BQ292" s="949"/>
      <c r="BR292" s="949"/>
      <c r="BS292" s="949"/>
      <c r="BT292" s="949"/>
      <c r="BU292" s="949"/>
      <c r="BV292" s="949"/>
      <c r="BW292" s="949"/>
      <c r="BX292" s="949"/>
      <c r="BY292" s="949"/>
      <c r="BZ292" s="949"/>
      <c r="CA292" s="949"/>
      <c r="CB292" s="949"/>
      <c r="CC292" s="949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9"/>
      <c r="CX292" s="949"/>
      <c r="CY292" s="949"/>
      <c r="CZ292" s="949"/>
      <c r="DA292" s="106"/>
      <c r="DB292" s="106"/>
      <c r="DC292" s="949"/>
      <c r="DD292" s="949"/>
      <c r="DE292" s="949"/>
      <c r="DF292" s="949"/>
      <c r="DG292" s="949"/>
      <c r="DH292" s="949"/>
      <c r="DI292" s="949"/>
      <c r="DJ292" s="949"/>
      <c r="DK292" s="949"/>
      <c r="DL292" s="949"/>
      <c r="DM292" s="949"/>
      <c r="DN292" s="949"/>
      <c r="DO292" s="949"/>
      <c r="DP292" s="949"/>
      <c r="DQ292" s="949"/>
      <c r="DR292" s="949"/>
      <c r="DS292" s="949"/>
      <c r="DT292" s="949"/>
      <c r="DU292" s="949"/>
      <c r="DV292" s="949"/>
      <c r="DW292" s="949"/>
      <c r="DX292" s="949"/>
      <c r="DY292" s="949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47"/>
      <c r="F293" s="947"/>
      <c r="G293" s="947"/>
      <c r="H293" s="947"/>
      <c r="I293" s="81"/>
      <c r="J293" s="81"/>
      <c r="K293" s="947" t="s">
        <v>5</v>
      </c>
      <c r="L293" s="947"/>
      <c r="M293" s="947"/>
      <c r="N293" s="947"/>
      <c r="O293" s="947"/>
      <c r="P293" s="947"/>
      <c r="Q293" s="947"/>
      <c r="R293" s="947"/>
      <c r="S293" s="947"/>
      <c r="T293" s="947"/>
      <c r="U293" s="947"/>
      <c r="V293" s="947"/>
      <c r="W293" s="947"/>
      <c r="X293" s="947"/>
      <c r="Y293" s="947"/>
      <c r="Z293" s="947"/>
      <c r="AA293" s="947"/>
      <c r="AB293" s="947"/>
      <c r="AC293" s="947"/>
      <c r="AD293" s="947"/>
      <c r="AE293" s="947"/>
      <c r="AF293" s="947"/>
      <c r="AG293" s="947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7"/>
      <c r="BB293" s="947"/>
      <c r="BC293" s="947"/>
      <c r="BD293" s="947"/>
      <c r="BE293" s="81"/>
      <c r="BF293" s="81"/>
      <c r="BG293" s="947" t="s">
        <v>5</v>
      </c>
      <c r="BH293" s="947"/>
      <c r="BI293" s="947"/>
      <c r="BJ293" s="947"/>
      <c r="BK293" s="947"/>
      <c r="BL293" s="947"/>
      <c r="BM293" s="947"/>
      <c r="BN293" s="947"/>
      <c r="BO293" s="947"/>
      <c r="BP293" s="947"/>
      <c r="BQ293" s="947"/>
      <c r="BR293" s="947"/>
      <c r="BS293" s="947"/>
      <c r="BT293" s="947"/>
      <c r="BU293" s="947"/>
      <c r="BV293" s="947"/>
      <c r="BW293" s="947"/>
      <c r="BX293" s="947"/>
      <c r="BY293" s="947"/>
      <c r="BZ293" s="947"/>
      <c r="CA293" s="947"/>
      <c r="CB293" s="947"/>
      <c r="CC293" s="947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7"/>
      <c r="CX293" s="947"/>
      <c r="CY293" s="947"/>
      <c r="CZ293" s="947"/>
      <c r="DA293" s="81"/>
      <c r="DB293" s="81"/>
      <c r="DC293" s="947" t="s">
        <v>5</v>
      </c>
      <c r="DD293" s="947"/>
      <c r="DE293" s="947"/>
      <c r="DF293" s="947"/>
      <c r="DG293" s="947"/>
      <c r="DH293" s="947"/>
      <c r="DI293" s="947"/>
      <c r="DJ293" s="947"/>
      <c r="DK293" s="947"/>
      <c r="DL293" s="947"/>
      <c r="DM293" s="947"/>
      <c r="DN293" s="947"/>
      <c r="DO293" s="947"/>
      <c r="DP293" s="947"/>
      <c r="DQ293" s="947"/>
      <c r="DR293" s="947"/>
      <c r="DS293" s="947"/>
      <c r="DT293" s="947"/>
      <c r="DU293" s="947"/>
      <c r="DV293" s="947"/>
      <c r="DW293" s="947"/>
      <c r="DX293" s="947"/>
      <c r="DY293" s="947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943" t="s">
        <v>179</v>
      </c>
      <c r="D294" s="943"/>
      <c r="E294" s="942"/>
      <c r="F294" s="942"/>
      <c r="G294" s="942"/>
      <c r="H294" s="941"/>
      <c r="I294" s="941"/>
      <c r="J294" s="946"/>
      <c r="K294" s="946"/>
      <c r="L294" s="946"/>
      <c r="M294" s="944" t="s">
        <v>180</v>
      </c>
      <c r="N294" s="944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3" t="s">
        <v>179</v>
      </c>
      <c r="AZ294" s="943"/>
      <c r="BA294" s="942"/>
      <c r="BB294" s="942"/>
      <c r="BC294" s="942"/>
      <c r="BD294" s="941"/>
      <c r="BE294" s="941"/>
      <c r="BF294" s="946"/>
      <c r="BG294" s="946"/>
      <c r="BH294" s="946"/>
      <c r="BI294" s="944" t="s">
        <v>180</v>
      </c>
      <c r="BJ294" s="944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3" t="s">
        <v>179</v>
      </c>
      <c r="CV294" s="943"/>
      <c r="CW294" s="942"/>
      <c r="CX294" s="942"/>
      <c r="CY294" s="942"/>
      <c r="CZ294" s="941"/>
      <c r="DA294" s="941"/>
      <c r="DB294" s="946"/>
      <c r="DC294" s="946"/>
      <c r="DD294" s="946"/>
      <c r="DE294" s="944" t="s">
        <v>180</v>
      </c>
      <c r="DF294" s="944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5"/>
    </row>
  </sheetData>
  <sheetProtection password="C09F" sheet="1" objects="1" scenarios="1"/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zoomScale="70" zoomScaleNormal="70" workbookViewId="0">
      <selection activeCell="CS2" sqref="CS2:CZ2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351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R1" s="351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32.25" customHeight="1">
      <c r="A2" s="1026" t="s">
        <v>1040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1040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1040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5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8.7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5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2" customFormat="1" ht="30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7" t="s">
        <v>523</v>
      </c>
      <c r="J5" s="1025"/>
      <c r="K5" s="1025"/>
      <c r="L5" s="1025"/>
      <c r="M5" s="488" t="s">
        <v>524</v>
      </c>
      <c r="N5" s="489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89"/>
      <c r="AK5" s="1025"/>
      <c r="AL5" s="1025"/>
      <c r="AM5" s="1025"/>
      <c r="AN5" s="1025"/>
      <c r="AO5" s="1025"/>
      <c r="AP5" s="1025"/>
      <c r="AQ5" s="1025"/>
      <c r="AR5" s="1025"/>
      <c r="AS5" s="1025"/>
      <c r="AT5" s="489"/>
      <c r="AU5" s="490" t="s">
        <v>375</v>
      </c>
      <c r="AV5" s="493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7" t="s">
        <v>523</v>
      </c>
      <c r="BF5" s="1025"/>
      <c r="BG5" s="1025"/>
      <c r="BH5" s="1025"/>
      <c r="BI5" s="488" t="s">
        <v>524</v>
      </c>
      <c r="BJ5" s="489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89"/>
      <c r="CG5" s="1025"/>
      <c r="CH5" s="1025"/>
      <c r="CI5" s="1025"/>
      <c r="CJ5" s="1025"/>
      <c r="CK5" s="1025"/>
      <c r="CL5" s="1025"/>
      <c r="CM5" s="1025"/>
      <c r="CN5" s="1025"/>
      <c r="CO5" s="1025"/>
      <c r="CP5" s="489"/>
      <c r="CQ5" s="490" t="s">
        <v>375</v>
      </c>
      <c r="CR5" s="493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7" t="s">
        <v>523</v>
      </c>
      <c r="DB5" s="1025"/>
      <c r="DC5" s="1025"/>
      <c r="DD5" s="1025"/>
      <c r="DE5" s="488" t="s">
        <v>524</v>
      </c>
      <c r="DF5" s="489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89"/>
      <c r="EC5" s="1025"/>
      <c r="ED5" s="1025"/>
      <c r="EE5" s="1025"/>
      <c r="EF5" s="1025"/>
      <c r="EG5" s="1025"/>
      <c r="EH5" s="1025"/>
      <c r="EI5" s="1025"/>
      <c r="EJ5" s="1025"/>
      <c r="EK5" s="1025"/>
      <c r="EL5" s="489"/>
      <c r="EM5" s="490" t="s">
        <v>375</v>
      </c>
    </row>
    <row r="6" spans="1:143" ht="19.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5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9.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35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R7" s="350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9.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5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2.25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66">
        <f>'Настройки УИК'!$I$43</f>
        <v>0</v>
      </c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35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66">
        <f>'Настройки УИК'!$I$43</f>
        <v>0</v>
      </c>
      <c r="BF9" s="1166"/>
      <c r="BG9" s="1166"/>
      <c r="BH9" s="1166"/>
      <c r="BI9" s="1166"/>
      <c r="BJ9" s="1166"/>
      <c r="BK9" s="1166"/>
      <c r="BL9" s="1166"/>
      <c r="BM9" s="1166"/>
      <c r="BN9" s="1166"/>
      <c r="BO9" s="1166"/>
      <c r="BP9" s="1166"/>
      <c r="BQ9" s="1166"/>
      <c r="BR9" s="1166"/>
      <c r="BS9" s="1166"/>
      <c r="BT9" s="1166"/>
      <c r="BU9" s="1166"/>
      <c r="BV9" s="1166"/>
      <c r="BW9" s="1166"/>
      <c r="BX9" s="1166"/>
      <c r="BY9" s="1166"/>
      <c r="BZ9" s="1166"/>
      <c r="CA9" s="1166"/>
      <c r="CB9" s="1166"/>
      <c r="CC9" s="1166"/>
      <c r="CD9" s="1166"/>
      <c r="CE9" s="1166"/>
      <c r="CF9" s="1166"/>
      <c r="CG9" s="1166"/>
      <c r="CH9" s="1166"/>
      <c r="CI9" s="1166"/>
      <c r="CJ9" s="1166"/>
      <c r="CK9" s="1166"/>
      <c r="CL9" s="1166"/>
      <c r="CM9" s="1166"/>
      <c r="CN9" s="1166"/>
      <c r="CO9" s="1166"/>
      <c r="CP9" s="1166"/>
      <c r="CQ9" s="1166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66">
        <f>'Настройки УИК'!$I$43</f>
        <v>0</v>
      </c>
      <c r="DB9" s="1166"/>
      <c r="DC9" s="1166"/>
      <c r="DD9" s="1166"/>
      <c r="DE9" s="1166"/>
      <c r="DF9" s="1166"/>
      <c r="DG9" s="1166"/>
      <c r="DH9" s="1166"/>
      <c r="DI9" s="1166"/>
      <c r="DJ9" s="1166"/>
      <c r="DK9" s="1166"/>
      <c r="DL9" s="1166"/>
      <c r="DM9" s="1166"/>
      <c r="DN9" s="1166"/>
      <c r="DO9" s="1166"/>
      <c r="DP9" s="1166"/>
      <c r="DQ9" s="1166"/>
      <c r="DR9" s="1166"/>
      <c r="DS9" s="1166"/>
      <c r="DT9" s="1166"/>
      <c r="DU9" s="1166"/>
      <c r="DV9" s="1166"/>
      <c r="DW9" s="1166"/>
      <c r="DX9" s="1166"/>
      <c r="DY9" s="1166"/>
      <c r="DZ9" s="1166"/>
      <c r="EA9" s="1166"/>
      <c r="EB9" s="1166"/>
      <c r="EC9" s="1166"/>
      <c r="ED9" s="1166"/>
      <c r="EE9" s="1166"/>
      <c r="EF9" s="1166"/>
      <c r="EG9" s="1166"/>
      <c r="EH9" s="1166"/>
      <c r="EI9" s="1166"/>
      <c r="EJ9" s="1166"/>
      <c r="EK9" s="1166"/>
      <c r="EL9" s="1166"/>
      <c r="EM9" s="1166"/>
    </row>
    <row r="10" spans="1:143" ht="66.75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2" t="s">
        <v>523</v>
      </c>
      <c r="J11" s="1025"/>
      <c r="K11" s="1025"/>
      <c r="L11" s="1025"/>
      <c r="M11" s="523" t="s">
        <v>524</v>
      </c>
      <c r="N11" s="524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4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4"/>
      <c r="AU11" s="525" t="s">
        <v>375</v>
      </c>
      <c r="AV11" s="35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2" t="s">
        <v>523</v>
      </c>
      <c r="BF11" s="1025"/>
      <c r="BG11" s="1025"/>
      <c r="BH11" s="1025"/>
      <c r="BI11" s="523" t="s">
        <v>524</v>
      </c>
      <c r="BJ11" s="524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4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4"/>
      <c r="CQ11" s="525" t="s">
        <v>375</v>
      </c>
      <c r="CR11" s="350"/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2" t="s">
        <v>523</v>
      </c>
      <c r="DB11" s="1025"/>
      <c r="DC11" s="1025"/>
      <c r="DD11" s="1025"/>
      <c r="DE11" s="523" t="s">
        <v>524</v>
      </c>
      <c r="DF11" s="524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4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4"/>
      <c r="EM11" s="525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2" t="s">
        <v>523</v>
      </c>
      <c r="J12" s="1025"/>
      <c r="K12" s="1025"/>
      <c r="L12" s="1025"/>
      <c r="M12" s="526" t="s">
        <v>524</v>
      </c>
      <c r="N12" s="524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4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4"/>
      <c r="AU12" s="525" t="s">
        <v>375</v>
      </c>
      <c r="AV12" s="35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2" t="s">
        <v>523</v>
      </c>
      <c r="BF12" s="1025"/>
      <c r="BG12" s="1025"/>
      <c r="BH12" s="1025"/>
      <c r="BI12" s="526" t="s">
        <v>524</v>
      </c>
      <c r="BJ12" s="524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4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4"/>
      <c r="CQ12" s="525" t="s">
        <v>375</v>
      </c>
      <c r="CR12" s="350"/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2" t="s">
        <v>523</v>
      </c>
      <c r="DB12" s="1025"/>
      <c r="DC12" s="1025"/>
      <c r="DD12" s="1025"/>
      <c r="DE12" s="526" t="s">
        <v>524</v>
      </c>
      <c r="DF12" s="524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4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4"/>
      <c r="EM12" s="525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5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5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2" t="s">
        <v>523</v>
      </c>
      <c r="J15" s="1025"/>
      <c r="K15" s="1025"/>
      <c r="L15" s="1025"/>
      <c r="M15" s="526" t="s">
        <v>524</v>
      </c>
      <c r="N15" s="524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4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4"/>
      <c r="AU15" s="525" t="s">
        <v>375</v>
      </c>
      <c r="AV15" s="35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2" t="s">
        <v>523</v>
      </c>
      <c r="BF15" s="1025"/>
      <c r="BG15" s="1025"/>
      <c r="BH15" s="1025"/>
      <c r="BI15" s="526" t="s">
        <v>524</v>
      </c>
      <c r="BJ15" s="524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4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4"/>
      <c r="CQ15" s="525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2" t="s">
        <v>523</v>
      </c>
      <c r="DB15" s="1025"/>
      <c r="DC15" s="1025"/>
      <c r="DD15" s="1025"/>
      <c r="DE15" s="526" t="s">
        <v>524</v>
      </c>
      <c r="DF15" s="524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4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4"/>
      <c r="EM15" s="525" t="s">
        <v>375</v>
      </c>
    </row>
    <row r="16" spans="1:143" ht="33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5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5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5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5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3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5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5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5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5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5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6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5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0" customHeight="1">
      <c r="A26" s="1026" t="s">
        <v>841</v>
      </c>
      <c r="B26" s="1026"/>
      <c r="C26" s="1026"/>
      <c r="D26" s="1026"/>
      <c r="E26" s="1026"/>
      <c r="F26" s="1026"/>
      <c r="G26" s="1026"/>
      <c r="H26" s="1026"/>
      <c r="I26" s="522" t="s">
        <v>523</v>
      </c>
      <c r="J26" s="1025"/>
      <c r="K26" s="1025"/>
      <c r="L26" s="1025"/>
      <c r="M26" s="526" t="s">
        <v>524</v>
      </c>
      <c r="N26" s="524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4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4"/>
      <c r="AU26" s="525" t="s">
        <v>375</v>
      </c>
      <c r="AV26" s="350"/>
      <c r="AW26" s="1026" t="s">
        <v>841</v>
      </c>
      <c r="AX26" s="1026"/>
      <c r="AY26" s="1026"/>
      <c r="AZ26" s="1026"/>
      <c r="BA26" s="1026"/>
      <c r="BB26" s="1026"/>
      <c r="BC26" s="1026"/>
      <c r="BD26" s="1026"/>
      <c r="BE26" s="522" t="s">
        <v>523</v>
      </c>
      <c r="BF26" s="1025"/>
      <c r="BG26" s="1025"/>
      <c r="BH26" s="1025"/>
      <c r="BI26" s="526" t="s">
        <v>524</v>
      </c>
      <c r="BJ26" s="524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4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4"/>
      <c r="CQ26" s="525" t="s">
        <v>375</v>
      </c>
      <c r="CR26" s="350"/>
      <c r="CS26" s="1026" t="s">
        <v>841</v>
      </c>
      <c r="CT26" s="1026"/>
      <c r="CU26" s="1026"/>
      <c r="CV26" s="1026"/>
      <c r="CW26" s="1026"/>
      <c r="CX26" s="1026"/>
      <c r="CY26" s="1026"/>
      <c r="CZ26" s="1026"/>
      <c r="DA26" s="522" t="s">
        <v>523</v>
      </c>
      <c r="DB26" s="1025"/>
      <c r="DC26" s="1025"/>
      <c r="DD26" s="1025"/>
      <c r="DE26" s="526" t="s">
        <v>524</v>
      </c>
      <c r="DF26" s="524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4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4"/>
      <c r="EM26" s="525" t="s">
        <v>375</v>
      </c>
    </row>
    <row r="27" spans="1:143" ht="57" customHeight="1">
      <c r="A27" s="1026" t="s">
        <v>735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50"/>
      <c r="AW27" s="1026" t="s">
        <v>735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735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8"/>
      <c r="AA33" s="178"/>
      <c r="AB33" s="178"/>
      <c r="AC33" s="1122" t="s">
        <v>551</v>
      </c>
      <c r="AD33" s="1122"/>
      <c r="AE33" s="1122"/>
      <c r="AF33" s="1111">
        <f>J$5</f>
        <v>0</v>
      </c>
      <c r="AG33" s="1111"/>
      <c r="AH33" s="183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23">
        <f>AK$5</f>
        <v>0</v>
      </c>
      <c r="AQ33" s="1123"/>
      <c r="AR33" s="1123"/>
      <c r="AS33" s="1123"/>
      <c r="AT33" s="1124" t="s">
        <v>375</v>
      </c>
      <c r="AU33" s="1124"/>
      <c r="AW33" s="178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8"/>
      <c r="BW33" s="178"/>
      <c r="BX33" s="178"/>
      <c r="BY33" s="1122" t="s">
        <v>551</v>
      </c>
      <c r="BZ33" s="1122"/>
      <c r="CA33" s="1122"/>
      <c r="CB33" s="1111">
        <f>BF$5</f>
        <v>0</v>
      </c>
      <c r="CC33" s="1111"/>
      <c r="CD33" s="183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23">
        <f>CG$5</f>
        <v>0</v>
      </c>
      <c r="CM33" s="1123"/>
      <c r="CN33" s="1123"/>
      <c r="CO33" s="1123"/>
      <c r="CP33" s="1124" t="s">
        <v>375</v>
      </c>
      <c r="CQ33" s="1124"/>
      <c r="CS33" s="178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8"/>
      <c r="DS33" s="178"/>
      <c r="DT33" s="178"/>
      <c r="DU33" s="1122" t="s">
        <v>551</v>
      </c>
      <c r="DV33" s="1122"/>
      <c r="DW33" s="1122"/>
      <c r="DX33" s="1111">
        <f>DB$5</f>
        <v>0</v>
      </c>
      <c r="DY33" s="1111"/>
      <c r="DZ33" s="183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23">
        <f>EC$5</f>
        <v>0</v>
      </c>
      <c r="EI33" s="1123"/>
      <c r="EJ33" s="1123"/>
      <c r="EK33" s="1123"/>
      <c r="EL33" s="1124" t="s">
        <v>375</v>
      </c>
      <c r="EM33" s="1124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57.75" customHeight="1">
      <c r="A38" s="178"/>
      <c r="B38" s="1077" t="s">
        <v>836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836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836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0.5" customHeight="1"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234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234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804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804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804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81" customHeight="1">
      <c r="A43" s="178"/>
      <c r="B43" s="1098" t="s">
        <v>805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805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805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807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807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807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113">
        <f>I$7</f>
        <v>0</v>
      </c>
      <c r="C47" s="1113"/>
      <c r="D47" s="1113"/>
      <c r="E47" s="1113"/>
      <c r="F47" s="1113"/>
      <c r="G47" s="1113"/>
      <c r="H47" s="1113"/>
      <c r="I47" s="1113"/>
      <c r="J47" s="1113"/>
      <c r="K47" s="1113"/>
      <c r="L47" s="1113"/>
      <c r="M47" s="1113"/>
      <c r="N47" s="1113"/>
      <c r="O47" s="1113"/>
      <c r="P47" s="1113"/>
      <c r="Q47" s="1113"/>
      <c r="R47" s="1113"/>
      <c r="S47" s="1113"/>
      <c r="T47" s="1113"/>
      <c r="U47" s="1113"/>
      <c r="V47" s="1113"/>
      <c r="W47" s="1113"/>
      <c r="X47" s="1113"/>
      <c r="Y47" s="1113"/>
      <c r="Z47" s="1113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113"/>
      <c r="AO47" s="1113"/>
      <c r="AP47" s="1113"/>
      <c r="AQ47" s="1113"/>
      <c r="AR47" s="1113"/>
      <c r="AS47" s="1113"/>
      <c r="AT47" s="1113"/>
      <c r="AU47" s="1113"/>
      <c r="AW47" s="178"/>
      <c r="AX47" s="1113">
        <f>BE$7</f>
        <v>0</v>
      </c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  <c r="BX47" s="1113"/>
      <c r="BY47" s="1113"/>
      <c r="BZ47" s="1113"/>
      <c r="CA47" s="1113"/>
      <c r="CB47" s="1113"/>
      <c r="CC47" s="1113"/>
      <c r="CD47" s="1113"/>
      <c r="CE47" s="1113"/>
      <c r="CF47" s="1113"/>
      <c r="CG47" s="1113"/>
      <c r="CH47" s="1113"/>
      <c r="CI47" s="1113"/>
      <c r="CJ47" s="1113"/>
      <c r="CK47" s="1113"/>
      <c r="CL47" s="1113"/>
      <c r="CM47" s="1113"/>
      <c r="CN47" s="1113"/>
      <c r="CO47" s="1113"/>
      <c r="CP47" s="1113"/>
      <c r="CQ47" s="1113"/>
      <c r="CS47" s="178"/>
      <c r="CT47" s="1113">
        <f>DA$7</f>
        <v>0</v>
      </c>
      <c r="CU47" s="1113"/>
      <c r="CV47" s="1113"/>
      <c r="CW47" s="1113"/>
      <c r="CX47" s="1113"/>
      <c r="CY47" s="1113"/>
      <c r="CZ47" s="1113"/>
      <c r="DA47" s="1113"/>
      <c r="DB47" s="1113"/>
      <c r="DC47" s="1113"/>
      <c r="DD47" s="1113"/>
      <c r="DE47" s="1113"/>
      <c r="DF47" s="1113"/>
      <c r="DG47" s="1113"/>
      <c r="DH47" s="1113"/>
      <c r="DI47" s="1113"/>
      <c r="DJ47" s="1113"/>
      <c r="DK47" s="1113"/>
      <c r="DL47" s="1113"/>
      <c r="DM47" s="1113"/>
      <c r="DN47" s="1113"/>
      <c r="DO47" s="1113"/>
      <c r="DP47" s="1113"/>
      <c r="DQ47" s="1113"/>
      <c r="DR47" s="1113"/>
      <c r="DS47" s="1113"/>
      <c r="DT47" s="1113"/>
      <c r="DU47" s="1113"/>
      <c r="DV47" s="1113"/>
      <c r="DW47" s="1113"/>
      <c r="DX47" s="1113"/>
      <c r="DY47" s="1113"/>
      <c r="DZ47" s="1113"/>
      <c r="EA47" s="1113"/>
      <c r="EB47" s="1113"/>
      <c r="EC47" s="1113"/>
      <c r="ED47" s="1113"/>
      <c r="EE47" s="1113"/>
      <c r="EF47" s="1113"/>
      <c r="EG47" s="1113"/>
      <c r="EH47" s="1113"/>
      <c r="EI47" s="1113"/>
      <c r="EJ47" s="1113"/>
      <c r="EK47" s="1113"/>
      <c r="EL47" s="1113"/>
      <c r="EM47" s="1113"/>
    </row>
    <row r="48" spans="1:143" ht="18.75" customHeight="1">
      <c r="A48" s="178"/>
      <c r="B48" s="186"/>
      <c r="C48" s="186"/>
      <c r="D48" s="1127" t="s">
        <v>565</v>
      </c>
      <c r="E48" s="1127"/>
      <c r="F48" s="1079" t="s">
        <v>746</v>
      </c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87"/>
      <c r="AW48" s="178"/>
      <c r="AX48" s="186"/>
      <c r="AY48" s="186"/>
      <c r="AZ48" s="1127" t="s">
        <v>565</v>
      </c>
      <c r="BA48" s="1127"/>
      <c r="BB48" s="1079" t="s">
        <v>746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  <c r="BX48" s="1079"/>
      <c r="BY48" s="1079"/>
      <c r="BZ48" s="1079"/>
      <c r="CA48" s="1079"/>
      <c r="CB48" s="1079"/>
      <c r="CC48" s="1079"/>
      <c r="CD48" s="1079"/>
      <c r="CE48" s="1079"/>
      <c r="CF48" s="1079"/>
      <c r="CG48" s="1079"/>
      <c r="CH48" s="1079"/>
      <c r="CI48" s="1079"/>
      <c r="CJ48" s="1079"/>
      <c r="CK48" s="1079"/>
      <c r="CL48" s="1079"/>
      <c r="CM48" s="1079"/>
      <c r="CN48" s="1079"/>
      <c r="CO48" s="1079"/>
      <c r="CP48" s="1079"/>
      <c r="CQ48" s="187"/>
      <c r="CS48" s="178"/>
      <c r="CT48" s="186"/>
      <c r="CU48" s="186"/>
      <c r="CV48" s="1127" t="s">
        <v>565</v>
      </c>
      <c r="CW48" s="1127"/>
      <c r="CX48" s="1079" t="s">
        <v>746</v>
      </c>
      <c r="CY48" s="1079"/>
      <c r="CZ48" s="1079"/>
      <c r="DA48" s="1079"/>
      <c r="DB48" s="1079"/>
      <c r="DC48" s="1079"/>
      <c r="DD48" s="1079"/>
      <c r="DE48" s="1079"/>
      <c r="DF48" s="1079"/>
      <c r="DG48" s="1079"/>
      <c r="DH48" s="1079"/>
      <c r="DI48" s="1079"/>
      <c r="DJ48" s="1079"/>
      <c r="DK48" s="1079"/>
      <c r="DL48" s="1079"/>
      <c r="DM48" s="1079"/>
      <c r="DN48" s="1079"/>
      <c r="DO48" s="1079"/>
      <c r="DP48" s="1079"/>
      <c r="DQ48" s="1079"/>
      <c r="DR48" s="1079"/>
      <c r="DS48" s="1079"/>
      <c r="DT48" s="1079"/>
      <c r="DU48" s="1079"/>
      <c r="DV48" s="1079"/>
      <c r="DW48" s="1079"/>
      <c r="DX48" s="1079"/>
      <c r="DY48" s="1079"/>
      <c r="DZ48" s="1079"/>
      <c r="EA48" s="1079"/>
      <c r="EB48" s="1079"/>
      <c r="EC48" s="1079"/>
      <c r="ED48" s="1079"/>
      <c r="EE48" s="1079"/>
      <c r="EF48" s="1079"/>
      <c r="EG48" s="1079"/>
      <c r="EH48" s="1079"/>
      <c r="EI48" s="1079"/>
      <c r="EJ48" s="1079"/>
      <c r="EK48" s="1079"/>
      <c r="EL48" s="1079"/>
      <c r="EM48" s="187"/>
    </row>
    <row r="49" spans="1:143" ht="18.75" customHeight="1">
      <c r="A49" s="178"/>
      <c r="B49" s="1131" t="s">
        <v>579</v>
      </c>
      <c r="C49" s="1131"/>
      <c r="D49" s="1107">
        <f>J$11</f>
        <v>0</v>
      </c>
      <c r="E49" s="1107"/>
      <c r="F49" s="191" t="s">
        <v>524</v>
      </c>
      <c r="G49" s="1107">
        <f>O$11</f>
        <v>0</v>
      </c>
      <c r="H49" s="1107"/>
      <c r="I49" s="1107"/>
      <c r="J49" s="1107"/>
      <c r="K49" s="1107"/>
      <c r="L49" s="1107"/>
      <c r="M49" s="1107"/>
      <c r="N49" s="1107"/>
      <c r="O49" s="170"/>
      <c r="P49" s="1130">
        <f>AK$11</f>
        <v>0</v>
      </c>
      <c r="Q49" s="1130"/>
      <c r="R49" s="1130"/>
      <c r="S49" s="1130"/>
      <c r="T49" s="1133" t="s">
        <v>580</v>
      </c>
      <c r="U49" s="1133"/>
      <c r="V49" s="1133"/>
      <c r="W49" s="1133"/>
      <c r="X49" s="1133"/>
      <c r="Y49" s="1107">
        <f>J$12</f>
        <v>0</v>
      </c>
      <c r="Z49" s="1107"/>
      <c r="AA49" s="191" t="s">
        <v>524</v>
      </c>
      <c r="AB49" s="1107">
        <f>O$12</f>
        <v>0</v>
      </c>
      <c r="AC49" s="1107"/>
      <c r="AD49" s="1107"/>
      <c r="AE49" s="1107"/>
      <c r="AF49" s="1107"/>
      <c r="AG49" s="1107"/>
      <c r="AH49" s="1107"/>
      <c r="AI49" s="1107"/>
      <c r="AJ49" s="170"/>
      <c r="AK49" s="1130">
        <f>AK$12</f>
        <v>0</v>
      </c>
      <c r="AL49" s="1130"/>
      <c r="AM49" s="1130"/>
      <c r="AN49" s="1130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1" t="s">
        <v>579</v>
      </c>
      <c r="AY49" s="1131"/>
      <c r="AZ49" s="1107">
        <f>BF$11</f>
        <v>0</v>
      </c>
      <c r="BA49" s="1107"/>
      <c r="BB49" s="191" t="s">
        <v>524</v>
      </c>
      <c r="BC49" s="1107">
        <f>BK$11</f>
        <v>0</v>
      </c>
      <c r="BD49" s="1107"/>
      <c r="BE49" s="1107"/>
      <c r="BF49" s="1107"/>
      <c r="BG49" s="1107"/>
      <c r="BH49" s="1107"/>
      <c r="BI49" s="1107"/>
      <c r="BJ49" s="1107"/>
      <c r="BK49" s="170"/>
      <c r="BL49" s="1130">
        <f>CG$11</f>
        <v>0</v>
      </c>
      <c r="BM49" s="1130"/>
      <c r="BN49" s="1130"/>
      <c r="BO49" s="1130"/>
      <c r="BP49" s="1133" t="s">
        <v>580</v>
      </c>
      <c r="BQ49" s="1133"/>
      <c r="BR49" s="1133"/>
      <c r="BS49" s="1133"/>
      <c r="BT49" s="1133"/>
      <c r="BU49" s="1107">
        <f>BF$12</f>
        <v>0</v>
      </c>
      <c r="BV49" s="1107"/>
      <c r="BW49" s="191" t="s">
        <v>524</v>
      </c>
      <c r="BX49" s="1107">
        <f>BK$12</f>
        <v>0</v>
      </c>
      <c r="BY49" s="1107"/>
      <c r="BZ49" s="1107"/>
      <c r="CA49" s="1107"/>
      <c r="CB49" s="1107"/>
      <c r="CC49" s="1107"/>
      <c r="CD49" s="1107"/>
      <c r="CE49" s="1107"/>
      <c r="CF49" s="170"/>
      <c r="CG49" s="1130">
        <f>CG$12</f>
        <v>0</v>
      </c>
      <c r="CH49" s="1130"/>
      <c r="CI49" s="1130"/>
      <c r="CJ49" s="1130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1" t="s">
        <v>579</v>
      </c>
      <c r="CU49" s="1131"/>
      <c r="CV49" s="1107">
        <f>DB$11</f>
        <v>0</v>
      </c>
      <c r="CW49" s="1107"/>
      <c r="CX49" s="191" t="s">
        <v>524</v>
      </c>
      <c r="CY49" s="1107">
        <f>DG$11</f>
        <v>0</v>
      </c>
      <c r="CZ49" s="1107"/>
      <c r="DA49" s="1107"/>
      <c r="DB49" s="1107"/>
      <c r="DC49" s="1107"/>
      <c r="DD49" s="1107"/>
      <c r="DE49" s="1107"/>
      <c r="DF49" s="1107"/>
      <c r="DG49" s="170"/>
      <c r="DH49" s="1130">
        <f>EC$11</f>
        <v>0</v>
      </c>
      <c r="DI49" s="1130"/>
      <c r="DJ49" s="1130"/>
      <c r="DK49" s="1130"/>
      <c r="DL49" s="1133" t="s">
        <v>580</v>
      </c>
      <c r="DM49" s="1133"/>
      <c r="DN49" s="1133"/>
      <c r="DO49" s="1133"/>
      <c r="DP49" s="1133"/>
      <c r="DQ49" s="1107">
        <f>DB$12</f>
        <v>0</v>
      </c>
      <c r="DR49" s="1107"/>
      <c r="DS49" s="191" t="s">
        <v>524</v>
      </c>
      <c r="DT49" s="1107">
        <f>DG$12</f>
        <v>0</v>
      </c>
      <c r="DU49" s="1107"/>
      <c r="DV49" s="1107"/>
      <c r="DW49" s="1107"/>
      <c r="DX49" s="1107"/>
      <c r="DY49" s="1107"/>
      <c r="DZ49" s="1107"/>
      <c r="EA49" s="1107"/>
      <c r="EB49" s="170"/>
      <c r="EC49" s="1130">
        <f>EC$12</f>
        <v>0</v>
      </c>
      <c r="ED49" s="1130"/>
      <c r="EE49" s="1130"/>
      <c r="EF49" s="1130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134" t="s">
        <v>747</v>
      </c>
      <c r="C50" s="1134"/>
      <c r="D50" s="1134"/>
      <c r="E50" s="1134"/>
      <c r="F50" s="1134"/>
      <c r="G50" s="1134"/>
      <c r="H50" s="1134"/>
      <c r="I50" s="1134"/>
      <c r="J50" s="1134"/>
      <c r="K50" s="1134"/>
      <c r="L50" s="1134"/>
      <c r="M50" s="1134"/>
      <c r="N50" s="1134"/>
      <c r="O50" s="1134"/>
      <c r="P50" s="1134"/>
      <c r="Q50" s="1134"/>
      <c r="R50" s="1134"/>
      <c r="S50" s="1134"/>
      <c r="T50" s="1134"/>
      <c r="U50" s="1134"/>
      <c r="V50" s="1134"/>
      <c r="W50" s="1134"/>
      <c r="X50" s="1134"/>
      <c r="Y50" s="1134"/>
      <c r="Z50" s="1134"/>
      <c r="AA50" s="1134"/>
      <c r="AB50" s="1134"/>
      <c r="AC50" s="1134"/>
      <c r="AD50" s="1134"/>
      <c r="AE50" s="1134"/>
      <c r="AF50" s="1134"/>
      <c r="AG50" s="1134"/>
      <c r="AH50" s="1134"/>
      <c r="AI50" s="1134"/>
      <c r="AJ50" s="1134"/>
      <c r="AK50" s="1134"/>
      <c r="AL50" s="1134"/>
      <c r="AM50" s="1134"/>
      <c r="AN50" s="1134"/>
      <c r="AO50" s="1134"/>
      <c r="AP50" s="1134"/>
      <c r="AQ50" s="1134"/>
      <c r="AR50" s="1134"/>
      <c r="AS50" s="1134"/>
      <c r="AT50" s="1134"/>
      <c r="AU50" s="1134"/>
      <c r="AW50" s="178"/>
      <c r="AX50" s="1134" t="s">
        <v>747</v>
      </c>
      <c r="AY50" s="1134"/>
      <c r="AZ50" s="1134"/>
      <c r="BA50" s="1134"/>
      <c r="BB50" s="1134"/>
      <c r="BC50" s="1134"/>
      <c r="BD50" s="1134"/>
      <c r="BE50" s="1134"/>
      <c r="BF50" s="1134"/>
      <c r="BG50" s="1134"/>
      <c r="BH50" s="1134"/>
      <c r="BI50" s="1134"/>
      <c r="BJ50" s="1134"/>
      <c r="BK50" s="1134"/>
      <c r="BL50" s="1134"/>
      <c r="BM50" s="1134"/>
      <c r="BN50" s="1134"/>
      <c r="BO50" s="1134"/>
      <c r="BP50" s="1134"/>
      <c r="BQ50" s="1134"/>
      <c r="BR50" s="1134"/>
      <c r="BS50" s="1134"/>
      <c r="BT50" s="1134"/>
      <c r="BU50" s="1134"/>
      <c r="BV50" s="1134"/>
      <c r="BW50" s="1134"/>
      <c r="BX50" s="1134"/>
      <c r="BY50" s="1134"/>
      <c r="BZ50" s="1134"/>
      <c r="CA50" s="1134"/>
      <c r="CB50" s="1134"/>
      <c r="CC50" s="1134"/>
      <c r="CD50" s="1134"/>
      <c r="CE50" s="1134"/>
      <c r="CF50" s="1134"/>
      <c r="CG50" s="1134"/>
      <c r="CH50" s="1134"/>
      <c r="CI50" s="1134"/>
      <c r="CJ50" s="1134"/>
      <c r="CK50" s="1134"/>
      <c r="CL50" s="1134"/>
      <c r="CM50" s="1134"/>
      <c r="CN50" s="1134"/>
      <c r="CO50" s="1134"/>
      <c r="CP50" s="1134"/>
      <c r="CQ50" s="1134"/>
      <c r="CS50" s="178"/>
      <c r="CT50" s="1134" t="s">
        <v>747</v>
      </c>
      <c r="CU50" s="1134"/>
      <c r="CV50" s="1134"/>
      <c r="CW50" s="1134"/>
      <c r="CX50" s="1134"/>
      <c r="CY50" s="1134"/>
      <c r="CZ50" s="1134"/>
      <c r="DA50" s="1134"/>
      <c r="DB50" s="1134"/>
      <c r="DC50" s="1134"/>
      <c r="DD50" s="1134"/>
      <c r="DE50" s="1134"/>
      <c r="DF50" s="1134"/>
      <c r="DG50" s="1134"/>
      <c r="DH50" s="1134"/>
      <c r="DI50" s="1134"/>
      <c r="DJ50" s="1134"/>
      <c r="DK50" s="1134"/>
      <c r="DL50" s="1134"/>
      <c r="DM50" s="1134"/>
      <c r="DN50" s="1134"/>
      <c r="DO50" s="1134"/>
      <c r="DP50" s="1134"/>
      <c r="DQ50" s="1134"/>
      <c r="DR50" s="1134"/>
      <c r="DS50" s="1134"/>
      <c r="DT50" s="1134"/>
      <c r="DU50" s="1134"/>
      <c r="DV50" s="1134"/>
      <c r="DW50" s="1134"/>
      <c r="DX50" s="1134"/>
      <c r="DY50" s="1134"/>
      <c r="DZ50" s="1134"/>
      <c r="EA50" s="1134"/>
      <c r="EB50" s="1134"/>
      <c r="EC50" s="1134"/>
      <c r="ED50" s="1134"/>
      <c r="EE50" s="1134"/>
      <c r="EF50" s="1134"/>
      <c r="EG50" s="1134"/>
      <c r="EH50" s="1134"/>
      <c r="EI50" s="1134"/>
      <c r="EJ50" s="1134"/>
      <c r="EK50" s="1134"/>
      <c r="EL50" s="1134"/>
      <c r="EM50" s="1134"/>
    </row>
    <row r="51" spans="1:143" ht="18.75" customHeight="1">
      <c r="A51" s="178"/>
      <c r="B51" s="190"/>
      <c r="C51" s="190"/>
      <c r="D51" s="1094" t="s">
        <v>582</v>
      </c>
      <c r="E51" s="1094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4" t="s">
        <v>582</v>
      </c>
      <c r="BA51" s="1094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4" t="s">
        <v>582</v>
      </c>
      <c r="CW51" s="1094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98" t="s">
        <v>808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808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808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38.25" customHeight="1">
      <c r="A53" s="178"/>
      <c r="B53" s="1098" t="s">
        <v>809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809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809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20.25" customHeight="1">
      <c r="A54" s="178"/>
      <c r="B54" s="1098" t="s">
        <v>810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810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810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37.5" customHeight="1">
      <c r="A55" s="178"/>
      <c r="B55" s="1098" t="s">
        <v>811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811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811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812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812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812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57.75" customHeight="1">
      <c r="A57" s="178"/>
      <c r="B57" s="1098" t="s">
        <v>754</v>
      </c>
      <c r="C57" s="1098"/>
      <c r="D57" s="1098"/>
      <c r="E57" s="1098"/>
      <c r="F57" s="1098"/>
      <c r="G57" s="1098"/>
      <c r="H57" s="1098"/>
      <c r="I57" s="1098"/>
      <c r="J57" s="1098"/>
      <c r="K57" s="1098"/>
      <c r="L57" s="1098"/>
      <c r="M57" s="1098"/>
      <c r="N57" s="1098"/>
      <c r="O57" s="1098"/>
      <c r="P57" s="1098"/>
      <c r="Q57" s="1098"/>
      <c r="R57" s="1098"/>
      <c r="S57" s="1098"/>
      <c r="T57" s="1098"/>
      <c r="U57" s="1098"/>
      <c r="V57" s="1098"/>
      <c r="W57" s="1098"/>
      <c r="X57" s="1098"/>
      <c r="Y57" s="1098"/>
      <c r="Z57" s="1098"/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1098"/>
      <c r="AO57" s="1098"/>
      <c r="AP57" s="1098"/>
      <c r="AQ57" s="1098"/>
      <c r="AR57" s="1098"/>
      <c r="AS57" s="1098"/>
      <c r="AT57" s="1098"/>
      <c r="AU57" s="1098"/>
      <c r="AW57" s="178"/>
      <c r="AX57" s="1098" t="s">
        <v>754</v>
      </c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  <c r="BX57" s="1098"/>
      <c r="BY57" s="1098"/>
      <c r="BZ57" s="1098"/>
      <c r="CA57" s="1098"/>
      <c r="CB57" s="1098"/>
      <c r="CC57" s="1098"/>
      <c r="CD57" s="1098"/>
      <c r="CE57" s="1098"/>
      <c r="CF57" s="1098"/>
      <c r="CG57" s="1098"/>
      <c r="CH57" s="1098"/>
      <c r="CI57" s="1098"/>
      <c r="CJ57" s="1098"/>
      <c r="CK57" s="1098"/>
      <c r="CL57" s="1098"/>
      <c r="CM57" s="1098"/>
      <c r="CN57" s="1098"/>
      <c r="CO57" s="1098"/>
      <c r="CP57" s="1098"/>
      <c r="CQ57" s="1098"/>
      <c r="CS57" s="178"/>
      <c r="CT57" s="1098" t="s">
        <v>754</v>
      </c>
      <c r="CU57" s="1098"/>
      <c r="CV57" s="1098"/>
      <c r="CW57" s="1098"/>
      <c r="CX57" s="1098"/>
      <c r="CY57" s="1098"/>
      <c r="CZ57" s="1098"/>
      <c r="DA57" s="1098"/>
      <c r="DB57" s="1098"/>
      <c r="DC57" s="1098"/>
      <c r="DD57" s="1098"/>
      <c r="DE57" s="1098"/>
      <c r="DF57" s="1098"/>
      <c r="DG57" s="1098"/>
      <c r="DH57" s="1098"/>
      <c r="DI57" s="1098"/>
      <c r="DJ57" s="1098"/>
      <c r="DK57" s="1098"/>
      <c r="DL57" s="1098"/>
      <c r="DM57" s="1098"/>
      <c r="DN57" s="1098"/>
      <c r="DO57" s="1098"/>
      <c r="DP57" s="1098"/>
      <c r="DQ57" s="1098"/>
      <c r="DR57" s="1098"/>
      <c r="DS57" s="1098"/>
      <c r="DT57" s="1098"/>
      <c r="DU57" s="1098"/>
      <c r="DV57" s="1098"/>
      <c r="DW57" s="1098"/>
      <c r="DX57" s="1098"/>
      <c r="DY57" s="1098"/>
      <c r="DZ57" s="1098"/>
      <c r="EA57" s="1098"/>
      <c r="EB57" s="1098"/>
      <c r="EC57" s="1098"/>
      <c r="ED57" s="1098"/>
      <c r="EE57" s="1098"/>
      <c r="EF57" s="1098"/>
      <c r="EG57" s="1098"/>
      <c r="EH57" s="1098"/>
      <c r="EI57" s="1098"/>
      <c r="EJ57" s="1098"/>
      <c r="EK57" s="1098"/>
      <c r="EL57" s="1098"/>
      <c r="EM57" s="1098"/>
    </row>
    <row r="58" spans="1:143" ht="18.75" customHeight="1">
      <c r="A58" s="178"/>
      <c r="B58" s="190"/>
      <c r="C58" s="190"/>
      <c r="D58" s="1094" t="s">
        <v>589</v>
      </c>
      <c r="E58" s="1094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4" t="s">
        <v>589</v>
      </c>
      <c r="BA58" s="1094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4" t="s">
        <v>589</v>
      </c>
      <c r="CW58" s="1094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98" t="s">
        <v>837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837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837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57" customHeight="1">
      <c r="A60" s="178"/>
      <c r="B60" s="1098" t="s">
        <v>813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813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813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38.25" customHeight="1">
      <c r="A61" s="178"/>
      <c r="B61" s="1098" t="s">
        <v>838</v>
      </c>
      <c r="C61" s="1098"/>
      <c r="D61" s="1098"/>
      <c r="E61" s="1098"/>
      <c r="F61" s="1098"/>
      <c r="G61" s="1098"/>
      <c r="H61" s="1098"/>
      <c r="I61" s="1098"/>
      <c r="J61" s="1098"/>
      <c r="K61" s="1098"/>
      <c r="L61" s="1098"/>
      <c r="M61" s="1098"/>
      <c r="N61" s="1098"/>
      <c r="O61" s="1098"/>
      <c r="P61" s="1098"/>
      <c r="Q61" s="1098"/>
      <c r="R61" s="1098"/>
      <c r="S61" s="1098"/>
      <c r="T61" s="1098"/>
      <c r="U61" s="1098"/>
      <c r="V61" s="1098"/>
      <c r="W61" s="1098"/>
      <c r="X61" s="1098"/>
      <c r="Y61" s="1098"/>
      <c r="Z61" s="1098"/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W61" s="178"/>
      <c r="AX61" s="1098" t="s">
        <v>838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  <c r="BX61" s="1098"/>
      <c r="BY61" s="1098"/>
      <c r="BZ61" s="1098"/>
      <c r="CA61" s="1098"/>
      <c r="CB61" s="1098"/>
      <c r="CC61" s="1098"/>
      <c r="CD61" s="1098"/>
      <c r="CE61" s="1098"/>
      <c r="CF61" s="1098"/>
      <c r="CG61" s="1098"/>
      <c r="CH61" s="1098"/>
      <c r="CI61" s="1098"/>
      <c r="CJ61" s="1098"/>
      <c r="CK61" s="1098"/>
      <c r="CL61" s="1098"/>
      <c r="CM61" s="1098"/>
      <c r="CN61" s="1098"/>
      <c r="CO61" s="1098"/>
      <c r="CP61" s="1098"/>
      <c r="CQ61" s="1098"/>
      <c r="CS61" s="178"/>
      <c r="CT61" s="1098" t="s">
        <v>838</v>
      </c>
      <c r="CU61" s="1098"/>
      <c r="CV61" s="1098"/>
      <c r="CW61" s="1098"/>
      <c r="CX61" s="1098"/>
      <c r="CY61" s="1098"/>
      <c r="CZ61" s="1098"/>
      <c r="DA61" s="1098"/>
      <c r="DB61" s="1098"/>
      <c r="DC61" s="1098"/>
      <c r="DD61" s="1098"/>
      <c r="DE61" s="1098"/>
      <c r="DF61" s="1098"/>
      <c r="DG61" s="1098"/>
      <c r="DH61" s="1098"/>
      <c r="DI61" s="1098"/>
      <c r="DJ61" s="1098"/>
      <c r="DK61" s="1098"/>
      <c r="DL61" s="1098"/>
      <c r="DM61" s="1098"/>
      <c r="DN61" s="1098"/>
      <c r="DO61" s="1098"/>
      <c r="DP61" s="1098"/>
      <c r="DQ61" s="1098"/>
      <c r="DR61" s="1098"/>
      <c r="DS61" s="1098"/>
      <c r="DT61" s="1098"/>
      <c r="DU61" s="1098"/>
      <c r="DV61" s="1098"/>
      <c r="DW61" s="1098"/>
      <c r="DX61" s="1098"/>
      <c r="DY61" s="1098"/>
      <c r="DZ61" s="1098"/>
      <c r="EA61" s="1098"/>
      <c r="EB61" s="1098"/>
      <c r="EC61" s="1098"/>
      <c r="ED61" s="1098"/>
      <c r="EE61" s="1098"/>
      <c r="EF61" s="1098"/>
      <c r="EG61" s="1098"/>
      <c r="EH61" s="1098"/>
      <c r="EI61" s="1098"/>
      <c r="EJ61" s="1098"/>
      <c r="EK61" s="1098"/>
      <c r="EL61" s="1098"/>
      <c r="EM61" s="1098"/>
    </row>
    <row r="62" spans="1:143" ht="16.5">
      <c r="A62" s="178"/>
      <c r="B62" s="1134" t="s">
        <v>759</v>
      </c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W62" s="178"/>
      <c r="AX62" s="1134" t="s">
        <v>759</v>
      </c>
      <c r="AY62" s="1134"/>
      <c r="AZ62" s="1134"/>
      <c r="BA62" s="1134"/>
      <c r="BB62" s="1134"/>
      <c r="BC62" s="1134"/>
      <c r="BD62" s="1134"/>
      <c r="BE62" s="1134"/>
      <c r="BF62" s="1134"/>
      <c r="BG62" s="1134"/>
      <c r="BH62" s="1134"/>
      <c r="BI62" s="1134"/>
      <c r="BJ62" s="1134"/>
      <c r="BK62" s="1134"/>
      <c r="BL62" s="1134"/>
      <c r="BM62" s="1134"/>
      <c r="BN62" s="1134"/>
      <c r="BO62" s="1134"/>
      <c r="BP62" s="1134"/>
      <c r="BQ62" s="1134"/>
      <c r="BR62" s="1134"/>
      <c r="BS62" s="1134"/>
      <c r="BT62" s="1134"/>
      <c r="BU62" s="1134"/>
      <c r="BV62" s="1134"/>
      <c r="BW62" s="1134"/>
      <c r="BX62" s="1134"/>
      <c r="BY62" s="1134"/>
      <c r="BZ62" s="1134"/>
      <c r="CA62" s="1134"/>
      <c r="CB62" s="1134"/>
      <c r="CC62" s="1134"/>
      <c r="CD62" s="1134"/>
      <c r="CE62" s="1134"/>
      <c r="CF62" s="1134"/>
      <c r="CG62" s="1134"/>
      <c r="CH62" s="1134"/>
      <c r="CI62" s="1134"/>
      <c r="CJ62" s="1134"/>
      <c r="CK62" s="1134"/>
      <c r="CL62" s="1134"/>
      <c r="CM62" s="1134"/>
      <c r="CN62" s="1134"/>
      <c r="CO62" s="1134"/>
      <c r="CP62" s="1134"/>
      <c r="CQ62" s="1134"/>
      <c r="CS62" s="178"/>
      <c r="CT62" s="1134" t="s">
        <v>759</v>
      </c>
      <c r="CU62" s="1134"/>
      <c r="CV62" s="1134"/>
      <c r="CW62" s="1134"/>
      <c r="CX62" s="1134"/>
      <c r="CY62" s="1134"/>
      <c r="CZ62" s="1134"/>
      <c r="DA62" s="1134"/>
      <c r="DB62" s="1134"/>
      <c r="DC62" s="1134"/>
      <c r="DD62" s="1134"/>
      <c r="DE62" s="1134"/>
      <c r="DF62" s="1134"/>
      <c r="DG62" s="1134"/>
      <c r="DH62" s="1134"/>
      <c r="DI62" s="1134"/>
      <c r="DJ62" s="1134"/>
      <c r="DK62" s="1134"/>
      <c r="DL62" s="1134"/>
      <c r="DM62" s="1134"/>
      <c r="DN62" s="1134"/>
      <c r="DO62" s="1134"/>
      <c r="DP62" s="1134"/>
      <c r="DQ62" s="1134"/>
      <c r="DR62" s="1134"/>
      <c r="DS62" s="1134"/>
      <c r="DT62" s="1134"/>
      <c r="DU62" s="1134"/>
      <c r="DV62" s="1134"/>
      <c r="DW62" s="1134"/>
      <c r="DX62" s="1134"/>
      <c r="DY62" s="1134"/>
      <c r="DZ62" s="1134"/>
      <c r="EA62" s="1134"/>
      <c r="EB62" s="1134"/>
      <c r="EC62" s="1134"/>
      <c r="ED62" s="1134"/>
      <c r="EE62" s="1134"/>
      <c r="EF62" s="1134"/>
      <c r="EG62" s="1134"/>
      <c r="EH62" s="1134"/>
      <c r="EI62" s="1134"/>
      <c r="EJ62" s="1134"/>
      <c r="EK62" s="1134"/>
      <c r="EL62" s="1134"/>
      <c r="EM62" s="1134"/>
    </row>
    <row r="63" spans="1:143" ht="18.75" customHeight="1">
      <c r="A63" s="178"/>
      <c r="B63" s="190"/>
      <c r="C63" s="190"/>
      <c r="D63" s="1094" t="s">
        <v>601</v>
      </c>
      <c r="E63" s="1094"/>
      <c r="F63" s="1158" t="s">
        <v>814</v>
      </c>
      <c r="G63" s="1158"/>
      <c r="H63" s="1158"/>
      <c r="I63" s="1158"/>
      <c r="J63" s="1158"/>
      <c r="K63" s="1158"/>
      <c r="L63" s="1158"/>
      <c r="M63" s="1158"/>
      <c r="N63" s="1158"/>
      <c r="O63" s="1158"/>
      <c r="P63" s="1158"/>
      <c r="Q63" s="1158"/>
      <c r="R63" s="1158"/>
      <c r="S63" s="1158"/>
      <c r="T63" s="1158"/>
      <c r="U63" s="1158"/>
      <c r="V63" s="1158"/>
      <c r="W63" s="1158"/>
      <c r="X63" s="1158"/>
      <c r="Y63" s="1158"/>
      <c r="Z63" s="1158"/>
      <c r="AA63" s="1158"/>
      <c r="AB63" s="1158"/>
      <c r="AC63" s="1158"/>
      <c r="AD63" s="1158"/>
      <c r="AE63" s="1158"/>
      <c r="AF63" s="1158"/>
      <c r="AG63" s="1158"/>
      <c r="AH63" s="1158"/>
      <c r="AI63" s="1158"/>
      <c r="AJ63" s="1158"/>
      <c r="AK63" s="1158"/>
      <c r="AL63" s="1158"/>
      <c r="AM63" s="1158"/>
      <c r="AN63" s="1158"/>
      <c r="AO63" s="1158"/>
      <c r="AP63" s="1158"/>
      <c r="AQ63" s="1158"/>
      <c r="AR63" s="1158"/>
      <c r="AS63" s="1158"/>
      <c r="AT63" s="1158"/>
      <c r="AU63" s="1158"/>
      <c r="AW63" s="178"/>
      <c r="AX63" s="190"/>
      <c r="AY63" s="190"/>
      <c r="AZ63" s="1094" t="s">
        <v>601</v>
      </c>
      <c r="BA63" s="1094"/>
      <c r="BB63" s="1158" t="s">
        <v>814</v>
      </c>
      <c r="BC63" s="1158"/>
      <c r="BD63" s="1158"/>
      <c r="BE63" s="1158"/>
      <c r="BF63" s="1158"/>
      <c r="BG63" s="1158"/>
      <c r="BH63" s="1158"/>
      <c r="BI63" s="1158"/>
      <c r="BJ63" s="1158"/>
      <c r="BK63" s="1158"/>
      <c r="BL63" s="1158"/>
      <c r="BM63" s="1158"/>
      <c r="BN63" s="1158"/>
      <c r="BO63" s="1158"/>
      <c r="BP63" s="1158"/>
      <c r="BQ63" s="1158"/>
      <c r="BR63" s="1158"/>
      <c r="BS63" s="1158"/>
      <c r="BT63" s="1158"/>
      <c r="BU63" s="1158"/>
      <c r="BV63" s="1158"/>
      <c r="BW63" s="1158"/>
      <c r="BX63" s="1158"/>
      <c r="BY63" s="1158"/>
      <c r="BZ63" s="1158"/>
      <c r="CA63" s="1158"/>
      <c r="CB63" s="1158"/>
      <c r="CC63" s="1158"/>
      <c r="CD63" s="1158"/>
      <c r="CE63" s="1158"/>
      <c r="CF63" s="1158"/>
      <c r="CG63" s="1158"/>
      <c r="CH63" s="1158"/>
      <c r="CI63" s="1158"/>
      <c r="CJ63" s="1158"/>
      <c r="CK63" s="1158"/>
      <c r="CL63" s="1158"/>
      <c r="CM63" s="1158"/>
      <c r="CN63" s="1158"/>
      <c r="CO63" s="1158"/>
      <c r="CP63" s="1158"/>
      <c r="CQ63" s="1158"/>
      <c r="CS63" s="178"/>
      <c r="CT63" s="190"/>
      <c r="CU63" s="190"/>
      <c r="CV63" s="1094" t="s">
        <v>601</v>
      </c>
      <c r="CW63" s="1094"/>
      <c r="CX63" s="1158" t="s">
        <v>814</v>
      </c>
      <c r="CY63" s="1158"/>
      <c r="CZ63" s="1158"/>
      <c r="DA63" s="1158"/>
      <c r="DB63" s="1158"/>
      <c r="DC63" s="1158"/>
      <c r="DD63" s="1158"/>
      <c r="DE63" s="1158"/>
      <c r="DF63" s="1158"/>
      <c r="DG63" s="1158"/>
      <c r="DH63" s="1158"/>
      <c r="DI63" s="1158"/>
      <c r="DJ63" s="1158"/>
      <c r="DK63" s="1158"/>
      <c r="DL63" s="1158"/>
      <c r="DM63" s="1158"/>
      <c r="DN63" s="1158"/>
      <c r="DO63" s="1158"/>
      <c r="DP63" s="1158"/>
      <c r="DQ63" s="1158"/>
      <c r="DR63" s="1158"/>
      <c r="DS63" s="1158"/>
      <c r="DT63" s="1158"/>
      <c r="DU63" s="1158"/>
      <c r="DV63" s="1158"/>
      <c r="DW63" s="1158"/>
      <c r="DX63" s="1158"/>
      <c r="DY63" s="1158"/>
      <c r="DZ63" s="1158"/>
      <c r="EA63" s="1158"/>
      <c r="EB63" s="1158"/>
      <c r="EC63" s="1158"/>
      <c r="ED63" s="1158"/>
      <c r="EE63" s="1158"/>
      <c r="EF63" s="1158"/>
      <c r="EG63" s="1158"/>
      <c r="EH63" s="1158"/>
      <c r="EI63" s="1158"/>
      <c r="EJ63" s="1158"/>
      <c r="EK63" s="1158"/>
      <c r="EL63" s="1158"/>
      <c r="EM63" s="1158"/>
    </row>
    <row r="64" spans="1:143" ht="18.75" customHeight="1">
      <c r="A64" s="178"/>
      <c r="B64" s="1094" t="s">
        <v>815</v>
      </c>
      <c r="C64" s="1094"/>
      <c r="D64" s="1094"/>
      <c r="E64" s="1094"/>
      <c r="F64" s="1094"/>
      <c r="G64" s="1094"/>
      <c r="H64" s="1094"/>
      <c r="I64" s="1094"/>
      <c r="J64" s="1094"/>
      <c r="K64" s="1094"/>
      <c r="L64" s="1094"/>
      <c r="M64" s="1094"/>
      <c r="N64" s="1094"/>
      <c r="O64" s="1094"/>
      <c r="P64" s="1094"/>
      <c r="Q64" s="1094"/>
      <c r="R64" s="1094"/>
      <c r="S64" s="1094"/>
      <c r="T64" s="1094"/>
      <c r="U64" s="1094"/>
      <c r="V64" s="1094"/>
      <c r="W64" s="1094"/>
      <c r="X64" s="1094"/>
      <c r="Y64" s="1094"/>
      <c r="Z64" s="1094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87"/>
      <c r="AP64" s="1106">
        <f>I$13</f>
        <v>0</v>
      </c>
      <c r="AQ64" s="1106"/>
      <c r="AR64" s="1106"/>
      <c r="AS64" s="1106"/>
      <c r="AT64" s="1106"/>
      <c r="AU64" s="1106"/>
      <c r="AW64" s="178"/>
      <c r="AX64" s="1094" t="s">
        <v>815</v>
      </c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  <c r="BX64" s="1094"/>
      <c r="BY64" s="1094"/>
      <c r="BZ64" s="1094"/>
      <c r="CA64" s="1094"/>
      <c r="CB64" s="1094"/>
      <c r="CC64" s="1094"/>
      <c r="CD64" s="1094"/>
      <c r="CE64" s="1094"/>
      <c r="CF64" s="1094"/>
      <c r="CG64" s="1094"/>
      <c r="CH64" s="1094"/>
      <c r="CI64" s="1094"/>
      <c r="CJ64" s="1094"/>
      <c r="CK64" s="187"/>
      <c r="CL64" s="1106">
        <f>BE$13</f>
        <v>0</v>
      </c>
      <c r="CM64" s="1106"/>
      <c r="CN64" s="1106"/>
      <c r="CO64" s="1106"/>
      <c r="CP64" s="1106"/>
      <c r="CQ64" s="1106"/>
      <c r="CS64" s="178"/>
      <c r="CT64" s="1094" t="s">
        <v>815</v>
      </c>
      <c r="CU64" s="1094"/>
      <c r="CV64" s="1094"/>
      <c r="CW64" s="1094"/>
      <c r="CX64" s="1094"/>
      <c r="CY64" s="1094"/>
      <c r="CZ64" s="1094"/>
      <c r="DA64" s="1094"/>
      <c r="DB64" s="1094"/>
      <c r="DC64" s="1094"/>
      <c r="DD64" s="1094"/>
      <c r="DE64" s="1094"/>
      <c r="DF64" s="1094"/>
      <c r="DG64" s="1094"/>
      <c r="DH64" s="1094"/>
      <c r="DI64" s="1094"/>
      <c r="DJ64" s="1094"/>
      <c r="DK64" s="1094"/>
      <c r="DL64" s="1094"/>
      <c r="DM64" s="1094"/>
      <c r="DN64" s="1094"/>
      <c r="DO64" s="1094"/>
      <c r="DP64" s="1094"/>
      <c r="DQ64" s="1094"/>
      <c r="DR64" s="1094"/>
      <c r="DS64" s="1094"/>
      <c r="DT64" s="1094"/>
      <c r="DU64" s="1094"/>
      <c r="DV64" s="1094"/>
      <c r="DW64" s="1094"/>
      <c r="DX64" s="1094"/>
      <c r="DY64" s="1094"/>
      <c r="DZ64" s="1094"/>
      <c r="EA64" s="1094"/>
      <c r="EB64" s="1094"/>
      <c r="EC64" s="1094"/>
      <c r="ED64" s="1094"/>
      <c r="EE64" s="1094"/>
      <c r="EF64" s="1094"/>
      <c r="EG64" s="187"/>
      <c r="EH64" s="1106">
        <f>DA$13</f>
        <v>0</v>
      </c>
      <c r="EI64" s="1106"/>
      <c r="EJ64" s="1106"/>
      <c r="EK64" s="1106"/>
      <c r="EL64" s="1106"/>
      <c r="EM64" s="1106"/>
    </row>
    <row r="65" spans="1:143" ht="18.75" customHeight="1">
      <c r="A65" s="178"/>
      <c r="B65" s="195" t="s">
        <v>586</v>
      </c>
      <c r="C65" s="1107">
        <f>I14</f>
        <v>0</v>
      </c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59" t="s">
        <v>762</v>
      </c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W65" s="178"/>
      <c r="AX65" s="195" t="s">
        <v>586</v>
      </c>
      <c r="AY65" s="1107">
        <f>BE14</f>
        <v>0</v>
      </c>
      <c r="AZ65" s="1107"/>
      <c r="BA65" s="1107"/>
      <c r="BB65" s="1107"/>
      <c r="BC65" s="1107"/>
      <c r="BD65" s="1107"/>
      <c r="BE65" s="1107"/>
      <c r="BF65" s="1107"/>
      <c r="BG65" s="1107"/>
      <c r="BH65" s="1107"/>
      <c r="BI65" s="1107"/>
      <c r="BJ65" s="1107"/>
      <c r="BK65" s="1107"/>
      <c r="BL65" s="1107"/>
      <c r="BM65" s="1107"/>
      <c r="BN65" s="1107"/>
      <c r="BO65" s="1107"/>
      <c r="BP65" s="1107"/>
      <c r="BQ65" s="1107"/>
      <c r="BR65" s="1107"/>
      <c r="BS65" s="1107"/>
      <c r="BT65" s="1107"/>
      <c r="BU65" s="1107"/>
      <c r="BV65" s="1107"/>
      <c r="BW65" s="1107"/>
      <c r="BX65" s="1107"/>
      <c r="BY65" s="1107"/>
      <c r="BZ65" s="1107"/>
      <c r="CA65" s="1107"/>
      <c r="CB65" s="1159" t="s">
        <v>762</v>
      </c>
      <c r="CC65" s="1159"/>
      <c r="CD65" s="1159"/>
      <c r="CE65" s="1159"/>
      <c r="CF65" s="1159"/>
      <c r="CG65" s="1159"/>
      <c r="CH65" s="1159"/>
      <c r="CI65" s="1159"/>
      <c r="CJ65" s="1159"/>
      <c r="CK65" s="1159"/>
      <c r="CL65" s="1159"/>
      <c r="CM65" s="1159"/>
      <c r="CN65" s="1159"/>
      <c r="CO65" s="1159"/>
      <c r="CP65" s="1159"/>
      <c r="CQ65" s="1159"/>
      <c r="CS65" s="178"/>
      <c r="CT65" s="195" t="s">
        <v>586</v>
      </c>
      <c r="CU65" s="1107">
        <f>DA14</f>
        <v>0</v>
      </c>
      <c r="CV65" s="1107"/>
      <c r="CW65" s="1107"/>
      <c r="CX65" s="1107"/>
      <c r="CY65" s="1107"/>
      <c r="CZ65" s="1107"/>
      <c r="DA65" s="1107"/>
      <c r="DB65" s="1107"/>
      <c r="DC65" s="1107"/>
      <c r="DD65" s="1107"/>
      <c r="DE65" s="1107"/>
      <c r="DF65" s="1107"/>
      <c r="DG65" s="1107"/>
      <c r="DH65" s="1107"/>
      <c r="DI65" s="1107"/>
      <c r="DJ65" s="1107"/>
      <c r="DK65" s="1107"/>
      <c r="DL65" s="1107"/>
      <c r="DM65" s="1107"/>
      <c r="DN65" s="1107"/>
      <c r="DO65" s="1107"/>
      <c r="DP65" s="1107"/>
      <c r="DQ65" s="1107"/>
      <c r="DR65" s="1107"/>
      <c r="DS65" s="1107"/>
      <c r="DT65" s="1107"/>
      <c r="DU65" s="1107"/>
      <c r="DV65" s="1107"/>
      <c r="DW65" s="1107"/>
      <c r="DX65" s="1159" t="s">
        <v>762</v>
      </c>
      <c r="DY65" s="1159"/>
      <c r="DZ65" s="1159"/>
      <c r="EA65" s="1159"/>
      <c r="EB65" s="1159"/>
      <c r="EC65" s="1159"/>
      <c r="ED65" s="1159"/>
      <c r="EE65" s="1159"/>
      <c r="EF65" s="1159"/>
      <c r="EG65" s="1159"/>
      <c r="EH65" s="1159"/>
      <c r="EI65" s="1159"/>
      <c r="EJ65" s="1159"/>
      <c r="EK65" s="1159"/>
      <c r="EL65" s="1159"/>
      <c r="EM65" s="1159"/>
    </row>
    <row r="66" spans="1:143" ht="18.75" customHeight="1">
      <c r="A66" s="178"/>
      <c r="B66" s="190"/>
      <c r="C66" s="190"/>
      <c r="D66" s="1094" t="s">
        <v>609</v>
      </c>
      <c r="E66" s="1094"/>
      <c r="F66" s="1079" t="s">
        <v>763</v>
      </c>
      <c r="G66" s="1079"/>
      <c r="H66" s="1079"/>
      <c r="I66" s="1079"/>
      <c r="J66" s="1079"/>
      <c r="K66" s="1079"/>
      <c r="L66" s="1079"/>
      <c r="M66" s="1079"/>
      <c r="N66" s="1079"/>
      <c r="O66" s="1079"/>
      <c r="P66" s="1079"/>
      <c r="Q66" s="1079"/>
      <c r="R66" s="1079"/>
      <c r="S66" s="1079"/>
      <c r="T66" s="1079"/>
      <c r="U66" s="1079"/>
      <c r="V66" s="1079"/>
      <c r="W66" s="1079"/>
      <c r="X66" s="1079"/>
      <c r="Y66" s="1079"/>
      <c r="Z66" s="1079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W66" s="178"/>
      <c r="AX66" s="190"/>
      <c r="AY66" s="190"/>
      <c r="AZ66" s="1094" t="s">
        <v>609</v>
      </c>
      <c r="BA66" s="1094"/>
      <c r="BB66" s="1079" t="s">
        <v>763</v>
      </c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  <c r="BX66" s="1079"/>
      <c r="BY66" s="1079"/>
      <c r="BZ66" s="1079"/>
      <c r="CA66" s="1079"/>
      <c r="CB66" s="1079"/>
      <c r="CC66" s="1079"/>
      <c r="CD66" s="1079"/>
      <c r="CE66" s="1079"/>
      <c r="CF66" s="1079"/>
      <c r="CG66" s="1079"/>
      <c r="CH66" s="1079"/>
      <c r="CI66" s="1079"/>
      <c r="CJ66" s="1079"/>
      <c r="CK66" s="1079"/>
      <c r="CL66" s="1079"/>
      <c r="CM66" s="1079"/>
      <c r="CN66" s="1079"/>
      <c r="CO66" s="1079"/>
      <c r="CP66" s="1079"/>
      <c r="CQ66" s="1079"/>
      <c r="CS66" s="178"/>
      <c r="CT66" s="190"/>
      <c r="CU66" s="190"/>
      <c r="CV66" s="1094" t="s">
        <v>609</v>
      </c>
      <c r="CW66" s="1094"/>
      <c r="CX66" s="1079" t="s">
        <v>763</v>
      </c>
      <c r="CY66" s="1079"/>
      <c r="CZ66" s="1079"/>
      <c r="DA66" s="1079"/>
      <c r="DB66" s="1079"/>
      <c r="DC66" s="1079"/>
      <c r="DD66" s="1079"/>
      <c r="DE66" s="1079"/>
      <c r="DF66" s="1079"/>
      <c r="DG66" s="1079"/>
      <c r="DH66" s="1079"/>
      <c r="DI66" s="1079"/>
      <c r="DJ66" s="1079"/>
      <c r="DK66" s="1079"/>
      <c r="DL66" s="1079"/>
      <c r="DM66" s="1079"/>
      <c r="DN66" s="1079"/>
      <c r="DO66" s="1079"/>
      <c r="DP66" s="1079"/>
      <c r="DQ66" s="1079"/>
      <c r="DR66" s="1079"/>
      <c r="DS66" s="1079"/>
      <c r="DT66" s="1079"/>
      <c r="DU66" s="1079"/>
      <c r="DV66" s="1079"/>
      <c r="DW66" s="1079"/>
      <c r="DX66" s="1079"/>
      <c r="DY66" s="1079"/>
      <c r="DZ66" s="1079"/>
      <c r="EA66" s="1079"/>
      <c r="EB66" s="1079"/>
      <c r="EC66" s="1079"/>
      <c r="ED66" s="1079"/>
      <c r="EE66" s="1079"/>
      <c r="EF66" s="1079"/>
      <c r="EG66" s="1079"/>
      <c r="EH66" s="1079"/>
      <c r="EI66" s="1079"/>
      <c r="EJ66" s="1079"/>
      <c r="EK66" s="1079"/>
      <c r="EL66" s="1079"/>
      <c r="EM66" s="1079"/>
    </row>
    <row r="67" spans="1:143" ht="18.75" customHeight="1">
      <c r="A67" s="178"/>
      <c r="B67" s="1098" t="s">
        <v>764</v>
      </c>
      <c r="C67" s="1098"/>
      <c r="D67" s="1098"/>
      <c r="E67" s="1098"/>
      <c r="F67" s="1098"/>
      <c r="G67" s="1098"/>
      <c r="H67" s="1098"/>
      <c r="I67" s="1098"/>
      <c r="J67" s="1098"/>
      <c r="K67" s="1098"/>
      <c r="L67" s="1098"/>
      <c r="M67" s="1098"/>
      <c r="N67" s="1098"/>
      <c r="O67" s="1098"/>
      <c r="P67" s="1098"/>
      <c r="Q67" s="1098"/>
      <c r="R67" s="1098"/>
      <c r="S67" s="1098"/>
      <c r="T67" s="1098"/>
      <c r="U67" s="1098"/>
      <c r="V67" s="1098"/>
      <c r="W67" s="1098"/>
      <c r="X67" s="1098"/>
      <c r="Y67" s="1098"/>
      <c r="Z67" s="1098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W67" s="178"/>
      <c r="AX67" s="1098" t="s">
        <v>764</v>
      </c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  <c r="BX67" s="1098"/>
      <c r="BY67" s="1098"/>
      <c r="BZ67" s="1098"/>
      <c r="CA67" s="1098"/>
      <c r="CB67" s="1098"/>
      <c r="CC67" s="1098"/>
      <c r="CD67" s="1098"/>
      <c r="CE67" s="1098"/>
      <c r="CF67" s="1098"/>
      <c r="CG67" s="1098"/>
      <c r="CH67" s="1098"/>
      <c r="CI67" s="1098"/>
      <c r="CJ67" s="1098"/>
      <c r="CK67" s="1098"/>
      <c r="CL67" s="1098"/>
      <c r="CM67" s="1098"/>
      <c r="CN67" s="1098"/>
      <c r="CO67" s="1098"/>
      <c r="CP67" s="1098"/>
      <c r="CQ67" s="1098"/>
      <c r="CS67" s="178"/>
      <c r="CT67" s="1098" t="s">
        <v>764</v>
      </c>
      <c r="CU67" s="1098"/>
      <c r="CV67" s="1098"/>
      <c r="CW67" s="1098"/>
      <c r="CX67" s="1098"/>
      <c r="CY67" s="1098"/>
      <c r="CZ67" s="1098"/>
      <c r="DA67" s="1098"/>
      <c r="DB67" s="1098"/>
      <c r="DC67" s="1098"/>
      <c r="DD67" s="1098"/>
      <c r="DE67" s="1098"/>
      <c r="DF67" s="1098"/>
      <c r="DG67" s="1098"/>
      <c r="DH67" s="1098"/>
      <c r="DI67" s="1098"/>
      <c r="DJ67" s="1098"/>
      <c r="DK67" s="1098"/>
      <c r="DL67" s="1098"/>
      <c r="DM67" s="1098"/>
      <c r="DN67" s="1098"/>
      <c r="DO67" s="1098"/>
      <c r="DP67" s="1098"/>
      <c r="DQ67" s="1098"/>
      <c r="DR67" s="1098"/>
      <c r="DS67" s="1098"/>
      <c r="DT67" s="1098"/>
      <c r="DU67" s="1098"/>
      <c r="DV67" s="1098"/>
      <c r="DW67" s="1098"/>
      <c r="DX67" s="1098"/>
      <c r="DY67" s="1098"/>
      <c r="DZ67" s="1098"/>
      <c r="EA67" s="1098"/>
      <c r="EB67" s="1098"/>
      <c r="EC67" s="1098"/>
      <c r="ED67" s="1098"/>
      <c r="EE67" s="1098"/>
      <c r="EF67" s="1098"/>
      <c r="EG67" s="1098"/>
      <c r="EH67" s="1098"/>
      <c r="EI67" s="1098"/>
      <c r="EJ67" s="1098"/>
      <c r="EK67" s="1098"/>
      <c r="EL67" s="1098"/>
      <c r="EM67" s="1098"/>
    </row>
    <row r="68" spans="1:143" ht="18.75" customHeight="1">
      <c r="A68" s="178"/>
      <c r="B68" s="190"/>
      <c r="C68" s="190"/>
      <c r="D68" s="1094" t="s">
        <v>635</v>
      </c>
      <c r="E68" s="1094"/>
      <c r="F68" s="1079" t="s">
        <v>766</v>
      </c>
      <c r="G68" s="1079" t="s">
        <v>766</v>
      </c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9"/>
      <c r="T68" s="1079"/>
      <c r="U68" s="1079"/>
      <c r="V68" s="1079"/>
      <c r="W68" s="1079"/>
      <c r="X68" s="1079"/>
      <c r="Y68" s="1079"/>
      <c r="Z68" s="1079"/>
      <c r="AA68" s="1079"/>
      <c r="AB68" s="1079"/>
      <c r="AC68" s="1079"/>
      <c r="AD68" s="1079"/>
      <c r="AE68" s="1079"/>
      <c r="AF68" s="1079"/>
      <c r="AG68" s="1079"/>
      <c r="AH68" s="1079"/>
      <c r="AI68" s="1079"/>
      <c r="AJ68" s="1079"/>
      <c r="AK68" s="1079"/>
      <c r="AL68" s="1079"/>
      <c r="AM68" s="1079"/>
      <c r="AN68" s="1079"/>
      <c r="AO68" s="1079"/>
      <c r="AP68" s="1079"/>
      <c r="AQ68" s="1079"/>
      <c r="AR68" s="1079"/>
      <c r="AS68" s="1079"/>
      <c r="AT68" s="1079"/>
      <c r="AU68" s="1079"/>
      <c r="AW68" s="178"/>
      <c r="AX68" s="190"/>
      <c r="AY68" s="190"/>
      <c r="AZ68" s="1094" t="s">
        <v>635</v>
      </c>
      <c r="BA68" s="1094"/>
      <c r="BB68" s="1079" t="s">
        <v>766</v>
      </c>
      <c r="BC68" s="1079" t="s">
        <v>766</v>
      </c>
      <c r="BD68" s="1079"/>
      <c r="BE68" s="1079"/>
      <c r="BF68" s="1079"/>
      <c r="BG68" s="1079"/>
      <c r="BH68" s="1079"/>
      <c r="BI68" s="1079"/>
      <c r="BJ68" s="1079"/>
      <c r="BK68" s="1079"/>
      <c r="BL68" s="1079"/>
      <c r="BM68" s="1079"/>
      <c r="BN68" s="1079"/>
      <c r="BO68" s="1079"/>
      <c r="BP68" s="1079"/>
      <c r="BQ68" s="1079"/>
      <c r="BR68" s="1079"/>
      <c r="BS68" s="1079"/>
      <c r="BT68" s="1079"/>
      <c r="BU68" s="1079"/>
      <c r="BV68" s="1079"/>
      <c r="BW68" s="1079"/>
      <c r="BX68" s="1079"/>
      <c r="BY68" s="1079"/>
      <c r="BZ68" s="1079"/>
      <c r="CA68" s="1079"/>
      <c r="CB68" s="1079"/>
      <c r="CC68" s="1079"/>
      <c r="CD68" s="1079"/>
      <c r="CE68" s="1079"/>
      <c r="CF68" s="1079"/>
      <c r="CG68" s="1079"/>
      <c r="CH68" s="1079"/>
      <c r="CI68" s="1079"/>
      <c r="CJ68" s="1079"/>
      <c r="CK68" s="1079"/>
      <c r="CL68" s="1079"/>
      <c r="CM68" s="1079"/>
      <c r="CN68" s="1079"/>
      <c r="CO68" s="1079"/>
      <c r="CP68" s="1079"/>
      <c r="CQ68" s="1079"/>
      <c r="CS68" s="178"/>
      <c r="CT68" s="190"/>
      <c r="CU68" s="190"/>
      <c r="CV68" s="1094" t="s">
        <v>635</v>
      </c>
      <c r="CW68" s="1094"/>
      <c r="CX68" s="1079" t="s">
        <v>766</v>
      </c>
      <c r="CY68" s="1079" t="s">
        <v>766</v>
      </c>
      <c r="CZ68" s="1079"/>
      <c r="DA68" s="1079"/>
      <c r="DB68" s="1079"/>
      <c r="DC68" s="1079"/>
      <c r="DD68" s="1079"/>
      <c r="DE68" s="1079"/>
      <c r="DF68" s="1079"/>
      <c r="DG68" s="1079"/>
      <c r="DH68" s="1079"/>
      <c r="DI68" s="1079"/>
      <c r="DJ68" s="1079"/>
      <c r="DK68" s="1079"/>
      <c r="DL68" s="1079"/>
      <c r="DM68" s="1079"/>
      <c r="DN68" s="1079"/>
      <c r="DO68" s="1079"/>
      <c r="DP68" s="1079"/>
      <c r="DQ68" s="1079"/>
      <c r="DR68" s="1079"/>
      <c r="DS68" s="1079"/>
      <c r="DT68" s="1079"/>
      <c r="DU68" s="1079"/>
      <c r="DV68" s="1079"/>
      <c r="DW68" s="1079"/>
      <c r="DX68" s="1079"/>
      <c r="DY68" s="1079"/>
      <c r="DZ68" s="1079"/>
      <c r="EA68" s="1079"/>
      <c r="EB68" s="1079"/>
      <c r="EC68" s="1079"/>
      <c r="ED68" s="1079"/>
      <c r="EE68" s="1079"/>
      <c r="EF68" s="1079"/>
      <c r="EG68" s="1079"/>
      <c r="EH68" s="1079"/>
      <c r="EI68" s="1079"/>
      <c r="EJ68" s="1079"/>
      <c r="EK68" s="1079"/>
      <c r="EL68" s="1079"/>
      <c r="EM68" s="1079"/>
    </row>
    <row r="69" spans="1:143" s="234" customFormat="1" ht="22.5" customHeight="1">
      <c r="A69" s="178"/>
      <c r="B69" s="1098" t="s">
        <v>938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W69" s="178"/>
      <c r="AX69" s="1098" t="s">
        <v>938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938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s="234" customFormat="1" ht="57" customHeight="1">
      <c r="A70" s="178"/>
      <c r="B70" s="1105">
        <f>B31</f>
        <v>0</v>
      </c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105"/>
      <c r="W70" s="1105"/>
      <c r="X70" s="1105"/>
      <c r="Y70" s="1105"/>
      <c r="Z70" s="1105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W70" s="178"/>
      <c r="AX70" s="1105">
        <f>AX31</f>
        <v>0</v>
      </c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  <c r="BX70" s="1105"/>
      <c r="BY70" s="1105"/>
      <c r="BZ70" s="1105"/>
      <c r="CA70" s="1105"/>
      <c r="CB70" s="1105"/>
      <c r="CC70" s="1105"/>
      <c r="CD70" s="1105"/>
      <c r="CE70" s="1105"/>
      <c r="CF70" s="1105"/>
      <c r="CG70" s="1105"/>
      <c r="CH70" s="1105"/>
      <c r="CI70" s="1105"/>
      <c r="CJ70" s="1105"/>
      <c r="CK70" s="1105"/>
      <c r="CL70" s="1105"/>
      <c r="CM70" s="1105"/>
      <c r="CN70" s="1105"/>
      <c r="CO70" s="1105"/>
      <c r="CP70" s="1105"/>
      <c r="CQ70" s="1105"/>
      <c r="CS70" s="178"/>
      <c r="CT70" s="1105">
        <f>CT31</f>
        <v>0</v>
      </c>
      <c r="CU70" s="1105"/>
      <c r="CV70" s="1105"/>
      <c r="CW70" s="1105"/>
      <c r="CX70" s="1105"/>
      <c r="CY70" s="1105"/>
      <c r="CZ70" s="1105"/>
      <c r="DA70" s="1105"/>
      <c r="DB70" s="1105"/>
      <c r="DC70" s="1105"/>
      <c r="DD70" s="1105"/>
      <c r="DE70" s="1105"/>
      <c r="DF70" s="1105"/>
      <c r="DG70" s="1105"/>
      <c r="DH70" s="1105"/>
      <c r="DI70" s="1105"/>
      <c r="DJ70" s="1105"/>
      <c r="DK70" s="1105"/>
      <c r="DL70" s="1105"/>
      <c r="DM70" s="1105"/>
      <c r="DN70" s="1105"/>
      <c r="DO70" s="1105"/>
      <c r="DP70" s="1105"/>
      <c r="DQ70" s="1105"/>
      <c r="DR70" s="1105"/>
      <c r="DS70" s="1105"/>
      <c r="DT70" s="1105"/>
      <c r="DU70" s="1105"/>
      <c r="DV70" s="1105"/>
      <c r="DW70" s="1105"/>
      <c r="DX70" s="1105"/>
      <c r="DY70" s="1105"/>
      <c r="DZ70" s="1105"/>
      <c r="EA70" s="1105"/>
      <c r="EB70" s="1105"/>
      <c r="EC70" s="1105"/>
      <c r="ED70" s="1105"/>
      <c r="EE70" s="1105"/>
      <c r="EF70" s="1105"/>
      <c r="EG70" s="1105"/>
      <c r="EH70" s="1105"/>
      <c r="EI70" s="1105"/>
      <c r="EJ70" s="1105"/>
      <c r="EK70" s="1105"/>
      <c r="EL70" s="1105"/>
      <c r="EM70" s="1105"/>
    </row>
    <row r="71" spans="1:143" ht="18.75" customHeight="1">
      <c r="A71" s="178"/>
      <c r="B71" s="1160" t="s">
        <v>767</v>
      </c>
      <c r="C71" s="1160"/>
      <c r="D71" s="1160"/>
      <c r="E71" s="1160"/>
      <c r="F71" s="1160"/>
      <c r="G71" s="1160"/>
      <c r="H71" s="1160"/>
      <c r="I71" s="1160"/>
      <c r="J71" s="1160"/>
      <c r="K71" s="1160"/>
      <c r="L71" s="1160"/>
      <c r="M71" s="1160"/>
      <c r="N71" s="1160"/>
      <c r="O71" s="1160"/>
      <c r="P71" s="1160"/>
      <c r="Q71" s="1160"/>
      <c r="R71" s="1160"/>
      <c r="S71" s="1160"/>
      <c r="T71" s="1160"/>
      <c r="U71" s="1097" t="e">
        <f>I$6</f>
        <v>#VALUE!</v>
      </c>
      <c r="V71" s="1097"/>
      <c r="W71" s="1097"/>
      <c r="X71" s="1097"/>
      <c r="Y71" s="1096" t="s">
        <v>768</v>
      </c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W71" s="178"/>
      <c r="AX71" s="1160" t="s">
        <v>767</v>
      </c>
      <c r="AY71" s="1160"/>
      <c r="AZ71" s="1160"/>
      <c r="BA71" s="1160"/>
      <c r="BB71" s="1160"/>
      <c r="BC71" s="1160"/>
      <c r="BD71" s="1160"/>
      <c r="BE71" s="1160"/>
      <c r="BF71" s="1160"/>
      <c r="BG71" s="1160"/>
      <c r="BH71" s="1160"/>
      <c r="BI71" s="1160"/>
      <c r="BJ71" s="1160"/>
      <c r="BK71" s="1160"/>
      <c r="BL71" s="1160"/>
      <c r="BM71" s="1160"/>
      <c r="BN71" s="1160"/>
      <c r="BO71" s="1160"/>
      <c r="BP71" s="1160"/>
      <c r="BQ71" s="1097" t="e">
        <f>BE$6</f>
        <v>#VALUE!</v>
      </c>
      <c r="BR71" s="1097"/>
      <c r="BS71" s="1097"/>
      <c r="BT71" s="1097"/>
      <c r="BU71" s="1096" t="s">
        <v>768</v>
      </c>
      <c r="BV71" s="1096"/>
      <c r="BW71" s="1096"/>
      <c r="BX71" s="1096"/>
      <c r="BY71" s="1096"/>
      <c r="BZ71" s="1096"/>
      <c r="CA71" s="1096"/>
      <c r="CB71" s="1096"/>
      <c r="CC71" s="1096"/>
      <c r="CD71" s="1096"/>
      <c r="CE71" s="1096"/>
      <c r="CF71" s="1096"/>
      <c r="CG71" s="1096"/>
      <c r="CH71" s="1096"/>
      <c r="CI71" s="1096"/>
      <c r="CJ71" s="1096"/>
      <c r="CK71" s="1096"/>
      <c r="CL71" s="1096"/>
      <c r="CM71" s="1096"/>
      <c r="CN71" s="1096"/>
      <c r="CO71" s="1096"/>
      <c r="CP71" s="1096"/>
      <c r="CQ71" s="1096"/>
      <c r="CS71" s="178"/>
      <c r="CT71" s="1160" t="s">
        <v>767</v>
      </c>
      <c r="CU71" s="1160"/>
      <c r="CV71" s="1160"/>
      <c r="CW71" s="1160"/>
      <c r="CX71" s="1160"/>
      <c r="CY71" s="1160"/>
      <c r="CZ71" s="1160"/>
      <c r="DA71" s="1160"/>
      <c r="DB71" s="1160"/>
      <c r="DC71" s="1160"/>
      <c r="DD71" s="1160"/>
      <c r="DE71" s="1160"/>
      <c r="DF71" s="1160"/>
      <c r="DG71" s="1160"/>
      <c r="DH71" s="1160"/>
      <c r="DI71" s="1160"/>
      <c r="DJ71" s="1160"/>
      <c r="DK71" s="1160"/>
      <c r="DL71" s="1160"/>
      <c r="DM71" s="1097" t="e">
        <f>DA$6</f>
        <v>#VALUE!</v>
      </c>
      <c r="DN71" s="1097"/>
      <c r="DO71" s="1097"/>
      <c r="DP71" s="1097"/>
      <c r="DQ71" s="1096" t="s">
        <v>768</v>
      </c>
      <c r="DR71" s="1096"/>
      <c r="DS71" s="1096"/>
      <c r="DT71" s="1096"/>
      <c r="DU71" s="1096"/>
      <c r="DV71" s="1096"/>
      <c r="DW71" s="1096"/>
      <c r="DX71" s="1096"/>
      <c r="DY71" s="1096"/>
      <c r="DZ71" s="1096"/>
      <c r="EA71" s="1096"/>
      <c r="EB71" s="1096"/>
      <c r="EC71" s="1096"/>
      <c r="ED71" s="1096"/>
      <c r="EE71" s="1096"/>
      <c r="EF71" s="1096"/>
      <c r="EG71" s="1096"/>
      <c r="EH71" s="1096"/>
      <c r="EI71" s="1096"/>
      <c r="EJ71" s="1096"/>
      <c r="EK71" s="1096"/>
      <c r="EL71" s="1096"/>
      <c r="EM71" s="1096"/>
    </row>
    <row r="72" spans="1:143" ht="40.5" customHeight="1">
      <c r="A72" s="178"/>
      <c r="B72" s="1098" t="s">
        <v>816</v>
      </c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W72" s="178"/>
      <c r="AX72" s="1098" t="s">
        <v>816</v>
      </c>
      <c r="AY72" s="1098"/>
      <c r="AZ72" s="1098"/>
      <c r="BA72" s="1098"/>
      <c r="BB72" s="1098"/>
      <c r="BC72" s="1098"/>
      <c r="BD72" s="1098"/>
      <c r="BE72" s="1098"/>
      <c r="BF72" s="1098"/>
      <c r="BG72" s="1098"/>
      <c r="BH72" s="1098"/>
      <c r="BI72" s="1098"/>
      <c r="BJ72" s="1098"/>
      <c r="BK72" s="1098"/>
      <c r="BL72" s="1098"/>
      <c r="BM72" s="1098"/>
      <c r="BN72" s="1098"/>
      <c r="BO72" s="1098"/>
      <c r="BP72" s="1098"/>
      <c r="BQ72" s="1098"/>
      <c r="BR72" s="1098"/>
      <c r="BS72" s="1098"/>
      <c r="BT72" s="1098"/>
      <c r="BU72" s="1098"/>
      <c r="BV72" s="1098"/>
      <c r="BW72" s="1098"/>
      <c r="BX72" s="1098"/>
      <c r="BY72" s="1098"/>
      <c r="BZ72" s="1098"/>
      <c r="CA72" s="1098"/>
      <c r="CB72" s="1098"/>
      <c r="CC72" s="1098"/>
      <c r="CD72" s="1098"/>
      <c r="CE72" s="1098"/>
      <c r="CF72" s="1098"/>
      <c r="CG72" s="1098"/>
      <c r="CH72" s="1098"/>
      <c r="CI72" s="1098"/>
      <c r="CJ72" s="1098"/>
      <c r="CK72" s="1098"/>
      <c r="CL72" s="1098"/>
      <c r="CM72" s="1098"/>
      <c r="CN72" s="1098"/>
      <c r="CO72" s="1098"/>
      <c r="CP72" s="1098"/>
      <c r="CQ72" s="1098"/>
      <c r="CS72" s="178"/>
      <c r="CT72" s="1098" t="s">
        <v>816</v>
      </c>
      <c r="CU72" s="1098"/>
      <c r="CV72" s="1098"/>
      <c r="CW72" s="1098"/>
      <c r="CX72" s="1098"/>
      <c r="CY72" s="1098"/>
      <c r="CZ72" s="1098"/>
      <c r="DA72" s="1098"/>
      <c r="DB72" s="1098"/>
      <c r="DC72" s="1098"/>
      <c r="DD72" s="1098"/>
      <c r="DE72" s="1098"/>
      <c r="DF72" s="1098"/>
      <c r="DG72" s="1098"/>
      <c r="DH72" s="1098"/>
      <c r="DI72" s="1098"/>
      <c r="DJ72" s="1098"/>
      <c r="DK72" s="1098"/>
      <c r="DL72" s="1098"/>
      <c r="DM72" s="1098"/>
      <c r="DN72" s="1098"/>
      <c r="DO72" s="1098"/>
      <c r="DP72" s="1098"/>
      <c r="DQ72" s="1098"/>
      <c r="DR72" s="1098"/>
      <c r="DS72" s="1098"/>
      <c r="DT72" s="1098"/>
      <c r="DU72" s="1098"/>
      <c r="DV72" s="1098"/>
      <c r="DW72" s="1098"/>
      <c r="DX72" s="1098"/>
      <c r="DY72" s="1098"/>
      <c r="DZ72" s="1098"/>
      <c r="EA72" s="1098"/>
      <c r="EB72" s="1098"/>
      <c r="EC72" s="1098"/>
      <c r="ED72" s="1098"/>
      <c r="EE72" s="1098"/>
      <c r="EF72" s="1098"/>
      <c r="EG72" s="1098"/>
      <c r="EH72" s="1098"/>
      <c r="EI72" s="1098"/>
      <c r="EJ72" s="1098"/>
      <c r="EK72" s="1098"/>
      <c r="EL72" s="1098"/>
      <c r="EM72" s="1098"/>
    </row>
    <row r="73" spans="1:143" ht="18.75" customHeight="1">
      <c r="A73" s="178"/>
      <c r="B73" s="190"/>
      <c r="C73" s="190"/>
      <c r="D73" s="1094" t="s">
        <v>640</v>
      </c>
      <c r="E73" s="1094"/>
      <c r="F73" s="193"/>
      <c r="G73" s="1079" t="s">
        <v>770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W73" s="178"/>
      <c r="AX73" s="190"/>
      <c r="AY73" s="190"/>
      <c r="AZ73" s="1094" t="s">
        <v>640</v>
      </c>
      <c r="BA73" s="1094"/>
      <c r="BB73" s="306"/>
      <c r="BC73" s="1079" t="s">
        <v>770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640</v>
      </c>
      <c r="CW73" s="1094"/>
      <c r="CX73" s="306"/>
      <c r="CY73" s="1079" t="s">
        <v>770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41.25" customHeight="1">
      <c r="A74" s="178"/>
      <c r="B74" s="1098" t="s">
        <v>599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W74" s="178"/>
      <c r="AX74" s="1098" t="s">
        <v>599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599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6.5">
      <c r="A75" s="178"/>
      <c r="B75" s="1134" t="s">
        <v>771</v>
      </c>
      <c r="C75" s="1134"/>
      <c r="D75" s="1134"/>
      <c r="E75" s="1134"/>
      <c r="F75" s="1134"/>
      <c r="G75" s="1134"/>
      <c r="H75" s="1134"/>
      <c r="I75" s="1134"/>
      <c r="J75" s="1134"/>
      <c r="K75" s="1134"/>
      <c r="L75" s="1134"/>
      <c r="M75" s="1134"/>
      <c r="N75" s="1134"/>
      <c r="O75" s="1134"/>
      <c r="P75" s="1134"/>
      <c r="Q75" s="1134"/>
      <c r="R75" s="1134"/>
      <c r="S75" s="1134"/>
      <c r="T75" s="1134"/>
      <c r="U75" s="1134"/>
      <c r="V75" s="1134"/>
      <c r="W75" s="1134"/>
      <c r="X75" s="1134"/>
      <c r="Y75" s="1134"/>
      <c r="Z75" s="1134"/>
      <c r="AA75" s="1134"/>
      <c r="AB75" s="1134"/>
      <c r="AC75" s="1134"/>
      <c r="AD75" s="1134"/>
      <c r="AE75" s="1134"/>
      <c r="AF75" s="1134"/>
      <c r="AG75" s="1134"/>
      <c r="AH75" s="1134"/>
      <c r="AI75" s="1134"/>
      <c r="AJ75" s="1134"/>
      <c r="AK75" s="1134"/>
      <c r="AL75" s="1134"/>
      <c r="AM75" s="1134"/>
      <c r="AN75" s="1134"/>
      <c r="AO75" s="1134"/>
      <c r="AP75" s="1134"/>
      <c r="AQ75" s="1134"/>
      <c r="AR75" s="1134"/>
      <c r="AS75" s="1134"/>
      <c r="AT75" s="1134"/>
      <c r="AU75" s="1134"/>
      <c r="AW75" s="178"/>
      <c r="AX75" s="1134" t="s">
        <v>771</v>
      </c>
      <c r="AY75" s="1134"/>
      <c r="AZ75" s="1134"/>
      <c r="BA75" s="1134"/>
      <c r="BB75" s="1134"/>
      <c r="BC75" s="1134"/>
      <c r="BD75" s="1134"/>
      <c r="BE75" s="1134"/>
      <c r="BF75" s="1134"/>
      <c r="BG75" s="1134"/>
      <c r="BH75" s="1134"/>
      <c r="BI75" s="1134"/>
      <c r="BJ75" s="1134"/>
      <c r="BK75" s="1134"/>
      <c r="BL75" s="1134"/>
      <c r="BM75" s="1134"/>
      <c r="BN75" s="1134"/>
      <c r="BO75" s="1134"/>
      <c r="BP75" s="1134"/>
      <c r="BQ75" s="1134"/>
      <c r="BR75" s="1134"/>
      <c r="BS75" s="1134"/>
      <c r="BT75" s="1134"/>
      <c r="BU75" s="1134"/>
      <c r="BV75" s="1134"/>
      <c r="BW75" s="1134"/>
      <c r="BX75" s="1134"/>
      <c r="BY75" s="1134"/>
      <c r="BZ75" s="1134"/>
      <c r="CA75" s="1134"/>
      <c r="CB75" s="1134"/>
      <c r="CC75" s="1134"/>
      <c r="CD75" s="1134"/>
      <c r="CE75" s="1134"/>
      <c r="CF75" s="1134"/>
      <c r="CG75" s="1134"/>
      <c r="CH75" s="1134"/>
      <c r="CI75" s="1134"/>
      <c r="CJ75" s="1134"/>
      <c r="CK75" s="1134"/>
      <c r="CL75" s="1134"/>
      <c r="CM75" s="1134"/>
      <c r="CN75" s="1134"/>
      <c r="CO75" s="1134"/>
      <c r="CP75" s="1134"/>
      <c r="CQ75" s="1134"/>
      <c r="CS75" s="178"/>
      <c r="CT75" s="1134" t="s">
        <v>771</v>
      </c>
      <c r="CU75" s="1134"/>
      <c r="CV75" s="1134"/>
      <c r="CW75" s="1134"/>
      <c r="CX75" s="1134"/>
      <c r="CY75" s="1134"/>
      <c r="CZ75" s="1134"/>
      <c r="DA75" s="1134"/>
      <c r="DB75" s="1134"/>
      <c r="DC75" s="1134"/>
      <c r="DD75" s="1134"/>
      <c r="DE75" s="1134"/>
      <c r="DF75" s="1134"/>
      <c r="DG75" s="1134"/>
      <c r="DH75" s="1134"/>
      <c r="DI75" s="1134"/>
      <c r="DJ75" s="1134"/>
      <c r="DK75" s="1134"/>
      <c r="DL75" s="1134"/>
      <c r="DM75" s="1134"/>
      <c r="DN75" s="1134"/>
      <c r="DO75" s="1134"/>
      <c r="DP75" s="1134"/>
      <c r="DQ75" s="1134"/>
      <c r="DR75" s="1134"/>
      <c r="DS75" s="1134"/>
      <c r="DT75" s="1134"/>
      <c r="DU75" s="1134"/>
      <c r="DV75" s="1134"/>
      <c r="DW75" s="1134"/>
      <c r="DX75" s="1134"/>
      <c r="DY75" s="1134"/>
      <c r="DZ75" s="1134"/>
      <c r="EA75" s="1134"/>
      <c r="EB75" s="1134"/>
      <c r="EC75" s="1134"/>
      <c r="ED75" s="1134"/>
      <c r="EE75" s="1134"/>
      <c r="EF75" s="1134"/>
      <c r="EG75" s="1134"/>
      <c r="EH75" s="1134"/>
      <c r="EI75" s="1134"/>
      <c r="EJ75" s="1134"/>
      <c r="EK75" s="1134"/>
      <c r="EL75" s="1134"/>
      <c r="EM75" s="1134"/>
    </row>
    <row r="76" spans="1:143" ht="18.75" customHeight="1">
      <c r="A76" s="178"/>
      <c r="B76" s="190"/>
      <c r="C76" s="190"/>
      <c r="D76" s="1094" t="s">
        <v>273</v>
      </c>
      <c r="E76" s="1094"/>
      <c r="F76" s="1079" t="s">
        <v>655</v>
      </c>
      <c r="G76" s="1079"/>
      <c r="H76" s="1079"/>
      <c r="I76" s="1079"/>
      <c r="J76" s="1079"/>
      <c r="K76" s="1079"/>
      <c r="L76" s="1079"/>
      <c r="M76" s="1079"/>
      <c r="N76" s="1079"/>
      <c r="O76" s="1079"/>
      <c r="P76" s="1079"/>
      <c r="Q76" s="1079"/>
      <c r="R76" s="1079"/>
      <c r="S76" s="1079"/>
      <c r="T76" s="1079"/>
      <c r="U76" s="1079"/>
      <c r="V76" s="1079"/>
      <c r="W76" s="1079"/>
      <c r="X76" s="1079"/>
      <c r="Y76" s="1079"/>
      <c r="Z76" s="1079"/>
      <c r="AA76" s="1079"/>
      <c r="AB76" s="1079"/>
      <c r="AC76" s="1079"/>
      <c r="AD76" s="1079"/>
      <c r="AE76" s="1079"/>
      <c r="AF76" s="1079"/>
      <c r="AG76" s="1079"/>
      <c r="AH76" s="1079"/>
      <c r="AI76" s="1079"/>
      <c r="AJ76" s="1079"/>
      <c r="AK76" s="1079"/>
      <c r="AL76" s="1079"/>
      <c r="AM76" s="1079"/>
      <c r="AN76" s="1079"/>
      <c r="AO76" s="1079"/>
      <c r="AP76" s="1079"/>
      <c r="AQ76" s="1079"/>
      <c r="AR76" s="1079"/>
      <c r="AS76" s="1079"/>
      <c r="AT76" s="1079"/>
      <c r="AU76" s="1079"/>
      <c r="AW76" s="178"/>
      <c r="AX76" s="190"/>
      <c r="AY76" s="190"/>
      <c r="AZ76" s="1094" t="s">
        <v>273</v>
      </c>
      <c r="BA76" s="1094"/>
      <c r="BB76" s="1079" t="s">
        <v>655</v>
      </c>
      <c r="BC76" s="1079"/>
      <c r="BD76" s="1079"/>
      <c r="BE76" s="1079"/>
      <c r="BF76" s="1079"/>
      <c r="BG76" s="1079"/>
      <c r="BH76" s="1079"/>
      <c r="BI76" s="1079"/>
      <c r="BJ76" s="1079"/>
      <c r="BK76" s="1079"/>
      <c r="BL76" s="1079"/>
      <c r="BM76" s="1079"/>
      <c r="BN76" s="1079"/>
      <c r="BO76" s="1079"/>
      <c r="BP76" s="1079"/>
      <c r="BQ76" s="1079"/>
      <c r="BR76" s="1079"/>
      <c r="BS76" s="1079"/>
      <c r="BT76" s="1079"/>
      <c r="BU76" s="1079"/>
      <c r="BV76" s="1079"/>
      <c r="BW76" s="1079"/>
      <c r="BX76" s="1079"/>
      <c r="BY76" s="1079"/>
      <c r="BZ76" s="1079"/>
      <c r="CA76" s="1079"/>
      <c r="CB76" s="1079"/>
      <c r="CC76" s="1079"/>
      <c r="CD76" s="1079"/>
      <c r="CE76" s="1079"/>
      <c r="CF76" s="1079"/>
      <c r="CG76" s="1079"/>
      <c r="CH76" s="1079"/>
      <c r="CI76" s="1079"/>
      <c r="CJ76" s="1079"/>
      <c r="CK76" s="1079"/>
      <c r="CL76" s="1079"/>
      <c r="CM76" s="1079"/>
      <c r="CN76" s="1079"/>
      <c r="CO76" s="1079"/>
      <c r="CP76" s="1079"/>
      <c r="CQ76" s="1079"/>
      <c r="CS76" s="178"/>
      <c r="CT76" s="190"/>
      <c r="CU76" s="190"/>
      <c r="CV76" s="1094" t="s">
        <v>273</v>
      </c>
      <c r="CW76" s="1094"/>
      <c r="CX76" s="1079" t="s">
        <v>655</v>
      </c>
      <c r="CY76" s="1079"/>
      <c r="CZ76" s="1079"/>
      <c r="DA76" s="1079"/>
      <c r="DB76" s="1079"/>
      <c r="DC76" s="1079"/>
      <c r="DD76" s="1079"/>
      <c r="DE76" s="1079"/>
      <c r="DF76" s="1079"/>
      <c r="DG76" s="1079"/>
      <c r="DH76" s="1079"/>
      <c r="DI76" s="1079"/>
      <c r="DJ76" s="1079"/>
      <c r="DK76" s="1079"/>
      <c r="DL76" s="1079"/>
      <c r="DM76" s="1079"/>
      <c r="DN76" s="1079"/>
      <c r="DO76" s="1079"/>
      <c r="DP76" s="1079"/>
      <c r="DQ76" s="1079"/>
      <c r="DR76" s="1079"/>
      <c r="DS76" s="1079"/>
      <c r="DT76" s="1079"/>
      <c r="DU76" s="1079"/>
      <c r="DV76" s="1079"/>
      <c r="DW76" s="1079"/>
      <c r="DX76" s="1079"/>
      <c r="DY76" s="1079"/>
      <c r="DZ76" s="1079"/>
      <c r="EA76" s="1079"/>
      <c r="EB76" s="1079"/>
      <c r="EC76" s="1079"/>
      <c r="ED76" s="1079"/>
      <c r="EE76" s="1079"/>
      <c r="EF76" s="1079"/>
      <c r="EG76" s="1079"/>
      <c r="EH76" s="1079"/>
      <c r="EI76" s="1079"/>
      <c r="EJ76" s="1079"/>
      <c r="EK76" s="1079"/>
      <c r="EL76" s="1079"/>
      <c r="EM76" s="1079"/>
    </row>
    <row r="77" spans="1:143" ht="18.75" customHeight="1">
      <c r="A77" s="178"/>
      <c r="B77" s="1098" t="s">
        <v>656</v>
      </c>
      <c r="C77" s="1098"/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098"/>
      <c r="V77" s="1098"/>
      <c r="W77" s="1098"/>
      <c r="X77" s="1098"/>
      <c r="Y77" s="1098"/>
      <c r="Z77" s="1098"/>
      <c r="AA77" s="1098"/>
      <c r="AB77" s="1098"/>
      <c r="AC77" s="1098"/>
      <c r="AD77" s="1098"/>
      <c r="AE77" s="1098"/>
      <c r="AF77" s="1098"/>
      <c r="AG77" s="1098"/>
      <c r="AH77" s="1098"/>
      <c r="AI77" s="1098"/>
      <c r="AJ77" s="1098"/>
      <c r="AK77" s="1098"/>
      <c r="AL77" s="1098"/>
      <c r="AM77" s="1098"/>
      <c r="AN77" s="1098"/>
      <c r="AO77" s="1098"/>
      <c r="AP77" s="1098"/>
      <c r="AQ77" s="1098"/>
      <c r="AR77" s="1098"/>
      <c r="AS77" s="1098"/>
      <c r="AT77" s="1098"/>
      <c r="AU77" s="1098"/>
      <c r="AW77" s="178"/>
      <c r="AX77" s="1098" t="s">
        <v>656</v>
      </c>
      <c r="AY77" s="1098"/>
      <c r="AZ77" s="1098"/>
      <c r="BA77" s="1098"/>
      <c r="BB77" s="1098"/>
      <c r="BC77" s="1098"/>
      <c r="BD77" s="1098"/>
      <c r="BE77" s="1098"/>
      <c r="BF77" s="1098"/>
      <c r="BG77" s="1098"/>
      <c r="BH77" s="1098"/>
      <c r="BI77" s="1098"/>
      <c r="BJ77" s="1098"/>
      <c r="BK77" s="1098"/>
      <c r="BL77" s="1098"/>
      <c r="BM77" s="1098"/>
      <c r="BN77" s="1098"/>
      <c r="BO77" s="1098"/>
      <c r="BP77" s="1098"/>
      <c r="BQ77" s="1098"/>
      <c r="BR77" s="1098"/>
      <c r="BS77" s="1098"/>
      <c r="BT77" s="1098"/>
      <c r="BU77" s="1098"/>
      <c r="BV77" s="1098"/>
      <c r="BW77" s="1098"/>
      <c r="BX77" s="1098"/>
      <c r="BY77" s="1098"/>
      <c r="BZ77" s="1098"/>
      <c r="CA77" s="1098"/>
      <c r="CB77" s="1098"/>
      <c r="CC77" s="1098"/>
      <c r="CD77" s="1098"/>
      <c r="CE77" s="1098"/>
      <c r="CF77" s="1098"/>
      <c r="CG77" s="1098"/>
      <c r="CH77" s="1098"/>
      <c r="CI77" s="1098"/>
      <c r="CJ77" s="1098"/>
      <c r="CK77" s="1098"/>
      <c r="CL77" s="1098"/>
      <c r="CM77" s="1098"/>
      <c r="CN77" s="1098"/>
      <c r="CO77" s="1098"/>
      <c r="CP77" s="1098"/>
      <c r="CQ77" s="1098"/>
      <c r="CS77" s="178"/>
      <c r="CT77" s="1098" t="s">
        <v>656</v>
      </c>
      <c r="CU77" s="1098"/>
      <c r="CV77" s="1098"/>
      <c r="CW77" s="1098"/>
      <c r="CX77" s="1098"/>
      <c r="CY77" s="1098"/>
      <c r="CZ77" s="1098"/>
      <c r="DA77" s="1098"/>
      <c r="DB77" s="1098"/>
      <c r="DC77" s="1098"/>
      <c r="DD77" s="1098"/>
      <c r="DE77" s="1098"/>
      <c r="DF77" s="1098"/>
      <c r="DG77" s="1098"/>
      <c r="DH77" s="1098"/>
      <c r="DI77" s="1098"/>
      <c r="DJ77" s="1098"/>
      <c r="DK77" s="1098"/>
      <c r="DL77" s="1098"/>
      <c r="DM77" s="1098"/>
      <c r="DN77" s="1098"/>
      <c r="DO77" s="1098"/>
      <c r="DP77" s="1098"/>
      <c r="DQ77" s="1098"/>
      <c r="DR77" s="1098"/>
      <c r="DS77" s="1098"/>
      <c r="DT77" s="1098"/>
      <c r="DU77" s="1098"/>
      <c r="DV77" s="1098"/>
      <c r="DW77" s="1098"/>
      <c r="DX77" s="1098"/>
      <c r="DY77" s="1098"/>
      <c r="DZ77" s="1098"/>
      <c r="EA77" s="1098"/>
      <c r="EB77" s="1098"/>
      <c r="EC77" s="1098"/>
      <c r="ED77" s="1098"/>
      <c r="EE77" s="1098"/>
      <c r="EF77" s="1098"/>
      <c r="EG77" s="1098"/>
      <c r="EH77" s="1098"/>
      <c r="EI77" s="1098"/>
      <c r="EJ77" s="1098"/>
      <c r="EK77" s="1098"/>
      <c r="EL77" s="1098"/>
      <c r="EM77" s="1098"/>
    </row>
    <row r="78" spans="1:143" ht="18.75" customHeight="1">
      <c r="A78" s="178"/>
      <c r="B78" s="1135" t="s">
        <v>817</v>
      </c>
      <c r="C78" s="1135"/>
      <c r="D78" s="1135"/>
      <c r="E78" s="1135"/>
      <c r="F78" s="1135"/>
      <c r="G78" s="1135"/>
      <c r="H78" s="1135"/>
      <c r="I78" s="1135"/>
      <c r="J78" s="1135"/>
      <c r="K78" s="1135"/>
      <c r="L78" s="1135"/>
      <c r="M78" s="1135"/>
      <c r="N78" s="1135"/>
      <c r="O78" s="1135"/>
      <c r="P78" s="1135"/>
      <c r="Q78" s="1135"/>
      <c r="R78" s="1135"/>
      <c r="S78" s="1135"/>
      <c r="T78" s="1135"/>
      <c r="U78" s="1135"/>
      <c r="V78" s="1135"/>
      <c r="W78" s="1135"/>
      <c r="X78" s="1135"/>
      <c r="Y78" s="1135"/>
      <c r="Z78" s="1135"/>
      <c r="AA78" s="1135"/>
      <c r="AB78" s="1111">
        <f>J$15</f>
        <v>0</v>
      </c>
      <c r="AC78" s="1111"/>
      <c r="AD78" s="191" t="s">
        <v>524</v>
      </c>
      <c r="AE78" s="1111">
        <f>O$15</f>
        <v>0</v>
      </c>
      <c r="AF78" s="1111"/>
      <c r="AG78" s="1111"/>
      <c r="AH78" s="1111"/>
      <c r="AI78" s="1111"/>
      <c r="AJ78" s="1111"/>
      <c r="AK78" s="1111"/>
      <c r="AL78" s="1111"/>
      <c r="AM78" s="1111"/>
      <c r="AN78" s="1111"/>
      <c r="AO78" s="1111"/>
      <c r="AP78" s="1111">
        <f>AK$15</f>
        <v>0</v>
      </c>
      <c r="AQ78" s="1111"/>
      <c r="AR78" s="1111"/>
      <c r="AS78" s="1111"/>
      <c r="AT78" s="301"/>
      <c r="AU78" s="301" t="s">
        <v>375</v>
      </c>
      <c r="AW78" s="178"/>
      <c r="AX78" s="1135" t="s">
        <v>817</v>
      </c>
      <c r="AY78" s="1135"/>
      <c r="AZ78" s="1135"/>
      <c r="BA78" s="1135"/>
      <c r="BB78" s="1135"/>
      <c r="BC78" s="1135"/>
      <c r="BD78" s="1135"/>
      <c r="BE78" s="1135"/>
      <c r="BF78" s="1135"/>
      <c r="BG78" s="1135"/>
      <c r="BH78" s="1135"/>
      <c r="BI78" s="1135"/>
      <c r="BJ78" s="1135"/>
      <c r="BK78" s="1135"/>
      <c r="BL78" s="1135"/>
      <c r="BM78" s="1135"/>
      <c r="BN78" s="1135"/>
      <c r="BO78" s="1135"/>
      <c r="BP78" s="1135"/>
      <c r="BQ78" s="1135"/>
      <c r="BR78" s="1135"/>
      <c r="BS78" s="1135"/>
      <c r="BT78" s="1135"/>
      <c r="BU78" s="1135"/>
      <c r="BV78" s="1135"/>
      <c r="BW78" s="1135"/>
      <c r="BX78" s="1111">
        <f>BF$15</f>
        <v>0</v>
      </c>
      <c r="BY78" s="1111"/>
      <c r="BZ78" s="191" t="s">
        <v>524</v>
      </c>
      <c r="CA78" s="1111">
        <f>BK$15</f>
        <v>0</v>
      </c>
      <c r="CB78" s="1111"/>
      <c r="CC78" s="1111"/>
      <c r="CD78" s="1111"/>
      <c r="CE78" s="1111"/>
      <c r="CF78" s="1111"/>
      <c r="CG78" s="1111"/>
      <c r="CH78" s="1111"/>
      <c r="CI78" s="1111"/>
      <c r="CJ78" s="1111"/>
      <c r="CK78" s="1111"/>
      <c r="CL78" s="1111">
        <f>CG$15</f>
        <v>0</v>
      </c>
      <c r="CM78" s="1111"/>
      <c r="CN78" s="1111"/>
      <c r="CO78" s="1111"/>
      <c r="CP78" s="301"/>
      <c r="CQ78" s="301" t="s">
        <v>375</v>
      </c>
      <c r="CS78" s="178"/>
      <c r="CT78" s="1135" t="s">
        <v>817</v>
      </c>
      <c r="CU78" s="1135"/>
      <c r="CV78" s="1135"/>
      <c r="CW78" s="1135"/>
      <c r="CX78" s="1135"/>
      <c r="CY78" s="1135"/>
      <c r="CZ78" s="1135"/>
      <c r="DA78" s="1135"/>
      <c r="DB78" s="1135"/>
      <c r="DC78" s="1135"/>
      <c r="DD78" s="1135"/>
      <c r="DE78" s="1135"/>
      <c r="DF78" s="1135"/>
      <c r="DG78" s="1135"/>
      <c r="DH78" s="1135"/>
      <c r="DI78" s="1135"/>
      <c r="DJ78" s="1135"/>
      <c r="DK78" s="1135"/>
      <c r="DL78" s="1135"/>
      <c r="DM78" s="1135"/>
      <c r="DN78" s="1135"/>
      <c r="DO78" s="1135"/>
      <c r="DP78" s="1135"/>
      <c r="DQ78" s="1135"/>
      <c r="DR78" s="1135"/>
      <c r="DS78" s="1135"/>
      <c r="DT78" s="1111">
        <f>DB$15</f>
        <v>0</v>
      </c>
      <c r="DU78" s="1111"/>
      <c r="DV78" s="191" t="s">
        <v>524</v>
      </c>
      <c r="DW78" s="1111">
        <f>DG$15</f>
        <v>0</v>
      </c>
      <c r="DX78" s="1111"/>
      <c r="DY78" s="1111"/>
      <c r="DZ78" s="1111"/>
      <c r="EA78" s="1111"/>
      <c r="EB78" s="1111"/>
      <c r="EC78" s="1111"/>
      <c r="ED78" s="1111"/>
      <c r="EE78" s="1111"/>
      <c r="EF78" s="1111"/>
      <c r="EG78" s="1111"/>
      <c r="EH78" s="1111">
        <f>EC$15</f>
        <v>0</v>
      </c>
      <c r="EI78" s="1111"/>
      <c r="EJ78" s="1111"/>
      <c r="EK78" s="1111"/>
      <c r="EL78" s="301"/>
      <c r="EM78" s="301" t="s">
        <v>375</v>
      </c>
    </row>
    <row r="79" spans="1:143" ht="18.75" customHeight="1">
      <c r="A79" s="178"/>
      <c r="B79" s="190"/>
      <c r="C79" s="190"/>
      <c r="D79" s="1094" t="s">
        <v>274</v>
      </c>
      <c r="E79" s="1094"/>
      <c r="F79" s="1079" t="s">
        <v>659</v>
      </c>
      <c r="G79" s="1079"/>
      <c r="H79" s="1079"/>
      <c r="I79" s="1079"/>
      <c r="J79" s="1079"/>
      <c r="K79" s="1079"/>
      <c r="L79" s="1079"/>
      <c r="M79" s="1079"/>
      <c r="N79" s="1079"/>
      <c r="O79" s="1079"/>
      <c r="P79" s="1079"/>
      <c r="Q79" s="1079"/>
      <c r="R79" s="1079"/>
      <c r="S79" s="1079"/>
      <c r="T79" s="1079"/>
      <c r="U79" s="1079"/>
      <c r="V79" s="1079"/>
      <c r="W79" s="1079"/>
      <c r="X79" s="1079"/>
      <c r="Y79" s="1079"/>
      <c r="Z79" s="1079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079"/>
      <c r="AO79" s="1079"/>
      <c r="AP79" s="1079"/>
      <c r="AQ79" s="1079"/>
      <c r="AR79" s="1079"/>
      <c r="AS79" s="1079"/>
      <c r="AT79" s="1079"/>
      <c r="AU79" s="1079"/>
      <c r="AW79" s="178"/>
      <c r="AX79" s="190"/>
      <c r="AY79" s="190"/>
      <c r="AZ79" s="1094" t="s">
        <v>274</v>
      </c>
      <c r="BA79" s="1094"/>
      <c r="BB79" s="1079" t="s">
        <v>659</v>
      </c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  <c r="BX79" s="1079"/>
      <c r="BY79" s="1079"/>
      <c r="BZ79" s="1079"/>
      <c r="CA79" s="1079"/>
      <c r="CB79" s="1079"/>
      <c r="CC79" s="1079"/>
      <c r="CD79" s="1079"/>
      <c r="CE79" s="1079"/>
      <c r="CF79" s="1079"/>
      <c r="CG79" s="1079"/>
      <c r="CH79" s="1079"/>
      <c r="CI79" s="1079"/>
      <c r="CJ79" s="1079"/>
      <c r="CK79" s="1079"/>
      <c r="CL79" s="1079"/>
      <c r="CM79" s="1079"/>
      <c r="CN79" s="1079"/>
      <c r="CO79" s="1079"/>
      <c r="CP79" s="1079"/>
      <c r="CQ79" s="1079"/>
      <c r="CS79" s="178"/>
      <c r="CT79" s="190"/>
      <c r="CU79" s="190"/>
      <c r="CV79" s="1094" t="s">
        <v>274</v>
      </c>
      <c r="CW79" s="1094"/>
      <c r="CX79" s="1079" t="s">
        <v>659</v>
      </c>
      <c r="CY79" s="1079"/>
      <c r="CZ79" s="1079"/>
      <c r="DA79" s="1079"/>
      <c r="DB79" s="1079"/>
      <c r="DC79" s="1079"/>
      <c r="DD79" s="1079"/>
      <c r="DE79" s="1079"/>
      <c r="DF79" s="1079"/>
      <c r="DG79" s="1079"/>
      <c r="DH79" s="1079"/>
      <c r="DI79" s="1079"/>
      <c r="DJ79" s="1079"/>
      <c r="DK79" s="1079"/>
      <c r="DL79" s="1079"/>
      <c r="DM79" s="1079"/>
      <c r="DN79" s="1079"/>
      <c r="DO79" s="1079"/>
      <c r="DP79" s="1079"/>
      <c r="DQ79" s="1079"/>
      <c r="DR79" s="1079"/>
      <c r="DS79" s="1079"/>
      <c r="DT79" s="1079"/>
      <c r="DU79" s="1079"/>
      <c r="DV79" s="1079"/>
      <c r="DW79" s="1079"/>
      <c r="DX79" s="1079"/>
      <c r="DY79" s="1079"/>
      <c r="DZ79" s="1079"/>
      <c r="EA79" s="1079"/>
      <c r="EB79" s="1079"/>
      <c r="EC79" s="1079"/>
      <c r="ED79" s="1079"/>
      <c r="EE79" s="1079"/>
      <c r="EF79" s="1079"/>
      <c r="EG79" s="1079"/>
      <c r="EH79" s="1079"/>
      <c r="EI79" s="1079"/>
      <c r="EJ79" s="1079"/>
      <c r="EK79" s="1079"/>
      <c r="EL79" s="1079"/>
      <c r="EM79" s="1079"/>
    </row>
    <row r="80" spans="1:143" ht="41.25" customHeight="1">
      <c r="A80" s="178"/>
      <c r="B80" s="1098" t="s">
        <v>660</v>
      </c>
      <c r="C80" s="1098"/>
      <c r="D80" s="1098"/>
      <c r="E80" s="1098"/>
      <c r="F80" s="1098"/>
      <c r="G80" s="1098"/>
      <c r="H80" s="1098"/>
      <c r="I80" s="1098"/>
      <c r="J80" s="1098"/>
      <c r="K80" s="1098"/>
      <c r="L80" s="1098"/>
      <c r="M80" s="1098"/>
      <c r="N80" s="1098"/>
      <c r="O80" s="1098"/>
      <c r="P80" s="1098"/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W80" s="178"/>
      <c r="AX80" s="1098" t="s">
        <v>660</v>
      </c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  <c r="BX80" s="1098"/>
      <c r="BY80" s="1098"/>
      <c r="BZ80" s="1098"/>
      <c r="CA80" s="1098"/>
      <c r="CB80" s="1098"/>
      <c r="CC80" s="1098"/>
      <c r="CD80" s="1098"/>
      <c r="CE80" s="1098"/>
      <c r="CF80" s="1098"/>
      <c r="CG80" s="1098"/>
      <c r="CH80" s="1098"/>
      <c r="CI80" s="1098"/>
      <c r="CJ80" s="1098"/>
      <c r="CK80" s="1098"/>
      <c r="CL80" s="1098"/>
      <c r="CM80" s="1098"/>
      <c r="CN80" s="1098"/>
      <c r="CO80" s="1098"/>
      <c r="CP80" s="1098"/>
      <c r="CQ80" s="1098"/>
      <c r="CS80" s="178"/>
      <c r="CT80" s="1098" t="s">
        <v>660</v>
      </c>
      <c r="CU80" s="1098"/>
      <c r="CV80" s="1098"/>
      <c r="CW80" s="1098"/>
      <c r="CX80" s="1098"/>
      <c r="CY80" s="1098"/>
      <c r="CZ80" s="1098"/>
      <c r="DA80" s="1098"/>
      <c r="DB80" s="1098"/>
      <c r="DC80" s="1098"/>
      <c r="DD80" s="1098"/>
      <c r="DE80" s="1098"/>
      <c r="DF80" s="1098"/>
      <c r="DG80" s="1098"/>
      <c r="DH80" s="1098"/>
      <c r="DI80" s="1098"/>
      <c r="DJ80" s="1098"/>
      <c r="DK80" s="1098"/>
      <c r="DL80" s="1098"/>
      <c r="DM80" s="1098"/>
      <c r="DN80" s="1098"/>
      <c r="DO80" s="1098"/>
      <c r="DP80" s="1098"/>
      <c r="DQ80" s="1098"/>
      <c r="DR80" s="1098"/>
      <c r="DS80" s="1098"/>
      <c r="DT80" s="1098"/>
      <c r="DU80" s="1098"/>
      <c r="DV80" s="1098"/>
      <c r="DW80" s="1098"/>
      <c r="DX80" s="1098"/>
      <c r="DY80" s="1098"/>
      <c r="DZ80" s="1098"/>
      <c r="EA80" s="1098"/>
      <c r="EB80" s="1098"/>
      <c r="EC80" s="1098"/>
      <c r="ED80" s="1098"/>
      <c r="EE80" s="1098"/>
      <c r="EF80" s="1098"/>
      <c r="EG80" s="1098"/>
      <c r="EH80" s="1098"/>
      <c r="EI80" s="1098"/>
      <c r="EJ80" s="1098"/>
      <c r="EK80" s="1098"/>
      <c r="EL80" s="1098"/>
      <c r="EM80" s="1098"/>
    </row>
    <row r="81" spans="1:143" ht="18.75" customHeight="1">
      <c r="A81" s="178"/>
      <c r="B81" s="190"/>
      <c r="C81" s="190"/>
      <c r="D81" s="1094" t="s">
        <v>275</v>
      </c>
      <c r="E81" s="1094"/>
      <c r="F81" s="1079" t="s">
        <v>662</v>
      </c>
      <c r="G81" s="1079"/>
      <c r="H81" s="1079"/>
      <c r="I81" s="1079"/>
      <c r="J81" s="1079"/>
      <c r="K81" s="1079"/>
      <c r="L81" s="1079"/>
      <c r="M81" s="1079"/>
      <c r="N81" s="1079"/>
      <c r="O81" s="1079"/>
      <c r="P81" s="1079"/>
      <c r="Q81" s="1079"/>
      <c r="R81" s="1079"/>
      <c r="S81" s="1079"/>
      <c r="T81" s="1079"/>
      <c r="U81" s="1079"/>
      <c r="V81" s="1079"/>
      <c r="W81" s="1079"/>
      <c r="X81" s="1079"/>
      <c r="Y81" s="1079"/>
      <c r="Z81" s="1079"/>
      <c r="AA81" s="1079"/>
      <c r="AB81" s="1079"/>
      <c r="AC81" s="1079"/>
      <c r="AD81" s="1079"/>
      <c r="AE81" s="1079"/>
      <c r="AF81" s="1079"/>
      <c r="AG81" s="1079"/>
      <c r="AH81" s="1079"/>
      <c r="AI81" s="1079"/>
      <c r="AJ81" s="1079"/>
      <c r="AK81" s="1079"/>
      <c r="AL81" s="1079"/>
      <c r="AM81" s="1079"/>
      <c r="AN81" s="1079"/>
      <c r="AO81" s="1079"/>
      <c r="AP81" s="1079"/>
      <c r="AQ81" s="1079"/>
      <c r="AR81" s="1079"/>
      <c r="AS81" s="1079"/>
      <c r="AT81" s="1079"/>
      <c r="AU81" s="1079"/>
      <c r="AW81" s="178"/>
      <c r="AX81" s="190"/>
      <c r="AY81" s="190"/>
      <c r="AZ81" s="1094" t="s">
        <v>275</v>
      </c>
      <c r="BA81" s="1094"/>
      <c r="BB81" s="1079" t="s">
        <v>662</v>
      </c>
      <c r="BC81" s="1079"/>
      <c r="BD81" s="1079"/>
      <c r="BE81" s="1079"/>
      <c r="BF81" s="1079"/>
      <c r="BG81" s="1079"/>
      <c r="BH81" s="1079"/>
      <c r="BI81" s="1079"/>
      <c r="BJ81" s="1079"/>
      <c r="BK81" s="1079"/>
      <c r="BL81" s="1079"/>
      <c r="BM81" s="1079"/>
      <c r="BN81" s="1079"/>
      <c r="BO81" s="1079"/>
      <c r="BP81" s="1079"/>
      <c r="BQ81" s="1079"/>
      <c r="BR81" s="1079"/>
      <c r="BS81" s="1079"/>
      <c r="BT81" s="1079"/>
      <c r="BU81" s="1079"/>
      <c r="BV81" s="1079"/>
      <c r="BW81" s="1079"/>
      <c r="BX81" s="1079"/>
      <c r="BY81" s="1079"/>
      <c r="BZ81" s="1079"/>
      <c r="CA81" s="1079"/>
      <c r="CB81" s="1079"/>
      <c r="CC81" s="1079"/>
      <c r="CD81" s="1079"/>
      <c r="CE81" s="1079"/>
      <c r="CF81" s="1079"/>
      <c r="CG81" s="1079"/>
      <c r="CH81" s="1079"/>
      <c r="CI81" s="1079"/>
      <c r="CJ81" s="1079"/>
      <c r="CK81" s="1079"/>
      <c r="CL81" s="1079"/>
      <c r="CM81" s="1079"/>
      <c r="CN81" s="1079"/>
      <c r="CO81" s="1079"/>
      <c r="CP81" s="1079"/>
      <c r="CQ81" s="1079"/>
      <c r="CS81" s="178"/>
      <c r="CT81" s="190"/>
      <c r="CU81" s="190"/>
      <c r="CV81" s="1094" t="s">
        <v>275</v>
      </c>
      <c r="CW81" s="1094"/>
      <c r="CX81" s="1079" t="s">
        <v>662</v>
      </c>
      <c r="CY81" s="1079"/>
      <c r="CZ81" s="1079"/>
      <c r="DA81" s="1079"/>
      <c r="DB81" s="1079"/>
      <c r="DC81" s="1079"/>
      <c r="DD81" s="1079"/>
      <c r="DE81" s="1079"/>
      <c r="DF81" s="1079"/>
      <c r="DG81" s="1079"/>
      <c r="DH81" s="1079"/>
      <c r="DI81" s="1079"/>
      <c r="DJ81" s="1079"/>
      <c r="DK81" s="1079"/>
      <c r="DL81" s="1079"/>
      <c r="DM81" s="1079"/>
      <c r="DN81" s="1079"/>
      <c r="DO81" s="1079"/>
      <c r="DP81" s="1079"/>
      <c r="DQ81" s="1079"/>
      <c r="DR81" s="1079"/>
      <c r="DS81" s="1079"/>
      <c r="DT81" s="1079"/>
      <c r="DU81" s="1079"/>
      <c r="DV81" s="1079"/>
      <c r="DW81" s="1079"/>
      <c r="DX81" s="1079"/>
      <c r="DY81" s="1079"/>
      <c r="DZ81" s="1079"/>
      <c r="EA81" s="1079"/>
      <c r="EB81" s="1079"/>
      <c r="EC81" s="1079"/>
      <c r="ED81" s="1079"/>
      <c r="EE81" s="1079"/>
      <c r="EF81" s="1079"/>
      <c r="EG81" s="1079"/>
      <c r="EH81" s="1079"/>
      <c r="EI81" s="1079"/>
      <c r="EJ81" s="1079"/>
      <c r="EK81" s="1079"/>
      <c r="EL81" s="1079"/>
      <c r="EM81" s="1079"/>
    </row>
    <row r="82" spans="1:143" ht="96.75" customHeight="1">
      <c r="A82" s="178"/>
      <c r="B82" s="1129" t="s">
        <v>774</v>
      </c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1129"/>
      <c r="X82" s="1129"/>
      <c r="Y82" s="1129"/>
      <c r="Z82" s="1129"/>
      <c r="AA82" s="1129"/>
      <c r="AB82" s="1129"/>
      <c r="AC82" s="1129"/>
      <c r="AD82" s="1129"/>
      <c r="AE82" s="1129"/>
      <c r="AF82" s="1129"/>
      <c r="AG82" s="1129"/>
      <c r="AH82" s="1129"/>
      <c r="AI82" s="1129"/>
      <c r="AJ82" s="1129"/>
      <c r="AK82" s="1129"/>
      <c r="AL82" s="1129"/>
      <c r="AM82" s="1129"/>
      <c r="AN82" s="1129"/>
      <c r="AO82" s="1129"/>
      <c r="AP82" s="1129"/>
      <c r="AQ82" s="1129"/>
      <c r="AR82" s="1129"/>
      <c r="AS82" s="1129"/>
      <c r="AT82" s="1129"/>
      <c r="AU82" s="1129"/>
      <c r="AV82" s="486"/>
      <c r="AW82" s="485"/>
      <c r="AX82" s="1129" t="s">
        <v>774</v>
      </c>
      <c r="AY82" s="1129"/>
      <c r="AZ82" s="1129"/>
      <c r="BA82" s="1129"/>
      <c r="BB82" s="1129"/>
      <c r="BC82" s="1129"/>
      <c r="BD82" s="1129"/>
      <c r="BE82" s="1129"/>
      <c r="BF82" s="1129"/>
      <c r="BG82" s="1129"/>
      <c r="BH82" s="1129"/>
      <c r="BI82" s="1129"/>
      <c r="BJ82" s="1129"/>
      <c r="BK82" s="1129"/>
      <c r="BL82" s="1129"/>
      <c r="BM82" s="1129"/>
      <c r="BN82" s="1129"/>
      <c r="BO82" s="1129"/>
      <c r="BP82" s="1129"/>
      <c r="BQ82" s="1129"/>
      <c r="BR82" s="1129"/>
      <c r="BS82" s="1129"/>
      <c r="BT82" s="1129"/>
      <c r="BU82" s="1129"/>
      <c r="BV82" s="1129"/>
      <c r="BW82" s="1129"/>
      <c r="BX82" s="1129"/>
      <c r="BY82" s="1129"/>
      <c r="BZ82" s="1129"/>
      <c r="CA82" s="1129"/>
      <c r="CB82" s="1129"/>
      <c r="CC82" s="1129"/>
      <c r="CD82" s="1129"/>
      <c r="CE82" s="1129"/>
      <c r="CF82" s="1129"/>
      <c r="CG82" s="1129"/>
      <c r="CH82" s="1129"/>
      <c r="CI82" s="1129"/>
      <c r="CJ82" s="1129"/>
      <c r="CK82" s="1129"/>
      <c r="CL82" s="1129"/>
      <c r="CM82" s="1129"/>
      <c r="CN82" s="1129"/>
      <c r="CO82" s="1129"/>
      <c r="CP82" s="1129"/>
      <c r="CQ82" s="1129"/>
      <c r="CR82" s="486"/>
      <c r="CS82" s="485"/>
      <c r="CT82" s="1129" t="s">
        <v>774</v>
      </c>
      <c r="CU82" s="1129"/>
      <c r="CV82" s="1129"/>
      <c r="CW82" s="1129"/>
      <c r="CX82" s="1129"/>
      <c r="CY82" s="1129"/>
      <c r="CZ82" s="1129"/>
      <c r="DA82" s="1129"/>
      <c r="DB82" s="1129"/>
      <c r="DC82" s="1129"/>
      <c r="DD82" s="1129"/>
      <c r="DE82" s="1129"/>
      <c r="DF82" s="1129"/>
      <c r="DG82" s="1129"/>
      <c r="DH82" s="1129"/>
      <c r="DI82" s="1129"/>
      <c r="DJ82" s="1129"/>
      <c r="DK82" s="1129"/>
      <c r="DL82" s="1129"/>
      <c r="DM82" s="1129"/>
      <c r="DN82" s="1129"/>
      <c r="DO82" s="1129"/>
      <c r="DP82" s="1129"/>
      <c r="DQ82" s="1129"/>
      <c r="DR82" s="1129"/>
      <c r="DS82" s="1129"/>
      <c r="DT82" s="1129"/>
      <c r="DU82" s="1129"/>
      <c r="DV82" s="1129"/>
      <c r="DW82" s="1129"/>
      <c r="DX82" s="1129"/>
      <c r="DY82" s="1129"/>
      <c r="DZ82" s="1129"/>
      <c r="EA82" s="1129"/>
      <c r="EB82" s="1129"/>
      <c r="EC82" s="1129"/>
      <c r="ED82" s="1129"/>
      <c r="EE82" s="1129"/>
      <c r="EF82" s="1129"/>
      <c r="EG82" s="1129"/>
      <c r="EH82" s="1129"/>
      <c r="EI82" s="1129"/>
      <c r="EJ82" s="1129"/>
      <c r="EK82" s="1129"/>
      <c r="EL82" s="1129"/>
      <c r="EM82" s="1129"/>
    </row>
    <row r="83" spans="1:143" ht="16.5">
      <c r="A83" s="178"/>
      <c r="B83" s="1134" t="s">
        <v>775</v>
      </c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1134"/>
      <c r="X83" s="1134"/>
      <c r="Y83" s="1134"/>
      <c r="Z83" s="1134"/>
      <c r="AA83" s="1134"/>
      <c r="AB83" s="1134"/>
      <c r="AC83" s="1134"/>
      <c r="AD83" s="1134"/>
      <c r="AE83" s="1134"/>
      <c r="AF83" s="1134"/>
      <c r="AG83" s="1134"/>
      <c r="AH83" s="1134"/>
      <c r="AI83" s="1134"/>
      <c r="AJ83" s="1134"/>
      <c r="AK83" s="1134"/>
      <c r="AL83" s="1134"/>
      <c r="AM83" s="1134"/>
      <c r="AN83" s="1134"/>
      <c r="AO83" s="1134"/>
      <c r="AP83" s="1134"/>
      <c r="AQ83" s="1134"/>
      <c r="AR83" s="1134"/>
      <c r="AS83" s="1134"/>
      <c r="AT83" s="1134"/>
      <c r="AU83" s="1134"/>
      <c r="AW83" s="178"/>
      <c r="AX83" s="1134" t="s">
        <v>775</v>
      </c>
      <c r="AY83" s="1134"/>
      <c r="AZ83" s="1134"/>
      <c r="BA83" s="1134"/>
      <c r="BB83" s="1134"/>
      <c r="BC83" s="1134"/>
      <c r="BD83" s="1134"/>
      <c r="BE83" s="1134"/>
      <c r="BF83" s="1134"/>
      <c r="BG83" s="1134"/>
      <c r="BH83" s="1134"/>
      <c r="BI83" s="1134"/>
      <c r="BJ83" s="1134"/>
      <c r="BK83" s="1134"/>
      <c r="BL83" s="1134"/>
      <c r="BM83" s="1134"/>
      <c r="BN83" s="1134"/>
      <c r="BO83" s="1134"/>
      <c r="BP83" s="1134"/>
      <c r="BQ83" s="1134"/>
      <c r="BR83" s="1134"/>
      <c r="BS83" s="1134"/>
      <c r="BT83" s="1134"/>
      <c r="BU83" s="1134"/>
      <c r="BV83" s="1134"/>
      <c r="BW83" s="1134"/>
      <c r="BX83" s="1134"/>
      <c r="BY83" s="1134"/>
      <c r="BZ83" s="1134"/>
      <c r="CA83" s="1134"/>
      <c r="CB83" s="1134"/>
      <c r="CC83" s="1134"/>
      <c r="CD83" s="1134"/>
      <c r="CE83" s="1134"/>
      <c r="CF83" s="1134"/>
      <c r="CG83" s="1134"/>
      <c r="CH83" s="1134"/>
      <c r="CI83" s="1134"/>
      <c r="CJ83" s="1134"/>
      <c r="CK83" s="1134"/>
      <c r="CL83" s="1134"/>
      <c r="CM83" s="1134"/>
      <c r="CN83" s="1134"/>
      <c r="CO83" s="1134"/>
      <c r="CP83" s="1134"/>
      <c r="CQ83" s="1134"/>
      <c r="CS83" s="178"/>
      <c r="CT83" s="1134" t="s">
        <v>775</v>
      </c>
      <c r="CU83" s="1134"/>
      <c r="CV83" s="1134"/>
      <c r="CW83" s="1134"/>
      <c r="CX83" s="1134"/>
      <c r="CY83" s="1134"/>
      <c r="CZ83" s="1134"/>
      <c r="DA83" s="1134"/>
      <c r="DB83" s="1134"/>
      <c r="DC83" s="1134"/>
      <c r="DD83" s="1134"/>
      <c r="DE83" s="1134"/>
      <c r="DF83" s="1134"/>
      <c r="DG83" s="1134"/>
      <c r="DH83" s="1134"/>
      <c r="DI83" s="1134"/>
      <c r="DJ83" s="1134"/>
      <c r="DK83" s="1134"/>
      <c r="DL83" s="1134"/>
      <c r="DM83" s="1134"/>
      <c r="DN83" s="1134"/>
      <c r="DO83" s="1134"/>
      <c r="DP83" s="1134"/>
      <c r="DQ83" s="1134"/>
      <c r="DR83" s="1134"/>
      <c r="DS83" s="1134"/>
      <c r="DT83" s="1134"/>
      <c r="DU83" s="1134"/>
      <c r="DV83" s="1134"/>
      <c r="DW83" s="1134"/>
      <c r="DX83" s="1134"/>
      <c r="DY83" s="1134"/>
      <c r="DZ83" s="1134"/>
      <c r="EA83" s="1134"/>
      <c r="EB83" s="1134"/>
      <c r="EC83" s="1134"/>
      <c r="ED83" s="1134"/>
      <c r="EE83" s="1134"/>
      <c r="EF83" s="1134"/>
      <c r="EG83" s="1134"/>
      <c r="EH83" s="1134"/>
      <c r="EI83" s="1134"/>
      <c r="EJ83" s="1134"/>
      <c r="EK83" s="1134"/>
      <c r="EL83" s="1134"/>
      <c r="EM83" s="1134"/>
    </row>
    <row r="84" spans="1:143" ht="18.75" customHeight="1">
      <c r="A84" s="178"/>
      <c r="B84" s="190"/>
      <c r="C84" s="190"/>
      <c r="D84" s="1094" t="s">
        <v>654</v>
      </c>
      <c r="E84" s="1094"/>
      <c r="F84" s="1079" t="s">
        <v>649</v>
      </c>
      <c r="G84" s="1079"/>
      <c r="H84" s="1079"/>
      <c r="I84" s="1079"/>
      <c r="J84" s="1079"/>
      <c r="K84" s="1079"/>
      <c r="L84" s="1079"/>
      <c r="M84" s="1079"/>
      <c r="N84" s="1079"/>
      <c r="O84" s="1079"/>
      <c r="P84" s="1079"/>
      <c r="Q84" s="1079"/>
      <c r="R84" s="1079"/>
      <c r="S84" s="1079"/>
      <c r="T84" s="1079"/>
      <c r="U84" s="1079"/>
      <c r="V84" s="1079"/>
      <c r="W84" s="1079"/>
      <c r="X84" s="1079"/>
      <c r="Y84" s="1079"/>
      <c r="Z84" s="1079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079"/>
      <c r="AO84" s="1079"/>
      <c r="AP84" s="1079"/>
      <c r="AQ84" s="1079"/>
      <c r="AR84" s="1079"/>
      <c r="AS84" s="1079"/>
      <c r="AT84" s="1079"/>
      <c r="AU84" s="1079"/>
      <c r="AW84" s="178"/>
      <c r="AX84" s="190"/>
      <c r="AY84" s="190"/>
      <c r="AZ84" s="1094" t="s">
        <v>654</v>
      </c>
      <c r="BA84" s="1094"/>
      <c r="BB84" s="1079" t="s">
        <v>649</v>
      </c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  <c r="BX84" s="1079"/>
      <c r="BY84" s="1079"/>
      <c r="BZ84" s="1079"/>
      <c r="CA84" s="1079"/>
      <c r="CB84" s="1079"/>
      <c r="CC84" s="1079"/>
      <c r="CD84" s="1079"/>
      <c r="CE84" s="1079"/>
      <c r="CF84" s="1079"/>
      <c r="CG84" s="1079"/>
      <c r="CH84" s="1079"/>
      <c r="CI84" s="1079"/>
      <c r="CJ84" s="1079"/>
      <c r="CK84" s="1079"/>
      <c r="CL84" s="1079"/>
      <c r="CM84" s="1079"/>
      <c r="CN84" s="1079"/>
      <c r="CO84" s="1079"/>
      <c r="CP84" s="1079"/>
      <c r="CQ84" s="1079"/>
      <c r="CS84" s="178"/>
      <c r="CT84" s="190"/>
      <c r="CU84" s="190"/>
      <c r="CV84" s="1094" t="s">
        <v>654</v>
      </c>
      <c r="CW84" s="1094"/>
      <c r="CX84" s="1079" t="s">
        <v>649</v>
      </c>
      <c r="CY84" s="1079"/>
      <c r="CZ84" s="1079"/>
      <c r="DA84" s="1079"/>
      <c r="DB84" s="1079"/>
      <c r="DC84" s="1079"/>
      <c r="DD84" s="1079"/>
      <c r="DE84" s="1079"/>
      <c r="DF84" s="1079"/>
      <c r="DG84" s="1079"/>
      <c r="DH84" s="1079"/>
      <c r="DI84" s="1079"/>
      <c r="DJ84" s="1079"/>
      <c r="DK84" s="1079"/>
      <c r="DL84" s="1079"/>
      <c r="DM84" s="1079"/>
      <c r="DN84" s="1079"/>
      <c r="DO84" s="1079"/>
      <c r="DP84" s="1079"/>
      <c r="DQ84" s="1079"/>
      <c r="DR84" s="1079"/>
      <c r="DS84" s="1079"/>
      <c r="DT84" s="1079"/>
      <c r="DU84" s="1079"/>
      <c r="DV84" s="1079"/>
      <c r="DW84" s="1079"/>
      <c r="DX84" s="1079"/>
      <c r="DY84" s="1079"/>
      <c r="DZ84" s="1079"/>
      <c r="EA84" s="1079"/>
      <c r="EB84" s="1079"/>
      <c r="EC84" s="1079"/>
      <c r="ED84" s="1079"/>
      <c r="EE84" s="1079"/>
      <c r="EF84" s="1079"/>
      <c r="EG84" s="1079"/>
      <c r="EH84" s="1079"/>
      <c r="EI84" s="1079"/>
      <c r="EJ84" s="1079"/>
      <c r="EK84" s="1079"/>
      <c r="EL84" s="1079"/>
      <c r="EM84" s="1079"/>
    </row>
    <row r="85" spans="1:143" ht="39" customHeight="1">
      <c r="A85" s="178"/>
      <c r="B85" s="1098" t="s">
        <v>650</v>
      </c>
      <c r="C85" s="1098"/>
      <c r="D85" s="1098"/>
      <c r="E85" s="1098"/>
      <c r="F85" s="1098"/>
      <c r="G85" s="1098"/>
      <c r="H85" s="1098"/>
      <c r="I85" s="1098"/>
      <c r="J85" s="1098"/>
      <c r="K85" s="1098"/>
      <c r="L85" s="1098"/>
      <c r="M85" s="1098"/>
      <c r="N85" s="1098"/>
      <c r="O85" s="1098"/>
      <c r="P85" s="1098"/>
      <c r="Q85" s="1098"/>
      <c r="R85" s="1098"/>
      <c r="S85" s="1098"/>
      <c r="T85" s="1098"/>
      <c r="U85" s="1098"/>
      <c r="V85" s="1098"/>
      <c r="W85" s="1098"/>
      <c r="X85" s="1098"/>
      <c r="Y85" s="1098"/>
      <c r="Z85" s="1098"/>
      <c r="AA85" s="1098"/>
      <c r="AB85" s="1098"/>
      <c r="AC85" s="1098"/>
      <c r="AD85" s="1098"/>
      <c r="AE85" s="1098"/>
      <c r="AF85" s="1098"/>
      <c r="AG85" s="1098"/>
      <c r="AH85" s="1098"/>
      <c r="AI85" s="1098"/>
      <c r="AJ85" s="1098"/>
      <c r="AK85" s="1098"/>
      <c r="AL85" s="1098"/>
      <c r="AM85" s="1098"/>
      <c r="AN85" s="1098"/>
      <c r="AO85" s="1098"/>
      <c r="AP85" s="1098"/>
      <c r="AQ85" s="1098"/>
      <c r="AR85" s="1098"/>
      <c r="AS85" s="1098"/>
      <c r="AT85" s="1098"/>
      <c r="AU85" s="1098"/>
      <c r="AW85" s="178"/>
      <c r="AX85" s="1098" t="s">
        <v>650</v>
      </c>
      <c r="AY85" s="1098"/>
      <c r="AZ85" s="1098"/>
      <c r="BA85" s="1098"/>
      <c r="BB85" s="1098"/>
      <c r="BC85" s="1098"/>
      <c r="BD85" s="1098"/>
      <c r="BE85" s="1098"/>
      <c r="BF85" s="1098"/>
      <c r="BG85" s="1098"/>
      <c r="BH85" s="1098"/>
      <c r="BI85" s="1098"/>
      <c r="BJ85" s="1098"/>
      <c r="BK85" s="1098"/>
      <c r="BL85" s="1098"/>
      <c r="BM85" s="1098"/>
      <c r="BN85" s="1098"/>
      <c r="BO85" s="1098"/>
      <c r="BP85" s="1098"/>
      <c r="BQ85" s="1098"/>
      <c r="BR85" s="1098"/>
      <c r="BS85" s="1098"/>
      <c r="BT85" s="1098"/>
      <c r="BU85" s="1098"/>
      <c r="BV85" s="1098"/>
      <c r="BW85" s="1098"/>
      <c r="BX85" s="1098"/>
      <c r="BY85" s="1098"/>
      <c r="BZ85" s="1098"/>
      <c r="CA85" s="1098"/>
      <c r="CB85" s="1098"/>
      <c r="CC85" s="1098"/>
      <c r="CD85" s="1098"/>
      <c r="CE85" s="1098"/>
      <c r="CF85" s="1098"/>
      <c r="CG85" s="1098"/>
      <c r="CH85" s="1098"/>
      <c r="CI85" s="1098"/>
      <c r="CJ85" s="1098"/>
      <c r="CK85" s="1098"/>
      <c r="CL85" s="1098"/>
      <c r="CM85" s="1098"/>
      <c r="CN85" s="1098"/>
      <c r="CO85" s="1098"/>
      <c r="CP85" s="1098"/>
      <c r="CQ85" s="1098"/>
      <c r="CS85" s="178"/>
      <c r="CT85" s="1098" t="s">
        <v>650</v>
      </c>
      <c r="CU85" s="1098"/>
      <c r="CV85" s="1098"/>
      <c r="CW85" s="1098"/>
      <c r="CX85" s="1098"/>
      <c r="CY85" s="1098"/>
      <c r="CZ85" s="1098"/>
      <c r="DA85" s="1098"/>
      <c r="DB85" s="1098"/>
      <c r="DC85" s="1098"/>
      <c r="DD85" s="1098"/>
      <c r="DE85" s="1098"/>
      <c r="DF85" s="1098"/>
      <c r="DG85" s="1098"/>
      <c r="DH85" s="1098"/>
      <c r="DI85" s="1098"/>
      <c r="DJ85" s="1098"/>
      <c r="DK85" s="1098"/>
      <c r="DL85" s="1098"/>
      <c r="DM85" s="1098"/>
      <c r="DN85" s="1098"/>
      <c r="DO85" s="1098"/>
      <c r="DP85" s="1098"/>
      <c r="DQ85" s="1098"/>
      <c r="DR85" s="1098"/>
      <c r="DS85" s="1098"/>
      <c r="DT85" s="1098"/>
      <c r="DU85" s="1098"/>
      <c r="DV85" s="1098"/>
      <c r="DW85" s="1098"/>
      <c r="DX85" s="1098"/>
      <c r="DY85" s="1098"/>
      <c r="DZ85" s="1098"/>
      <c r="EA85" s="1098"/>
      <c r="EB85" s="1098"/>
      <c r="EC85" s="1098"/>
      <c r="ED85" s="1098"/>
      <c r="EE85" s="1098"/>
      <c r="EF85" s="1098"/>
      <c r="EG85" s="1098"/>
      <c r="EH85" s="1098"/>
      <c r="EI85" s="1098"/>
      <c r="EJ85" s="1098"/>
      <c r="EK85" s="1098"/>
      <c r="EL85" s="1098"/>
      <c r="EM85" s="1098"/>
    </row>
    <row r="86" spans="1:143" ht="18.75" customHeight="1">
      <c r="A86" s="178"/>
      <c r="B86" s="190"/>
      <c r="C86" s="190"/>
      <c r="D86" s="1094" t="s">
        <v>658</v>
      </c>
      <c r="E86" s="1094"/>
      <c r="F86" s="1079" t="s">
        <v>651</v>
      </c>
      <c r="G86" s="1079"/>
      <c r="H86" s="1079"/>
      <c r="I86" s="1079"/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W86" s="178"/>
      <c r="AX86" s="190"/>
      <c r="AY86" s="190"/>
      <c r="AZ86" s="1094" t="s">
        <v>658</v>
      </c>
      <c r="BA86" s="1094"/>
      <c r="BB86" s="1079" t="s">
        <v>651</v>
      </c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094" t="s">
        <v>658</v>
      </c>
      <c r="CW86" s="1094"/>
      <c r="CX86" s="1079" t="s">
        <v>651</v>
      </c>
      <c r="CY86" s="1079"/>
      <c r="CZ86" s="1079"/>
      <c r="DA86" s="1079"/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56.25" customHeight="1">
      <c r="A87" s="178"/>
      <c r="B87" s="1098" t="s">
        <v>652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W87" s="178"/>
      <c r="AX87" s="1098" t="s">
        <v>652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652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6.5">
      <c r="A88" s="178"/>
      <c r="B88" s="1134" t="s">
        <v>664</v>
      </c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1134"/>
      <c r="X88" s="1134"/>
      <c r="Y88" s="1134"/>
      <c r="Z88" s="1134"/>
      <c r="AA88" s="1134"/>
      <c r="AB88" s="1134"/>
      <c r="AC88" s="1134"/>
      <c r="AD88" s="1134"/>
      <c r="AE88" s="1134"/>
      <c r="AF88" s="1134"/>
      <c r="AG88" s="1134"/>
      <c r="AH88" s="1134"/>
      <c r="AI88" s="1134"/>
      <c r="AJ88" s="1134"/>
      <c r="AK88" s="1134"/>
      <c r="AL88" s="1134"/>
      <c r="AM88" s="1134"/>
      <c r="AN88" s="1134"/>
      <c r="AO88" s="1134"/>
      <c r="AP88" s="1134"/>
      <c r="AQ88" s="1134"/>
      <c r="AR88" s="1134"/>
      <c r="AS88" s="1134"/>
      <c r="AT88" s="1134"/>
      <c r="AU88" s="1134"/>
      <c r="AW88" s="178"/>
      <c r="AX88" s="1134" t="s">
        <v>664</v>
      </c>
      <c r="AY88" s="1134"/>
      <c r="AZ88" s="1134"/>
      <c r="BA88" s="1134"/>
      <c r="BB88" s="1134"/>
      <c r="BC88" s="1134"/>
      <c r="BD88" s="1134"/>
      <c r="BE88" s="1134"/>
      <c r="BF88" s="1134"/>
      <c r="BG88" s="1134"/>
      <c r="BH88" s="1134"/>
      <c r="BI88" s="1134"/>
      <c r="BJ88" s="1134"/>
      <c r="BK88" s="1134"/>
      <c r="BL88" s="1134"/>
      <c r="BM88" s="1134"/>
      <c r="BN88" s="1134"/>
      <c r="BO88" s="1134"/>
      <c r="BP88" s="1134"/>
      <c r="BQ88" s="1134"/>
      <c r="BR88" s="1134"/>
      <c r="BS88" s="1134"/>
      <c r="BT88" s="1134"/>
      <c r="BU88" s="1134"/>
      <c r="BV88" s="1134"/>
      <c r="BW88" s="1134"/>
      <c r="BX88" s="1134"/>
      <c r="BY88" s="1134"/>
      <c r="BZ88" s="1134"/>
      <c r="CA88" s="1134"/>
      <c r="CB88" s="1134"/>
      <c r="CC88" s="1134"/>
      <c r="CD88" s="1134"/>
      <c r="CE88" s="1134"/>
      <c r="CF88" s="1134"/>
      <c r="CG88" s="1134"/>
      <c r="CH88" s="1134"/>
      <c r="CI88" s="1134"/>
      <c r="CJ88" s="1134"/>
      <c r="CK88" s="1134"/>
      <c r="CL88" s="1134"/>
      <c r="CM88" s="1134"/>
      <c r="CN88" s="1134"/>
      <c r="CO88" s="1134"/>
      <c r="CP88" s="1134"/>
      <c r="CQ88" s="1134"/>
      <c r="CS88" s="178"/>
      <c r="CT88" s="1134" t="s">
        <v>664</v>
      </c>
      <c r="CU88" s="1134"/>
      <c r="CV88" s="1134"/>
      <c r="CW88" s="1134"/>
      <c r="CX88" s="1134"/>
      <c r="CY88" s="1134"/>
      <c r="CZ88" s="1134"/>
      <c r="DA88" s="1134"/>
      <c r="DB88" s="1134"/>
      <c r="DC88" s="1134"/>
      <c r="DD88" s="1134"/>
      <c r="DE88" s="1134"/>
      <c r="DF88" s="1134"/>
      <c r="DG88" s="1134"/>
      <c r="DH88" s="1134"/>
      <c r="DI88" s="1134"/>
      <c r="DJ88" s="1134"/>
      <c r="DK88" s="1134"/>
      <c r="DL88" s="1134"/>
      <c r="DM88" s="1134"/>
      <c r="DN88" s="1134"/>
      <c r="DO88" s="1134"/>
      <c r="DP88" s="1134"/>
      <c r="DQ88" s="1134"/>
      <c r="DR88" s="1134"/>
      <c r="DS88" s="1134"/>
      <c r="DT88" s="1134"/>
      <c r="DU88" s="1134"/>
      <c r="DV88" s="1134"/>
      <c r="DW88" s="1134"/>
      <c r="DX88" s="1134"/>
      <c r="DY88" s="1134"/>
      <c r="DZ88" s="1134"/>
      <c r="EA88" s="1134"/>
      <c r="EB88" s="1134"/>
      <c r="EC88" s="1134"/>
      <c r="ED88" s="1134"/>
      <c r="EE88" s="1134"/>
      <c r="EF88" s="1134"/>
      <c r="EG88" s="1134"/>
      <c r="EH88" s="1134"/>
      <c r="EI88" s="1134"/>
      <c r="EJ88" s="1134"/>
      <c r="EK88" s="1134"/>
      <c r="EL88" s="1134"/>
      <c r="EM88" s="1134"/>
    </row>
    <row r="89" spans="1:143" ht="18.75" customHeight="1">
      <c r="A89" s="178"/>
      <c r="B89" s="190"/>
      <c r="C89" s="190"/>
      <c r="D89" s="1138" t="s">
        <v>665</v>
      </c>
      <c r="E89" s="1138"/>
      <c r="F89" s="1079" t="s">
        <v>669</v>
      </c>
      <c r="G89" s="1079"/>
      <c r="H89" s="1079"/>
      <c r="I89" s="1079"/>
      <c r="J89" s="1079"/>
      <c r="K89" s="1079"/>
      <c r="L89" s="1079"/>
      <c r="M89" s="1079"/>
      <c r="N89" s="1079"/>
      <c r="O89" s="1079"/>
      <c r="P89" s="1079"/>
      <c r="Q89" s="1079"/>
      <c r="R89" s="1079"/>
      <c r="S89" s="1079"/>
      <c r="T89" s="1079"/>
      <c r="U89" s="1079"/>
      <c r="V89" s="1079"/>
      <c r="W89" s="1079"/>
      <c r="X89" s="1079"/>
      <c r="Y89" s="1079"/>
      <c r="Z89" s="1079"/>
      <c r="AA89" s="1079"/>
      <c r="AB89" s="1079"/>
      <c r="AC89" s="1079"/>
      <c r="AD89" s="1079"/>
      <c r="AE89" s="1079"/>
      <c r="AF89" s="1079"/>
      <c r="AG89" s="1079"/>
      <c r="AH89" s="1079"/>
      <c r="AI89" s="1079"/>
      <c r="AJ89" s="1079"/>
      <c r="AK89" s="1079"/>
      <c r="AL89" s="1079"/>
      <c r="AM89" s="1079"/>
      <c r="AN89" s="1079"/>
      <c r="AO89" s="1079"/>
      <c r="AP89" s="1079"/>
      <c r="AQ89" s="1079"/>
      <c r="AR89" s="1079"/>
      <c r="AS89" s="1079"/>
      <c r="AT89" s="1079"/>
      <c r="AU89" s="1079"/>
      <c r="AW89" s="178"/>
      <c r="AX89" s="190"/>
      <c r="AY89" s="190"/>
      <c r="AZ89" s="1138" t="s">
        <v>665</v>
      </c>
      <c r="BA89" s="1138"/>
      <c r="BB89" s="1079" t="s">
        <v>669</v>
      </c>
      <c r="BC89" s="1079"/>
      <c r="BD89" s="1079"/>
      <c r="BE89" s="1079"/>
      <c r="BF89" s="1079"/>
      <c r="BG89" s="1079"/>
      <c r="BH89" s="1079"/>
      <c r="BI89" s="1079"/>
      <c r="BJ89" s="1079"/>
      <c r="BK89" s="1079"/>
      <c r="BL89" s="1079"/>
      <c r="BM89" s="1079"/>
      <c r="BN89" s="1079"/>
      <c r="BO89" s="1079"/>
      <c r="BP89" s="1079"/>
      <c r="BQ89" s="1079"/>
      <c r="BR89" s="1079"/>
      <c r="BS89" s="1079"/>
      <c r="BT89" s="1079"/>
      <c r="BU89" s="1079"/>
      <c r="BV89" s="1079"/>
      <c r="BW89" s="1079"/>
      <c r="BX89" s="1079"/>
      <c r="BY89" s="1079"/>
      <c r="BZ89" s="1079"/>
      <c r="CA89" s="1079"/>
      <c r="CB89" s="1079"/>
      <c r="CC89" s="1079"/>
      <c r="CD89" s="1079"/>
      <c r="CE89" s="1079"/>
      <c r="CF89" s="1079"/>
      <c r="CG89" s="1079"/>
      <c r="CH89" s="1079"/>
      <c r="CI89" s="1079"/>
      <c r="CJ89" s="1079"/>
      <c r="CK89" s="1079"/>
      <c r="CL89" s="1079"/>
      <c r="CM89" s="1079"/>
      <c r="CN89" s="1079"/>
      <c r="CO89" s="1079"/>
      <c r="CP89" s="1079"/>
      <c r="CQ89" s="1079"/>
      <c r="CS89" s="178"/>
      <c r="CT89" s="190"/>
      <c r="CU89" s="190"/>
      <c r="CV89" s="1138" t="s">
        <v>665</v>
      </c>
      <c r="CW89" s="1138"/>
      <c r="CX89" s="1079" t="s">
        <v>669</v>
      </c>
      <c r="CY89" s="1079"/>
      <c r="CZ89" s="1079"/>
      <c r="DA89" s="1079"/>
      <c r="DB89" s="1079"/>
      <c r="DC89" s="1079"/>
      <c r="DD89" s="1079"/>
      <c r="DE89" s="1079"/>
      <c r="DF89" s="1079"/>
      <c r="DG89" s="1079"/>
      <c r="DH89" s="1079"/>
      <c r="DI89" s="1079"/>
      <c r="DJ89" s="1079"/>
      <c r="DK89" s="1079"/>
      <c r="DL89" s="1079"/>
      <c r="DM89" s="1079"/>
      <c r="DN89" s="1079"/>
      <c r="DO89" s="1079"/>
      <c r="DP89" s="1079"/>
      <c r="DQ89" s="1079"/>
      <c r="DR89" s="1079"/>
      <c r="DS89" s="1079"/>
      <c r="DT89" s="1079"/>
      <c r="DU89" s="1079"/>
      <c r="DV89" s="1079"/>
      <c r="DW89" s="1079"/>
      <c r="DX89" s="1079"/>
      <c r="DY89" s="1079"/>
      <c r="DZ89" s="1079"/>
      <c r="EA89" s="1079"/>
      <c r="EB89" s="1079"/>
      <c r="EC89" s="1079"/>
      <c r="ED89" s="1079"/>
      <c r="EE89" s="1079"/>
      <c r="EF89" s="1079"/>
      <c r="EG89" s="1079"/>
      <c r="EH89" s="1079"/>
      <c r="EI89" s="1079"/>
      <c r="EJ89" s="1079"/>
      <c r="EK89" s="1079"/>
      <c r="EL89" s="1079"/>
      <c r="EM89" s="1079"/>
    </row>
    <row r="90" spans="1:143" ht="37.5" customHeight="1">
      <c r="A90" s="178"/>
      <c r="B90" s="1098" t="s">
        <v>670</v>
      </c>
      <c r="C90" s="1098"/>
      <c r="D90" s="1098"/>
      <c r="E90" s="1098"/>
      <c r="F90" s="1098"/>
      <c r="G90" s="1098"/>
      <c r="H90" s="1098"/>
      <c r="I90" s="1098"/>
      <c r="J90" s="1098"/>
      <c r="K90" s="1098"/>
      <c r="L90" s="1098"/>
      <c r="M90" s="1098"/>
      <c r="N90" s="1098"/>
      <c r="O90" s="1098"/>
      <c r="P90" s="1098"/>
      <c r="Q90" s="1098"/>
      <c r="R90" s="1098"/>
      <c r="S90" s="1098"/>
      <c r="T90" s="1098"/>
      <c r="U90" s="1098"/>
      <c r="V90" s="1098"/>
      <c r="W90" s="1098"/>
      <c r="X90" s="1098"/>
      <c r="Y90" s="1098"/>
      <c r="Z90" s="1098"/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W90" s="178"/>
      <c r="AX90" s="1098" t="s">
        <v>670</v>
      </c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  <c r="BX90" s="1098"/>
      <c r="BY90" s="1098"/>
      <c r="BZ90" s="1098"/>
      <c r="CA90" s="1098"/>
      <c r="CB90" s="1098"/>
      <c r="CC90" s="1098"/>
      <c r="CD90" s="1098"/>
      <c r="CE90" s="1098"/>
      <c r="CF90" s="1098"/>
      <c r="CG90" s="1098"/>
      <c r="CH90" s="1098"/>
      <c r="CI90" s="1098"/>
      <c r="CJ90" s="1098"/>
      <c r="CK90" s="1098"/>
      <c r="CL90" s="1098"/>
      <c r="CM90" s="1098"/>
      <c r="CN90" s="1098"/>
      <c r="CO90" s="1098"/>
      <c r="CP90" s="1098"/>
      <c r="CQ90" s="1098"/>
      <c r="CS90" s="178"/>
      <c r="CT90" s="1098" t="s">
        <v>670</v>
      </c>
      <c r="CU90" s="1098"/>
      <c r="CV90" s="1098"/>
      <c r="CW90" s="1098"/>
      <c r="CX90" s="1098"/>
      <c r="CY90" s="1098"/>
      <c r="CZ90" s="1098"/>
      <c r="DA90" s="1098"/>
      <c r="DB90" s="1098"/>
      <c r="DC90" s="1098"/>
      <c r="DD90" s="1098"/>
      <c r="DE90" s="1098"/>
      <c r="DF90" s="1098"/>
      <c r="DG90" s="1098"/>
      <c r="DH90" s="1098"/>
      <c r="DI90" s="1098"/>
      <c r="DJ90" s="1098"/>
      <c r="DK90" s="1098"/>
      <c r="DL90" s="1098"/>
      <c r="DM90" s="1098"/>
      <c r="DN90" s="1098"/>
      <c r="DO90" s="1098"/>
      <c r="DP90" s="1098"/>
      <c r="DQ90" s="1098"/>
      <c r="DR90" s="1098"/>
      <c r="DS90" s="1098"/>
      <c r="DT90" s="1098"/>
      <c r="DU90" s="1098"/>
      <c r="DV90" s="1098"/>
      <c r="DW90" s="1098"/>
      <c r="DX90" s="1098"/>
      <c r="DY90" s="1098"/>
      <c r="DZ90" s="1098"/>
      <c r="EA90" s="1098"/>
      <c r="EB90" s="1098"/>
      <c r="EC90" s="1098"/>
      <c r="ED90" s="1098"/>
      <c r="EE90" s="1098"/>
      <c r="EF90" s="1098"/>
      <c r="EG90" s="1098"/>
      <c r="EH90" s="1098"/>
      <c r="EI90" s="1098"/>
      <c r="EJ90" s="1098"/>
      <c r="EK90" s="1098"/>
      <c r="EL90" s="1098"/>
      <c r="EM90" s="1098"/>
    </row>
    <row r="91" spans="1:143" ht="18.75" customHeight="1">
      <c r="A91" s="178"/>
      <c r="B91" s="190"/>
      <c r="C91" s="190"/>
      <c r="D91" s="1094" t="s">
        <v>668</v>
      </c>
      <c r="E91" s="1094"/>
      <c r="F91" s="1079" t="s">
        <v>776</v>
      </c>
      <c r="G91" s="1079"/>
      <c r="H91" s="1079"/>
      <c r="I91" s="1079"/>
      <c r="J91" s="1079"/>
      <c r="K91" s="1079"/>
      <c r="L91" s="1079"/>
      <c r="M91" s="1079"/>
      <c r="N91" s="1079"/>
      <c r="O91" s="1079"/>
      <c r="P91" s="1079"/>
      <c r="Q91" s="1079"/>
      <c r="R91" s="1079"/>
      <c r="S91" s="1079"/>
      <c r="T91" s="1079"/>
      <c r="U91" s="1079"/>
      <c r="V91" s="1079"/>
      <c r="W91" s="1079"/>
      <c r="X91" s="1079"/>
      <c r="Y91" s="1079"/>
      <c r="Z91" s="1079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W91" s="178"/>
      <c r="AX91" s="190"/>
      <c r="AY91" s="190"/>
      <c r="AZ91" s="1094" t="s">
        <v>668</v>
      </c>
      <c r="BA91" s="1094"/>
      <c r="BB91" s="1079" t="s">
        <v>776</v>
      </c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  <c r="BX91" s="1079"/>
      <c r="BY91" s="1079"/>
      <c r="BZ91" s="1079"/>
      <c r="CA91" s="1079"/>
      <c r="CB91" s="1079"/>
      <c r="CC91" s="1079"/>
      <c r="CD91" s="1079"/>
      <c r="CE91" s="1079"/>
      <c r="CF91" s="1079"/>
      <c r="CG91" s="1079"/>
      <c r="CH91" s="1079"/>
      <c r="CI91" s="1079"/>
      <c r="CJ91" s="1079"/>
      <c r="CK91" s="1079"/>
      <c r="CL91" s="1079"/>
      <c r="CM91" s="1079"/>
      <c r="CN91" s="1079"/>
      <c r="CO91" s="1079"/>
      <c r="CP91" s="1079"/>
      <c r="CQ91" s="1079"/>
      <c r="CS91" s="178"/>
      <c r="CT91" s="190"/>
      <c r="CU91" s="190"/>
      <c r="CV91" s="1094" t="s">
        <v>668</v>
      </c>
      <c r="CW91" s="1094"/>
      <c r="CX91" s="1079" t="s">
        <v>776</v>
      </c>
      <c r="CY91" s="1079"/>
      <c r="CZ91" s="1079"/>
      <c r="DA91" s="1079"/>
      <c r="DB91" s="1079"/>
      <c r="DC91" s="1079"/>
      <c r="DD91" s="1079"/>
      <c r="DE91" s="1079"/>
      <c r="DF91" s="1079"/>
      <c r="DG91" s="1079"/>
      <c r="DH91" s="1079"/>
      <c r="DI91" s="1079"/>
      <c r="DJ91" s="1079"/>
      <c r="DK91" s="1079"/>
      <c r="DL91" s="1079"/>
      <c r="DM91" s="1079"/>
      <c r="DN91" s="1079"/>
      <c r="DO91" s="1079"/>
      <c r="DP91" s="1079"/>
      <c r="DQ91" s="1079"/>
      <c r="DR91" s="1079"/>
      <c r="DS91" s="1079"/>
      <c r="DT91" s="1079"/>
      <c r="DU91" s="1079"/>
      <c r="DV91" s="1079"/>
      <c r="DW91" s="1079"/>
      <c r="DX91" s="1079"/>
      <c r="DY91" s="1079"/>
      <c r="DZ91" s="1079"/>
      <c r="EA91" s="1079"/>
      <c r="EB91" s="1079"/>
      <c r="EC91" s="1079"/>
      <c r="ED91" s="1079"/>
      <c r="EE91" s="1079"/>
      <c r="EF91" s="1079"/>
      <c r="EG91" s="1079"/>
      <c r="EH91" s="1079"/>
      <c r="EI91" s="1079"/>
      <c r="EJ91" s="1079"/>
      <c r="EK91" s="1079"/>
      <c r="EL91" s="1079"/>
      <c r="EM91" s="1079"/>
    </row>
    <row r="92" spans="1:143" ht="18.75" customHeight="1">
      <c r="A92" s="178"/>
      <c r="B92" s="1098" t="s">
        <v>777</v>
      </c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W92" s="178"/>
      <c r="AX92" s="1098" t="s">
        <v>777</v>
      </c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  <c r="BX92" s="1098"/>
      <c r="BY92" s="1098"/>
      <c r="BZ92" s="1098"/>
      <c r="CA92" s="1098"/>
      <c r="CB92" s="1098"/>
      <c r="CC92" s="1098"/>
      <c r="CD92" s="1098"/>
      <c r="CE92" s="1098"/>
      <c r="CF92" s="1098"/>
      <c r="CG92" s="1098"/>
      <c r="CH92" s="1098"/>
      <c r="CI92" s="1098"/>
      <c r="CJ92" s="1098"/>
      <c r="CK92" s="1098"/>
      <c r="CL92" s="1098"/>
      <c r="CM92" s="1098"/>
      <c r="CN92" s="1098"/>
      <c r="CO92" s="1098"/>
      <c r="CP92" s="1098"/>
      <c r="CQ92" s="1098"/>
      <c r="CS92" s="178"/>
      <c r="CT92" s="1098" t="s">
        <v>777</v>
      </c>
      <c r="CU92" s="1098"/>
      <c r="CV92" s="1098"/>
      <c r="CW92" s="1098"/>
      <c r="CX92" s="1098"/>
      <c r="CY92" s="1098"/>
      <c r="CZ92" s="1098"/>
      <c r="DA92" s="1098"/>
      <c r="DB92" s="1098"/>
      <c r="DC92" s="1098"/>
      <c r="DD92" s="1098"/>
      <c r="DE92" s="1098"/>
      <c r="DF92" s="1098"/>
      <c r="DG92" s="1098"/>
      <c r="DH92" s="1098"/>
      <c r="DI92" s="1098"/>
      <c r="DJ92" s="1098"/>
      <c r="DK92" s="1098"/>
      <c r="DL92" s="1098"/>
      <c r="DM92" s="1098"/>
      <c r="DN92" s="1098"/>
      <c r="DO92" s="1098"/>
      <c r="DP92" s="1098"/>
      <c r="DQ92" s="1098"/>
      <c r="DR92" s="1098"/>
      <c r="DS92" s="1098"/>
      <c r="DT92" s="1098"/>
      <c r="DU92" s="1098"/>
      <c r="DV92" s="1098"/>
      <c r="DW92" s="1098"/>
      <c r="DX92" s="1098"/>
      <c r="DY92" s="1098"/>
      <c r="DZ92" s="1098"/>
      <c r="EA92" s="1098"/>
      <c r="EB92" s="1098"/>
      <c r="EC92" s="1098"/>
      <c r="ED92" s="1098"/>
      <c r="EE92" s="1098"/>
      <c r="EF92" s="1098"/>
      <c r="EG92" s="1098"/>
      <c r="EH92" s="1098"/>
      <c r="EI92" s="1098"/>
      <c r="EJ92" s="1098"/>
      <c r="EK92" s="1098"/>
      <c r="EL92" s="1098"/>
      <c r="EM92" s="1098"/>
    </row>
    <row r="93" spans="1:143" ht="18.75" customHeight="1">
      <c r="A93" s="178"/>
      <c r="B93" s="190"/>
      <c r="C93" s="190"/>
      <c r="D93" s="1094" t="s">
        <v>671</v>
      </c>
      <c r="E93" s="1094"/>
      <c r="F93" s="1079" t="s">
        <v>672</v>
      </c>
      <c r="G93" s="1079"/>
      <c r="H93" s="1079"/>
      <c r="I93" s="1079"/>
      <c r="J93" s="1079"/>
      <c r="K93" s="1079"/>
      <c r="L93" s="1079"/>
      <c r="M93" s="1079"/>
      <c r="N93" s="1079"/>
      <c r="O93" s="1079"/>
      <c r="P93" s="1079"/>
      <c r="Q93" s="1079"/>
      <c r="R93" s="1079"/>
      <c r="S93" s="1079"/>
      <c r="T93" s="1079"/>
      <c r="U93" s="1079"/>
      <c r="V93" s="1079"/>
      <c r="W93" s="1079"/>
      <c r="X93" s="1079"/>
      <c r="Y93" s="1079"/>
      <c r="Z93" s="1079"/>
      <c r="AA93" s="1079"/>
      <c r="AB93" s="1079"/>
      <c r="AC93" s="1079"/>
      <c r="AD93" s="1079"/>
      <c r="AE93" s="1079"/>
      <c r="AF93" s="1079"/>
      <c r="AG93" s="1079"/>
      <c r="AH93" s="1079"/>
      <c r="AI93" s="1079"/>
      <c r="AJ93" s="1079"/>
      <c r="AK93" s="1079"/>
      <c r="AL93" s="1079"/>
      <c r="AM93" s="1079"/>
      <c r="AN93" s="1079"/>
      <c r="AO93" s="1079"/>
      <c r="AP93" s="1079"/>
      <c r="AQ93" s="1079"/>
      <c r="AR93" s="1079"/>
      <c r="AS93" s="1079"/>
      <c r="AT93" s="1079"/>
      <c r="AU93" s="1079"/>
      <c r="AW93" s="178"/>
      <c r="AX93" s="190"/>
      <c r="AY93" s="190"/>
      <c r="AZ93" s="1094" t="s">
        <v>671</v>
      </c>
      <c r="BA93" s="1094"/>
      <c r="BB93" s="1079" t="s">
        <v>672</v>
      </c>
      <c r="BC93" s="1079"/>
      <c r="BD93" s="1079"/>
      <c r="BE93" s="1079"/>
      <c r="BF93" s="1079"/>
      <c r="BG93" s="1079"/>
      <c r="BH93" s="1079"/>
      <c r="BI93" s="1079"/>
      <c r="BJ93" s="1079"/>
      <c r="BK93" s="1079"/>
      <c r="BL93" s="1079"/>
      <c r="BM93" s="1079"/>
      <c r="BN93" s="1079"/>
      <c r="BO93" s="1079"/>
      <c r="BP93" s="1079"/>
      <c r="BQ93" s="1079"/>
      <c r="BR93" s="1079"/>
      <c r="BS93" s="1079"/>
      <c r="BT93" s="1079"/>
      <c r="BU93" s="1079"/>
      <c r="BV93" s="1079"/>
      <c r="BW93" s="1079"/>
      <c r="BX93" s="1079"/>
      <c r="BY93" s="1079"/>
      <c r="BZ93" s="1079"/>
      <c r="CA93" s="1079"/>
      <c r="CB93" s="1079"/>
      <c r="CC93" s="1079"/>
      <c r="CD93" s="1079"/>
      <c r="CE93" s="1079"/>
      <c r="CF93" s="1079"/>
      <c r="CG93" s="1079"/>
      <c r="CH93" s="1079"/>
      <c r="CI93" s="1079"/>
      <c r="CJ93" s="1079"/>
      <c r="CK93" s="1079"/>
      <c r="CL93" s="1079"/>
      <c r="CM93" s="1079"/>
      <c r="CN93" s="1079"/>
      <c r="CO93" s="1079"/>
      <c r="CP93" s="1079"/>
      <c r="CQ93" s="1079"/>
      <c r="CS93" s="178"/>
      <c r="CT93" s="190"/>
      <c r="CU93" s="190"/>
      <c r="CV93" s="1094" t="s">
        <v>671</v>
      </c>
      <c r="CW93" s="1094"/>
      <c r="CX93" s="1079" t="s">
        <v>672</v>
      </c>
      <c r="CY93" s="1079"/>
      <c r="CZ93" s="1079"/>
      <c r="DA93" s="1079"/>
      <c r="DB93" s="1079"/>
      <c r="DC93" s="1079"/>
      <c r="DD93" s="1079"/>
      <c r="DE93" s="1079"/>
      <c r="DF93" s="1079"/>
      <c r="DG93" s="1079"/>
      <c r="DH93" s="1079"/>
      <c r="DI93" s="1079"/>
      <c r="DJ93" s="1079"/>
      <c r="DK93" s="1079"/>
      <c r="DL93" s="1079"/>
      <c r="DM93" s="1079"/>
      <c r="DN93" s="1079"/>
      <c r="DO93" s="1079"/>
      <c r="DP93" s="1079"/>
      <c r="DQ93" s="1079"/>
      <c r="DR93" s="1079"/>
      <c r="DS93" s="1079"/>
      <c r="DT93" s="1079"/>
      <c r="DU93" s="1079"/>
      <c r="DV93" s="1079"/>
      <c r="DW93" s="1079"/>
      <c r="DX93" s="1079"/>
      <c r="DY93" s="1079"/>
      <c r="DZ93" s="1079"/>
      <c r="EA93" s="1079"/>
      <c r="EB93" s="1079"/>
      <c r="EC93" s="1079"/>
      <c r="ED93" s="1079"/>
      <c r="EE93" s="1079"/>
      <c r="EF93" s="1079"/>
      <c r="EG93" s="1079"/>
      <c r="EH93" s="1079"/>
      <c r="EI93" s="1079"/>
      <c r="EJ93" s="1079"/>
      <c r="EK93" s="1079"/>
      <c r="EL93" s="1079"/>
      <c r="EM93" s="1079"/>
    </row>
    <row r="94" spans="1:143" ht="57.75" customHeight="1">
      <c r="A94" s="178"/>
      <c r="B94" s="1098" t="s">
        <v>818</v>
      </c>
      <c r="C94" s="1098"/>
      <c r="D94" s="1098"/>
      <c r="E94" s="1098"/>
      <c r="F94" s="1098"/>
      <c r="G94" s="1098"/>
      <c r="H94" s="1098"/>
      <c r="I94" s="1098"/>
      <c r="J94" s="1098"/>
      <c r="K94" s="1098"/>
      <c r="L94" s="1098"/>
      <c r="M94" s="1098"/>
      <c r="N94" s="1098"/>
      <c r="O94" s="1098"/>
      <c r="P94" s="1098"/>
      <c r="Q94" s="1098"/>
      <c r="R94" s="1098"/>
      <c r="S94" s="1098"/>
      <c r="T94" s="1098"/>
      <c r="U94" s="1098"/>
      <c r="V94" s="1098"/>
      <c r="W94" s="1098"/>
      <c r="X94" s="1098"/>
      <c r="Y94" s="1098"/>
      <c r="Z94" s="1098"/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W94" s="178"/>
      <c r="AX94" s="1098" t="s">
        <v>818</v>
      </c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  <c r="BX94" s="1098"/>
      <c r="BY94" s="1098"/>
      <c r="BZ94" s="1098"/>
      <c r="CA94" s="1098"/>
      <c r="CB94" s="1098"/>
      <c r="CC94" s="1098"/>
      <c r="CD94" s="1098"/>
      <c r="CE94" s="1098"/>
      <c r="CF94" s="1098"/>
      <c r="CG94" s="1098"/>
      <c r="CH94" s="1098"/>
      <c r="CI94" s="1098"/>
      <c r="CJ94" s="1098"/>
      <c r="CK94" s="1098"/>
      <c r="CL94" s="1098"/>
      <c r="CM94" s="1098"/>
      <c r="CN94" s="1098"/>
      <c r="CO94" s="1098"/>
      <c r="CP94" s="1098"/>
      <c r="CQ94" s="1098"/>
      <c r="CS94" s="178"/>
      <c r="CT94" s="1098" t="s">
        <v>818</v>
      </c>
      <c r="CU94" s="1098"/>
      <c r="CV94" s="1098"/>
      <c r="CW94" s="1098"/>
      <c r="CX94" s="1098"/>
      <c r="CY94" s="1098"/>
      <c r="CZ94" s="1098"/>
      <c r="DA94" s="1098"/>
      <c r="DB94" s="1098"/>
      <c r="DC94" s="1098"/>
      <c r="DD94" s="1098"/>
      <c r="DE94" s="1098"/>
      <c r="DF94" s="1098"/>
      <c r="DG94" s="1098"/>
      <c r="DH94" s="1098"/>
      <c r="DI94" s="1098"/>
      <c r="DJ94" s="1098"/>
      <c r="DK94" s="1098"/>
      <c r="DL94" s="1098"/>
      <c r="DM94" s="1098"/>
      <c r="DN94" s="1098"/>
      <c r="DO94" s="1098"/>
      <c r="DP94" s="1098"/>
      <c r="DQ94" s="1098"/>
      <c r="DR94" s="1098"/>
      <c r="DS94" s="1098"/>
      <c r="DT94" s="1098"/>
      <c r="DU94" s="1098"/>
      <c r="DV94" s="1098"/>
      <c r="DW94" s="1098"/>
      <c r="DX94" s="1098"/>
      <c r="DY94" s="1098"/>
      <c r="DZ94" s="1098"/>
      <c r="EA94" s="1098"/>
      <c r="EB94" s="1098"/>
      <c r="EC94" s="1098"/>
      <c r="ED94" s="1098"/>
      <c r="EE94" s="1098"/>
      <c r="EF94" s="1098"/>
      <c r="EG94" s="1098"/>
      <c r="EH94" s="1098"/>
      <c r="EI94" s="1098"/>
      <c r="EJ94" s="1098"/>
      <c r="EK94" s="1098"/>
      <c r="EL94" s="1098"/>
      <c r="EM94" s="1098"/>
    </row>
    <row r="95" spans="1:143" ht="16.5">
      <c r="A95" s="178"/>
      <c r="B95" s="1128" t="s">
        <v>674</v>
      </c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W95" s="178"/>
      <c r="AX95" s="1128" t="s">
        <v>674</v>
      </c>
      <c r="AY95" s="1128"/>
      <c r="AZ95" s="1128"/>
      <c r="BA95" s="1128"/>
      <c r="BB95" s="1128"/>
      <c r="BC95" s="1128"/>
      <c r="BD95" s="1128"/>
      <c r="BE95" s="1128"/>
      <c r="BF95" s="1128"/>
      <c r="BG95" s="1128"/>
      <c r="BH95" s="1128"/>
      <c r="BI95" s="1128"/>
      <c r="BJ95" s="1128"/>
      <c r="BK95" s="1128"/>
      <c r="BL95" s="1128"/>
      <c r="BM95" s="1128"/>
      <c r="BN95" s="1128"/>
      <c r="BO95" s="1128"/>
      <c r="BP95" s="1128"/>
      <c r="BQ95" s="1128"/>
      <c r="BR95" s="1128"/>
      <c r="BS95" s="1128"/>
      <c r="BT95" s="1128"/>
      <c r="BU95" s="1128"/>
      <c r="BV95" s="1128"/>
      <c r="BW95" s="1128"/>
      <c r="BX95" s="1128"/>
      <c r="BY95" s="1128"/>
      <c r="BZ95" s="1128"/>
      <c r="CA95" s="1128"/>
      <c r="CB95" s="1128"/>
      <c r="CC95" s="1128"/>
      <c r="CD95" s="1128"/>
      <c r="CE95" s="1128"/>
      <c r="CF95" s="1128"/>
      <c r="CG95" s="1128"/>
      <c r="CH95" s="1128"/>
      <c r="CI95" s="1128"/>
      <c r="CJ95" s="1128"/>
      <c r="CK95" s="1128"/>
      <c r="CL95" s="1128"/>
      <c r="CM95" s="1128"/>
      <c r="CN95" s="1128"/>
      <c r="CO95" s="1128"/>
      <c r="CP95" s="1128"/>
      <c r="CQ95" s="1128"/>
      <c r="CS95" s="178"/>
      <c r="CT95" s="1128" t="s">
        <v>674</v>
      </c>
      <c r="CU95" s="1128"/>
      <c r="CV95" s="1128"/>
      <c r="CW95" s="1128"/>
      <c r="CX95" s="1128"/>
      <c r="CY95" s="1128"/>
      <c r="CZ95" s="1128"/>
      <c r="DA95" s="1128"/>
      <c r="DB95" s="1128"/>
      <c r="DC95" s="1128"/>
      <c r="DD95" s="1128"/>
      <c r="DE95" s="1128"/>
      <c r="DF95" s="1128"/>
      <c r="DG95" s="1128"/>
      <c r="DH95" s="1128"/>
      <c r="DI95" s="1128"/>
      <c r="DJ95" s="1128"/>
      <c r="DK95" s="1128"/>
      <c r="DL95" s="1128"/>
      <c r="DM95" s="1128"/>
      <c r="DN95" s="1128"/>
      <c r="DO95" s="1128"/>
      <c r="DP95" s="1128"/>
      <c r="DQ95" s="1128"/>
      <c r="DR95" s="1128"/>
      <c r="DS95" s="1128"/>
      <c r="DT95" s="1128"/>
      <c r="DU95" s="1128"/>
      <c r="DV95" s="1128"/>
      <c r="DW95" s="1128"/>
      <c r="DX95" s="1128"/>
      <c r="DY95" s="1128"/>
      <c r="DZ95" s="1128"/>
      <c r="EA95" s="1128"/>
      <c r="EB95" s="1128"/>
      <c r="EC95" s="1128"/>
      <c r="ED95" s="1128"/>
      <c r="EE95" s="1128"/>
      <c r="EF95" s="1128"/>
      <c r="EG95" s="1128"/>
      <c r="EH95" s="1128"/>
      <c r="EI95" s="1128"/>
      <c r="EJ95" s="1128"/>
      <c r="EK95" s="1128"/>
      <c r="EL95" s="1128"/>
      <c r="EM95" s="1128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99" t="s">
        <v>779</v>
      </c>
      <c r="C97" s="1099"/>
      <c r="D97" s="1099"/>
      <c r="E97" s="1099"/>
      <c r="F97" s="1099"/>
      <c r="G97" s="1099"/>
      <c r="H97" s="1099"/>
      <c r="I97" s="1099"/>
      <c r="J97" s="1099"/>
      <c r="K97" s="1099"/>
      <c r="L97" s="1099"/>
      <c r="M97" s="1099"/>
      <c r="N97" s="1099"/>
      <c r="O97" s="1099"/>
      <c r="P97" s="1099"/>
      <c r="Q97" s="1099"/>
      <c r="R97" s="1099"/>
      <c r="S97" s="1099"/>
      <c r="T97" s="1099"/>
      <c r="U97" s="1099"/>
      <c r="V97" s="1099"/>
      <c r="W97" s="1099"/>
      <c r="X97" s="1099"/>
      <c r="Y97" s="1099" t="s">
        <v>780</v>
      </c>
      <c r="Z97" s="1099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W97" s="178"/>
      <c r="AX97" s="1099" t="s">
        <v>779</v>
      </c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 t="s">
        <v>780</v>
      </c>
      <c r="BV97" s="1099"/>
      <c r="BW97" s="1099"/>
      <c r="BX97" s="1099"/>
      <c r="BY97" s="1099"/>
      <c r="BZ97" s="1099"/>
      <c r="CA97" s="1099"/>
      <c r="CB97" s="1099"/>
      <c r="CC97" s="1099"/>
      <c r="CD97" s="1099"/>
      <c r="CE97" s="1099"/>
      <c r="CF97" s="1099"/>
      <c r="CG97" s="1099"/>
      <c r="CH97" s="1099"/>
      <c r="CI97" s="1099"/>
      <c r="CJ97" s="1099"/>
      <c r="CK97" s="1099"/>
      <c r="CL97" s="1099"/>
      <c r="CM97" s="1099"/>
      <c r="CN97" s="1099"/>
      <c r="CO97" s="1099"/>
      <c r="CP97" s="1099"/>
      <c r="CQ97" s="1099"/>
      <c r="CS97" s="178"/>
      <c r="CT97" s="1099" t="s">
        <v>779</v>
      </c>
      <c r="CU97" s="1099"/>
      <c r="CV97" s="1099"/>
      <c r="CW97" s="1099"/>
      <c r="CX97" s="1099"/>
      <c r="CY97" s="1099"/>
      <c r="CZ97" s="1099"/>
      <c r="DA97" s="1099"/>
      <c r="DB97" s="1099"/>
      <c r="DC97" s="1099"/>
      <c r="DD97" s="1099"/>
      <c r="DE97" s="1099"/>
      <c r="DF97" s="1099"/>
      <c r="DG97" s="1099"/>
      <c r="DH97" s="1099"/>
      <c r="DI97" s="1099"/>
      <c r="DJ97" s="1099"/>
      <c r="DK97" s="1099"/>
      <c r="DL97" s="1099"/>
      <c r="DM97" s="1099"/>
      <c r="DN97" s="1099"/>
      <c r="DO97" s="1099"/>
      <c r="DP97" s="1099"/>
      <c r="DQ97" s="1099" t="s">
        <v>780</v>
      </c>
      <c r="DR97" s="1099"/>
      <c r="DS97" s="1099"/>
      <c r="DT97" s="1099"/>
      <c r="DU97" s="1099"/>
      <c r="DV97" s="1099"/>
      <c r="DW97" s="1099"/>
      <c r="DX97" s="1099"/>
      <c r="DY97" s="1099"/>
      <c r="DZ97" s="1099"/>
      <c r="EA97" s="1099"/>
      <c r="EB97" s="1099"/>
      <c r="EC97" s="1099"/>
      <c r="ED97" s="1099"/>
      <c r="EE97" s="1099"/>
      <c r="EF97" s="1099"/>
      <c r="EG97" s="1099"/>
      <c r="EH97" s="1099"/>
      <c r="EI97" s="1099"/>
      <c r="EJ97" s="1099"/>
      <c r="EK97" s="1099"/>
      <c r="EL97" s="1099"/>
      <c r="EM97" s="1099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141" t="s">
        <v>781</v>
      </c>
      <c r="C99" s="1141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205"/>
      <c r="Y99" s="1140" t="s">
        <v>677</v>
      </c>
      <c r="Z99" s="1140"/>
      <c r="AA99" s="1140"/>
      <c r="AB99" s="1140"/>
      <c r="AC99" s="1139">
        <f>B$39</f>
        <v>0</v>
      </c>
      <c r="AD99" s="1139"/>
      <c r="AE99" s="1139"/>
      <c r="AF99" s="1139"/>
      <c r="AG99" s="1139"/>
      <c r="AH99" s="1139"/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41" t="s">
        <v>781</v>
      </c>
      <c r="AY99" s="1141"/>
      <c r="AZ99" s="1141"/>
      <c r="BA99" s="1141"/>
      <c r="BB99" s="1141"/>
      <c r="BC99" s="1141"/>
      <c r="BD99" s="1141"/>
      <c r="BE99" s="1141"/>
      <c r="BF99" s="1141"/>
      <c r="BG99" s="1141"/>
      <c r="BH99" s="1141"/>
      <c r="BI99" s="1141"/>
      <c r="BJ99" s="1141"/>
      <c r="BK99" s="1141"/>
      <c r="BL99" s="1141"/>
      <c r="BM99" s="1141"/>
      <c r="BN99" s="1141"/>
      <c r="BO99" s="1141"/>
      <c r="BP99" s="1141"/>
      <c r="BQ99" s="1141"/>
      <c r="BR99" s="1141"/>
      <c r="BS99" s="1141"/>
      <c r="BT99" s="205"/>
      <c r="BU99" s="1140" t="s">
        <v>677</v>
      </c>
      <c r="BV99" s="1140"/>
      <c r="BW99" s="1140"/>
      <c r="BX99" s="1140"/>
      <c r="BY99" s="1139">
        <f>AX$39</f>
        <v>0</v>
      </c>
      <c r="BZ99" s="1139"/>
      <c r="CA99" s="1139"/>
      <c r="CB99" s="1139"/>
      <c r="CC99" s="1139"/>
      <c r="CD99" s="1139"/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41" t="s">
        <v>781</v>
      </c>
      <c r="CU99" s="1141"/>
      <c r="CV99" s="1141"/>
      <c r="CW99" s="1141"/>
      <c r="CX99" s="1141"/>
      <c r="CY99" s="1141"/>
      <c r="CZ99" s="1141"/>
      <c r="DA99" s="1141"/>
      <c r="DB99" s="1141"/>
      <c r="DC99" s="1141"/>
      <c r="DD99" s="1141"/>
      <c r="DE99" s="1141"/>
      <c r="DF99" s="1141"/>
      <c r="DG99" s="1141"/>
      <c r="DH99" s="1141"/>
      <c r="DI99" s="1141"/>
      <c r="DJ99" s="1141"/>
      <c r="DK99" s="1141"/>
      <c r="DL99" s="1141"/>
      <c r="DM99" s="1141"/>
      <c r="DN99" s="1141"/>
      <c r="DO99" s="1141"/>
      <c r="DP99" s="205"/>
      <c r="DQ99" s="1140" t="s">
        <v>677</v>
      </c>
      <c r="DR99" s="1140"/>
      <c r="DS99" s="1140"/>
      <c r="DT99" s="1140"/>
      <c r="DU99" s="1139">
        <f>CT$39</f>
        <v>0</v>
      </c>
      <c r="DV99" s="1139"/>
      <c r="DW99" s="1139"/>
      <c r="DX99" s="1139"/>
      <c r="DY99" s="1139"/>
      <c r="DZ99" s="1139"/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1157" t="s">
        <v>782</v>
      </c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6" t="e">
        <f>I$6</f>
        <v>#VALUE!</v>
      </c>
      <c r="P100" s="1156"/>
      <c r="Q100" s="1156"/>
      <c r="R100" s="1156"/>
      <c r="S100" s="1156"/>
      <c r="T100" s="1156"/>
      <c r="U100" s="1156"/>
      <c r="V100" s="1156"/>
      <c r="W100" s="1156"/>
      <c r="X100" s="206"/>
      <c r="Y100" s="1140" t="s">
        <v>684</v>
      </c>
      <c r="Z100" s="1140"/>
      <c r="AA100" s="1140"/>
      <c r="AB100" s="1140"/>
      <c r="AC100" s="1140"/>
      <c r="AD100" s="1140"/>
      <c r="AE100" s="1140"/>
      <c r="AF100" s="1140"/>
      <c r="AG100" s="1140"/>
      <c r="AH100" s="1142">
        <f>I$22</f>
        <v>0</v>
      </c>
      <c r="AI100" s="1139"/>
      <c r="AJ100" s="1139"/>
      <c r="AK100" s="1139"/>
      <c r="AL100" s="1139"/>
      <c r="AM100" s="1139"/>
      <c r="AN100" s="1139"/>
      <c r="AO100" s="1139"/>
      <c r="AP100" s="1139"/>
      <c r="AQ100" s="1139"/>
      <c r="AR100" s="1139"/>
      <c r="AS100" s="1139"/>
      <c r="AT100" s="1139"/>
      <c r="AU100" s="1139"/>
      <c r="AW100" s="178"/>
      <c r="AX100" s="1157" t="s">
        <v>782</v>
      </c>
      <c r="AY100" s="1157"/>
      <c r="AZ100" s="1157"/>
      <c r="BA100" s="1157"/>
      <c r="BB100" s="1157"/>
      <c r="BC100" s="1157"/>
      <c r="BD100" s="1157"/>
      <c r="BE100" s="1157"/>
      <c r="BF100" s="1157"/>
      <c r="BG100" s="1157"/>
      <c r="BH100" s="1157"/>
      <c r="BI100" s="1157"/>
      <c r="BJ100" s="1157"/>
      <c r="BK100" s="1156" t="e">
        <f>BE$6</f>
        <v>#VALUE!</v>
      </c>
      <c r="BL100" s="1156"/>
      <c r="BM100" s="1156"/>
      <c r="BN100" s="1156"/>
      <c r="BO100" s="1156"/>
      <c r="BP100" s="1156"/>
      <c r="BQ100" s="1156"/>
      <c r="BR100" s="1156"/>
      <c r="BS100" s="1156"/>
      <c r="BT100" s="206"/>
      <c r="BU100" s="1140" t="s">
        <v>684</v>
      </c>
      <c r="BV100" s="1140"/>
      <c r="BW100" s="1140"/>
      <c r="BX100" s="1140"/>
      <c r="BY100" s="1140"/>
      <c r="BZ100" s="1140"/>
      <c r="CA100" s="1140"/>
      <c r="CB100" s="1140"/>
      <c r="CC100" s="1140"/>
      <c r="CD100" s="1142">
        <f>BE$22</f>
        <v>0</v>
      </c>
      <c r="CE100" s="1139"/>
      <c r="CF100" s="1139"/>
      <c r="CG100" s="1139"/>
      <c r="CH100" s="1139"/>
      <c r="CI100" s="1139"/>
      <c r="CJ100" s="1139"/>
      <c r="CK100" s="1139"/>
      <c r="CL100" s="1139"/>
      <c r="CM100" s="1139"/>
      <c r="CN100" s="1139"/>
      <c r="CO100" s="1139"/>
      <c r="CP100" s="1139"/>
      <c r="CQ100" s="1139"/>
      <c r="CS100" s="178"/>
      <c r="CT100" s="1157" t="s">
        <v>782</v>
      </c>
      <c r="CU100" s="1157"/>
      <c r="CV100" s="1157"/>
      <c r="CW100" s="1157"/>
      <c r="CX100" s="1157"/>
      <c r="CY100" s="1157"/>
      <c r="CZ100" s="1157"/>
      <c r="DA100" s="1157"/>
      <c r="DB100" s="1157"/>
      <c r="DC100" s="1157"/>
      <c r="DD100" s="1157"/>
      <c r="DE100" s="1157"/>
      <c r="DF100" s="1157"/>
      <c r="DG100" s="1156" t="e">
        <f>DA$6</f>
        <v>#VALUE!</v>
      </c>
      <c r="DH100" s="1156"/>
      <c r="DI100" s="1156"/>
      <c r="DJ100" s="1156"/>
      <c r="DK100" s="1156"/>
      <c r="DL100" s="1156"/>
      <c r="DM100" s="1156"/>
      <c r="DN100" s="1156"/>
      <c r="DO100" s="1156"/>
      <c r="DP100" s="206"/>
      <c r="DQ100" s="1140" t="s">
        <v>684</v>
      </c>
      <c r="DR100" s="1140"/>
      <c r="DS100" s="1140"/>
      <c r="DT100" s="1140"/>
      <c r="DU100" s="1140"/>
      <c r="DV100" s="1140"/>
      <c r="DW100" s="1140"/>
      <c r="DX100" s="1140"/>
      <c r="DY100" s="1140"/>
      <c r="DZ100" s="1142">
        <f>DA$22</f>
        <v>0</v>
      </c>
      <c r="EA100" s="1139"/>
      <c r="EB100" s="1139"/>
      <c r="EC100" s="1139"/>
      <c r="ED100" s="1139"/>
      <c r="EE100" s="1139"/>
      <c r="EF100" s="1139"/>
      <c r="EG100" s="1139"/>
      <c r="EH100" s="1139"/>
      <c r="EI100" s="1139"/>
      <c r="EJ100" s="1139"/>
      <c r="EK100" s="1139"/>
      <c r="EL100" s="1139"/>
      <c r="EM100" s="1139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40" t="s">
        <v>683</v>
      </c>
      <c r="Z101" s="1140"/>
      <c r="AA101" s="1140"/>
      <c r="AB101" s="1140"/>
      <c r="AC101" s="1156">
        <f>I$21</f>
        <v>0</v>
      </c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40" t="s">
        <v>683</v>
      </c>
      <c r="BV101" s="1140"/>
      <c r="BW101" s="1140"/>
      <c r="BX101" s="1140"/>
      <c r="BY101" s="1156">
        <f>BE$21</f>
        <v>0</v>
      </c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40" t="s">
        <v>683</v>
      </c>
      <c r="DR101" s="1140"/>
      <c r="DS101" s="1140"/>
      <c r="DT101" s="1140"/>
      <c r="DU101" s="1156">
        <f>DA$21</f>
        <v>0</v>
      </c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B102" s="1100" t="s">
        <v>151</v>
      </c>
      <c r="C102" s="1100"/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00"/>
      <c r="V102" s="1100"/>
      <c r="W102" s="1100"/>
      <c r="X102" s="1100"/>
      <c r="Y102" s="206"/>
      <c r="Z102" s="206"/>
      <c r="AA102" s="206"/>
      <c r="AB102" s="20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6"/>
      <c r="AP102" s="1156"/>
      <c r="AQ102" s="1156"/>
      <c r="AR102" s="1156"/>
      <c r="AS102" s="1156"/>
      <c r="AT102" s="1156"/>
      <c r="AU102" s="1156"/>
      <c r="AW102" s="178"/>
      <c r="AX102" s="1100" t="s">
        <v>151</v>
      </c>
      <c r="AY102" s="1100"/>
      <c r="AZ102" s="1100"/>
      <c r="BA102" s="1100"/>
      <c r="BB102" s="1100"/>
      <c r="BC102" s="1100"/>
      <c r="BD102" s="1100"/>
      <c r="BE102" s="1100"/>
      <c r="BF102" s="1100"/>
      <c r="BG102" s="1100"/>
      <c r="BH102" s="1100"/>
      <c r="BI102" s="1100"/>
      <c r="BJ102" s="1100"/>
      <c r="BK102" s="1100"/>
      <c r="BL102" s="1100"/>
      <c r="BM102" s="1100"/>
      <c r="BN102" s="1100"/>
      <c r="BO102" s="1100"/>
      <c r="BP102" s="1100"/>
      <c r="BQ102" s="1100"/>
      <c r="BR102" s="1100"/>
      <c r="BS102" s="1100"/>
      <c r="BT102" s="1100"/>
      <c r="BU102" s="206"/>
      <c r="BV102" s="206"/>
      <c r="BW102" s="206"/>
      <c r="BX102" s="206"/>
      <c r="BY102" s="1156"/>
      <c r="BZ102" s="1156"/>
      <c r="CA102" s="1156"/>
      <c r="CB102" s="1156"/>
      <c r="CC102" s="1156"/>
      <c r="CD102" s="1156"/>
      <c r="CE102" s="1156"/>
      <c r="CF102" s="1156"/>
      <c r="CG102" s="1156"/>
      <c r="CH102" s="1156"/>
      <c r="CI102" s="1156"/>
      <c r="CJ102" s="1156"/>
      <c r="CK102" s="1156"/>
      <c r="CL102" s="1156"/>
      <c r="CM102" s="1156"/>
      <c r="CN102" s="1156"/>
      <c r="CO102" s="1156"/>
      <c r="CP102" s="1156"/>
      <c r="CQ102" s="1156"/>
      <c r="CS102" s="178"/>
      <c r="CT102" s="1100" t="s">
        <v>151</v>
      </c>
      <c r="CU102" s="1100"/>
      <c r="CV102" s="1100"/>
      <c r="CW102" s="1100"/>
      <c r="CX102" s="1100"/>
      <c r="CY102" s="1100"/>
      <c r="CZ102" s="1100"/>
      <c r="DA102" s="1100"/>
      <c r="DB102" s="1100"/>
      <c r="DC102" s="1100"/>
      <c r="DD102" s="1100"/>
      <c r="DE102" s="1100"/>
      <c r="DF102" s="1100"/>
      <c r="DG102" s="1100"/>
      <c r="DH102" s="1100"/>
      <c r="DI102" s="1100"/>
      <c r="DJ102" s="1100"/>
      <c r="DK102" s="1100"/>
      <c r="DL102" s="1100"/>
      <c r="DM102" s="1100"/>
      <c r="DN102" s="1100"/>
      <c r="DO102" s="1100"/>
      <c r="DP102" s="1100"/>
      <c r="DQ102" s="206"/>
      <c r="DR102" s="206"/>
      <c r="DS102" s="206"/>
      <c r="DT102" s="206"/>
      <c r="DU102" s="1156"/>
      <c r="DV102" s="1156"/>
      <c r="DW102" s="1156"/>
      <c r="DX102" s="1156"/>
      <c r="DY102" s="1156"/>
      <c r="DZ102" s="1156"/>
      <c r="EA102" s="1156"/>
      <c r="EB102" s="1156"/>
      <c r="EC102" s="1156"/>
      <c r="ED102" s="1156"/>
      <c r="EE102" s="1156"/>
      <c r="EF102" s="1156"/>
      <c r="EG102" s="1156"/>
      <c r="EH102" s="1156"/>
      <c r="EI102" s="1156"/>
      <c r="EJ102" s="1156"/>
      <c r="EK102" s="1156"/>
      <c r="EL102" s="1156"/>
      <c r="EM102" s="1156"/>
    </row>
    <row r="103" spans="1:143" ht="16.5" customHeight="1">
      <c r="A103" s="178"/>
      <c r="Y103" s="1140" t="s">
        <v>679</v>
      </c>
      <c r="Z103" s="1140"/>
      <c r="AA103" s="1140"/>
      <c r="AB103" s="1140"/>
      <c r="AC103" s="1140"/>
      <c r="AD103" s="1140"/>
      <c r="AE103" s="1140"/>
      <c r="AF103" s="1140"/>
      <c r="AG103" s="1140"/>
      <c r="AH103" s="1139">
        <f>I$17</f>
        <v>0</v>
      </c>
      <c r="AI103" s="1139"/>
      <c r="AJ103" s="1139"/>
      <c r="AK103" s="1139"/>
      <c r="AL103" s="1139"/>
      <c r="AM103" s="1141" t="s">
        <v>680</v>
      </c>
      <c r="AN103" s="1141"/>
      <c r="AO103" s="1139">
        <f>I$18</f>
        <v>0</v>
      </c>
      <c r="AP103" s="1139"/>
      <c r="AQ103" s="1139"/>
      <c r="AR103" s="1139"/>
      <c r="AS103" s="1139"/>
      <c r="AT103" s="1139"/>
      <c r="AU103" s="1139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679</v>
      </c>
      <c r="BV103" s="1140"/>
      <c r="BW103" s="1140"/>
      <c r="BX103" s="1140"/>
      <c r="BY103" s="1140"/>
      <c r="BZ103" s="1140"/>
      <c r="CA103" s="1140"/>
      <c r="CB103" s="1140"/>
      <c r="CC103" s="1140"/>
      <c r="CD103" s="1139">
        <f>BE$17</f>
        <v>0</v>
      </c>
      <c r="CE103" s="1139"/>
      <c r="CF103" s="1139"/>
      <c r="CG103" s="1139"/>
      <c r="CH103" s="1139"/>
      <c r="CI103" s="1141" t="s">
        <v>680</v>
      </c>
      <c r="CJ103" s="1141"/>
      <c r="CK103" s="1139">
        <f>BE$18</f>
        <v>0</v>
      </c>
      <c r="CL103" s="1139"/>
      <c r="CM103" s="1139"/>
      <c r="CN103" s="1139"/>
      <c r="CO103" s="1139"/>
      <c r="CP103" s="1139"/>
      <c r="CQ103" s="1139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679</v>
      </c>
      <c r="DR103" s="1140"/>
      <c r="DS103" s="1140"/>
      <c r="DT103" s="1140"/>
      <c r="DU103" s="1140"/>
      <c r="DV103" s="1140"/>
      <c r="DW103" s="1140"/>
      <c r="DX103" s="1140"/>
      <c r="DY103" s="1140"/>
      <c r="DZ103" s="1139">
        <f>DA$17</f>
        <v>0</v>
      </c>
      <c r="EA103" s="1139"/>
      <c r="EB103" s="1139"/>
      <c r="EC103" s="1139"/>
      <c r="ED103" s="1139"/>
      <c r="EE103" s="1141" t="s">
        <v>680</v>
      </c>
      <c r="EF103" s="1141"/>
      <c r="EG103" s="1139">
        <f>DA$18</f>
        <v>0</v>
      </c>
      <c r="EH103" s="1139"/>
      <c r="EI103" s="1139"/>
      <c r="EJ103" s="1139"/>
      <c r="EK103" s="1139"/>
      <c r="EL103" s="1139"/>
      <c r="EM103" s="1139"/>
    </row>
    <row r="104" spans="1:143" ht="16.5" customHeight="1">
      <c r="A104" s="178"/>
      <c r="Y104" s="1140" t="s">
        <v>681</v>
      </c>
      <c r="Z104" s="1140"/>
      <c r="AA104" s="1140"/>
      <c r="AB104" s="1140"/>
      <c r="AC104" s="1140"/>
      <c r="AD104" s="1156">
        <f>I$19</f>
        <v>0</v>
      </c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40" t="s">
        <v>681</v>
      </c>
      <c r="BV104" s="1140"/>
      <c r="BW104" s="1140"/>
      <c r="BX104" s="1140"/>
      <c r="BY104" s="1140"/>
      <c r="BZ104" s="1156">
        <f>BE$19</f>
        <v>0</v>
      </c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40" t="s">
        <v>681</v>
      </c>
      <c r="DR104" s="1140"/>
      <c r="DS104" s="1140"/>
      <c r="DT104" s="1140"/>
      <c r="DU104" s="1140"/>
      <c r="DV104" s="1156">
        <f>DA$19</f>
        <v>0</v>
      </c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45.75" customHeight="1">
      <c r="A105" s="178"/>
      <c r="B105" s="1173"/>
      <c r="C105" s="1173"/>
      <c r="D105" s="1173"/>
      <c r="E105" s="1173"/>
      <c r="F105" s="1173"/>
      <c r="G105" s="1173"/>
      <c r="H105" s="1173"/>
      <c r="I105" s="1173"/>
      <c r="J105" s="1173"/>
      <c r="K105" s="1173"/>
      <c r="L105" s="1173"/>
      <c r="M105" s="1173"/>
      <c r="N105" s="1174">
        <f>I$9</f>
        <v>0</v>
      </c>
      <c r="O105" s="1174"/>
      <c r="P105" s="1174"/>
      <c r="Q105" s="1174"/>
      <c r="R105" s="1174"/>
      <c r="S105" s="1174"/>
      <c r="T105" s="1174"/>
      <c r="U105" s="1174"/>
      <c r="V105" s="1174"/>
      <c r="W105" s="1174"/>
      <c r="X105" s="206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3"/>
      <c r="AY105" s="1173"/>
      <c r="AZ105" s="1173"/>
      <c r="BA105" s="1173"/>
      <c r="BB105" s="1173"/>
      <c r="BC105" s="1173"/>
      <c r="BD105" s="1173"/>
      <c r="BE105" s="1173"/>
      <c r="BF105" s="1173"/>
      <c r="BG105" s="1173"/>
      <c r="BH105" s="1173"/>
      <c r="BI105" s="1173"/>
      <c r="BJ105" s="1174">
        <f>BE$9</f>
        <v>0</v>
      </c>
      <c r="BK105" s="1174"/>
      <c r="BL105" s="1174"/>
      <c r="BM105" s="1174"/>
      <c r="BN105" s="1174"/>
      <c r="BO105" s="1174"/>
      <c r="BP105" s="1174"/>
      <c r="BQ105" s="1174"/>
      <c r="BR105" s="1174"/>
      <c r="BS105" s="1174"/>
      <c r="BT105" s="206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3"/>
      <c r="CU105" s="1173"/>
      <c r="CV105" s="1173"/>
      <c r="CW105" s="1173"/>
      <c r="CX105" s="1173"/>
      <c r="CY105" s="1173"/>
      <c r="CZ105" s="1173"/>
      <c r="DA105" s="1173"/>
      <c r="DB105" s="1173"/>
      <c r="DC105" s="1173"/>
      <c r="DD105" s="1173"/>
      <c r="DE105" s="1173"/>
      <c r="DF105" s="1174">
        <f>DA$9</f>
        <v>0</v>
      </c>
      <c r="DG105" s="1174"/>
      <c r="DH105" s="1174"/>
      <c r="DI105" s="1174"/>
      <c r="DJ105" s="1174"/>
      <c r="DK105" s="1174"/>
      <c r="DL105" s="1174"/>
      <c r="DM105" s="1174"/>
      <c r="DN105" s="1174"/>
      <c r="DO105" s="1174"/>
      <c r="DP105" s="206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>
      <c r="A106" s="178"/>
      <c r="B106" s="1175" t="s">
        <v>5</v>
      </c>
      <c r="C106" s="1175"/>
      <c r="D106" s="1175"/>
      <c r="E106" s="1175"/>
      <c r="F106" s="1175"/>
      <c r="G106" s="1175"/>
      <c r="H106" s="1175"/>
      <c r="I106" s="1175"/>
      <c r="J106" s="1175"/>
      <c r="K106" s="1175"/>
      <c r="L106" s="1175"/>
      <c r="M106" s="1175"/>
      <c r="N106" s="1176" t="s">
        <v>688</v>
      </c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202"/>
      <c r="Y106" s="206"/>
      <c r="Z106" s="206"/>
      <c r="AA106" s="206"/>
      <c r="AB106" s="206"/>
      <c r="AC106" s="20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6"/>
      <c r="AP106" s="1156"/>
      <c r="AQ106" s="1156"/>
      <c r="AR106" s="1156"/>
      <c r="AS106" s="1156"/>
      <c r="AT106" s="1156"/>
      <c r="AU106" s="1156"/>
      <c r="AW106" s="178"/>
      <c r="AX106" s="1175" t="s">
        <v>5</v>
      </c>
      <c r="AY106" s="1175"/>
      <c r="AZ106" s="1175"/>
      <c r="BA106" s="1175"/>
      <c r="BB106" s="1175"/>
      <c r="BC106" s="1175"/>
      <c r="BD106" s="1175"/>
      <c r="BE106" s="1175"/>
      <c r="BF106" s="1175"/>
      <c r="BG106" s="1175"/>
      <c r="BH106" s="1175"/>
      <c r="BI106" s="1175"/>
      <c r="BJ106" s="1176" t="s">
        <v>688</v>
      </c>
      <c r="BK106" s="1176"/>
      <c r="BL106" s="1176"/>
      <c r="BM106" s="1176"/>
      <c r="BN106" s="1176"/>
      <c r="BO106" s="1176"/>
      <c r="BP106" s="1176"/>
      <c r="BQ106" s="1176"/>
      <c r="BR106" s="1176"/>
      <c r="BS106" s="1176"/>
      <c r="BT106" s="202"/>
      <c r="BU106" s="206"/>
      <c r="BV106" s="206"/>
      <c r="BW106" s="206"/>
      <c r="BX106" s="206"/>
      <c r="BY106" s="206"/>
      <c r="BZ106" s="1156"/>
      <c r="CA106" s="1156"/>
      <c r="CB106" s="1156"/>
      <c r="CC106" s="1156"/>
      <c r="CD106" s="1156"/>
      <c r="CE106" s="1156"/>
      <c r="CF106" s="1156"/>
      <c r="CG106" s="1156"/>
      <c r="CH106" s="1156"/>
      <c r="CI106" s="1156"/>
      <c r="CJ106" s="1156"/>
      <c r="CK106" s="1156"/>
      <c r="CL106" s="1156"/>
      <c r="CM106" s="1156"/>
      <c r="CN106" s="1156"/>
      <c r="CO106" s="1156"/>
      <c r="CP106" s="1156"/>
      <c r="CQ106" s="1156"/>
      <c r="CS106" s="178"/>
      <c r="CT106" s="1175" t="s">
        <v>5</v>
      </c>
      <c r="CU106" s="1175"/>
      <c r="CV106" s="1175"/>
      <c r="CW106" s="1175"/>
      <c r="CX106" s="1175"/>
      <c r="CY106" s="1175"/>
      <c r="CZ106" s="1175"/>
      <c r="DA106" s="1175"/>
      <c r="DB106" s="1175"/>
      <c r="DC106" s="1175"/>
      <c r="DD106" s="1175"/>
      <c r="DE106" s="1175"/>
      <c r="DF106" s="1176" t="s">
        <v>688</v>
      </c>
      <c r="DG106" s="1176"/>
      <c r="DH106" s="1176"/>
      <c r="DI106" s="1176"/>
      <c r="DJ106" s="1176"/>
      <c r="DK106" s="1176"/>
      <c r="DL106" s="1176"/>
      <c r="DM106" s="1176"/>
      <c r="DN106" s="1176"/>
      <c r="DO106" s="1176"/>
      <c r="DP106" s="202"/>
      <c r="DQ106" s="206"/>
      <c r="DR106" s="206"/>
      <c r="DS106" s="206"/>
      <c r="DT106" s="206"/>
      <c r="DU106" s="206"/>
      <c r="DV106" s="1156"/>
      <c r="DW106" s="1156"/>
      <c r="DX106" s="1156"/>
      <c r="DY106" s="1156"/>
      <c r="DZ106" s="1156"/>
      <c r="EA106" s="1156"/>
      <c r="EB106" s="1156"/>
      <c r="EC106" s="1156"/>
      <c r="ED106" s="1156"/>
      <c r="EE106" s="1156"/>
      <c r="EF106" s="1156"/>
      <c r="EG106" s="1156"/>
      <c r="EH106" s="1156"/>
      <c r="EI106" s="1156"/>
      <c r="EJ106" s="1156"/>
      <c r="EK106" s="1156"/>
      <c r="EL106" s="1156"/>
      <c r="EM106" s="1156"/>
    </row>
    <row r="107" spans="1:143" ht="16.5" customHeight="1">
      <c r="A107" s="178"/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140" t="s">
        <v>685</v>
      </c>
      <c r="Z107" s="1140"/>
      <c r="AA107" s="1140"/>
      <c r="AB107" s="1140"/>
      <c r="AC107" s="1171">
        <f>I$23</f>
        <v>0</v>
      </c>
      <c r="AD107" s="1171"/>
      <c r="AE107" s="1171"/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61"/>
      <c r="AY107" s="1061"/>
      <c r="AZ107" s="1061"/>
      <c r="BA107" s="1061"/>
      <c r="BB107" s="1061"/>
      <c r="BC107" s="1061"/>
      <c r="BD107" s="1061"/>
      <c r="BE107" s="1061"/>
      <c r="BF107" s="1061"/>
      <c r="BG107" s="1061"/>
      <c r="BH107" s="1061"/>
      <c r="BI107" s="1061"/>
      <c r="BJ107" s="1061"/>
      <c r="BK107" s="1061"/>
      <c r="BL107" s="1061"/>
      <c r="BM107" s="1061"/>
      <c r="BN107" s="1061"/>
      <c r="BO107" s="1061"/>
      <c r="BP107" s="1061"/>
      <c r="BQ107" s="1061"/>
      <c r="BR107" s="1061"/>
      <c r="BS107" s="1061"/>
      <c r="BT107" s="1061"/>
      <c r="BU107" s="1140" t="s">
        <v>685</v>
      </c>
      <c r="BV107" s="1140"/>
      <c r="BW107" s="1140"/>
      <c r="BX107" s="1140"/>
      <c r="BY107" s="1171">
        <f>BE$23</f>
        <v>0</v>
      </c>
      <c r="BZ107" s="1171"/>
      <c r="CA107" s="1171"/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61"/>
      <c r="CU107" s="1061"/>
      <c r="CV107" s="1061"/>
      <c r="CW107" s="1061"/>
      <c r="CX107" s="1061"/>
      <c r="CY107" s="1061"/>
      <c r="CZ107" s="1061"/>
      <c r="DA107" s="1061"/>
      <c r="DB107" s="1061"/>
      <c r="DC107" s="1061"/>
      <c r="DD107" s="1061"/>
      <c r="DE107" s="1061"/>
      <c r="DF107" s="1061"/>
      <c r="DG107" s="1061"/>
      <c r="DH107" s="1061"/>
      <c r="DI107" s="1061"/>
      <c r="DJ107" s="1061"/>
      <c r="DK107" s="1061"/>
      <c r="DL107" s="1061"/>
      <c r="DM107" s="1061"/>
      <c r="DN107" s="1061"/>
      <c r="DO107" s="1061"/>
      <c r="DP107" s="1061"/>
      <c r="DQ107" s="1140" t="s">
        <v>685</v>
      </c>
      <c r="DR107" s="1140"/>
      <c r="DS107" s="1140"/>
      <c r="DT107" s="1140"/>
      <c r="DU107" s="1171">
        <f>DA$23</f>
        <v>0</v>
      </c>
      <c r="DV107" s="1171"/>
      <c r="DW107" s="1171"/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1081" t="s">
        <v>978</v>
      </c>
      <c r="C108" s="1082"/>
      <c r="D108" s="1082"/>
      <c r="E108" s="1082"/>
      <c r="F108" s="1082"/>
      <c r="G108" s="1082"/>
      <c r="H108" s="1082"/>
      <c r="I108" s="1082"/>
      <c r="J108" s="1082"/>
      <c r="K108" s="1082"/>
      <c r="L108" s="1082"/>
      <c r="M108" s="1082"/>
      <c r="N108" s="1082"/>
      <c r="O108" s="1082"/>
      <c r="P108" s="1082"/>
      <c r="Q108" s="1082"/>
      <c r="R108" s="1082"/>
      <c r="S108" s="1082"/>
      <c r="T108" s="1082"/>
      <c r="U108" s="1082"/>
      <c r="V108" s="1082"/>
      <c r="W108" s="1082"/>
      <c r="X108" s="1082"/>
      <c r="Y108" s="1140" t="s">
        <v>686</v>
      </c>
      <c r="Z108" s="1140"/>
      <c r="AA108" s="1140"/>
      <c r="AB108" s="1140"/>
      <c r="AC108" s="1140"/>
      <c r="AD108" s="1140"/>
      <c r="AE108" s="1171">
        <f>I$24</f>
        <v>0</v>
      </c>
      <c r="AF108" s="1171"/>
      <c r="AG108" s="1171"/>
      <c r="AH108" s="1171"/>
      <c r="AI108" s="1171"/>
      <c r="AJ108" s="1171"/>
      <c r="AK108" s="1171"/>
      <c r="AL108" s="1171"/>
      <c r="AM108" s="1171"/>
      <c r="AN108" s="1171"/>
      <c r="AO108" s="1171"/>
      <c r="AP108" s="1171"/>
      <c r="AQ108" s="1171"/>
      <c r="AR108" s="1171"/>
      <c r="AS108" s="1171"/>
      <c r="AT108" s="1171"/>
      <c r="AU108" s="1171"/>
      <c r="AW108" s="178"/>
      <c r="AX108" s="1081" t="s">
        <v>978</v>
      </c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  <c r="BU108" s="1140" t="s">
        <v>686</v>
      </c>
      <c r="BV108" s="1140"/>
      <c r="BW108" s="1140"/>
      <c r="BX108" s="1140"/>
      <c r="BY108" s="1140"/>
      <c r="BZ108" s="1140"/>
      <c r="CA108" s="1171">
        <f>BE$24</f>
        <v>0</v>
      </c>
      <c r="CB108" s="1171"/>
      <c r="CC108" s="1171"/>
      <c r="CD108" s="1171"/>
      <c r="CE108" s="1171"/>
      <c r="CF108" s="1171"/>
      <c r="CG108" s="1171"/>
      <c r="CH108" s="1171"/>
      <c r="CI108" s="1171"/>
      <c r="CJ108" s="1171"/>
      <c r="CK108" s="1171"/>
      <c r="CL108" s="1171"/>
      <c r="CM108" s="1171"/>
      <c r="CN108" s="1171"/>
      <c r="CO108" s="1171"/>
      <c r="CP108" s="1171"/>
      <c r="CQ108" s="1171"/>
      <c r="CS108" s="178"/>
      <c r="CT108" s="1081" t="s">
        <v>978</v>
      </c>
      <c r="CU108" s="1082"/>
      <c r="CV108" s="1082"/>
      <c r="CW108" s="1082"/>
      <c r="CX108" s="1082"/>
      <c r="CY108" s="1082"/>
      <c r="CZ108" s="1082"/>
      <c r="DA108" s="1082"/>
      <c r="DB108" s="1082"/>
      <c r="DC108" s="1082"/>
      <c r="DD108" s="1082"/>
      <c r="DE108" s="1082"/>
      <c r="DF108" s="1082"/>
      <c r="DG108" s="1082"/>
      <c r="DH108" s="1082"/>
      <c r="DI108" s="1082"/>
      <c r="DJ108" s="1082"/>
      <c r="DK108" s="1082"/>
      <c r="DL108" s="1082"/>
      <c r="DM108" s="1082"/>
      <c r="DN108" s="1082"/>
      <c r="DO108" s="1082"/>
      <c r="DP108" s="1082"/>
      <c r="DQ108" s="1140" t="s">
        <v>686</v>
      </c>
      <c r="DR108" s="1140"/>
      <c r="DS108" s="1140"/>
      <c r="DT108" s="1140"/>
      <c r="DU108" s="1140"/>
      <c r="DV108" s="1140"/>
      <c r="DW108" s="1171">
        <f>DA$24</f>
        <v>0</v>
      </c>
      <c r="DX108" s="1171"/>
      <c r="DY108" s="1171"/>
      <c r="DZ108" s="1171"/>
      <c r="EA108" s="1171"/>
      <c r="EB108" s="1171"/>
      <c r="EC108" s="1171"/>
      <c r="ED108" s="1171"/>
      <c r="EE108" s="1171"/>
      <c r="EF108" s="1171"/>
      <c r="EG108" s="1171"/>
      <c r="EH108" s="1171"/>
      <c r="EI108" s="1171"/>
      <c r="EJ108" s="1171"/>
      <c r="EK108" s="1171"/>
      <c r="EL108" s="1171"/>
      <c r="EM108" s="1171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3" t="s">
        <v>369</v>
      </c>
      <c r="U109" s="1083"/>
      <c r="V109" s="1083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3" t="s">
        <v>369</v>
      </c>
      <c r="BQ109" s="1083"/>
      <c r="BR109" s="1083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3" t="s">
        <v>369</v>
      </c>
      <c r="DM109" s="1083"/>
      <c r="DN109" s="1083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84"/>
      <c r="Z110" s="1084"/>
      <c r="AA110" s="1084"/>
      <c r="AB110" s="1084"/>
      <c r="AC110" s="1084"/>
      <c r="AD110" s="1084"/>
      <c r="AE110" s="1084"/>
      <c r="AF110" s="1084"/>
      <c r="AG110" s="1084"/>
      <c r="AH110" s="1084"/>
      <c r="AI110" s="1084"/>
      <c r="AJ110" s="1084"/>
      <c r="AK110" s="1084"/>
      <c r="AL110" s="1085">
        <f>B$39</f>
        <v>0</v>
      </c>
      <c r="AM110" s="1085"/>
      <c r="AN110" s="1085"/>
      <c r="AO110" s="1085"/>
      <c r="AP110" s="1085"/>
      <c r="AQ110" s="1085"/>
      <c r="AR110" s="1085"/>
      <c r="AS110" s="1085"/>
      <c r="AT110" s="1085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4"/>
      <c r="BV110" s="1084"/>
      <c r="BW110" s="1084"/>
      <c r="BX110" s="1084"/>
      <c r="BY110" s="1084"/>
      <c r="BZ110" s="1084"/>
      <c r="CA110" s="1084"/>
      <c r="CB110" s="1084"/>
      <c r="CC110" s="1084"/>
      <c r="CD110" s="1084"/>
      <c r="CE110" s="1084"/>
      <c r="CF110" s="1084"/>
      <c r="CG110" s="1084"/>
      <c r="CH110" s="1085">
        <f>AX$39</f>
        <v>0</v>
      </c>
      <c r="CI110" s="1085"/>
      <c r="CJ110" s="1085"/>
      <c r="CK110" s="1085"/>
      <c r="CL110" s="1085"/>
      <c r="CM110" s="1085"/>
      <c r="CN110" s="1085"/>
      <c r="CO110" s="1085"/>
      <c r="CP110" s="1085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4"/>
      <c r="DR110" s="1084"/>
      <c r="DS110" s="1084"/>
      <c r="DT110" s="1084"/>
      <c r="DU110" s="1084"/>
      <c r="DV110" s="1084"/>
      <c r="DW110" s="1084"/>
      <c r="DX110" s="1084"/>
      <c r="DY110" s="1084"/>
      <c r="DZ110" s="1084"/>
      <c r="EA110" s="1084"/>
      <c r="EB110" s="1084"/>
      <c r="EC110" s="1084"/>
      <c r="ED110" s="1085">
        <f>CT$39</f>
        <v>0</v>
      </c>
      <c r="EE110" s="1085"/>
      <c r="EF110" s="1085"/>
      <c r="EG110" s="1085"/>
      <c r="EH110" s="1085"/>
      <c r="EI110" s="1085"/>
      <c r="EJ110" s="1085"/>
      <c r="EK110" s="1085"/>
      <c r="EL110" s="1085"/>
      <c r="EM110" s="211"/>
    </row>
    <row r="111" spans="1:143">
      <c r="A111" s="178"/>
      <c r="Y111" s="1059" t="s">
        <v>5</v>
      </c>
      <c r="Z111" s="1059"/>
      <c r="AA111" s="1059"/>
      <c r="AB111" s="1059"/>
      <c r="AC111" s="1059"/>
      <c r="AD111" s="1059"/>
      <c r="AE111" s="1059"/>
      <c r="AF111" s="1059"/>
      <c r="AG111" s="1059"/>
      <c r="AH111" s="1059"/>
      <c r="AI111" s="1059"/>
      <c r="AJ111" s="1059"/>
      <c r="AK111" s="1059"/>
      <c r="AL111" s="1059" t="s">
        <v>688</v>
      </c>
      <c r="AM111" s="1059"/>
      <c r="AN111" s="1059"/>
      <c r="AO111" s="1059"/>
      <c r="AP111" s="1059"/>
      <c r="AQ111" s="1059"/>
      <c r="AR111" s="1059"/>
      <c r="AS111" s="1059"/>
      <c r="AT111" s="105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9" t="s">
        <v>5</v>
      </c>
      <c r="BV111" s="1059"/>
      <c r="BW111" s="1059"/>
      <c r="BX111" s="1059"/>
      <c r="BY111" s="1059"/>
      <c r="BZ111" s="1059"/>
      <c r="CA111" s="1059"/>
      <c r="CB111" s="1059"/>
      <c r="CC111" s="1059"/>
      <c r="CD111" s="1059"/>
      <c r="CE111" s="1059"/>
      <c r="CF111" s="1059"/>
      <c r="CG111" s="1059"/>
      <c r="CH111" s="1059" t="s">
        <v>688</v>
      </c>
      <c r="CI111" s="1059"/>
      <c r="CJ111" s="1059"/>
      <c r="CK111" s="1059"/>
      <c r="CL111" s="1059"/>
      <c r="CM111" s="1059"/>
      <c r="CN111" s="1059"/>
      <c r="CO111" s="1059"/>
      <c r="CP111" s="105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9" t="s">
        <v>5</v>
      </c>
      <c r="DR111" s="1059"/>
      <c r="DS111" s="1059"/>
      <c r="DT111" s="1059"/>
      <c r="DU111" s="1059"/>
      <c r="DV111" s="1059"/>
      <c r="DW111" s="1059"/>
      <c r="DX111" s="1059"/>
      <c r="DY111" s="1059"/>
      <c r="DZ111" s="1059"/>
      <c r="EA111" s="1059"/>
      <c r="EB111" s="1059"/>
      <c r="EC111" s="1059"/>
      <c r="ED111" s="1059" t="s">
        <v>688</v>
      </c>
      <c r="EE111" s="1059"/>
      <c r="EF111" s="1059"/>
      <c r="EG111" s="1059"/>
      <c r="EH111" s="1059"/>
      <c r="EI111" s="1059"/>
      <c r="EJ111" s="1059"/>
      <c r="EK111" s="1059"/>
      <c r="EL111" s="1059"/>
      <c r="EM111" s="212"/>
    </row>
    <row r="112" spans="1:143" ht="15.75">
      <c r="A112" s="178"/>
      <c r="Y112" s="1101"/>
      <c r="Z112" s="1101"/>
      <c r="AA112" s="1101"/>
      <c r="AB112" s="1101"/>
      <c r="AC112" s="1101"/>
      <c r="AD112" s="1101"/>
      <c r="AE112" s="1101"/>
      <c r="AF112" s="1101"/>
      <c r="AG112" s="1101"/>
      <c r="AH112" s="1101"/>
      <c r="AI112" s="1101"/>
      <c r="AJ112" s="1101"/>
      <c r="AK112" s="1101"/>
      <c r="AL112" s="1101"/>
      <c r="AM112" s="1101"/>
      <c r="AN112" s="1101"/>
      <c r="AO112" s="1101"/>
      <c r="AP112" s="1101"/>
      <c r="AQ112" s="1101"/>
      <c r="AR112" s="1101"/>
      <c r="AS112" s="1101"/>
      <c r="AT112" s="1101"/>
      <c r="AU112" s="110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1"/>
      <c r="BV112" s="1101"/>
      <c r="BW112" s="1101"/>
      <c r="BX112" s="1101"/>
      <c r="BY112" s="1101"/>
      <c r="BZ112" s="1101"/>
      <c r="CA112" s="1101"/>
      <c r="CB112" s="1101"/>
      <c r="CC112" s="1101"/>
      <c r="CD112" s="1101"/>
      <c r="CE112" s="1101"/>
      <c r="CF112" s="1101"/>
      <c r="CG112" s="1101"/>
      <c r="CH112" s="1101"/>
      <c r="CI112" s="1101"/>
      <c r="CJ112" s="1101"/>
      <c r="CK112" s="1101"/>
      <c r="CL112" s="1101"/>
      <c r="CM112" s="1101"/>
      <c r="CN112" s="1101"/>
      <c r="CO112" s="1101"/>
      <c r="CP112" s="1101"/>
      <c r="CQ112" s="110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1"/>
      <c r="DR112" s="1101"/>
      <c r="DS112" s="1101"/>
      <c r="DT112" s="1101"/>
      <c r="DU112" s="1101"/>
      <c r="DV112" s="1101"/>
      <c r="DW112" s="1101"/>
      <c r="DX112" s="1101"/>
      <c r="DY112" s="1101"/>
      <c r="DZ112" s="1101"/>
      <c r="EA112" s="1101"/>
      <c r="EB112" s="1101"/>
      <c r="EC112" s="1101"/>
      <c r="ED112" s="1101"/>
      <c r="EE112" s="1101"/>
      <c r="EF112" s="1101"/>
      <c r="EG112" s="1101"/>
      <c r="EH112" s="1101"/>
      <c r="EI112" s="1101"/>
      <c r="EJ112" s="1101"/>
      <c r="EK112" s="1101"/>
      <c r="EL112" s="1101"/>
      <c r="EM112" s="1101"/>
    </row>
    <row r="113" spans="1:143" ht="15.75" customHeight="1">
      <c r="A113" s="178"/>
      <c r="Y113" s="1081" t="s">
        <v>978</v>
      </c>
      <c r="Z113" s="1082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1" t="s">
        <v>978</v>
      </c>
      <c r="BV113" s="1082"/>
      <c r="BW113" s="1082"/>
      <c r="BX113" s="1082"/>
      <c r="BY113" s="1082"/>
      <c r="BZ113" s="1082"/>
      <c r="CA113" s="1082"/>
      <c r="CB113" s="1082"/>
      <c r="CC113" s="1082"/>
      <c r="CD113" s="1082"/>
      <c r="CE113" s="1082"/>
      <c r="CF113" s="1082"/>
      <c r="CG113" s="1082"/>
      <c r="CH113" s="1082"/>
      <c r="CI113" s="1082"/>
      <c r="CJ113" s="1082"/>
      <c r="CK113" s="1082"/>
      <c r="CL113" s="1082"/>
      <c r="CM113" s="1082"/>
      <c r="CN113" s="1082"/>
      <c r="CO113" s="1082"/>
      <c r="CP113" s="1082"/>
      <c r="CQ113" s="1082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1" t="s">
        <v>978</v>
      </c>
      <c r="DR113" s="1082"/>
      <c r="DS113" s="1082"/>
      <c r="DT113" s="1082"/>
      <c r="DU113" s="1082"/>
      <c r="DV113" s="1082"/>
      <c r="DW113" s="1082"/>
      <c r="DX113" s="1082"/>
      <c r="DY113" s="1082"/>
      <c r="DZ113" s="1082"/>
      <c r="EA113" s="1082"/>
      <c r="EB113" s="1082"/>
      <c r="EC113" s="1082"/>
      <c r="ED113" s="1082"/>
      <c r="EE113" s="1082"/>
      <c r="EF113" s="1082"/>
      <c r="EG113" s="1082"/>
      <c r="EH113" s="1082"/>
      <c r="EI113" s="1082"/>
      <c r="EJ113" s="1082"/>
      <c r="EK113" s="1082"/>
      <c r="EL113" s="1082"/>
      <c r="EM113" s="1082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3"/>
      <c r="AI114" s="1083"/>
      <c r="AJ114" s="1083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3"/>
      <c r="CE114" s="1083"/>
      <c r="CF114" s="1083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3"/>
      <c r="EA114" s="1083"/>
      <c r="EB114" s="1083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7" t="s">
        <v>783</v>
      </c>
      <c r="X116" s="1087"/>
      <c r="Y116" s="1087"/>
      <c r="Z116" s="1087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7" t="s">
        <v>783</v>
      </c>
      <c r="BT116" s="1087"/>
      <c r="BU116" s="1087"/>
      <c r="BV116" s="1087"/>
      <c r="BW116" s="1087"/>
      <c r="BX116" s="1087"/>
      <c r="BY116" s="1087"/>
      <c r="BZ116" s="1087"/>
      <c r="CA116" s="1087"/>
      <c r="CB116" s="1087"/>
      <c r="CC116" s="1087"/>
      <c r="CD116" s="1087"/>
      <c r="CE116" s="1087"/>
      <c r="CF116" s="1087"/>
      <c r="CG116" s="1087"/>
      <c r="CH116" s="1087"/>
      <c r="CI116" s="1087"/>
      <c r="CJ116" s="1087"/>
      <c r="CK116" s="1087"/>
      <c r="CL116" s="1087"/>
      <c r="CM116" s="1087"/>
      <c r="CN116" s="1087"/>
      <c r="CO116" s="1087"/>
      <c r="CP116" s="1087"/>
      <c r="CQ116" s="1087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7" t="s">
        <v>783</v>
      </c>
      <c r="DP116" s="1087"/>
      <c r="DQ116" s="1087"/>
      <c r="DR116" s="1087"/>
      <c r="DS116" s="1087"/>
      <c r="DT116" s="1087"/>
      <c r="DU116" s="1087"/>
      <c r="DV116" s="1087"/>
      <c r="DW116" s="1087"/>
      <c r="DX116" s="1087"/>
      <c r="DY116" s="1087"/>
      <c r="DZ116" s="1087"/>
      <c r="EA116" s="1087"/>
      <c r="EB116" s="1087"/>
      <c r="EC116" s="1087"/>
      <c r="ED116" s="1087"/>
      <c r="EE116" s="1087"/>
      <c r="EF116" s="1087"/>
      <c r="EG116" s="1087"/>
      <c r="EH116" s="1087"/>
      <c r="EI116" s="1087"/>
      <c r="EJ116" s="1087"/>
      <c r="EK116" s="1087"/>
      <c r="EL116" s="1087"/>
      <c r="EM116" s="1087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89" t="s">
        <v>551</v>
      </c>
      <c r="X117" s="1089"/>
      <c r="Y117" s="1089"/>
      <c r="Z117" s="1093">
        <f>$AF$33</f>
        <v>0</v>
      </c>
      <c r="AA117" s="1093"/>
      <c r="AB117" s="215" t="s">
        <v>524</v>
      </c>
      <c r="AC117" s="1093">
        <f>$AI$33</f>
        <v>0</v>
      </c>
      <c r="AD117" s="1093"/>
      <c r="AE117" s="1093"/>
      <c r="AF117" s="1093"/>
      <c r="AG117" s="1093"/>
      <c r="AH117" s="1093"/>
      <c r="AI117" s="1093"/>
      <c r="AJ117" s="1093">
        <f>$AP$33</f>
        <v>0</v>
      </c>
      <c r="AK117" s="1093"/>
      <c r="AL117" s="1093"/>
      <c r="AM117" s="1093"/>
      <c r="AN117" s="1091" t="s">
        <v>375</v>
      </c>
      <c r="AO117" s="1091"/>
      <c r="AP117" s="1092" t="s">
        <v>680</v>
      </c>
      <c r="AQ117" s="1092"/>
      <c r="AR117" s="1093">
        <f>$AB$29</f>
        <v>0</v>
      </c>
      <c r="AS117" s="1093"/>
      <c r="AT117" s="1093"/>
      <c r="AU117" s="1093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89" t="s">
        <v>551</v>
      </c>
      <c r="BT117" s="1089"/>
      <c r="BU117" s="1089"/>
      <c r="BV117" s="1093">
        <f>$AF$33</f>
        <v>0</v>
      </c>
      <c r="BW117" s="1093"/>
      <c r="BX117" s="215" t="s">
        <v>524</v>
      </c>
      <c r="BY117" s="1093">
        <f>$AI$33</f>
        <v>0</v>
      </c>
      <c r="BZ117" s="1093"/>
      <c r="CA117" s="1093"/>
      <c r="CB117" s="1093"/>
      <c r="CC117" s="1093"/>
      <c r="CD117" s="1093"/>
      <c r="CE117" s="1093"/>
      <c r="CF117" s="1093">
        <f>$AP$33</f>
        <v>0</v>
      </c>
      <c r="CG117" s="1093"/>
      <c r="CH117" s="1093"/>
      <c r="CI117" s="1093"/>
      <c r="CJ117" s="1091" t="s">
        <v>375</v>
      </c>
      <c r="CK117" s="1091"/>
      <c r="CL117" s="1092" t="s">
        <v>680</v>
      </c>
      <c r="CM117" s="1092"/>
      <c r="CN117" s="1093">
        <f>$AB$29</f>
        <v>0</v>
      </c>
      <c r="CO117" s="1093"/>
      <c r="CP117" s="1093"/>
      <c r="CQ117" s="1093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89" t="s">
        <v>551</v>
      </c>
      <c r="DP117" s="1089"/>
      <c r="DQ117" s="1089"/>
      <c r="DR117" s="1093">
        <f>$AF$33</f>
        <v>0</v>
      </c>
      <c r="DS117" s="1093"/>
      <c r="DT117" s="215" t="s">
        <v>524</v>
      </c>
      <c r="DU117" s="1093">
        <f>$AI$33</f>
        <v>0</v>
      </c>
      <c r="DV117" s="1093"/>
      <c r="DW117" s="1093"/>
      <c r="DX117" s="1093"/>
      <c r="DY117" s="1093"/>
      <c r="DZ117" s="1093"/>
      <c r="EA117" s="1093"/>
      <c r="EB117" s="1093">
        <f>$AP$33</f>
        <v>0</v>
      </c>
      <c r="EC117" s="1093"/>
      <c r="ED117" s="1093"/>
      <c r="EE117" s="1093"/>
      <c r="EF117" s="1091" t="s">
        <v>375</v>
      </c>
      <c r="EG117" s="1091"/>
      <c r="EH117" s="1092" t="s">
        <v>680</v>
      </c>
      <c r="EI117" s="1092"/>
      <c r="EJ117" s="1093">
        <f>$AB$29</f>
        <v>0</v>
      </c>
      <c r="EK117" s="1093"/>
      <c r="EL117" s="1093"/>
      <c r="EM117" s="1093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3"/>
      <c r="AI119" s="1083"/>
      <c r="AJ119" s="1083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3"/>
      <c r="CE119" s="1083"/>
      <c r="CF119" s="1083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3"/>
      <c r="EA119" s="1083"/>
      <c r="EB119" s="1083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68" t="s">
        <v>784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784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784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8" customHeight="1">
      <c r="A122" s="178"/>
      <c r="B122" s="1068" t="s">
        <v>819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 t="s">
        <v>819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 t="s">
        <v>819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6.5">
      <c r="A123" s="178"/>
      <c r="B123" s="1068"/>
      <c r="C123" s="1068"/>
      <c r="D123" s="1068"/>
      <c r="E123" s="1068"/>
      <c r="F123" s="1068"/>
      <c r="G123" s="1068"/>
      <c r="H123" s="1068"/>
      <c r="I123" s="1068"/>
      <c r="J123" s="1068"/>
      <c r="K123" s="1068"/>
      <c r="L123" s="1068"/>
      <c r="M123" s="1068"/>
      <c r="N123" s="1068"/>
      <c r="O123" s="1068"/>
      <c r="P123" s="1068"/>
      <c r="Q123" s="1068"/>
      <c r="R123" s="1068"/>
      <c r="S123" s="1068"/>
      <c r="T123" s="1068"/>
      <c r="U123" s="1068"/>
      <c r="V123" s="1068"/>
      <c r="W123" s="1068"/>
      <c r="X123" s="1068"/>
      <c r="Y123" s="1068"/>
      <c r="Z123" s="1068"/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W123" s="17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1068"/>
      <c r="BM123" s="1068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  <c r="BX123" s="1068"/>
      <c r="BY123" s="1068"/>
      <c r="BZ123" s="1068"/>
      <c r="CA123" s="1068"/>
      <c r="CB123" s="1068"/>
      <c r="CC123" s="1068"/>
      <c r="CD123" s="1068"/>
      <c r="CE123" s="1068"/>
      <c r="CF123" s="1068"/>
      <c r="CG123" s="1068"/>
      <c r="CH123" s="1068"/>
      <c r="CI123" s="1068"/>
      <c r="CJ123" s="1068"/>
      <c r="CK123" s="1068"/>
      <c r="CL123" s="1068"/>
      <c r="CM123" s="1068"/>
      <c r="CN123" s="1068"/>
      <c r="CO123" s="1068"/>
      <c r="CP123" s="1068"/>
      <c r="CQ123" s="1068"/>
      <c r="CS123" s="178"/>
      <c r="CT123" s="1068"/>
      <c r="CU123" s="1068"/>
      <c r="CV123" s="1068"/>
      <c r="CW123" s="1068"/>
      <c r="CX123" s="1068"/>
      <c r="CY123" s="1068"/>
      <c r="CZ123" s="1068"/>
      <c r="DA123" s="1068"/>
      <c r="DB123" s="1068"/>
      <c r="DC123" s="1068"/>
      <c r="DD123" s="1068"/>
      <c r="DE123" s="1068"/>
      <c r="DF123" s="1068"/>
      <c r="DG123" s="1068"/>
      <c r="DH123" s="1068"/>
      <c r="DI123" s="1068"/>
      <c r="DJ123" s="1068"/>
      <c r="DK123" s="1068"/>
      <c r="DL123" s="1068"/>
      <c r="DM123" s="1068"/>
      <c r="DN123" s="1068"/>
      <c r="DO123" s="1068"/>
      <c r="DP123" s="1068"/>
      <c r="DQ123" s="1068"/>
      <c r="DR123" s="1068"/>
      <c r="DS123" s="1068"/>
      <c r="DT123" s="1068"/>
      <c r="DU123" s="1068"/>
      <c r="DV123" s="1068"/>
      <c r="DW123" s="1068"/>
      <c r="DX123" s="1068"/>
      <c r="DY123" s="1068"/>
      <c r="DZ123" s="1068"/>
      <c r="EA123" s="1068"/>
      <c r="EB123" s="1068"/>
      <c r="EC123" s="1068"/>
      <c r="ED123" s="1068"/>
      <c r="EE123" s="1068"/>
      <c r="EF123" s="1068"/>
      <c r="EG123" s="1068"/>
      <c r="EH123" s="1068"/>
      <c r="EI123" s="1068"/>
      <c r="EJ123" s="1068"/>
      <c r="EK123" s="1068"/>
      <c r="EL123" s="1068"/>
      <c r="EM123" s="1068"/>
    </row>
    <row r="124" spans="1:143" ht="18.75" customHeight="1">
      <c r="A124" s="178"/>
      <c r="B124" s="1109">
        <f>I$25</f>
        <v>0</v>
      </c>
      <c r="C124" s="1109"/>
      <c r="D124" s="1109"/>
      <c r="E124" s="1109"/>
      <c r="F124" s="1109"/>
      <c r="G124" s="1109"/>
      <c r="H124" s="1109"/>
      <c r="I124" s="1109"/>
      <c r="J124" s="1109"/>
      <c r="K124" s="1109"/>
      <c r="L124" s="1109"/>
      <c r="M124" s="1109"/>
      <c r="N124" s="1109"/>
      <c r="O124" s="1109"/>
      <c r="P124" s="1109"/>
      <c r="Q124" s="1109"/>
      <c r="R124" s="1109"/>
      <c r="S124" s="1109"/>
      <c r="T124" s="1109"/>
      <c r="U124" s="1109"/>
      <c r="V124" s="1109"/>
      <c r="W124" s="1109"/>
      <c r="X124" s="1109"/>
      <c r="Y124" s="1109"/>
      <c r="Z124" s="178"/>
      <c r="AA124" s="178"/>
      <c r="AB124" s="178"/>
      <c r="AC124" s="1122" t="s">
        <v>692</v>
      </c>
      <c r="AD124" s="1122"/>
      <c r="AE124" s="1122"/>
      <c r="AF124" s="1111">
        <f>J$26</f>
        <v>0</v>
      </c>
      <c r="AG124" s="1111"/>
      <c r="AH124" s="191" t="s">
        <v>524</v>
      </c>
      <c r="AI124" s="1111">
        <f>O$26</f>
        <v>0</v>
      </c>
      <c r="AJ124" s="1111"/>
      <c r="AK124" s="1111"/>
      <c r="AL124" s="1111"/>
      <c r="AM124" s="1111"/>
      <c r="AN124" s="1111"/>
      <c r="AO124" s="1111"/>
      <c r="AP124" s="1111">
        <f>AK$26</f>
        <v>0</v>
      </c>
      <c r="AQ124" s="1111"/>
      <c r="AR124" s="1111"/>
      <c r="AS124" s="1111"/>
      <c r="AT124" s="1112" t="s">
        <v>375</v>
      </c>
      <c r="AU124" s="1112"/>
      <c r="AW124" s="178"/>
      <c r="AX124" s="1109">
        <f>BE$25</f>
        <v>0</v>
      </c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78"/>
      <c r="BW124" s="178"/>
      <c r="BX124" s="178"/>
      <c r="BY124" s="1122" t="s">
        <v>692</v>
      </c>
      <c r="BZ124" s="1122"/>
      <c r="CA124" s="1122"/>
      <c r="CB124" s="1111">
        <f>BF$26</f>
        <v>0</v>
      </c>
      <c r="CC124" s="1111"/>
      <c r="CD124" s="191" t="s">
        <v>524</v>
      </c>
      <c r="CE124" s="1111">
        <f>BK$26</f>
        <v>0</v>
      </c>
      <c r="CF124" s="1111"/>
      <c r="CG124" s="1111"/>
      <c r="CH124" s="1111"/>
      <c r="CI124" s="1111"/>
      <c r="CJ124" s="1111"/>
      <c r="CK124" s="1111"/>
      <c r="CL124" s="1111">
        <f>CG$26</f>
        <v>0</v>
      </c>
      <c r="CM124" s="1111"/>
      <c r="CN124" s="1111"/>
      <c r="CO124" s="1111"/>
      <c r="CP124" s="1112" t="s">
        <v>375</v>
      </c>
      <c r="CQ124" s="1112"/>
      <c r="CS124" s="178"/>
      <c r="CT124" s="1109">
        <f>DA$25</f>
        <v>0</v>
      </c>
      <c r="CU124" s="1109"/>
      <c r="CV124" s="1109"/>
      <c r="CW124" s="1109"/>
      <c r="CX124" s="1109"/>
      <c r="CY124" s="1109"/>
      <c r="CZ124" s="1109"/>
      <c r="DA124" s="1109"/>
      <c r="DB124" s="1109"/>
      <c r="DC124" s="1109"/>
      <c r="DD124" s="1109"/>
      <c r="DE124" s="1109"/>
      <c r="DF124" s="1109"/>
      <c r="DG124" s="1109"/>
      <c r="DH124" s="1109"/>
      <c r="DI124" s="1109"/>
      <c r="DJ124" s="1109"/>
      <c r="DK124" s="1109"/>
      <c r="DL124" s="1109"/>
      <c r="DM124" s="1109"/>
      <c r="DN124" s="1109"/>
      <c r="DO124" s="1109"/>
      <c r="DP124" s="1109"/>
      <c r="DQ124" s="1109"/>
      <c r="DR124" s="178"/>
      <c r="DS124" s="178"/>
      <c r="DT124" s="178"/>
      <c r="DU124" s="1122" t="s">
        <v>692</v>
      </c>
      <c r="DV124" s="1122"/>
      <c r="DW124" s="1122"/>
      <c r="DX124" s="1111">
        <f>DB$26</f>
        <v>0</v>
      </c>
      <c r="DY124" s="1111"/>
      <c r="DZ124" s="191" t="s">
        <v>524</v>
      </c>
      <c r="EA124" s="1111">
        <f>DG$26</f>
        <v>0</v>
      </c>
      <c r="EB124" s="1111"/>
      <c r="EC124" s="1111"/>
      <c r="ED124" s="1111"/>
      <c r="EE124" s="1111"/>
      <c r="EF124" s="1111"/>
      <c r="EG124" s="1111"/>
      <c r="EH124" s="1111">
        <f>EC$26</f>
        <v>0</v>
      </c>
      <c r="EI124" s="1111"/>
      <c r="EJ124" s="1111"/>
      <c r="EK124" s="1111"/>
      <c r="EL124" s="1112" t="s">
        <v>375</v>
      </c>
      <c r="EM124" s="1112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1" t="e">
        <f>I$6</f>
        <v>#VALUE!</v>
      </c>
      <c r="AT126" s="1161"/>
      <c r="AU126" s="1161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1" t="e">
        <f>BE$6</f>
        <v>#VALUE!</v>
      </c>
      <c r="CP126" s="1161"/>
      <c r="CQ126" s="1161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1" t="e">
        <f>DA$6</f>
        <v>#VALUE!</v>
      </c>
      <c r="EL126" s="1161"/>
      <c r="EM126" s="1161"/>
    </row>
    <row r="127" spans="1:143" ht="18.75">
      <c r="A127" s="178"/>
      <c r="B127" s="1162" t="s">
        <v>738</v>
      </c>
      <c r="C127" s="1162"/>
      <c r="D127" s="1162"/>
      <c r="E127" s="1162"/>
      <c r="F127" s="1162"/>
      <c r="G127" s="1162"/>
      <c r="H127" s="1162"/>
      <c r="I127" s="1162"/>
      <c r="J127" s="1162"/>
      <c r="K127" s="1162"/>
      <c r="L127" s="1162"/>
      <c r="M127" s="1162"/>
      <c r="N127" s="1162"/>
      <c r="O127" s="1162"/>
      <c r="P127" s="1162"/>
      <c r="Q127" s="1162"/>
      <c r="R127" s="1162"/>
      <c r="S127" s="1162"/>
      <c r="T127" s="1162"/>
      <c r="U127" s="1162"/>
      <c r="V127" s="1162"/>
      <c r="W127" s="1162"/>
      <c r="X127" s="1162"/>
      <c r="Y127" s="1162"/>
      <c r="Z127" s="1162"/>
      <c r="AA127" s="1162"/>
      <c r="AB127" s="1162"/>
      <c r="AC127" s="1162"/>
      <c r="AD127" s="1162"/>
      <c r="AE127" s="1162"/>
      <c r="AF127" s="1162"/>
      <c r="AG127" s="1162"/>
      <c r="AH127" s="1162"/>
      <c r="AI127" s="1162"/>
      <c r="AJ127" s="1162"/>
      <c r="AK127" s="1162"/>
      <c r="AL127" s="1162"/>
      <c r="AM127" s="1162"/>
      <c r="AN127" s="1162"/>
      <c r="AO127" s="1162"/>
      <c r="AP127" s="1162"/>
      <c r="AQ127" s="1162"/>
      <c r="AR127" s="1162"/>
      <c r="AS127" s="1162"/>
      <c r="AT127" s="1162"/>
      <c r="AU127" s="1162"/>
      <c r="AW127" s="178"/>
      <c r="AX127" s="1162" t="s">
        <v>738</v>
      </c>
      <c r="AY127" s="1162"/>
      <c r="AZ127" s="1162"/>
      <c r="BA127" s="1162"/>
      <c r="BB127" s="1162"/>
      <c r="BC127" s="1162"/>
      <c r="BD127" s="1162"/>
      <c r="BE127" s="1162"/>
      <c r="BF127" s="1162"/>
      <c r="BG127" s="1162"/>
      <c r="BH127" s="1162"/>
      <c r="BI127" s="1162"/>
      <c r="BJ127" s="1162"/>
      <c r="BK127" s="1162"/>
      <c r="BL127" s="1162"/>
      <c r="BM127" s="1162"/>
      <c r="BN127" s="1162"/>
      <c r="BO127" s="1162"/>
      <c r="BP127" s="1162"/>
      <c r="BQ127" s="1162"/>
      <c r="BR127" s="1162"/>
      <c r="BS127" s="1162"/>
      <c r="BT127" s="1162"/>
      <c r="BU127" s="1162"/>
      <c r="BV127" s="1162"/>
      <c r="BW127" s="1162"/>
      <c r="BX127" s="1162"/>
      <c r="BY127" s="1162"/>
      <c r="BZ127" s="1162"/>
      <c r="CA127" s="1162"/>
      <c r="CB127" s="1162"/>
      <c r="CC127" s="1162"/>
      <c r="CD127" s="1162"/>
      <c r="CE127" s="1162"/>
      <c r="CF127" s="1162"/>
      <c r="CG127" s="1162"/>
      <c r="CH127" s="1162"/>
      <c r="CI127" s="1162"/>
      <c r="CJ127" s="1162"/>
      <c r="CK127" s="1162"/>
      <c r="CL127" s="1162"/>
      <c r="CM127" s="1162"/>
      <c r="CN127" s="1162"/>
      <c r="CO127" s="1162"/>
      <c r="CP127" s="1162"/>
      <c r="CQ127" s="1162"/>
      <c r="CS127" s="178"/>
      <c r="CT127" s="1162" t="s">
        <v>738</v>
      </c>
      <c r="CU127" s="1162"/>
      <c r="CV127" s="1162"/>
      <c r="CW127" s="1162"/>
      <c r="CX127" s="1162"/>
      <c r="CY127" s="1162"/>
      <c r="CZ127" s="1162"/>
      <c r="DA127" s="1162"/>
      <c r="DB127" s="1162"/>
      <c r="DC127" s="1162"/>
      <c r="DD127" s="1162"/>
      <c r="DE127" s="1162"/>
      <c r="DF127" s="1162"/>
      <c r="DG127" s="1162"/>
      <c r="DH127" s="1162"/>
      <c r="DI127" s="1162"/>
      <c r="DJ127" s="1162"/>
      <c r="DK127" s="1162"/>
      <c r="DL127" s="1162"/>
      <c r="DM127" s="1162"/>
      <c r="DN127" s="1162"/>
      <c r="DO127" s="1162"/>
      <c r="DP127" s="1162"/>
      <c r="DQ127" s="1162"/>
      <c r="DR127" s="1162"/>
      <c r="DS127" s="1162"/>
      <c r="DT127" s="1162"/>
      <c r="DU127" s="1162"/>
      <c r="DV127" s="1162"/>
      <c r="DW127" s="1162"/>
      <c r="DX127" s="1162"/>
      <c r="DY127" s="1162"/>
      <c r="DZ127" s="1162"/>
      <c r="EA127" s="1162"/>
      <c r="EB127" s="1162"/>
      <c r="EC127" s="1162"/>
      <c r="ED127" s="1162"/>
      <c r="EE127" s="1162"/>
      <c r="EF127" s="1162"/>
      <c r="EG127" s="1162"/>
      <c r="EH127" s="1162"/>
      <c r="EI127" s="1162"/>
      <c r="EJ127" s="1162"/>
      <c r="EK127" s="1162"/>
      <c r="EL127" s="1162"/>
      <c r="EM127" s="1162"/>
    </row>
    <row r="128" spans="1:143" ht="18.75" customHeight="1">
      <c r="A128" s="178"/>
      <c r="B128" s="1163">
        <f>I$10</f>
        <v>0</v>
      </c>
      <c r="C128" s="1163"/>
      <c r="D128" s="1163"/>
      <c r="E128" s="1163"/>
      <c r="F128" s="1163"/>
      <c r="G128" s="1163"/>
      <c r="H128" s="1163"/>
      <c r="I128" s="1163"/>
      <c r="J128" s="1163"/>
      <c r="K128" s="1163"/>
      <c r="L128" s="1163"/>
      <c r="M128" s="1163"/>
      <c r="N128" s="1163"/>
      <c r="O128" s="1163"/>
      <c r="P128" s="1163"/>
      <c r="Q128" s="1163"/>
      <c r="R128" s="1163"/>
      <c r="S128" s="1163"/>
      <c r="T128" s="1163"/>
      <c r="U128" s="1163"/>
      <c r="V128" s="1163"/>
      <c r="W128" s="1163"/>
      <c r="X128" s="1163"/>
      <c r="Y128" s="1163"/>
      <c r="Z128" s="1163"/>
      <c r="AA128" s="1163"/>
      <c r="AB128" s="1163"/>
      <c r="AC128" s="1163"/>
      <c r="AD128" s="1163"/>
      <c r="AE128" s="1163"/>
      <c r="AF128" s="1163"/>
      <c r="AG128" s="1163"/>
      <c r="AH128" s="1163"/>
      <c r="AI128" s="1163"/>
      <c r="AJ128" s="1164" t="s">
        <v>739</v>
      </c>
      <c r="AK128" s="1164"/>
      <c r="AL128" s="1164"/>
      <c r="AM128" s="1164"/>
      <c r="AN128" s="1164"/>
      <c r="AO128" s="1164"/>
      <c r="AP128" s="1164"/>
      <c r="AQ128" s="1164"/>
      <c r="AR128" s="1164"/>
      <c r="AS128" s="1164"/>
      <c r="AT128" s="1164"/>
      <c r="AU128" s="1164"/>
      <c r="AW128" s="178"/>
      <c r="AX128" s="1163">
        <f>BE$10</f>
        <v>0</v>
      </c>
      <c r="AY128" s="1163"/>
      <c r="AZ128" s="1163"/>
      <c r="BA128" s="1163"/>
      <c r="BB128" s="1163"/>
      <c r="BC128" s="1163"/>
      <c r="BD128" s="1163"/>
      <c r="BE128" s="1163"/>
      <c r="BF128" s="1163"/>
      <c r="BG128" s="1163"/>
      <c r="BH128" s="1163"/>
      <c r="BI128" s="1163"/>
      <c r="BJ128" s="1163"/>
      <c r="BK128" s="1163"/>
      <c r="BL128" s="1163"/>
      <c r="BM128" s="1163"/>
      <c r="BN128" s="1163"/>
      <c r="BO128" s="1163"/>
      <c r="BP128" s="1163"/>
      <c r="BQ128" s="1163"/>
      <c r="BR128" s="1163"/>
      <c r="BS128" s="1163"/>
      <c r="BT128" s="1163"/>
      <c r="BU128" s="1163"/>
      <c r="BV128" s="1163"/>
      <c r="BW128" s="1163"/>
      <c r="BX128" s="1163"/>
      <c r="BY128" s="1163"/>
      <c r="BZ128" s="1163"/>
      <c r="CA128" s="1163"/>
      <c r="CB128" s="1163"/>
      <c r="CC128" s="1163"/>
      <c r="CD128" s="1163"/>
      <c r="CE128" s="1163"/>
      <c r="CF128" s="1164" t="s">
        <v>739</v>
      </c>
      <c r="CG128" s="1164"/>
      <c r="CH128" s="1164"/>
      <c r="CI128" s="1164"/>
      <c r="CJ128" s="1164"/>
      <c r="CK128" s="1164"/>
      <c r="CL128" s="1164"/>
      <c r="CM128" s="1164"/>
      <c r="CN128" s="1164"/>
      <c r="CO128" s="1164"/>
      <c r="CP128" s="1164"/>
      <c r="CQ128" s="1164"/>
      <c r="CS128" s="178"/>
      <c r="CT128" s="1163">
        <f>DA$10</f>
        <v>0</v>
      </c>
      <c r="CU128" s="1163"/>
      <c r="CV128" s="1163"/>
      <c r="CW128" s="1163"/>
      <c r="CX128" s="1163"/>
      <c r="CY128" s="1163"/>
      <c r="CZ128" s="1163"/>
      <c r="DA128" s="1163"/>
      <c r="DB128" s="1163"/>
      <c r="DC128" s="1163"/>
      <c r="DD128" s="1163"/>
      <c r="DE128" s="1163"/>
      <c r="DF128" s="1163"/>
      <c r="DG128" s="1163"/>
      <c r="DH128" s="1163"/>
      <c r="DI128" s="1163"/>
      <c r="DJ128" s="1163"/>
      <c r="DK128" s="1163"/>
      <c r="DL128" s="1163"/>
      <c r="DM128" s="1163"/>
      <c r="DN128" s="1163"/>
      <c r="DO128" s="1163"/>
      <c r="DP128" s="1163"/>
      <c r="DQ128" s="1163"/>
      <c r="DR128" s="1163"/>
      <c r="DS128" s="1163"/>
      <c r="DT128" s="1163"/>
      <c r="DU128" s="1163"/>
      <c r="DV128" s="1163"/>
      <c r="DW128" s="1163"/>
      <c r="DX128" s="1163"/>
      <c r="DY128" s="1163"/>
      <c r="DZ128" s="1163"/>
      <c r="EA128" s="1163"/>
      <c r="EB128" s="1164" t="s">
        <v>739</v>
      </c>
      <c r="EC128" s="1164"/>
      <c r="ED128" s="1164"/>
      <c r="EE128" s="1164"/>
      <c r="EF128" s="1164"/>
      <c r="EG128" s="1164"/>
      <c r="EH128" s="1164"/>
      <c r="EI128" s="1164"/>
      <c r="EJ128" s="1164"/>
      <c r="EK128" s="1164"/>
      <c r="EL128" s="1164"/>
      <c r="EM128" s="1164"/>
    </row>
    <row r="129" spans="1:143" ht="55.5" customHeight="1">
      <c r="A129" s="178"/>
      <c r="B129" s="1077" t="s">
        <v>803</v>
      </c>
      <c r="C129" s="1077"/>
      <c r="D129" s="1077"/>
      <c r="E129" s="1077"/>
      <c r="F129" s="1077"/>
      <c r="G129" s="1077"/>
      <c r="H129" s="1077"/>
      <c r="I129" s="1077"/>
      <c r="J129" s="1077"/>
      <c r="K129" s="1077"/>
      <c r="L129" s="1077"/>
      <c r="M129" s="1077"/>
      <c r="N129" s="1077"/>
      <c r="O129" s="1077"/>
      <c r="P129" s="1077"/>
      <c r="Q129" s="1077"/>
      <c r="R129" s="1077"/>
      <c r="S129" s="1077"/>
      <c r="T129" s="1077"/>
      <c r="U129" s="1077"/>
      <c r="V129" s="1077"/>
      <c r="W129" s="1077"/>
      <c r="X129" s="1077"/>
      <c r="Y129" s="1077"/>
      <c r="Z129" s="1077"/>
      <c r="AA129" s="1077"/>
      <c r="AB129" s="1077"/>
      <c r="AC129" s="1077"/>
      <c r="AD129" s="1077"/>
      <c r="AE129" s="1077"/>
      <c r="AF129" s="1077"/>
      <c r="AG129" s="1077"/>
      <c r="AH129" s="1077"/>
      <c r="AI129" s="1077"/>
      <c r="AJ129" s="1077"/>
      <c r="AK129" s="1077"/>
      <c r="AL129" s="1077"/>
      <c r="AM129" s="1077"/>
      <c r="AN129" s="1077"/>
      <c r="AO129" s="1077"/>
      <c r="AP129" s="1077"/>
      <c r="AQ129" s="1077"/>
      <c r="AR129" s="1077"/>
      <c r="AS129" s="1077"/>
      <c r="AT129" s="1077"/>
      <c r="AU129" s="1077"/>
      <c r="AW129" s="178"/>
      <c r="AX129" s="1077" t="s">
        <v>803</v>
      </c>
      <c r="AY129" s="1077"/>
      <c r="AZ129" s="1077"/>
      <c r="BA129" s="1077"/>
      <c r="BB129" s="1077"/>
      <c r="BC129" s="1077"/>
      <c r="BD129" s="1077"/>
      <c r="BE129" s="1077"/>
      <c r="BF129" s="1077"/>
      <c r="BG129" s="1077"/>
      <c r="BH129" s="1077"/>
      <c r="BI129" s="1077"/>
      <c r="BJ129" s="1077"/>
      <c r="BK129" s="1077"/>
      <c r="BL129" s="1077"/>
      <c r="BM129" s="1077"/>
      <c r="BN129" s="1077"/>
      <c r="BO129" s="1077"/>
      <c r="BP129" s="1077"/>
      <c r="BQ129" s="1077"/>
      <c r="BR129" s="1077"/>
      <c r="BS129" s="1077"/>
      <c r="BT129" s="1077"/>
      <c r="BU129" s="1077"/>
      <c r="BV129" s="1077"/>
      <c r="BW129" s="1077"/>
      <c r="BX129" s="1077"/>
      <c r="BY129" s="1077"/>
      <c r="BZ129" s="1077"/>
      <c r="CA129" s="1077"/>
      <c r="CB129" s="1077"/>
      <c r="CC129" s="1077"/>
      <c r="CD129" s="1077"/>
      <c r="CE129" s="1077"/>
      <c r="CF129" s="1077"/>
      <c r="CG129" s="1077"/>
      <c r="CH129" s="1077"/>
      <c r="CI129" s="1077"/>
      <c r="CJ129" s="1077"/>
      <c r="CK129" s="1077"/>
      <c r="CL129" s="1077"/>
      <c r="CM129" s="1077"/>
      <c r="CN129" s="1077"/>
      <c r="CO129" s="1077"/>
      <c r="CP129" s="1077"/>
      <c r="CQ129" s="1077"/>
      <c r="CS129" s="178"/>
      <c r="CT129" s="1077" t="s">
        <v>803</v>
      </c>
      <c r="CU129" s="1077"/>
      <c r="CV129" s="1077"/>
      <c r="CW129" s="1077"/>
      <c r="CX129" s="1077"/>
      <c r="CY129" s="1077"/>
      <c r="CZ129" s="1077"/>
      <c r="DA129" s="1077"/>
      <c r="DB129" s="1077"/>
      <c r="DC129" s="1077"/>
      <c r="DD129" s="1077"/>
      <c r="DE129" s="1077"/>
      <c r="DF129" s="1077"/>
      <c r="DG129" s="1077"/>
      <c r="DH129" s="1077"/>
      <c r="DI129" s="1077"/>
      <c r="DJ129" s="1077"/>
      <c r="DK129" s="1077"/>
      <c r="DL129" s="1077"/>
      <c r="DM129" s="1077"/>
      <c r="DN129" s="1077"/>
      <c r="DO129" s="1077"/>
      <c r="DP129" s="1077"/>
      <c r="DQ129" s="1077"/>
      <c r="DR129" s="1077"/>
      <c r="DS129" s="1077"/>
      <c r="DT129" s="1077"/>
      <c r="DU129" s="1077"/>
      <c r="DV129" s="1077"/>
      <c r="DW129" s="1077"/>
      <c r="DX129" s="1077"/>
      <c r="DY129" s="1077"/>
      <c r="DZ129" s="1077"/>
      <c r="EA129" s="1077"/>
      <c r="EB129" s="1077"/>
      <c r="EC129" s="1077"/>
      <c r="ED129" s="1077"/>
      <c r="EE129" s="1077"/>
      <c r="EF129" s="1077"/>
      <c r="EG129" s="1077"/>
      <c r="EH129" s="1077"/>
      <c r="EI129" s="1077"/>
      <c r="EJ129" s="1077"/>
      <c r="EK129" s="1077"/>
      <c r="EL129" s="1077"/>
      <c r="EM129" s="1077"/>
    </row>
    <row r="130" spans="1:143" ht="18.75">
      <c r="A130" s="178"/>
      <c r="B130" s="1069">
        <f>I$16</f>
        <v>0</v>
      </c>
      <c r="C130" s="1069"/>
      <c r="D130" s="1069"/>
      <c r="E130" s="1069"/>
      <c r="F130" s="1069"/>
      <c r="G130" s="1069"/>
      <c r="H130" s="1069"/>
      <c r="I130" s="1069"/>
      <c r="J130" s="1069"/>
      <c r="K130" s="1069"/>
      <c r="L130" s="1069"/>
      <c r="M130" s="1069"/>
      <c r="N130" s="1069"/>
      <c r="O130" s="1069"/>
      <c r="P130" s="1069"/>
      <c r="Q130" s="1069"/>
      <c r="R130" s="1069"/>
      <c r="S130" s="1069"/>
      <c r="T130" s="1069"/>
      <c r="U130" s="1069"/>
      <c r="V130" s="1069"/>
      <c r="W130" s="1069"/>
      <c r="X130" s="1069"/>
      <c r="Y130" s="1069"/>
      <c r="Z130" s="1069"/>
      <c r="AA130" s="1069"/>
      <c r="AB130" s="1069"/>
      <c r="AC130" s="1069"/>
      <c r="AD130" s="1069"/>
      <c r="AE130" s="1069"/>
      <c r="AF130" s="1069"/>
      <c r="AG130" s="1069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69">
        <f>BE$16</f>
        <v>0</v>
      </c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  <c r="BX130" s="1069"/>
      <c r="BY130" s="1069"/>
      <c r="BZ130" s="1069"/>
      <c r="CA130" s="1069"/>
      <c r="CB130" s="1069"/>
      <c r="CC130" s="1069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69">
        <f>DA$16</f>
        <v>0</v>
      </c>
      <c r="CU130" s="1069"/>
      <c r="CV130" s="1069"/>
      <c r="CW130" s="1069"/>
      <c r="CX130" s="1069"/>
      <c r="CY130" s="1069"/>
      <c r="CZ130" s="1069"/>
      <c r="DA130" s="1069"/>
      <c r="DB130" s="1069"/>
      <c r="DC130" s="1069"/>
      <c r="DD130" s="1069"/>
      <c r="DE130" s="1069"/>
      <c r="DF130" s="1069"/>
      <c r="DG130" s="1069"/>
      <c r="DH130" s="1069"/>
      <c r="DI130" s="1069"/>
      <c r="DJ130" s="1069"/>
      <c r="DK130" s="1069"/>
      <c r="DL130" s="1069"/>
      <c r="DM130" s="1069"/>
      <c r="DN130" s="1069"/>
      <c r="DO130" s="1069"/>
      <c r="DP130" s="1069"/>
      <c r="DQ130" s="1069"/>
      <c r="DR130" s="1069"/>
      <c r="DS130" s="1069"/>
      <c r="DT130" s="1069"/>
      <c r="DU130" s="1069"/>
      <c r="DV130" s="1069"/>
      <c r="DW130" s="1069"/>
      <c r="DX130" s="1069"/>
      <c r="DY130" s="1069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77" t="s">
        <v>820</v>
      </c>
      <c r="C131" s="1177"/>
      <c r="D131" s="1177"/>
      <c r="E131" s="1177"/>
      <c r="F131" s="1177"/>
      <c r="G131" s="1177"/>
      <c r="H131" s="1177"/>
      <c r="I131" s="1177"/>
      <c r="J131" s="1177"/>
      <c r="K131" s="1177"/>
      <c r="L131" s="1177"/>
      <c r="M131" s="1177"/>
      <c r="N131" s="1177"/>
      <c r="O131" s="1177"/>
      <c r="P131" s="1177"/>
      <c r="Q131" s="1177"/>
      <c r="R131" s="1177"/>
      <c r="S131" s="1177"/>
      <c r="T131" s="1177"/>
      <c r="U131" s="1177"/>
      <c r="V131" s="1177"/>
      <c r="W131" s="1177"/>
      <c r="X131" s="1177"/>
      <c r="Y131" s="1177"/>
      <c r="Z131" s="1177"/>
      <c r="AA131" s="1177"/>
      <c r="AB131" s="1177"/>
      <c r="AC131" s="1177"/>
      <c r="AD131" s="1177"/>
      <c r="AE131" s="1177"/>
      <c r="AF131" s="1177"/>
      <c r="AG131" s="1177"/>
      <c r="AH131" s="1177"/>
      <c r="AI131" s="1177"/>
      <c r="AJ131" s="1177"/>
      <c r="AK131" s="1177"/>
      <c r="AL131" s="1177"/>
      <c r="AM131" s="1177"/>
      <c r="AN131" s="1177"/>
      <c r="AO131" s="1177"/>
      <c r="AP131" s="1177"/>
      <c r="AQ131" s="1177"/>
      <c r="AR131" s="1177"/>
      <c r="AS131" s="1177"/>
      <c r="AT131" s="1177"/>
      <c r="AU131" s="1177"/>
      <c r="AW131" s="178"/>
      <c r="AX131" s="1177" t="s">
        <v>820</v>
      </c>
      <c r="AY131" s="1177"/>
      <c r="AZ131" s="1177"/>
      <c r="BA131" s="1177"/>
      <c r="BB131" s="1177"/>
      <c r="BC131" s="1177"/>
      <c r="BD131" s="1177"/>
      <c r="BE131" s="1177"/>
      <c r="BF131" s="1177"/>
      <c r="BG131" s="1177"/>
      <c r="BH131" s="1177"/>
      <c r="BI131" s="1177"/>
      <c r="BJ131" s="1177"/>
      <c r="BK131" s="1177"/>
      <c r="BL131" s="1177"/>
      <c r="BM131" s="1177"/>
      <c r="BN131" s="1177"/>
      <c r="BO131" s="1177"/>
      <c r="BP131" s="1177"/>
      <c r="BQ131" s="1177"/>
      <c r="BR131" s="1177"/>
      <c r="BS131" s="1177"/>
      <c r="BT131" s="1177"/>
      <c r="BU131" s="1177"/>
      <c r="BV131" s="1177"/>
      <c r="BW131" s="1177"/>
      <c r="BX131" s="1177"/>
      <c r="BY131" s="1177"/>
      <c r="BZ131" s="1177"/>
      <c r="CA131" s="1177"/>
      <c r="CB131" s="1177"/>
      <c r="CC131" s="1177"/>
      <c r="CD131" s="1177"/>
      <c r="CE131" s="1177"/>
      <c r="CF131" s="1177"/>
      <c r="CG131" s="1177"/>
      <c r="CH131" s="1177"/>
      <c r="CI131" s="1177"/>
      <c r="CJ131" s="1177"/>
      <c r="CK131" s="1177"/>
      <c r="CL131" s="1177"/>
      <c r="CM131" s="1177"/>
      <c r="CN131" s="1177"/>
      <c r="CO131" s="1177"/>
      <c r="CP131" s="1177"/>
      <c r="CQ131" s="1177"/>
      <c r="CS131" s="178"/>
      <c r="CT131" s="1177" t="s">
        <v>820</v>
      </c>
      <c r="CU131" s="1177"/>
      <c r="CV131" s="1177"/>
      <c r="CW131" s="1177"/>
      <c r="CX131" s="1177"/>
      <c r="CY131" s="1177"/>
      <c r="CZ131" s="1177"/>
      <c r="DA131" s="1177"/>
      <c r="DB131" s="1177"/>
      <c r="DC131" s="1177"/>
      <c r="DD131" s="1177"/>
      <c r="DE131" s="1177"/>
      <c r="DF131" s="1177"/>
      <c r="DG131" s="1177"/>
      <c r="DH131" s="1177"/>
      <c r="DI131" s="1177"/>
      <c r="DJ131" s="1177"/>
      <c r="DK131" s="1177"/>
      <c r="DL131" s="1177"/>
      <c r="DM131" s="1177"/>
      <c r="DN131" s="1177"/>
      <c r="DO131" s="1177"/>
      <c r="DP131" s="1177"/>
      <c r="DQ131" s="1177"/>
      <c r="DR131" s="1177"/>
      <c r="DS131" s="1177"/>
      <c r="DT131" s="1177"/>
      <c r="DU131" s="1177"/>
      <c r="DV131" s="1177"/>
      <c r="DW131" s="1177"/>
      <c r="DX131" s="1177"/>
      <c r="DY131" s="1177"/>
      <c r="DZ131" s="1177"/>
      <c r="EA131" s="1177"/>
      <c r="EB131" s="1177"/>
      <c r="EC131" s="1177"/>
      <c r="ED131" s="1177"/>
      <c r="EE131" s="1177"/>
      <c r="EF131" s="1177"/>
      <c r="EG131" s="1177"/>
      <c r="EH131" s="1177"/>
      <c r="EI131" s="1177"/>
      <c r="EJ131" s="1177"/>
      <c r="EK131" s="1177"/>
      <c r="EL131" s="1177"/>
      <c r="EM131" s="1177"/>
    </row>
    <row r="132" spans="1:143" ht="18.75" customHeight="1">
      <c r="A132" s="178"/>
      <c r="B132" s="1070" t="s">
        <v>821</v>
      </c>
      <c r="C132" s="1070"/>
      <c r="D132" s="1070"/>
      <c r="E132" s="1071" t="str">
        <f>"c "&amp;J$11&amp;" "&amp;O11&amp;" "&amp;AK11&amp;" года"</f>
        <v>c    года</v>
      </c>
      <c r="F132" s="1071"/>
      <c r="G132" s="1071"/>
      <c r="H132" s="1071"/>
      <c r="I132" s="1071"/>
      <c r="J132" s="1071"/>
      <c r="K132" s="1071"/>
      <c r="L132" s="1071"/>
      <c r="M132" s="1071"/>
      <c r="N132" s="1071"/>
      <c r="O132" s="1071"/>
      <c r="P132" s="1071"/>
      <c r="Q132" s="1071"/>
      <c r="R132" s="1071"/>
      <c r="S132" s="1071"/>
      <c r="T132" s="1071"/>
      <c r="U132" s="1071"/>
      <c r="V132" s="1070" t="s">
        <v>790</v>
      </c>
      <c r="W132" s="1070"/>
      <c r="X132" s="1070"/>
      <c r="Y132" s="1071" t="str">
        <f>J$12&amp;" "&amp;O12&amp;" "&amp;AK12&amp;" года"</f>
        <v xml:space="preserve">   года</v>
      </c>
      <c r="Z132" s="1071"/>
      <c r="AA132" s="1071"/>
      <c r="AB132" s="1071"/>
      <c r="AC132" s="1071"/>
      <c r="AD132" s="1071"/>
      <c r="AE132" s="1071"/>
      <c r="AF132" s="1071"/>
      <c r="AG132" s="1071"/>
      <c r="AH132" s="1071"/>
      <c r="AI132" s="1071"/>
      <c r="AJ132" s="1071"/>
      <c r="AK132" s="1071"/>
      <c r="AL132" s="1071"/>
      <c r="AM132" s="1071"/>
      <c r="AN132" s="1071"/>
      <c r="AO132" s="1071"/>
      <c r="AP132" s="1071"/>
      <c r="AQ132" s="1071"/>
      <c r="AR132" s="1070" t="s">
        <v>822</v>
      </c>
      <c r="AS132" s="1070"/>
      <c r="AT132" s="1070"/>
      <c r="AU132" s="1070"/>
      <c r="AW132" s="178"/>
      <c r="AX132" s="1070" t="s">
        <v>821</v>
      </c>
      <c r="AY132" s="1070"/>
      <c r="AZ132" s="1070"/>
      <c r="BA132" s="1071" t="str">
        <f>"c "&amp;BF$11&amp;" "&amp;BK11&amp;" "&amp;CG11&amp;" года"</f>
        <v>c    года</v>
      </c>
      <c r="BB132" s="1071"/>
      <c r="BC132" s="1071"/>
      <c r="BD132" s="1071"/>
      <c r="BE132" s="1071"/>
      <c r="BF132" s="1071"/>
      <c r="BG132" s="1071"/>
      <c r="BH132" s="1071"/>
      <c r="BI132" s="1071"/>
      <c r="BJ132" s="1071"/>
      <c r="BK132" s="1071"/>
      <c r="BL132" s="1071"/>
      <c r="BM132" s="1071"/>
      <c r="BN132" s="1071"/>
      <c r="BO132" s="1071"/>
      <c r="BP132" s="1071"/>
      <c r="BQ132" s="1071"/>
      <c r="BR132" s="1070" t="s">
        <v>790</v>
      </c>
      <c r="BS132" s="1070"/>
      <c r="BT132" s="1070"/>
      <c r="BU132" s="1071" t="str">
        <f>BF$12&amp;" "&amp;BK12&amp;" "&amp;CG12&amp;" года"</f>
        <v xml:space="preserve">   года</v>
      </c>
      <c r="BV132" s="1071"/>
      <c r="BW132" s="1071"/>
      <c r="BX132" s="1071"/>
      <c r="BY132" s="1071"/>
      <c r="BZ132" s="1071"/>
      <c r="CA132" s="1071"/>
      <c r="CB132" s="1071"/>
      <c r="CC132" s="1071"/>
      <c r="CD132" s="1071"/>
      <c r="CE132" s="1071"/>
      <c r="CF132" s="1071"/>
      <c r="CG132" s="1071"/>
      <c r="CH132" s="1071"/>
      <c r="CI132" s="1071"/>
      <c r="CJ132" s="1071"/>
      <c r="CK132" s="1071"/>
      <c r="CL132" s="1071"/>
      <c r="CM132" s="1071"/>
      <c r="CN132" s="1070" t="s">
        <v>822</v>
      </c>
      <c r="CO132" s="1070"/>
      <c r="CP132" s="1070"/>
      <c r="CQ132" s="1070"/>
      <c r="CS132" s="178"/>
      <c r="CT132" s="1070" t="s">
        <v>821</v>
      </c>
      <c r="CU132" s="1070"/>
      <c r="CV132" s="1070"/>
      <c r="CW132" s="1071" t="str">
        <f>"c "&amp;DB$11&amp;" "&amp;DG11&amp;" "&amp;EC11&amp;" года"</f>
        <v>c    года</v>
      </c>
      <c r="CX132" s="1071"/>
      <c r="CY132" s="1071"/>
      <c r="CZ132" s="1071"/>
      <c r="DA132" s="1071"/>
      <c r="DB132" s="1071"/>
      <c r="DC132" s="1071"/>
      <c r="DD132" s="1071"/>
      <c r="DE132" s="1071"/>
      <c r="DF132" s="1071"/>
      <c r="DG132" s="1071"/>
      <c r="DH132" s="1071"/>
      <c r="DI132" s="1071"/>
      <c r="DJ132" s="1071"/>
      <c r="DK132" s="1071"/>
      <c r="DL132" s="1071"/>
      <c r="DM132" s="1071"/>
      <c r="DN132" s="1070" t="s">
        <v>790</v>
      </c>
      <c r="DO132" s="1070"/>
      <c r="DP132" s="1070"/>
      <c r="DQ132" s="1071" t="str">
        <f>DB$12&amp;" "&amp;DG12&amp;" "&amp;EC12&amp;" года"</f>
        <v xml:space="preserve">   года</v>
      </c>
      <c r="DR132" s="1071"/>
      <c r="DS132" s="1071"/>
      <c r="DT132" s="1071"/>
      <c r="DU132" s="1071"/>
      <c r="DV132" s="1071"/>
      <c r="DW132" s="1071"/>
      <c r="DX132" s="1071"/>
      <c r="DY132" s="1071"/>
      <c r="DZ132" s="1071"/>
      <c r="EA132" s="1071"/>
      <c r="EB132" s="1071"/>
      <c r="EC132" s="1071"/>
      <c r="ED132" s="1071"/>
      <c r="EE132" s="1071"/>
      <c r="EF132" s="1071"/>
      <c r="EG132" s="1071"/>
      <c r="EH132" s="1071"/>
      <c r="EI132" s="1071"/>
      <c r="EJ132" s="1070" t="s">
        <v>822</v>
      </c>
      <c r="EK132" s="1070"/>
      <c r="EL132" s="1070"/>
      <c r="EM132" s="1070"/>
    </row>
    <row r="133" spans="1:143" ht="18.75" customHeight="1">
      <c r="A133" s="178"/>
      <c r="B133" s="1072" t="s">
        <v>823</v>
      </c>
      <c r="C133" s="1072"/>
      <c r="D133" s="1072"/>
      <c r="E133" s="1072"/>
      <c r="F133" s="1072"/>
      <c r="G133" s="1072"/>
      <c r="H133" s="1072"/>
      <c r="I133" s="1072"/>
      <c r="J133" s="1072"/>
      <c r="K133" s="1072"/>
      <c r="L133" s="1072"/>
      <c r="M133" s="1072"/>
      <c r="N133" s="1072"/>
      <c r="O133" s="1072"/>
      <c r="P133" s="1072"/>
      <c r="Q133" s="1072"/>
      <c r="R133" s="1072"/>
      <c r="S133" s="1072"/>
      <c r="T133" s="1072"/>
      <c r="U133" s="1072"/>
      <c r="V133" s="1072"/>
      <c r="W133" s="1072"/>
      <c r="X133" s="1072"/>
      <c r="Y133" s="1072"/>
      <c r="Z133" s="1072"/>
      <c r="AA133" s="1072"/>
      <c r="AB133" s="1072"/>
      <c r="AC133" s="1072"/>
      <c r="AD133" s="1072"/>
      <c r="AE133" s="1072"/>
      <c r="AF133" s="1072"/>
      <c r="AG133" s="1072"/>
      <c r="AH133" s="1072"/>
      <c r="AI133" s="1072"/>
      <c r="AJ133" s="1072"/>
      <c r="AK133" s="1072"/>
      <c r="AL133" s="1072"/>
      <c r="AM133" s="1072"/>
      <c r="AN133" s="1072"/>
      <c r="AO133" s="1072"/>
      <c r="AP133" s="1072"/>
      <c r="AQ133" s="1072"/>
      <c r="AR133" s="1072"/>
      <c r="AS133" s="1072"/>
      <c r="AT133" s="1072"/>
      <c r="AU133" s="1072"/>
      <c r="AW133" s="178"/>
      <c r="AX133" s="1072" t="s">
        <v>823</v>
      </c>
      <c r="AY133" s="1072"/>
      <c r="AZ133" s="1072"/>
      <c r="BA133" s="1072"/>
      <c r="BB133" s="1072"/>
      <c r="BC133" s="1072"/>
      <c r="BD133" s="1072"/>
      <c r="BE133" s="1072"/>
      <c r="BF133" s="1072"/>
      <c r="BG133" s="1072"/>
      <c r="BH133" s="1072"/>
      <c r="BI133" s="1072"/>
      <c r="BJ133" s="1072"/>
      <c r="BK133" s="1072"/>
      <c r="BL133" s="1072"/>
      <c r="BM133" s="1072"/>
      <c r="BN133" s="1072"/>
      <c r="BO133" s="1072"/>
      <c r="BP133" s="1072"/>
      <c r="BQ133" s="1072"/>
      <c r="BR133" s="1072"/>
      <c r="BS133" s="1072"/>
      <c r="BT133" s="1072"/>
      <c r="BU133" s="1072"/>
      <c r="BV133" s="1072"/>
      <c r="BW133" s="1072"/>
      <c r="BX133" s="1072"/>
      <c r="BY133" s="1072"/>
      <c r="BZ133" s="1072"/>
      <c r="CA133" s="1072"/>
      <c r="CB133" s="1072"/>
      <c r="CC133" s="1072"/>
      <c r="CD133" s="1072"/>
      <c r="CE133" s="1072"/>
      <c r="CF133" s="1072"/>
      <c r="CG133" s="1072"/>
      <c r="CH133" s="1072"/>
      <c r="CI133" s="1072"/>
      <c r="CJ133" s="1072"/>
      <c r="CK133" s="1072"/>
      <c r="CL133" s="1072"/>
      <c r="CM133" s="1072"/>
      <c r="CN133" s="1072"/>
      <c r="CO133" s="1072"/>
      <c r="CP133" s="1072"/>
      <c r="CQ133" s="1072"/>
      <c r="CS133" s="178"/>
      <c r="CT133" s="1072" t="s">
        <v>823</v>
      </c>
      <c r="CU133" s="1072"/>
      <c r="CV133" s="1072"/>
      <c r="CW133" s="1072"/>
      <c r="CX133" s="1072"/>
      <c r="CY133" s="1072"/>
      <c r="CZ133" s="1072"/>
      <c r="DA133" s="1072"/>
      <c r="DB133" s="1072"/>
      <c r="DC133" s="1072"/>
      <c r="DD133" s="1072"/>
      <c r="DE133" s="1072"/>
      <c r="DF133" s="1072"/>
      <c r="DG133" s="1072"/>
      <c r="DH133" s="1072"/>
      <c r="DI133" s="1072"/>
      <c r="DJ133" s="1072"/>
      <c r="DK133" s="1072"/>
      <c r="DL133" s="1072"/>
      <c r="DM133" s="1072"/>
      <c r="DN133" s="1072"/>
      <c r="DO133" s="1072"/>
      <c r="DP133" s="1072"/>
      <c r="DQ133" s="1072"/>
      <c r="DR133" s="1072"/>
      <c r="DS133" s="1072"/>
      <c r="DT133" s="1072"/>
      <c r="DU133" s="1072"/>
      <c r="DV133" s="1072"/>
      <c r="DW133" s="1072"/>
      <c r="DX133" s="1072"/>
      <c r="DY133" s="1072"/>
      <c r="DZ133" s="1072"/>
      <c r="EA133" s="1072"/>
      <c r="EB133" s="1072"/>
      <c r="EC133" s="1072"/>
      <c r="ED133" s="1072"/>
      <c r="EE133" s="1072"/>
      <c r="EF133" s="1072"/>
      <c r="EG133" s="1072"/>
      <c r="EH133" s="1072"/>
      <c r="EI133" s="1072"/>
      <c r="EJ133" s="1072"/>
      <c r="EK133" s="1072"/>
      <c r="EL133" s="1072"/>
      <c r="EM133" s="1072"/>
    </row>
    <row r="134" spans="1:143" ht="39" customHeight="1">
      <c r="A134" s="178"/>
      <c r="B134" s="1075">
        <f>I$27</f>
        <v>0</v>
      </c>
      <c r="C134" s="1075"/>
      <c r="D134" s="1075"/>
      <c r="E134" s="1075"/>
      <c r="F134" s="1075"/>
      <c r="G134" s="1075"/>
      <c r="H134" s="1075"/>
      <c r="I134" s="1075"/>
      <c r="J134" s="1075"/>
      <c r="K134" s="1075"/>
      <c r="L134" s="1075"/>
      <c r="M134" s="1075"/>
      <c r="N134" s="1075"/>
      <c r="O134" s="1075"/>
      <c r="P134" s="1075"/>
      <c r="Q134" s="1075"/>
      <c r="R134" s="1075"/>
      <c r="S134" s="1075"/>
      <c r="T134" s="1075"/>
      <c r="U134" s="1075"/>
      <c r="V134" s="1075"/>
      <c r="W134" s="1075"/>
      <c r="X134" s="1075"/>
      <c r="Y134" s="1075"/>
      <c r="Z134" s="1075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1075"/>
      <c r="AO134" s="1075"/>
      <c r="AP134" s="1075"/>
      <c r="AQ134" s="1075"/>
      <c r="AR134" s="1075"/>
      <c r="AS134" s="1075"/>
      <c r="AT134" s="1075"/>
      <c r="AU134" s="1075"/>
      <c r="AW134" s="178"/>
      <c r="AX134" s="1075">
        <f>BE$27</f>
        <v>0</v>
      </c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075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  <c r="BX134" s="1075"/>
      <c r="BY134" s="1075"/>
      <c r="BZ134" s="1075"/>
      <c r="CA134" s="1075"/>
      <c r="CB134" s="1075"/>
      <c r="CC134" s="1075"/>
      <c r="CD134" s="1075"/>
      <c r="CE134" s="1075"/>
      <c r="CF134" s="1075"/>
      <c r="CG134" s="1075"/>
      <c r="CH134" s="1075"/>
      <c r="CI134" s="1075"/>
      <c r="CJ134" s="1075"/>
      <c r="CK134" s="1075"/>
      <c r="CL134" s="1075"/>
      <c r="CM134" s="1075"/>
      <c r="CN134" s="1075"/>
      <c r="CO134" s="1075"/>
      <c r="CP134" s="1075"/>
      <c r="CQ134" s="1075"/>
      <c r="CS134" s="178"/>
      <c r="CT134" s="1075">
        <f>DA$27</f>
        <v>0</v>
      </c>
      <c r="CU134" s="1075"/>
      <c r="CV134" s="1075"/>
      <c r="CW134" s="1075"/>
      <c r="CX134" s="1075"/>
      <c r="CY134" s="1075"/>
      <c r="CZ134" s="1075"/>
      <c r="DA134" s="1075"/>
      <c r="DB134" s="1075"/>
      <c r="DC134" s="1075"/>
      <c r="DD134" s="1075"/>
      <c r="DE134" s="1075"/>
      <c r="DF134" s="1075"/>
      <c r="DG134" s="1075"/>
      <c r="DH134" s="1075"/>
      <c r="DI134" s="1075"/>
      <c r="DJ134" s="1075"/>
      <c r="DK134" s="1075"/>
      <c r="DL134" s="1075"/>
      <c r="DM134" s="1075"/>
      <c r="DN134" s="1075"/>
      <c r="DO134" s="1075"/>
      <c r="DP134" s="1075"/>
      <c r="DQ134" s="1075"/>
      <c r="DR134" s="1075"/>
      <c r="DS134" s="1075"/>
      <c r="DT134" s="1075"/>
      <c r="DU134" s="1075"/>
      <c r="DV134" s="1075"/>
      <c r="DW134" s="1075"/>
      <c r="DX134" s="1075"/>
      <c r="DY134" s="1075"/>
      <c r="DZ134" s="1075"/>
      <c r="EA134" s="1075"/>
      <c r="EB134" s="1075"/>
      <c r="EC134" s="1075"/>
      <c r="ED134" s="1075"/>
      <c r="EE134" s="1075"/>
      <c r="EF134" s="1075"/>
      <c r="EG134" s="1075"/>
      <c r="EH134" s="1075"/>
      <c r="EI134" s="1075"/>
      <c r="EJ134" s="1075"/>
      <c r="EK134" s="1075"/>
      <c r="EL134" s="1075"/>
      <c r="EM134" s="1075"/>
    </row>
    <row r="135" spans="1:143" ht="18.75">
      <c r="A135" s="178"/>
      <c r="B135" s="190"/>
      <c r="C135" s="1094"/>
      <c r="D135" s="1094"/>
      <c r="E135" s="1073" t="s">
        <v>824</v>
      </c>
      <c r="F135" s="1073"/>
      <c r="G135" s="1073"/>
      <c r="H135" s="1073"/>
      <c r="I135" s="1073"/>
      <c r="J135" s="1073"/>
      <c r="K135" s="1073"/>
      <c r="L135" s="1073"/>
      <c r="M135" s="1073"/>
      <c r="N135" s="1073"/>
      <c r="O135" s="1073"/>
      <c r="P135" s="1073"/>
      <c r="Q135" s="1073"/>
      <c r="R135" s="1073"/>
      <c r="S135" s="1073"/>
      <c r="T135" s="1073"/>
      <c r="U135" s="1073"/>
      <c r="V135" s="1073"/>
      <c r="W135" s="1073"/>
      <c r="X135" s="1073"/>
      <c r="Y135" s="1073"/>
      <c r="Z135" s="1073"/>
      <c r="AA135" s="1073"/>
      <c r="AB135" s="1073"/>
      <c r="AC135" s="1073"/>
      <c r="AD135" s="1073"/>
      <c r="AE135" s="1073"/>
      <c r="AF135" s="1073"/>
      <c r="AG135" s="1073"/>
      <c r="AH135" s="1073"/>
      <c r="AI135" s="1073"/>
      <c r="AJ135" s="1073"/>
      <c r="AK135" s="1073"/>
      <c r="AL135" s="1073"/>
      <c r="AM135" s="1073"/>
      <c r="AN135" s="1073"/>
      <c r="AO135" s="1073"/>
      <c r="AP135" s="1073"/>
      <c r="AQ135" s="1073"/>
      <c r="AR135" s="1073"/>
      <c r="AS135" s="1073"/>
      <c r="AT135" s="1073"/>
      <c r="AU135" s="1073"/>
      <c r="AW135" s="178"/>
      <c r="AX135" s="190"/>
      <c r="AY135" s="1094"/>
      <c r="AZ135" s="1094"/>
      <c r="BA135" s="1073" t="s">
        <v>824</v>
      </c>
      <c r="BB135" s="1073"/>
      <c r="BC135" s="1073"/>
      <c r="BD135" s="1073"/>
      <c r="BE135" s="1073"/>
      <c r="BF135" s="1073"/>
      <c r="BG135" s="1073"/>
      <c r="BH135" s="1073"/>
      <c r="BI135" s="1073"/>
      <c r="BJ135" s="1073"/>
      <c r="BK135" s="1073"/>
      <c r="BL135" s="1073"/>
      <c r="BM135" s="1073"/>
      <c r="BN135" s="1073"/>
      <c r="BO135" s="1073"/>
      <c r="BP135" s="1073"/>
      <c r="BQ135" s="1073"/>
      <c r="BR135" s="1073"/>
      <c r="BS135" s="1073"/>
      <c r="BT135" s="1073"/>
      <c r="BU135" s="1073"/>
      <c r="BV135" s="1073"/>
      <c r="BW135" s="1073"/>
      <c r="BX135" s="1073"/>
      <c r="BY135" s="1073"/>
      <c r="BZ135" s="1073"/>
      <c r="CA135" s="1073"/>
      <c r="CB135" s="1073"/>
      <c r="CC135" s="1073"/>
      <c r="CD135" s="1073"/>
      <c r="CE135" s="1073"/>
      <c r="CF135" s="1073"/>
      <c r="CG135" s="1073"/>
      <c r="CH135" s="1073"/>
      <c r="CI135" s="1073"/>
      <c r="CJ135" s="1073"/>
      <c r="CK135" s="1073"/>
      <c r="CL135" s="1073"/>
      <c r="CM135" s="1073"/>
      <c r="CN135" s="1073"/>
      <c r="CO135" s="1073"/>
      <c r="CP135" s="1073"/>
      <c r="CQ135" s="1073"/>
      <c r="CS135" s="178"/>
      <c r="CT135" s="190"/>
      <c r="CU135" s="1094"/>
      <c r="CV135" s="1094"/>
      <c r="CW135" s="1073" t="s">
        <v>824</v>
      </c>
      <c r="CX135" s="1073"/>
      <c r="CY135" s="1073"/>
      <c r="CZ135" s="1073"/>
      <c r="DA135" s="1073"/>
      <c r="DB135" s="1073"/>
      <c r="DC135" s="1073"/>
      <c r="DD135" s="1073"/>
      <c r="DE135" s="1073"/>
      <c r="DF135" s="1073"/>
      <c r="DG135" s="1073"/>
      <c r="DH135" s="1073"/>
      <c r="DI135" s="1073"/>
      <c r="DJ135" s="1073"/>
      <c r="DK135" s="1073"/>
      <c r="DL135" s="1073"/>
      <c r="DM135" s="1073"/>
      <c r="DN135" s="1073"/>
      <c r="DO135" s="1073"/>
      <c r="DP135" s="1073"/>
      <c r="DQ135" s="1073"/>
      <c r="DR135" s="1073"/>
      <c r="DS135" s="1073"/>
      <c r="DT135" s="1073"/>
      <c r="DU135" s="1073"/>
      <c r="DV135" s="1073"/>
      <c r="DW135" s="1073"/>
      <c r="DX135" s="1073"/>
      <c r="DY135" s="1073"/>
      <c r="DZ135" s="1073"/>
      <c r="EA135" s="1073"/>
      <c r="EB135" s="1073"/>
      <c r="EC135" s="1073"/>
      <c r="ED135" s="1073"/>
      <c r="EE135" s="1073"/>
      <c r="EF135" s="1073"/>
      <c r="EG135" s="1073"/>
      <c r="EH135" s="1073"/>
      <c r="EI135" s="1073"/>
      <c r="EJ135" s="1073"/>
      <c r="EK135" s="1073"/>
      <c r="EL135" s="1073"/>
      <c r="EM135" s="1073"/>
    </row>
    <row r="136" spans="1:143" ht="18.75" customHeight="1">
      <c r="A136" s="178"/>
      <c r="B136" s="1077" t="s">
        <v>793</v>
      </c>
      <c r="C136" s="1077"/>
      <c r="D136" s="1077"/>
      <c r="E136" s="1077"/>
      <c r="F136" s="1077"/>
      <c r="G136" s="1077"/>
      <c r="H136" s="1077"/>
      <c r="I136" s="1077"/>
      <c r="J136" s="1077"/>
      <c r="K136" s="1077"/>
      <c r="L136" s="1077"/>
      <c r="M136" s="1077"/>
      <c r="N136" s="1077"/>
      <c r="O136" s="1077"/>
      <c r="P136" s="1077"/>
      <c r="Q136" s="1077"/>
      <c r="R136" s="1077"/>
      <c r="S136" s="1077"/>
      <c r="T136" s="1077"/>
      <c r="U136" s="1077"/>
      <c r="V136" s="1077"/>
      <c r="W136" s="1077"/>
      <c r="X136" s="1077"/>
      <c r="Y136" s="1077"/>
      <c r="Z136" s="1077"/>
      <c r="AA136" s="1077"/>
      <c r="AB136" s="1077"/>
      <c r="AC136" s="1077"/>
      <c r="AD136" s="1077"/>
      <c r="AE136" s="1077"/>
      <c r="AF136" s="1077"/>
      <c r="AG136" s="1077"/>
      <c r="AH136" s="1077"/>
      <c r="AI136" s="1077"/>
      <c r="AJ136" s="1077"/>
      <c r="AK136" s="1077"/>
      <c r="AL136" s="1077"/>
      <c r="AM136" s="1077"/>
      <c r="AN136" s="1077"/>
      <c r="AO136" s="1077"/>
      <c r="AP136" s="1077"/>
      <c r="AQ136" s="1077"/>
      <c r="AR136" s="1077"/>
      <c r="AS136" s="1077"/>
      <c r="AT136" s="1077"/>
      <c r="AU136" s="1077"/>
      <c r="AW136" s="178"/>
      <c r="AX136" s="1077" t="s">
        <v>793</v>
      </c>
      <c r="AY136" s="1077"/>
      <c r="AZ136" s="1077"/>
      <c r="BA136" s="1077"/>
      <c r="BB136" s="1077"/>
      <c r="BC136" s="1077"/>
      <c r="BD136" s="1077"/>
      <c r="BE136" s="1077"/>
      <c r="BF136" s="1077"/>
      <c r="BG136" s="1077"/>
      <c r="BH136" s="1077"/>
      <c r="BI136" s="1077"/>
      <c r="BJ136" s="1077"/>
      <c r="BK136" s="1077"/>
      <c r="BL136" s="1077"/>
      <c r="BM136" s="1077"/>
      <c r="BN136" s="1077"/>
      <c r="BO136" s="1077"/>
      <c r="BP136" s="1077"/>
      <c r="BQ136" s="1077"/>
      <c r="BR136" s="1077"/>
      <c r="BS136" s="1077"/>
      <c r="BT136" s="1077"/>
      <c r="BU136" s="1077"/>
      <c r="BV136" s="1077"/>
      <c r="BW136" s="1077"/>
      <c r="BX136" s="1077"/>
      <c r="BY136" s="1077"/>
      <c r="BZ136" s="1077"/>
      <c r="CA136" s="1077"/>
      <c r="CB136" s="1077"/>
      <c r="CC136" s="1077"/>
      <c r="CD136" s="1077"/>
      <c r="CE136" s="1077"/>
      <c r="CF136" s="1077"/>
      <c r="CG136" s="1077"/>
      <c r="CH136" s="1077"/>
      <c r="CI136" s="1077"/>
      <c r="CJ136" s="1077"/>
      <c r="CK136" s="1077"/>
      <c r="CL136" s="1077"/>
      <c r="CM136" s="1077"/>
      <c r="CN136" s="1077"/>
      <c r="CO136" s="1077"/>
      <c r="CP136" s="1077"/>
      <c r="CQ136" s="1077"/>
      <c r="CS136" s="178"/>
      <c r="CT136" s="1077" t="s">
        <v>793</v>
      </c>
      <c r="CU136" s="1077"/>
      <c r="CV136" s="1077"/>
      <c r="CW136" s="1077"/>
      <c r="CX136" s="1077"/>
      <c r="CY136" s="1077"/>
      <c r="CZ136" s="1077"/>
      <c r="DA136" s="1077"/>
      <c r="DB136" s="1077"/>
      <c r="DC136" s="1077"/>
      <c r="DD136" s="1077"/>
      <c r="DE136" s="1077"/>
      <c r="DF136" s="1077"/>
      <c r="DG136" s="1077"/>
      <c r="DH136" s="1077"/>
      <c r="DI136" s="1077"/>
      <c r="DJ136" s="1077"/>
      <c r="DK136" s="1077"/>
      <c r="DL136" s="1077"/>
      <c r="DM136" s="1077"/>
      <c r="DN136" s="1077"/>
      <c r="DO136" s="1077"/>
      <c r="DP136" s="1077"/>
      <c r="DQ136" s="1077"/>
      <c r="DR136" s="1077"/>
      <c r="DS136" s="1077"/>
      <c r="DT136" s="1077"/>
      <c r="DU136" s="1077"/>
      <c r="DV136" s="1077"/>
      <c r="DW136" s="1077"/>
      <c r="DX136" s="1077"/>
      <c r="DY136" s="1077"/>
      <c r="DZ136" s="1077"/>
      <c r="EA136" s="1077"/>
      <c r="EB136" s="1077"/>
      <c r="EC136" s="1077"/>
      <c r="ED136" s="1077"/>
      <c r="EE136" s="1077"/>
      <c r="EF136" s="1077"/>
      <c r="EG136" s="1077"/>
      <c r="EH136" s="1077"/>
      <c r="EI136" s="1077"/>
      <c r="EJ136" s="1077"/>
      <c r="EK136" s="1077"/>
      <c r="EL136" s="1077"/>
      <c r="EM136" s="1077"/>
    </row>
    <row r="137" spans="1:143" ht="18.75">
      <c r="A137" s="178"/>
      <c r="B137" s="190"/>
      <c r="C137" s="1094"/>
      <c r="D137" s="1094"/>
      <c r="E137" s="1073" t="s">
        <v>794</v>
      </c>
      <c r="F137" s="1073"/>
      <c r="G137" s="1073"/>
      <c r="H137" s="1073"/>
      <c r="I137" s="1073"/>
      <c r="J137" s="1073"/>
      <c r="K137" s="1073"/>
      <c r="L137" s="1073"/>
      <c r="M137" s="1073"/>
      <c r="N137" s="1073"/>
      <c r="O137" s="1073"/>
      <c r="P137" s="1073"/>
      <c r="Q137" s="1073"/>
      <c r="R137" s="1073"/>
      <c r="S137" s="1073"/>
      <c r="T137" s="1073"/>
      <c r="U137" s="1073"/>
      <c r="V137" s="1073"/>
      <c r="W137" s="1073"/>
      <c r="X137" s="1073"/>
      <c r="Y137" s="1073"/>
      <c r="Z137" s="1073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073"/>
      <c r="AO137" s="1073"/>
      <c r="AP137" s="1073"/>
      <c r="AQ137" s="1073"/>
      <c r="AR137" s="1073"/>
      <c r="AS137" s="1073"/>
      <c r="AT137" s="1073"/>
      <c r="AU137" s="1073"/>
      <c r="AW137" s="178"/>
      <c r="AX137" s="190"/>
      <c r="AY137" s="1094"/>
      <c r="AZ137" s="1094"/>
      <c r="BA137" s="1073" t="s">
        <v>794</v>
      </c>
      <c r="BB137" s="1073"/>
      <c r="BC137" s="1073"/>
      <c r="BD137" s="1073"/>
      <c r="BE137" s="1073"/>
      <c r="BF137" s="1073"/>
      <c r="BG137" s="1073"/>
      <c r="BH137" s="1073"/>
      <c r="BI137" s="1073"/>
      <c r="BJ137" s="1073"/>
      <c r="BK137" s="1073"/>
      <c r="BL137" s="1073"/>
      <c r="BM137" s="1073"/>
      <c r="BN137" s="1073"/>
      <c r="BO137" s="1073"/>
      <c r="BP137" s="1073"/>
      <c r="BQ137" s="1073"/>
      <c r="BR137" s="1073"/>
      <c r="BS137" s="1073"/>
      <c r="BT137" s="1073"/>
      <c r="BU137" s="1073"/>
      <c r="BV137" s="1073"/>
      <c r="BW137" s="1073"/>
      <c r="BX137" s="1073"/>
      <c r="BY137" s="1073"/>
      <c r="BZ137" s="1073"/>
      <c r="CA137" s="1073"/>
      <c r="CB137" s="1073"/>
      <c r="CC137" s="1073"/>
      <c r="CD137" s="1073"/>
      <c r="CE137" s="1073"/>
      <c r="CF137" s="1073"/>
      <c r="CG137" s="1073"/>
      <c r="CH137" s="1073"/>
      <c r="CI137" s="1073"/>
      <c r="CJ137" s="1073"/>
      <c r="CK137" s="1073"/>
      <c r="CL137" s="1073"/>
      <c r="CM137" s="1073"/>
      <c r="CN137" s="1073"/>
      <c r="CO137" s="1073"/>
      <c r="CP137" s="1073"/>
      <c r="CQ137" s="1073"/>
      <c r="CS137" s="178"/>
      <c r="CT137" s="190"/>
      <c r="CU137" s="1094"/>
      <c r="CV137" s="1094"/>
      <c r="CW137" s="1073" t="s">
        <v>794</v>
      </c>
      <c r="CX137" s="1073"/>
      <c r="CY137" s="1073"/>
      <c r="CZ137" s="1073"/>
      <c r="DA137" s="1073"/>
      <c r="DB137" s="1073"/>
      <c r="DC137" s="1073"/>
      <c r="DD137" s="1073"/>
      <c r="DE137" s="1073"/>
      <c r="DF137" s="1073"/>
      <c r="DG137" s="1073"/>
      <c r="DH137" s="1073"/>
      <c r="DI137" s="1073"/>
      <c r="DJ137" s="1073"/>
      <c r="DK137" s="1073"/>
      <c r="DL137" s="1073"/>
      <c r="DM137" s="1073"/>
      <c r="DN137" s="1073"/>
      <c r="DO137" s="1073"/>
      <c r="DP137" s="1073"/>
      <c r="DQ137" s="1073"/>
      <c r="DR137" s="1073"/>
      <c r="DS137" s="1073"/>
      <c r="DT137" s="1073"/>
      <c r="DU137" s="1073"/>
      <c r="DV137" s="1073"/>
      <c r="DW137" s="1073"/>
      <c r="DX137" s="1073"/>
      <c r="DY137" s="1073"/>
      <c r="DZ137" s="1073"/>
      <c r="EA137" s="1073"/>
      <c r="EB137" s="1073"/>
      <c r="EC137" s="1073"/>
      <c r="ED137" s="1073"/>
      <c r="EE137" s="1073"/>
      <c r="EF137" s="1073"/>
      <c r="EG137" s="1073"/>
      <c r="EH137" s="1073"/>
      <c r="EI137" s="1073"/>
      <c r="EJ137" s="1073"/>
      <c r="EK137" s="1073"/>
      <c r="EL137" s="1073"/>
      <c r="EM137" s="1073"/>
    </row>
    <row r="138" spans="1:143" ht="18.75" customHeight="1">
      <c r="A138" s="178"/>
      <c r="B138" s="1106">
        <f>I$13</f>
        <v>0</v>
      </c>
      <c r="C138" s="1107"/>
      <c r="D138" s="1107"/>
      <c r="E138" s="1107"/>
      <c r="F138" s="1107"/>
      <c r="G138" s="195" t="s">
        <v>586</v>
      </c>
      <c r="H138" s="1107">
        <f>C$65</f>
        <v>0</v>
      </c>
      <c r="I138" s="1107"/>
      <c r="J138" s="1107"/>
      <c r="K138" s="1107"/>
      <c r="L138" s="1107"/>
      <c r="M138" s="1107"/>
      <c r="N138" s="1107"/>
      <c r="O138" s="1107"/>
      <c r="P138" s="1107"/>
      <c r="Q138" s="1107"/>
      <c r="R138" s="1107"/>
      <c r="S138" s="1107"/>
      <c r="T138" s="1107"/>
      <c r="U138" s="1107"/>
      <c r="V138" s="1107"/>
      <c r="W138" s="1107"/>
      <c r="X138" s="1107"/>
      <c r="Y138" s="1107"/>
      <c r="Z138" s="1107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219" t="s">
        <v>587</v>
      </c>
      <c r="AO138" s="1070" t="s">
        <v>712</v>
      </c>
      <c r="AP138" s="1070"/>
      <c r="AQ138" s="1070"/>
      <c r="AR138" s="1070"/>
      <c r="AS138" s="1070"/>
      <c r="AT138" s="1070"/>
      <c r="AU138" s="1070"/>
      <c r="AW138" s="178"/>
      <c r="AX138" s="1106">
        <f>BE$13</f>
        <v>0</v>
      </c>
      <c r="AY138" s="1107"/>
      <c r="AZ138" s="1107"/>
      <c r="BA138" s="1107"/>
      <c r="BB138" s="1107"/>
      <c r="BC138" s="195" t="s">
        <v>586</v>
      </c>
      <c r="BD138" s="1107">
        <f>AY$65</f>
        <v>0</v>
      </c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  <c r="BX138" s="1107"/>
      <c r="BY138" s="1107"/>
      <c r="BZ138" s="1107"/>
      <c r="CA138" s="1107"/>
      <c r="CB138" s="1107"/>
      <c r="CC138" s="1107"/>
      <c r="CD138" s="1107"/>
      <c r="CE138" s="1107"/>
      <c r="CF138" s="1107"/>
      <c r="CG138" s="1107"/>
      <c r="CH138" s="1107"/>
      <c r="CI138" s="1107"/>
      <c r="CJ138" s="219" t="s">
        <v>587</v>
      </c>
      <c r="CK138" s="1070" t="s">
        <v>712</v>
      </c>
      <c r="CL138" s="1070"/>
      <c r="CM138" s="1070"/>
      <c r="CN138" s="1070"/>
      <c r="CO138" s="1070"/>
      <c r="CP138" s="1070"/>
      <c r="CQ138" s="1070"/>
      <c r="CS138" s="178"/>
      <c r="CT138" s="1106">
        <f>DA$13</f>
        <v>0</v>
      </c>
      <c r="CU138" s="1107"/>
      <c r="CV138" s="1107"/>
      <c r="CW138" s="1107"/>
      <c r="CX138" s="1107"/>
      <c r="CY138" s="195" t="s">
        <v>586</v>
      </c>
      <c r="CZ138" s="1107">
        <f>CU$65</f>
        <v>0</v>
      </c>
      <c r="DA138" s="1107"/>
      <c r="DB138" s="1107"/>
      <c r="DC138" s="1107"/>
      <c r="DD138" s="1107"/>
      <c r="DE138" s="1107"/>
      <c r="DF138" s="1107"/>
      <c r="DG138" s="1107"/>
      <c r="DH138" s="1107"/>
      <c r="DI138" s="1107"/>
      <c r="DJ138" s="1107"/>
      <c r="DK138" s="1107"/>
      <c r="DL138" s="1107"/>
      <c r="DM138" s="1107"/>
      <c r="DN138" s="1107"/>
      <c r="DO138" s="1107"/>
      <c r="DP138" s="1107"/>
      <c r="DQ138" s="1107"/>
      <c r="DR138" s="1107"/>
      <c r="DS138" s="1107"/>
      <c r="DT138" s="1107"/>
      <c r="DU138" s="1107"/>
      <c r="DV138" s="1107"/>
      <c r="DW138" s="1107"/>
      <c r="DX138" s="1107"/>
      <c r="DY138" s="1107"/>
      <c r="DZ138" s="1107"/>
      <c r="EA138" s="1107"/>
      <c r="EB138" s="1107"/>
      <c r="EC138" s="1107"/>
      <c r="ED138" s="1107"/>
      <c r="EE138" s="1107"/>
      <c r="EF138" s="219" t="s">
        <v>587</v>
      </c>
      <c r="EG138" s="1070" t="s">
        <v>712</v>
      </c>
      <c r="EH138" s="1070"/>
      <c r="EI138" s="1070"/>
      <c r="EJ138" s="1070"/>
      <c r="EK138" s="1070"/>
      <c r="EL138" s="1070"/>
      <c r="EM138" s="1070"/>
    </row>
    <row r="139" spans="1:143" ht="18.75">
      <c r="A139" s="178"/>
      <c r="B139" s="1098"/>
      <c r="C139" s="1098"/>
      <c r="D139" s="1098"/>
      <c r="E139" s="1098"/>
      <c r="F139" s="1098"/>
      <c r="G139" s="1098"/>
      <c r="H139" s="1098"/>
      <c r="I139" s="1098"/>
      <c r="J139" s="1098"/>
      <c r="K139" s="1098"/>
      <c r="L139" s="1098"/>
      <c r="M139" s="1098"/>
      <c r="N139" s="1098"/>
      <c r="O139" s="1098"/>
      <c r="P139" s="1098"/>
      <c r="Q139" s="1098"/>
      <c r="R139" s="1098"/>
      <c r="S139" s="1098"/>
      <c r="T139" s="1098"/>
      <c r="U139" s="1098"/>
      <c r="V139" s="1098"/>
      <c r="W139" s="1098"/>
      <c r="X139" s="1098"/>
      <c r="Y139" s="1098"/>
      <c r="Z139" s="1098"/>
      <c r="AA139" s="1098"/>
      <c r="AB139" s="1098"/>
      <c r="AC139" s="1098"/>
      <c r="AD139" s="1098"/>
      <c r="AE139" s="1098"/>
      <c r="AF139" s="1098"/>
      <c r="AG139" s="1098"/>
      <c r="AH139" s="1098"/>
      <c r="AI139" s="1098"/>
      <c r="AJ139" s="1098"/>
      <c r="AK139" s="1098"/>
      <c r="AL139" s="1098"/>
      <c r="AM139" s="1098"/>
      <c r="AN139" s="1098"/>
      <c r="AO139" s="1098"/>
      <c r="AP139" s="1098"/>
      <c r="AQ139" s="1098"/>
      <c r="AR139" s="1098"/>
      <c r="AS139" s="1098"/>
      <c r="AT139" s="1098"/>
      <c r="AU139" s="1098"/>
      <c r="AW139" s="178"/>
      <c r="AX139" s="1098"/>
      <c r="AY139" s="1098"/>
      <c r="AZ139" s="1098"/>
      <c r="BA139" s="1098"/>
      <c r="BB139" s="1098"/>
      <c r="BC139" s="1098"/>
      <c r="BD139" s="1098"/>
      <c r="BE139" s="1098"/>
      <c r="BF139" s="1098"/>
      <c r="BG139" s="1098"/>
      <c r="BH139" s="1098"/>
      <c r="BI139" s="1098"/>
      <c r="BJ139" s="1098"/>
      <c r="BK139" s="1098"/>
      <c r="BL139" s="1098"/>
      <c r="BM139" s="1098"/>
      <c r="BN139" s="1098"/>
      <c r="BO139" s="1098"/>
      <c r="BP139" s="1098"/>
      <c r="BQ139" s="1098"/>
      <c r="BR139" s="1098"/>
      <c r="BS139" s="1098"/>
      <c r="BT139" s="1098"/>
      <c r="BU139" s="1098"/>
      <c r="BV139" s="1098"/>
      <c r="BW139" s="1098"/>
      <c r="BX139" s="1098"/>
      <c r="BY139" s="1098"/>
      <c r="BZ139" s="1098"/>
      <c r="CA139" s="1098"/>
      <c r="CB139" s="1098"/>
      <c r="CC139" s="1098"/>
      <c r="CD139" s="1098"/>
      <c r="CE139" s="1098"/>
      <c r="CF139" s="1098"/>
      <c r="CG139" s="1098"/>
      <c r="CH139" s="1098"/>
      <c r="CI139" s="1098"/>
      <c r="CJ139" s="1098"/>
      <c r="CK139" s="1098"/>
      <c r="CL139" s="1098"/>
      <c r="CM139" s="1098"/>
      <c r="CN139" s="1098"/>
      <c r="CO139" s="1098"/>
      <c r="CP139" s="1098"/>
      <c r="CQ139" s="1098"/>
      <c r="CS139" s="178"/>
      <c r="CT139" s="1098"/>
      <c r="CU139" s="1098"/>
      <c r="CV139" s="1098"/>
      <c r="CW139" s="1098"/>
      <c r="CX139" s="1098"/>
      <c r="CY139" s="1098"/>
      <c r="CZ139" s="1098"/>
      <c r="DA139" s="1098"/>
      <c r="DB139" s="1098"/>
      <c r="DC139" s="1098"/>
      <c r="DD139" s="1098"/>
      <c r="DE139" s="1098"/>
      <c r="DF139" s="1098"/>
      <c r="DG139" s="1098"/>
      <c r="DH139" s="1098"/>
      <c r="DI139" s="1098"/>
      <c r="DJ139" s="1098"/>
      <c r="DK139" s="1098"/>
      <c r="DL139" s="1098"/>
      <c r="DM139" s="1098"/>
      <c r="DN139" s="1098"/>
      <c r="DO139" s="1098"/>
      <c r="DP139" s="1098"/>
      <c r="DQ139" s="1098"/>
      <c r="DR139" s="1098"/>
      <c r="DS139" s="1098"/>
      <c r="DT139" s="1098"/>
      <c r="DU139" s="1098"/>
      <c r="DV139" s="1098"/>
      <c r="DW139" s="1098"/>
      <c r="DX139" s="1098"/>
      <c r="DY139" s="1098"/>
      <c r="DZ139" s="1098"/>
      <c r="EA139" s="1098"/>
      <c r="EB139" s="1098"/>
      <c r="EC139" s="1098"/>
      <c r="ED139" s="1098"/>
      <c r="EE139" s="1098"/>
      <c r="EF139" s="1098"/>
      <c r="EG139" s="1098"/>
      <c r="EH139" s="1098"/>
      <c r="EI139" s="1098"/>
      <c r="EJ139" s="1098"/>
      <c r="EK139" s="1098"/>
      <c r="EL139" s="1098"/>
      <c r="EM139" s="1098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99" t="s">
        <v>795</v>
      </c>
      <c r="C141" s="1099"/>
      <c r="D141" s="1099"/>
      <c r="E141" s="1099"/>
      <c r="F141" s="1099"/>
      <c r="G141" s="1099"/>
      <c r="H141" s="1099"/>
      <c r="I141" s="1099"/>
      <c r="J141" s="1099"/>
      <c r="K141" s="1099"/>
      <c r="L141" s="1099"/>
      <c r="M141" s="1099"/>
      <c r="N141" s="1099"/>
      <c r="O141" s="1099"/>
      <c r="P141" s="1099"/>
      <c r="Q141" s="1099"/>
      <c r="R141" s="1099"/>
      <c r="S141" s="1099"/>
      <c r="T141" s="1099"/>
      <c r="U141" s="1099"/>
      <c r="V141" s="1099"/>
      <c r="W141" s="1099"/>
      <c r="X141" s="1099"/>
      <c r="Y141" s="1099" t="s">
        <v>796</v>
      </c>
      <c r="Z141" s="1099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W141" s="178"/>
      <c r="AX141" s="1099" t="s">
        <v>795</v>
      </c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 t="s">
        <v>796</v>
      </c>
      <c r="BV141" s="1099"/>
      <c r="BW141" s="1099"/>
      <c r="BX141" s="1099"/>
      <c r="BY141" s="1099"/>
      <c r="BZ141" s="1099"/>
      <c r="CA141" s="1099"/>
      <c r="CB141" s="1099"/>
      <c r="CC141" s="1099"/>
      <c r="CD141" s="1099"/>
      <c r="CE141" s="1099"/>
      <c r="CF141" s="1099"/>
      <c r="CG141" s="1099"/>
      <c r="CH141" s="1099"/>
      <c r="CI141" s="1099"/>
      <c r="CJ141" s="1099"/>
      <c r="CK141" s="1099"/>
      <c r="CL141" s="1099"/>
      <c r="CM141" s="1099"/>
      <c r="CN141" s="1099"/>
      <c r="CO141" s="1099"/>
      <c r="CP141" s="1099"/>
      <c r="CQ141" s="1099"/>
      <c r="CS141" s="178"/>
      <c r="CT141" s="1099" t="s">
        <v>795</v>
      </c>
      <c r="CU141" s="1099"/>
      <c r="CV141" s="1099"/>
      <c r="CW141" s="1099"/>
      <c r="CX141" s="1099"/>
      <c r="CY141" s="1099"/>
      <c r="CZ141" s="1099"/>
      <c r="DA141" s="1099"/>
      <c r="DB141" s="1099"/>
      <c r="DC141" s="1099"/>
      <c r="DD141" s="1099"/>
      <c r="DE141" s="1099"/>
      <c r="DF141" s="1099"/>
      <c r="DG141" s="1099"/>
      <c r="DH141" s="1099"/>
      <c r="DI141" s="1099"/>
      <c r="DJ141" s="1099"/>
      <c r="DK141" s="1099"/>
      <c r="DL141" s="1099"/>
      <c r="DM141" s="1099"/>
      <c r="DN141" s="1099"/>
      <c r="DO141" s="1099"/>
      <c r="DP141" s="1099"/>
      <c r="DQ141" s="1099" t="s">
        <v>796</v>
      </c>
      <c r="DR141" s="1099"/>
      <c r="DS141" s="1099"/>
      <c r="DT141" s="1099"/>
      <c r="DU141" s="1099"/>
      <c r="DV141" s="1099"/>
      <c r="DW141" s="1099"/>
      <c r="DX141" s="1099"/>
      <c r="DY141" s="1099"/>
      <c r="DZ141" s="1099"/>
      <c r="EA141" s="1099"/>
      <c r="EB141" s="1099"/>
      <c r="EC141" s="1099"/>
      <c r="ED141" s="1099"/>
      <c r="EE141" s="1099"/>
      <c r="EF141" s="1099"/>
      <c r="EG141" s="1099"/>
      <c r="EH141" s="1099"/>
      <c r="EI141" s="1099"/>
      <c r="EJ141" s="1099"/>
      <c r="EK141" s="1099"/>
      <c r="EL141" s="1099"/>
      <c r="EM141" s="1099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100" t="s">
        <v>151</v>
      </c>
      <c r="B143" s="1100"/>
      <c r="C143" s="1100"/>
      <c r="D143" s="1100"/>
      <c r="E143" s="1100"/>
      <c r="F143" s="1100"/>
      <c r="G143" s="1100"/>
      <c r="H143" s="1100"/>
      <c r="I143" s="1100"/>
      <c r="J143" s="1100"/>
      <c r="K143" s="1100"/>
      <c r="L143" s="1100"/>
      <c r="M143" s="1100"/>
      <c r="N143" s="1100"/>
      <c r="O143" s="1100"/>
      <c r="P143" s="1100"/>
      <c r="Q143" s="1100"/>
      <c r="R143" s="1100"/>
      <c r="S143" s="1100"/>
      <c r="T143" s="1100"/>
      <c r="U143" s="1100"/>
      <c r="V143" s="1100"/>
      <c r="W143" s="1100"/>
      <c r="AU143" s="201"/>
      <c r="AW143" s="1100" t="s">
        <v>151</v>
      </c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100" t="s">
        <v>151</v>
      </c>
      <c r="CT143" s="1100"/>
      <c r="CU143" s="1100"/>
      <c r="CV143" s="1100"/>
      <c r="CW143" s="1100"/>
      <c r="CX143" s="1100"/>
      <c r="CY143" s="1100"/>
      <c r="CZ143" s="1100"/>
      <c r="DA143" s="1100"/>
      <c r="DB143" s="1100"/>
      <c r="DC143" s="1100"/>
      <c r="DD143" s="1100"/>
      <c r="DE143" s="1100"/>
      <c r="DF143" s="1100"/>
      <c r="DG143" s="1100"/>
      <c r="DH143" s="1100"/>
      <c r="DI143" s="1100"/>
      <c r="DJ143" s="1100"/>
      <c r="DK143" s="1100"/>
      <c r="DL143" s="1100"/>
      <c r="DM143" s="1100"/>
      <c r="DN143" s="1100"/>
      <c r="DO143" s="1100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57"/>
      <c r="B144" s="1057"/>
      <c r="C144" s="1057"/>
      <c r="D144" s="1057"/>
      <c r="E144" s="1057"/>
      <c r="F144" s="1057"/>
      <c r="G144" s="1057"/>
      <c r="H144" s="1057"/>
      <c r="I144" s="1057"/>
      <c r="J144" s="1057"/>
      <c r="K144" s="1057"/>
      <c r="L144" s="1057"/>
      <c r="M144" s="1057"/>
      <c r="N144" s="1057"/>
      <c r="O144" s="1086">
        <f>I$9</f>
        <v>0</v>
      </c>
      <c r="P144" s="1086"/>
      <c r="Q144" s="1086"/>
      <c r="R144" s="1086"/>
      <c r="S144" s="1086"/>
      <c r="T144" s="1086"/>
      <c r="U144" s="1086"/>
      <c r="V144" s="1086"/>
      <c r="W144" s="1086"/>
      <c r="Y144" s="1084"/>
      <c r="Z144" s="1084"/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5">
        <f>I$16</f>
        <v>0</v>
      </c>
      <c r="AM144" s="1085"/>
      <c r="AN144" s="1085"/>
      <c r="AO144" s="1085"/>
      <c r="AP144" s="1085"/>
      <c r="AQ144" s="1085"/>
      <c r="AR144" s="1085"/>
      <c r="AS144" s="1085"/>
      <c r="AT144" s="1085"/>
      <c r="AU144" s="211"/>
      <c r="AW144" s="1057"/>
      <c r="AX144" s="1057"/>
      <c r="AY144" s="1057"/>
      <c r="AZ144" s="1057"/>
      <c r="BA144" s="1057"/>
      <c r="BB144" s="1057"/>
      <c r="BC144" s="1057"/>
      <c r="BD144" s="1057"/>
      <c r="BE144" s="1057"/>
      <c r="BF144" s="1057"/>
      <c r="BG144" s="1057"/>
      <c r="BH144" s="1057"/>
      <c r="BI144" s="1057"/>
      <c r="BJ144" s="1057"/>
      <c r="BK144" s="1086">
        <f>BE$9</f>
        <v>0</v>
      </c>
      <c r="BL144" s="1086"/>
      <c r="BM144" s="1086"/>
      <c r="BN144" s="1086"/>
      <c r="BO144" s="1086"/>
      <c r="BP144" s="1086"/>
      <c r="BQ144" s="1086"/>
      <c r="BR144" s="1086"/>
      <c r="BS144" s="1086"/>
      <c r="BT144" s="234"/>
      <c r="BU144" s="1084"/>
      <c r="BV144" s="1084"/>
      <c r="BW144" s="1084"/>
      <c r="BX144" s="1084"/>
      <c r="BY144" s="1084"/>
      <c r="BZ144" s="1084"/>
      <c r="CA144" s="1084"/>
      <c r="CB144" s="1084"/>
      <c r="CC144" s="1084"/>
      <c r="CD144" s="1084"/>
      <c r="CE144" s="1084"/>
      <c r="CF144" s="1084"/>
      <c r="CG144" s="1084"/>
      <c r="CH144" s="1085">
        <f>BE$16</f>
        <v>0</v>
      </c>
      <c r="CI144" s="1085"/>
      <c r="CJ144" s="1085"/>
      <c r="CK144" s="1085"/>
      <c r="CL144" s="1085"/>
      <c r="CM144" s="1085"/>
      <c r="CN144" s="1085"/>
      <c r="CO144" s="1085"/>
      <c r="CP144" s="1085"/>
      <c r="CQ144" s="211"/>
      <c r="CS144" s="1057"/>
      <c r="CT144" s="1057"/>
      <c r="CU144" s="1057"/>
      <c r="CV144" s="1057"/>
      <c r="CW144" s="1057"/>
      <c r="CX144" s="1057"/>
      <c r="CY144" s="1057"/>
      <c r="CZ144" s="1057"/>
      <c r="DA144" s="1057"/>
      <c r="DB144" s="1057"/>
      <c r="DC144" s="1057"/>
      <c r="DD144" s="1057"/>
      <c r="DE144" s="1057"/>
      <c r="DF144" s="1057"/>
      <c r="DG144" s="1086">
        <f>DA$9</f>
        <v>0</v>
      </c>
      <c r="DH144" s="1086"/>
      <c r="DI144" s="1086"/>
      <c r="DJ144" s="1086"/>
      <c r="DK144" s="1086"/>
      <c r="DL144" s="1086"/>
      <c r="DM144" s="1086"/>
      <c r="DN144" s="1086"/>
      <c r="DO144" s="1086"/>
      <c r="DP144" s="234"/>
      <c r="DQ144" s="1084"/>
      <c r="DR144" s="1084"/>
      <c r="DS144" s="1084"/>
      <c r="DT144" s="1084"/>
      <c r="DU144" s="1084"/>
      <c r="DV144" s="1084"/>
      <c r="DW144" s="1084"/>
      <c r="DX144" s="1084"/>
      <c r="DY144" s="1084"/>
      <c r="DZ144" s="1084"/>
      <c r="EA144" s="1084"/>
      <c r="EB144" s="1084"/>
      <c r="EC144" s="1084"/>
      <c r="ED144" s="1085">
        <f>DA$16</f>
        <v>0</v>
      </c>
      <c r="EE144" s="1085"/>
      <c r="EF144" s="1085"/>
      <c r="EG144" s="1085"/>
      <c r="EH144" s="1085"/>
      <c r="EI144" s="1085"/>
      <c r="EJ144" s="1085"/>
      <c r="EK144" s="1085"/>
      <c r="EL144" s="1085"/>
      <c r="EM144" s="211"/>
    </row>
    <row r="145" spans="1:143" ht="16.5">
      <c r="A145" s="1059" t="s">
        <v>5</v>
      </c>
      <c r="B145" s="1059"/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60" t="s">
        <v>688</v>
      </c>
      <c r="P145" s="1060"/>
      <c r="Q145" s="1060"/>
      <c r="R145" s="1060"/>
      <c r="S145" s="1060"/>
      <c r="T145" s="1060"/>
      <c r="U145" s="1060"/>
      <c r="V145" s="1060"/>
      <c r="W145" s="20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 t="s">
        <v>688</v>
      </c>
      <c r="AM145" s="1059"/>
      <c r="AN145" s="1059"/>
      <c r="AO145" s="1059"/>
      <c r="AP145" s="1059"/>
      <c r="AQ145" s="1059"/>
      <c r="AR145" s="1059"/>
      <c r="AS145" s="1059"/>
      <c r="AT145" s="1059"/>
      <c r="AU145" s="212"/>
      <c r="AW145" s="1059" t="s">
        <v>5</v>
      </c>
      <c r="AX145" s="1059"/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60" t="s">
        <v>688</v>
      </c>
      <c r="BL145" s="1060"/>
      <c r="BM145" s="1060"/>
      <c r="BN145" s="1060"/>
      <c r="BO145" s="1060"/>
      <c r="BP145" s="1060"/>
      <c r="BQ145" s="1060"/>
      <c r="BR145" s="1060"/>
      <c r="BS145" s="202"/>
      <c r="BT145" s="234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 t="s">
        <v>688</v>
      </c>
      <c r="CI145" s="1059"/>
      <c r="CJ145" s="1059"/>
      <c r="CK145" s="1059"/>
      <c r="CL145" s="1059"/>
      <c r="CM145" s="1059"/>
      <c r="CN145" s="1059"/>
      <c r="CO145" s="1059"/>
      <c r="CP145" s="1059"/>
      <c r="CQ145" s="212"/>
      <c r="CS145" s="1059" t="s">
        <v>5</v>
      </c>
      <c r="CT145" s="1059"/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60" t="s">
        <v>688</v>
      </c>
      <c r="DH145" s="1060"/>
      <c r="DI145" s="1060"/>
      <c r="DJ145" s="1060"/>
      <c r="DK145" s="1060"/>
      <c r="DL145" s="1060"/>
      <c r="DM145" s="1060"/>
      <c r="DN145" s="1060"/>
      <c r="DO145" s="202"/>
      <c r="DP145" s="234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 t="s">
        <v>688</v>
      </c>
      <c r="EE145" s="1059"/>
      <c r="EF145" s="1059"/>
      <c r="EG145" s="1059"/>
      <c r="EH145" s="1059"/>
      <c r="EI145" s="1059"/>
      <c r="EJ145" s="1059"/>
      <c r="EK145" s="1059"/>
      <c r="EL145" s="1059"/>
      <c r="EM145" s="212"/>
    </row>
    <row r="146" spans="1:143" ht="16.5" customHeight="1">
      <c r="A146" s="1061"/>
      <c r="B146" s="1061"/>
      <c r="C146" s="1061"/>
      <c r="D146" s="1061"/>
      <c r="E146" s="1061"/>
      <c r="F146" s="1061"/>
      <c r="G146" s="1061"/>
      <c r="H146" s="1061"/>
      <c r="I146" s="1061"/>
      <c r="J146" s="1061"/>
      <c r="K146" s="1061"/>
      <c r="L146" s="1061"/>
      <c r="M146" s="1061"/>
      <c r="N146" s="1061"/>
      <c r="O146" s="1061"/>
      <c r="P146" s="1061"/>
      <c r="Q146" s="1061"/>
      <c r="R146" s="1061"/>
      <c r="S146" s="1061"/>
      <c r="T146" s="1061"/>
      <c r="U146" s="1061"/>
      <c r="V146" s="1061"/>
      <c r="W146" s="1061"/>
      <c r="Y146" s="1101"/>
      <c r="Z146" s="1101"/>
      <c r="AA146" s="1101"/>
      <c r="AB146" s="1101"/>
      <c r="AC146" s="1101"/>
      <c r="AD146" s="1101"/>
      <c r="AE146" s="1101"/>
      <c r="AF146" s="1101"/>
      <c r="AG146" s="1101"/>
      <c r="AH146" s="1101"/>
      <c r="AI146" s="1101"/>
      <c r="AJ146" s="1101"/>
      <c r="AK146" s="1101"/>
      <c r="AL146" s="1101"/>
      <c r="AM146" s="1101"/>
      <c r="AN146" s="1101"/>
      <c r="AO146" s="1101"/>
      <c r="AP146" s="1101"/>
      <c r="AQ146" s="1101"/>
      <c r="AR146" s="1101"/>
      <c r="AS146" s="1101"/>
      <c r="AT146" s="1101"/>
      <c r="AU146" s="1101"/>
      <c r="AW146" s="1061"/>
      <c r="AX146" s="1061"/>
      <c r="AY146" s="1061"/>
      <c r="AZ146" s="1061"/>
      <c r="BA146" s="1061"/>
      <c r="BB146" s="1061"/>
      <c r="BC146" s="1061"/>
      <c r="BD146" s="1061"/>
      <c r="BE146" s="1061"/>
      <c r="BF146" s="1061"/>
      <c r="BG146" s="1061"/>
      <c r="BH146" s="1061"/>
      <c r="BI146" s="1061"/>
      <c r="BJ146" s="1061"/>
      <c r="BK146" s="1061"/>
      <c r="BL146" s="1061"/>
      <c r="BM146" s="1061"/>
      <c r="BN146" s="1061"/>
      <c r="BO146" s="1061"/>
      <c r="BP146" s="1061"/>
      <c r="BQ146" s="1061"/>
      <c r="BR146" s="1061"/>
      <c r="BS146" s="1061"/>
      <c r="BT146" s="234"/>
      <c r="BU146" s="1101"/>
      <c r="BV146" s="1101"/>
      <c r="BW146" s="1101"/>
      <c r="BX146" s="1101"/>
      <c r="BY146" s="1101"/>
      <c r="BZ146" s="1101"/>
      <c r="CA146" s="1101"/>
      <c r="CB146" s="1101"/>
      <c r="CC146" s="1101"/>
      <c r="CD146" s="1101"/>
      <c r="CE146" s="1101"/>
      <c r="CF146" s="1101"/>
      <c r="CG146" s="1101"/>
      <c r="CH146" s="1101"/>
      <c r="CI146" s="1101"/>
      <c r="CJ146" s="1101"/>
      <c r="CK146" s="1101"/>
      <c r="CL146" s="1101"/>
      <c r="CM146" s="1101"/>
      <c r="CN146" s="1101"/>
      <c r="CO146" s="1101"/>
      <c r="CP146" s="1101"/>
      <c r="CQ146" s="1101"/>
      <c r="CS146" s="1061"/>
      <c r="CT146" s="1061"/>
      <c r="CU146" s="1061"/>
      <c r="CV146" s="1061"/>
      <c r="CW146" s="1061"/>
      <c r="CX146" s="1061"/>
      <c r="CY146" s="1061"/>
      <c r="CZ146" s="1061"/>
      <c r="DA146" s="1061"/>
      <c r="DB146" s="1061"/>
      <c r="DC146" s="1061"/>
      <c r="DD146" s="1061"/>
      <c r="DE146" s="1061"/>
      <c r="DF146" s="1061"/>
      <c r="DG146" s="1061"/>
      <c r="DH146" s="1061"/>
      <c r="DI146" s="1061"/>
      <c r="DJ146" s="1061"/>
      <c r="DK146" s="1061"/>
      <c r="DL146" s="1061"/>
      <c r="DM146" s="1061"/>
      <c r="DN146" s="1061"/>
      <c r="DO146" s="1061"/>
      <c r="DP146" s="234"/>
      <c r="DQ146" s="1101"/>
      <c r="DR146" s="1101"/>
      <c r="DS146" s="1101"/>
      <c r="DT146" s="1101"/>
      <c r="DU146" s="1101"/>
      <c r="DV146" s="1101"/>
      <c r="DW146" s="1101"/>
      <c r="DX146" s="1101"/>
      <c r="DY146" s="1101"/>
      <c r="DZ146" s="1101"/>
      <c r="EA146" s="1101"/>
      <c r="EB146" s="1101"/>
      <c r="EC146" s="1101"/>
      <c r="ED146" s="1101"/>
      <c r="EE146" s="1101"/>
      <c r="EF146" s="1101"/>
      <c r="EG146" s="1101"/>
      <c r="EH146" s="1101"/>
      <c r="EI146" s="1101"/>
      <c r="EJ146" s="1101"/>
      <c r="EK146" s="1101"/>
      <c r="EL146" s="1101"/>
      <c r="EM146" s="1101"/>
    </row>
    <row r="147" spans="1:143" ht="16.5" customHeight="1">
      <c r="A147" s="1081" t="s">
        <v>978</v>
      </c>
      <c r="B147" s="1082"/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Y147" s="1081" t="s">
        <v>978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W147" s="1081" t="s">
        <v>978</v>
      </c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234"/>
      <c r="BU147" s="1081" t="s">
        <v>978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081" t="s">
        <v>978</v>
      </c>
      <c r="CT147" s="1082"/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234"/>
      <c r="DQ147" s="1081" t="s">
        <v>978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3"/>
      <c r="W148" s="1083"/>
      <c r="X148" s="1083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3"/>
      <c r="BS148" s="1083"/>
      <c r="BT148" s="1083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3"/>
      <c r="DO148" s="1083"/>
      <c r="DP148" s="1083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7" t="s">
        <v>797</v>
      </c>
      <c r="X150" s="1087"/>
      <c r="Y150" s="1087"/>
      <c r="Z150" s="1087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7" t="s">
        <v>797</v>
      </c>
      <c r="BT150" s="1087"/>
      <c r="BU150" s="1087"/>
      <c r="BV150" s="1087"/>
      <c r="BW150" s="1087"/>
      <c r="BX150" s="1087"/>
      <c r="BY150" s="1087"/>
      <c r="BZ150" s="1087"/>
      <c r="CA150" s="1087"/>
      <c r="CB150" s="1087"/>
      <c r="CC150" s="1087"/>
      <c r="CD150" s="1087"/>
      <c r="CE150" s="1087"/>
      <c r="CF150" s="1087"/>
      <c r="CG150" s="1087"/>
      <c r="CH150" s="1087"/>
      <c r="CI150" s="1087"/>
      <c r="CJ150" s="1087"/>
      <c r="CK150" s="1087"/>
      <c r="CL150" s="1087"/>
      <c r="CM150" s="1087"/>
      <c r="CN150" s="1087"/>
      <c r="CO150" s="1087"/>
      <c r="CP150" s="1087"/>
      <c r="CQ150" s="1087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7" t="s">
        <v>797</v>
      </c>
      <c r="DP150" s="1087"/>
      <c r="DQ150" s="1087"/>
      <c r="DR150" s="1087"/>
      <c r="DS150" s="1087"/>
      <c r="DT150" s="1087"/>
      <c r="DU150" s="1087"/>
      <c r="DV150" s="1087"/>
      <c r="DW150" s="1087"/>
      <c r="DX150" s="1087"/>
      <c r="DY150" s="1087"/>
      <c r="DZ150" s="1087"/>
      <c r="EA150" s="1087"/>
      <c r="EB150" s="1087"/>
      <c r="EC150" s="1087"/>
      <c r="ED150" s="1087"/>
      <c r="EE150" s="1087"/>
      <c r="EF150" s="1087"/>
      <c r="EG150" s="1087"/>
      <c r="EH150" s="1087"/>
      <c r="EI150" s="1087"/>
      <c r="EJ150" s="1087"/>
      <c r="EK150" s="1087"/>
      <c r="EL150" s="1087"/>
      <c r="EM150" s="1087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9" t="s">
        <v>551</v>
      </c>
      <c r="X151" s="1089"/>
      <c r="Y151" s="1089"/>
      <c r="Z151" s="1080">
        <f>$AF$33</f>
        <v>0</v>
      </c>
      <c r="AA151" s="1080"/>
      <c r="AB151" s="215" t="s">
        <v>524</v>
      </c>
      <c r="AC151" s="1080">
        <f>$AI$33</f>
        <v>0</v>
      </c>
      <c r="AD151" s="1080"/>
      <c r="AE151" s="1080"/>
      <c r="AF151" s="1080"/>
      <c r="AG151" s="1080"/>
      <c r="AH151" s="1080"/>
      <c r="AI151" s="1080"/>
      <c r="AJ151" s="1080">
        <f>$AP$33</f>
        <v>0</v>
      </c>
      <c r="AK151" s="1080"/>
      <c r="AL151" s="1080"/>
      <c r="AM151" s="1080"/>
      <c r="AN151" s="1091" t="s">
        <v>375</v>
      </c>
      <c r="AO151" s="1091"/>
      <c r="AP151" s="1092" t="s">
        <v>680</v>
      </c>
      <c r="AQ151" s="1092"/>
      <c r="AR151" s="1095">
        <f>$AB$29</f>
        <v>0</v>
      </c>
      <c r="AS151" s="1095"/>
      <c r="AT151" s="1095"/>
      <c r="AU151" s="1095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9" t="s">
        <v>551</v>
      </c>
      <c r="BT151" s="1089"/>
      <c r="BU151" s="1089"/>
      <c r="BV151" s="1080">
        <f>$AF$33</f>
        <v>0</v>
      </c>
      <c r="BW151" s="1080"/>
      <c r="BX151" s="215" t="s">
        <v>524</v>
      </c>
      <c r="BY151" s="1080">
        <f>$AI$33</f>
        <v>0</v>
      </c>
      <c r="BZ151" s="1080"/>
      <c r="CA151" s="1080"/>
      <c r="CB151" s="1080"/>
      <c r="CC151" s="1080"/>
      <c r="CD151" s="1080"/>
      <c r="CE151" s="1080"/>
      <c r="CF151" s="1080">
        <f>$AP$33</f>
        <v>0</v>
      </c>
      <c r="CG151" s="1080"/>
      <c r="CH151" s="1080"/>
      <c r="CI151" s="1080"/>
      <c r="CJ151" s="1091" t="s">
        <v>375</v>
      </c>
      <c r="CK151" s="1091"/>
      <c r="CL151" s="1092" t="s">
        <v>680</v>
      </c>
      <c r="CM151" s="1092"/>
      <c r="CN151" s="1095">
        <f>$AB$29</f>
        <v>0</v>
      </c>
      <c r="CO151" s="1095"/>
      <c r="CP151" s="1095"/>
      <c r="CQ151" s="1095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9" t="s">
        <v>551</v>
      </c>
      <c r="DP151" s="1089"/>
      <c r="DQ151" s="1089"/>
      <c r="DR151" s="1080">
        <f>$AF$33</f>
        <v>0</v>
      </c>
      <c r="DS151" s="1080"/>
      <c r="DT151" s="215" t="s">
        <v>524</v>
      </c>
      <c r="DU151" s="1080">
        <f>$AI$33</f>
        <v>0</v>
      </c>
      <c r="DV151" s="1080"/>
      <c r="DW151" s="1080"/>
      <c r="DX151" s="1080"/>
      <c r="DY151" s="1080"/>
      <c r="DZ151" s="1080"/>
      <c r="EA151" s="1080"/>
      <c r="EB151" s="1080">
        <f>$AP$33</f>
        <v>0</v>
      </c>
      <c r="EC151" s="1080"/>
      <c r="ED151" s="1080"/>
      <c r="EE151" s="1080"/>
      <c r="EF151" s="1091" t="s">
        <v>375</v>
      </c>
      <c r="EG151" s="1091"/>
      <c r="EH151" s="1092" t="s">
        <v>680</v>
      </c>
      <c r="EI151" s="1092"/>
      <c r="EJ151" s="1095">
        <f>$AB$29</f>
        <v>0</v>
      </c>
      <c r="EK151" s="1095"/>
      <c r="EL151" s="1095"/>
      <c r="EM151" s="1095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3"/>
      <c r="AI153" s="1083"/>
      <c r="AJ153" s="1083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3"/>
      <c r="CE153" s="1083"/>
      <c r="CF153" s="1083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3"/>
      <c r="EA153" s="1083"/>
      <c r="EB153" s="1083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68" t="s">
        <v>715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715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715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6.5" customHeight="1">
      <c r="A157" s="178"/>
      <c r="B157" s="1068" t="s">
        <v>716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W157" s="178"/>
      <c r="AX157" s="1068" t="s">
        <v>716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716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69">
        <f>B$39</f>
        <v>0</v>
      </c>
      <c r="H159" s="1069"/>
      <c r="I159" s="1069"/>
      <c r="J159" s="1069"/>
      <c r="K159" s="1069"/>
      <c r="L159" s="1069"/>
      <c r="M159" s="1069"/>
      <c r="N159" s="1069"/>
      <c r="O159" s="1069"/>
      <c r="P159" s="1069"/>
      <c r="Q159" s="1069"/>
      <c r="R159" s="1069"/>
      <c r="S159" s="1069"/>
      <c r="T159" s="1069"/>
      <c r="U159" s="1069"/>
      <c r="V159" s="1069"/>
      <c r="W159" s="1069"/>
      <c r="X159" s="1069"/>
      <c r="Y159" s="1069"/>
      <c r="Z159" s="1069"/>
      <c r="AA159" s="1069"/>
      <c r="AB159" s="1069"/>
      <c r="AC159" s="1069"/>
      <c r="AD159" s="1069"/>
      <c r="AE159" s="1069"/>
      <c r="AF159" s="1069"/>
      <c r="AG159" s="1069"/>
      <c r="AH159" s="1069"/>
      <c r="AI159" s="1069"/>
      <c r="AJ159" s="1069"/>
      <c r="AK159" s="1069"/>
      <c r="AL159" s="1069"/>
      <c r="AM159" s="1069"/>
      <c r="AN159" s="1069"/>
      <c r="AO159" s="1069"/>
      <c r="AP159" s="1069"/>
      <c r="AQ159" s="1069"/>
      <c r="AR159" s="1069"/>
      <c r="AS159" s="1069"/>
      <c r="AT159" s="1069"/>
      <c r="AU159" s="1069"/>
      <c r="AW159" s="178"/>
      <c r="AX159" s="184"/>
      <c r="AY159" s="184"/>
      <c r="AZ159" s="184"/>
      <c r="BA159" s="185" t="s">
        <v>717</v>
      </c>
      <c r="BB159" s="185"/>
      <c r="BC159" s="1069">
        <f>AX$39</f>
        <v>0</v>
      </c>
      <c r="BD159" s="1069"/>
      <c r="BE159" s="1069"/>
      <c r="BF159" s="1069"/>
      <c r="BG159" s="1069"/>
      <c r="BH159" s="1069"/>
      <c r="BI159" s="1069"/>
      <c r="BJ159" s="1069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  <c r="BX159" s="1069"/>
      <c r="BY159" s="1069"/>
      <c r="BZ159" s="1069"/>
      <c r="CA159" s="1069"/>
      <c r="CB159" s="1069"/>
      <c r="CC159" s="1069"/>
      <c r="CD159" s="1069"/>
      <c r="CE159" s="1069"/>
      <c r="CF159" s="1069"/>
      <c r="CG159" s="1069"/>
      <c r="CH159" s="1069"/>
      <c r="CI159" s="1069"/>
      <c r="CJ159" s="1069"/>
      <c r="CK159" s="1069"/>
      <c r="CL159" s="1069"/>
      <c r="CM159" s="1069"/>
      <c r="CN159" s="1069"/>
      <c r="CO159" s="1069"/>
      <c r="CP159" s="1069"/>
      <c r="CQ159" s="1069"/>
      <c r="CS159" s="178"/>
      <c r="CT159" s="184"/>
      <c r="CU159" s="184"/>
      <c r="CV159" s="184"/>
      <c r="CW159" s="185" t="s">
        <v>717</v>
      </c>
      <c r="CX159" s="185"/>
      <c r="CY159" s="1069">
        <f>CT$39</f>
        <v>0</v>
      </c>
      <c r="CZ159" s="1069"/>
      <c r="DA159" s="1069"/>
      <c r="DB159" s="1069"/>
      <c r="DC159" s="1069"/>
      <c r="DD159" s="1069"/>
      <c r="DE159" s="1069"/>
      <c r="DF159" s="1069"/>
      <c r="DG159" s="1069"/>
      <c r="DH159" s="1069"/>
      <c r="DI159" s="1069"/>
      <c r="DJ159" s="1069"/>
      <c r="DK159" s="1069"/>
      <c r="DL159" s="1069"/>
      <c r="DM159" s="1069"/>
      <c r="DN159" s="1069"/>
      <c r="DO159" s="1069"/>
      <c r="DP159" s="1069"/>
      <c r="DQ159" s="1069"/>
      <c r="DR159" s="1069"/>
      <c r="DS159" s="1069"/>
      <c r="DT159" s="1069"/>
      <c r="DU159" s="1069"/>
      <c r="DV159" s="1069"/>
      <c r="DW159" s="1069"/>
      <c r="DX159" s="1069"/>
      <c r="DY159" s="1069"/>
      <c r="DZ159" s="1069"/>
      <c r="EA159" s="1069"/>
      <c r="EB159" s="1069"/>
      <c r="EC159" s="1069"/>
      <c r="ED159" s="1069"/>
      <c r="EE159" s="1069"/>
      <c r="EF159" s="1069"/>
      <c r="EG159" s="1069"/>
      <c r="EH159" s="1069"/>
      <c r="EI159" s="1069"/>
      <c r="EJ159" s="1069"/>
      <c r="EK159" s="1069"/>
      <c r="EL159" s="1069"/>
      <c r="EM159" s="1069"/>
    </row>
    <row r="160" spans="1:143" ht="18.75" customHeight="1">
      <c r="A160" s="178"/>
      <c r="B160" s="1070" t="s">
        <v>718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1">
        <f>I$21</f>
        <v>0</v>
      </c>
      <c r="X160" s="1071"/>
      <c r="Y160" s="1071"/>
      <c r="Z160" s="1071"/>
      <c r="AA160" s="1071"/>
      <c r="AB160" s="1071"/>
      <c r="AC160" s="1071"/>
      <c r="AD160" s="1071"/>
      <c r="AE160" s="1071"/>
      <c r="AF160" s="1071"/>
      <c r="AG160" s="1071"/>
      <c r="AH160" s="1071"/>
      <c r="AI160" s="1071"/>
      <c r="AJ160" s="1071"/>
      <c r="AK160" s="1071"/>
      <c r="AL160" s="1071"/>
      <c r="AM160" s="1071"/>
      <c r="AN160" s="1071"/>
      <c r="AO160" s="1071"/>
      <c r="AP160" s="1071"/>
      <c r="AQ160" s="1071"/>
      <c r="AR160" s="1071"/>
      <c r="AS160" s="1071"/>
      <c r="AT160" s="1071"/>
      <c r="AU160" s="1071"/>
      <c r="AW160" s="178"/>
      <c r="AX160" s="1070" t="s">
        <v>718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1">
        <f>BE$21</f>
        <v>0</v>
      </c>
      <c r="BT160" s="1071"/>
      <c r="BU160" s="1071"/>
      <c r="BV160" s="1071"/>
      <c r="BW160" s="1071"/>
      <c r="BX160" s="1071"/>
      <c r="BY160" s="1071"/>
      <c r="BZ160" s="1071"/>
      <c r="CA160" s="1071"/>
      <c r="CB160" s="1071"/>
      <c r="CC160" s="1071"/>
      <c r="CD160" s="1071"/>
      <c r="CE160" s="1071"/>
      <c r="CF160" s="1071"/>
      <c r="CG160" s="1071"/>
      <c r="CH160" s="1071"/>
      <c r="CI160" s="1071"/>
      <c r="CJ160" s="1071"/>
      <c r="CK160" s="1071"/>
      <c r="CL160" s="1071"/>
      <c r="CM160" s="1071"/>
      <c r="CN160" s="1071"/>
      <c r="CO160" s="1071"/>
      <c r="CP160" s="1071"/>
      <c r="CQ160" s="1071"/>
      <c r="CS160" s="178"/>
      <c r="CT160" s="1070" t="s">
        <v>718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1">
        <f>DA$21</f>
        <v>0</v>
      </c>
      <c r="DP160" s="1071"/>
      <c r="DQ160" s="1071"/>
      <c r="DR160" s="1071"/>
      <c r="DS160" s="1071"/>
      <c r="DT160" s="1071"/>
      <c r="DU160" s="1071"/>
      <c r="DV160" s="1071"/>
      <c r="DW160" s="1071"/>
      <c r="DX160" s="1071"/>
      <c r="DY160" s="1071"/>
      <c r="DZ160" s="1071"/>
      <c r="EA160" s="1071"/>
      <c r="EB160" s="1071"/>
      <c r="EC160" s="1071"/>
      <c r="ED160" s="1071"/>
      <c r="EE160" s="1071"/>
      <c r="EF160" s="1071"/>
      <c r="EG160" s="1071"/>
      <c r="EH160" s="1071"/>
      <c r="EI160" s="1071"/>
      <c r="EJ160" s="1071"/>
      <c r="EK160" s="1071"/>
      <c r="EL160" s="1071"/>
      <c r="EM160" s="1071"/>
    </row>
    <row r="161" spans="1:143" ht="18.75" customHeight="1">
      <c r="A161" s="178"/>
      <c r="B161" s="1070" t="s">
        <v>798</v>
      </c>
      <c r="C161" s="1070"/>
      <c r="D161" s="1070"/>
      <c r="E161" s="1070"/>
      <c r="F161" s="1070"/>
      <c r="G161" s="1070"/>
      <c r="H161" s="1070"/>
      <c r="I161" s="1070"/>
      <c r="J161" s="1070"/>
      <c r="K161" s="1070"/>
      <c r="L161" s="1070"/>
      <c r="M161" s="1070"/>
      <c r="N161" s="1070"/>
      <c r="O161" s="1070"/>
      <c r="P161" s="1070"/>
      <c r="Q161" s="1070"/>
      <c r="R161" s="1070"/>
      <c r="S161" s="1070"/>
      <c r="T161" s="1070"/>
      <c r="U161" s="1070"/>
      <c r="V161" s="1070"/>
      <c r="W161" s="1070"/>
      <c r="X161" s="1070"/>
      <c r="Y161" s="1070"/>
      <c r="Z161" s="1070"/>
      <c r="AA161" s="1070"/>
      <c r="AB161" s="1070"/>
      <c r="AC161" s="1070"/>
      <c r="AD161" s="1070"/>
      <c r="AE161" s="1070"/>
      <c r="AF161" s="1070"/>
      <c r="AG161" s="1070"/>
      <c r="AH161" s="1071">
        <f>I$17</f>
        <v>0</v>
      </c>
      <c r="AI161" s="1071"/>
      <c r="AJ161" s="1071"/>
      <c r="AK161" s="1071"/>
      <c r="AL161" s="1071"/>
      <c r="AM161" s="1071"/>
      <c r="AN161" s="1170" t="s">
        <v>680</v>
      </c>
      <c r="AO161" s="1170"/>
      <c r="AP161" s="1130">
        <f>I$18</f>
        <v>0</v>
      </c>
      <c r="AQ161" s="1130"/>
      <c r="AR161" s="1130"/>
      <c r="AS161" s="1130"/>
      <c r="AT161" s="1130"/>
      <c r="AU161" s="1130"/>
      <c r="AW161" s="178"/>
      <c r="AX161" s="1070" t="s">
        <v>798</v>
      </c>
      <c r="AY161" s="1070"/>
      <c r="AZ161" s="1070"/>
      <c r="BA161" s="1070"/>
      <c r="BB161" s="1070"/>
      <c r="BC161" s="1070"/>
      <c r="BD161" s="1070"/>
      <c r="BE161" s="1070"/>
      <c r="BF161" s="1070"/>
      <c r="BG161" s="1070"/>
      <c r="BH161" s="1070"/>
      <c r="BI161" s="1070"/>
      <c r="BJ161" s="1070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  <c r="BX161" s="1070"/>
      <c r="BY161" s="1070"/>
      <c r="BZ161" s="1070"/>
      <c r="CA161" s="1070"/>
      <c r="CB161" s="1070"/>
      <c r="CC161" s="1070"/>
      <c r="CD161" s="1071">
        <f>BE$17</f>
        <v>0</v>
      </c>
      <c r="CE161" s="1071"/>
      <c r="CF161" s="1071"/>
      <c r="CG161" s="1071"/>
      <c r="CH161" s="1071"/>
      <c r="CI161" s="1071"/>
      <c r="CJ161" s="1170" t="s">
        <v>680</v>
      </c>
      <c r="CK161" s="1170"/>
      <c r="CL161" s="1130">
        <f>BE$18</f>
        <v>0</v>
      </c>
      <c r="CM161" s="1130"/>
      <c r="CN161" s="1130"/>
      <c r="CO161" s="1130"/>
      <c r="CP161" s="1130"/>
      <c r="CQ161" s="1130"/>
      <c r="CS161" s="178"/>
      <c r="CT161" s="1070" t="s">
        <v>798</v>
      </c>
      <c r="CU161" s="1070"/>
      <c r="CV161" s="1070"/>
      <c r="CW161" s="1070"/>
      <c r="CX161" s="1070"/>
      <c r="CY161" s="1070"/>
      <c r="CZ161" s="1070"/>
      <c r="DA161" s="1070"/>
      <c r="DB161" s="1070"/>
      <c r="DC161" s="1070"/>
      <c r="DD161" s="1070"/>
      <c r="DE161" s="1070"/>
      <c r="DF161" s="1070"/>
      <c r="DG161" s="1070"/>
      <c r="DH161" s="1070"/>
      <c r="DI161" s="1070"/>
      <c r="DJ161" s="1070"/>
      <c r="DK161" s="1070"/>
      <c r="DL161" s="1070"/>
      <c r="DM161" s="1070"/>
      <c r="DN161" s="1070"/>
      <c r="DO161" s="1070"/>
      <c r="DP161" s="1070"/>
      <c r="DQ161" s="1070"/>
      <c r="DR161" s="1070"/>
      <c r="DS161" s="1070"/>
      <c r="DT161" s="1070"/>
      <c r="DU161" s="1070"/>
      <c r="DV161" s="1070"/>
      <c r="DW161" s="1070"/>
      <c r="DX161" s="1070"/>
      <c r="DY161" s="1070"/>
      <c r="DZ161" s="1071">
        <f>DA$17</f>
        <v>0</v>
      </c>
      <c r="EA161" s="1071"/>
      <c r="EB161" s="1071"/>
      <c r="EC161" s="1071"/>
      <c r="ED161" s="1071"/>
      <c r="EE161" s="1071"/>
      <c r="EF161" s="1170" t="s">
        <v>680</v>
      </c>
      <c r="EG161" s="1170"/>
      <c r="EH161" s="1130">
        <f>DA$18</f>
        <v>0</v>
      </c>
      <c r="EI161" s="1130"/>
      <c r="EJ161" s="1130"/>
      <c r="EK161" s="1130"/>
      <c r="EL161" s="1130"/>
      <c r="EM161" s="1130"/>
    </row>
    <row r="162" spans="1:143" ht="39.75" customHeight="1">
      <c r="A162" s="178"/>
      <c r="B162" s="1072" t="s">
        <v>720</v>
      </c>
      <c r="C162" s="1072"/>
      <c r="D162" s="1072"/>
      <c r="E162" s="1072"/>
      <c r="F162" s="1075">
        <f>I$19</f>
        <v>0</v>
      </c>
      <c r="G162" s="1075"/>
      <c r="H162" s="1075"/>
      <c r="I162" s="1075"/>
      <c r="J162" s="1075"/>
      <c r="K162" s="1075"/>
      <c r="L162" s="1075"/>
      <c r="M162" s="1075"/>
      <c r="N162" s="1075"/>
      <c r="O162" s="1075"/>
      <c r="P162" s="1075"/>
      <c r="Q162" s="1075"/>
      <c r="R162" s="1075"/>
      <c r="S162" s="1075"/>
      <c r="T162" s="1075"/>
      <c r="U162" s="1075"/>
      <c r="V162" s="1075"/>
      <c r="W162" s="1075"/>
      <c r="X162" s="1075"/>
      <c r="Y162" s="1075"/>
      <c r="Z162" s="1075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W162" s="178"/>
      <c r="AX162" s="1072" t="s">
        <v>720</v>
      </c>
      <c r="AY162" s="1072"/>
      <c r="AZ162" s="1072"/>
      <c r="BA162" s="1072"/>
      <c r="BB162" s="1075">
        <f>BE$19</f>
        <v>0</v>
      </c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  <c r="BX162" s="1075"/>
      <c r="BY162" s="1075"/>
      <c r="BZ162" s="1075"/>
      <c r="CA162" s="1075"/>
      <c r="CB162" s="1075"/>
      <c r="CC162" s="1075"/>
      <c r="CD162" s="1075"/>
      <c r="CE162" s="1075"/>
      <c r="CF162" s="1075"/>
      <c r="CG162" s="1075"/>
      <c r="CH162" s="1075"/>
      <c r="CI162" s="1075"/>
      <c r="CJ162" s="1075"/>
      <c r="CK162" s="1075"/>
      <c r="CL162" s="1075"/>
      <c r="CM162" s="1075"/>
      <c r="CN162" s="1075"/>
      <c r="CO162" s="1075"/>
      <c r="CP162" s="1075"/>
      <c r="CQ162" s="1075"/>
      <c r="CS162" s="178"/>
      <c r="CT162" s="1072" t="s">
        <v>720</v>
      </c>
      <c r="CU162" s="1072"/>
      <c r="CV162" s="1072"/>
      <c r="CW162" s="1072"/>
      <c r="CX162" s="1075">
        <f>DA$19</f>
        <v>0</v>
      </c>
      <c r="CY162" s="1075"/>
      <c r="CZ162" s="1075"/>
      <c r="DA162" s="1075"/>
      <c r="DB162" s="1075"/>
      <c r="DC162" s="1075"/>
      <c r="DD162" s="1075"/>
      <c r="DE162" s="1075"/>
      <c r="DF162" s="1075"/>
      <c r="DG162" s="1075"/>
      <c r="DH162" s="1075"/>
      <c r="DI162" s="1075"/>
      <c r="DJ162" s="1075"/>
      <c r="DK162" s="1075"/>
      <c r="DL162" s="1075"/>
      <c r="DM162" s="1075"/>
      <c r="DN162" s="1075"/>
      <c r="DO162" s="1075"/>
      <c r="DP162" s="1075"/>
      <c r="DQ162" s="1075"/>
      <c r="DR162" s="1075"/>
      <c r="DS162" s="1075"/>
      <c r="DT162" s="1075"/>
      <c r="DU162" s="1075"/>
      <c r="DV162" s="1075"/>
      <c r="DW162" s="1075"/>
      <c r="DX162" s="1075"/>
      <c r="DY162" s="1075"/>
      <c r="DZ162" s="1075"/>
      <c r="EA162" s="1075"/>
      <c r="EB162" s="1075"/>
      <c r="EC162" s="1075"/>
      <c r="ED162" s="1075"/>
      <c r="EE162" s="1075"/>
      <c r="EF162" s="1075"/>
      <c r="EG162" s="1075"/>
      <c r="EH162" s="1075"/>
      <c r="EI162" s="1075"/>
      <c r="EJ162" s="1075"/>
      <c r="EK162" s="1075"/>
      <c r="EL162" s="1075"/>
      <c r="EM162" s="1075"/>
    </row>
    <row r="163" spans="1:143" ht="23.25" customHeight="1">
      <c r="A163" s="178"/>
      <c r="B163" s="1072" t="s">
        <v>799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2"/>
      <c r="S163" s="1072"/>
      <c r="T163" s="1072"/>
      <c r="U163" s="1072"/>
      <c r="V163" s="1072"/>
      <c r="W163" s="1072"/>
      <c r="X163" s="1072"/>
      <c r="Y163" s="1072"/>
      <c r="Z163" s="1072"/>
      <c r="AA163" s="1072"/>
      <c r="AB163" s="1072"/>
      <c r="AC163" s="1072"/>
      <c r="AD163" s="1072"/>
      <c r="AE163" s="1072"/>
      <c r="AF163" s="1072"/>
      <c r="AG163" s="1072"/>
      <c r="AH163" s="1072"/>
      <c r="AI163" s="1072"/>
      <c r="AJ163" s="1072"/>
      <c r="AK163" s="1072"/>
      <c r="AL163" s="1072"/>
      <c r="AM163" s="1072"/>
      <c r="AN163" s="1072"/>
      <c r="AO163" s="1072"/>
      <c r="AP163" s="1072"/>
      <c r="AQ163" s="1072"/>
      <c r="AR163" s="1072"/>
      <c r="AS163" s="1072"/>
      <c r="AT163" s="1072"/>
      <c r="AU163" s="1072"/>
      <c r="AW163" s="178"/>
      <c r="AX163" s="1072" t="s">
        <v>799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2"/>
      <c r="BO163" s="1072"/>
      <c r="BP163" s="1072"/>
      <c r="BQ163" s="1072"/>
      <c r="BR163" s="1072"/>
      <c r="BS163" s="1072"/>
      <c r="BT163" s="1072"/>
      <c r="BU163" s="1072"/>
      <c r="BV163" s="1072"/>
      <c r="BW163" s="1072"/>
      <c r="BX163" s="1072"/>
      <c r="BY163" s="1072"/>
      <c r="BZ163" s="1072"/>
      <c r="CA163" s="1072"/>
      <c r="CB163" s="1072"/>
      <c r="CC163" s="1072"/>
      <c r="CD163" s="1072"/>
      <c r="CE163" s="1072"/>
      <c r="CF163" s="1072"/>
      <c r="CG163" s="1072"/>
      <c r="CH163" s="1072"/>
      <c r="CI163" s="1072"/>
      <c r="CJ163" s="1072"/>
      <c r="CK163" s="1072"/>
      <c r="CL163" s="1072"/>
      <c r="CM163" s="1072"/>
      <c r="CN163" s="1072"/>
      <c r="CO163" s="1072"/>
      <c r="CP163" s="1072"/>
      <c r="CQ163" s="1072"/>
      <c r="CS163" s="178"/>
      <c r="CT163" s="1072" t="s">
        <v>799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2"/>
      <c r="DK163" s="1072"/>
      <c r="DL163" s="1072"/>
      <c r="DM163" s="1072"/>
      <c r="DN163" s="1072"/>
      <c r="DO163" s="1072"/>
      <c r="DP163" s="1072"/>
      <c r="DQ163" s="1072"/>
      <c r="DR163" s="1072"/>
      <c r="DS163" s="1072"/>
      <c r="DT163" s="1072"/>
      <c r="DU163" s="1072"/>
      <c r="DV163" s="1072"/>
      <c r="DW163" s="1072"/>
      <c r="DX163" s="1072"/>
      <c r="DY163" s="1072"/>
      <c r="DZ163" s="1072"/>
      <c r="EA163" s="1072"/>
      <c r="EB163" s="1072"/>
      <c r="EC163" s="1072"/>
      <c r="ED163" s="1072"/>
      <c r="EE163" s="1072"/>
      <c r="EF163" s="1072"/>
      <c r="EG163" s="1072"/>
      <c r="EH163" s="1072"/>
      <c r="EI163" s="1072"/>
      <c r="EJ163" s="1072"/>
      <c r="EK163" s="1072"/>
      <c r="EL163" s="1072"/>
      <c r="EM163" s="1072"/>
    </row>
    <row r="164" spans="1:143" ht="18.75" customHeight="1">
      <c r="A164" s="178"/>
      <c r="B164" s="1072" t="s">
        <v>800</v>
      </c>
      <c r="C164" s="1072"/>
      <c r="D164" s="1072"/>
      <c r="E164" s="1072"/>
      <c r="F164" s="1072"/>
      <c r="G164" s="1072"/>
      <c r="H164" s="1072"/>
      <c r="I164" s="1072"/>
      <c r="J164" s="1072"/>
      <c r="K164" s="1072"/>
      <c r="L164" s="1072"/>
      <c r="M164" s="1072"/>
      <c r="N164" s="1072"/>
      <c r="O164" s="1072"/>
      <c r="P164" s="1072"/>
      <c r="Q164" s="1072"/>
      <c r="R164" s="1075" t="e">
        <f>I$6</f>
        <v>#VALUE!</v>
      </c>
      <c r="S164" s="1075"/>
      <c r="T164" s="1075"/>
      <c r="U164" s="1075"/>
      <c r="V164" s="1075"/>
      <c r="W164" s="1075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2" t="s">
        <v>800</v>
      </c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072"/>
      <c r="BK164" s="1072"/>
      <c r="BL164" s="1072"/>
      <c r="BM164" s="1072"/>
      <c r="BN164" s="1075" t="e">
        <f>BE$6</f>
        <v>#VALUE!</v>
      </c>
      <c r="BO164" s="1075"/>
      <c r="BP164" s="1075"/>
      <c r="BQ164" s="1075"/>
      <c r="BR164" s="1075"/>
      <c r="BS164" s="1075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2" t="s">
        <v>800</v>
      </c>
      <c r="CU164" s="1072"/>
      <c r="CV164" s="1072"/>
      <c r="CW164" s="1072"/>
      <c r="CX164" s="1072"/>
      <c r="CY164" s="1072"/>
      <c r="CZ164" s="1072"/>
      <c r="DA164" s="1072"/>
      <c r="DB164" s="1072"/>
      <c r="DC164" s="1072"/>
      <c r="DD164" s="1072"/>
      <c r="DE164" s="1072"/>
      <c r="DF164" s="1072"/>
      <c r="DG164" s="1072"/>
      <c r="DH164" s="1072"/>
      <c r="DI164" s="1072"/>
      <c r="DJ164" s="1075" t="e">
        <f>DA$6</f>
        <v>#VALUE!</v>
      </c>
      <c r="DK164" s="1075"/>
      <c r="DL164" s="1075"/>
      <c r="DM164" s="1075"/>
      <c r="DN164" s="1075"/>
      <c r="DO164" s="1075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77" t="s">
        <v>801</v>
      </c>
      <c r="C166" s="1077"/>
      <c r="D166" s="1077"/>
      <c r="E166" s="1077"/>
      <c r="F166" s="1077"/>
      <c r="G166" s="1077"/>
      <c r="H166" s="1077"/>
      <c r="I166" s="1077"/>
      <c r="J166" s="1077"/>
      <c r="K166" s="1077"/>
      <c r="L166" s="1077"/>
      <c r="M166" s="1077"/>
      <c r="N166" s="1077"/>
      <c r="O166" s="1077"/>
      <c r="P166" s="1077"/>
      <c r="Q166" s="1077"/>
      <c r="R166" s="1077"/>
      <c r="S166" s="1077"/>
      <c r="T166" s="1077"/>
      <c r="U166" s="1077"/>
      <c r="V166" s="1077"/>
      <c r="W166" s="1077"/>
      <c r="X166" s="1077"/>
      <c r="Y166" s="1077"/>
      <c r="Z166" s="1077"/>
      <c r="AA166" s="1077"/>
      <c r="AB166" s="1077"/>
      <c r="AC166" s="1077"/>
      <c r="AD166" s="1077"/>
      <c r="AE166" s="1077"/>
      <c r="AF166" s="1077"/>
      <c r="AG166" s="1077"/>
      <c r="AH166" s="1077"/>
      <c r="AI166" s="1077"/>
      <c r="AJ166" s="1077"/>
      <c r="AK166" s="1077"/>
      <c r="AL166" s="1077"/>
      <c r="AM166" s="1077"/>
      <c r="AN166" s="1077"/>
      <c r="AO166" s="1077"/>
      <c r="AP166" s="1077"/>
      <c r="AQ166" s="1077"/>
      <c r="AR166" s="1077"/>
      <c r="AS166" s="1077"/>
      <c r="AT166" s="1077"/>
      <c r="AU166" s="1077"/>
      <c r="AW166" s="178"/>
      <c r="AX166" s="1077" t="s">
        <v>801</v>
      </c>
      <c r="AY166" s="1077"/>
      <c r="AZ166" s="1077"/>
      <c r="BA166" s="1077"/>
      <c r="BB166" s="1077"/>
      <c r="BC166" s="1077"/>
      <c r="BD166" s="1077"/>
      <c r="BE166" s="1077"/>
      <c r="BF166" s="1077"/>
      <c r="BG166" s="1077"/>
      <c r="BH166" s="1077"/>
      <c r="BI166" s="1077"/>
      <c r="BJ166" s="1077"/>
      <c r="BK166" s="1077"/>
      <c r="BL166" s="1077"/>
      <c r="BM166" s="1077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  <c r="BX166" s="1077"/>
      <c r="BY166" s="1077"/>
      <c r="BZ166" s="1077"/>
      <c r="CA166" s="1077"/>
      <c r="CB166" s="1077"/>
      <c r="CC166" s="1077"/>
      <c r="CD166" s="1077"/>
      <c r="CE166" s="1077"/>
      <c r="CF166" s="1077"/>
      <c r="CG166" s="1077"/>
      <c r="CH166" s="1077"/>
      <c r="CI166" s="1077"/>
      <c r="CJ166" s="1077"/>
      <c r="CK166" s="1077"/>
      <c r="CL166" s="1077"/>
      <c r="CM166" s="1077"/>
      <c r="CN166" s="1077"/>
      <c r="CO166" s="1077"/>
      <c r="CP166" s="1077"/>
      <c r="CQ166" s="1077"/>
      <c r="CS166" s="178"/>
      <c r="CT166" s="1077" t="s">
        <v>801</v>
      </c>
      <c r="CU166" s="1077"/>
      <c r="CV166" s="1077"/>
      <c r="CW166" s="1077"/>
      <c r="CX166" s="1077"/>
      <c r="CY166" s="1077"/>
      <c r="CZ166" s="1077"/>
      <c r="DA166" s="1077"/>
      <c r="DB166" s="1077"/>
      <c r="DC166" s="1077"/>
      <c r="DD166" s="1077"/>
      <c r="DE166" s="1077"/>
      <c r="DF166" s="1077"/>
      <c r="DG166" s="1077"/>
      <c r="DH166" s="1077"/>
      <c r="DI166" s="1077"/>
      <c r="DJ166" s="1077"/>
      <c r="DK166" s="1077"/>
      <c r="DL166" s="1077"/>
      <c r="DM166" s="1077"/>
      <c r="DN166" s="1077"/>
      <c r="DO166" s="1077"/>
      <c r="DP166" s="1077"/>
      <c r="DQ166" s="1077"/>
      <c r="DR166" s="1077"/>
      <c r="DS166" s="1077"/>
      <c r="DT166" s="1077"/>
      <c r="DU166" s="1077"/>
      <c r="DV166" s="1077"/>
      <c r="DW166" s="1077"/>
      <c r="DX166" s="1077"/>
      <c r="DY166" s="1077"/>
      <c r="DZ166" s="1077"/>
      <c r="EA166" s="1077"/>
      <c r="EB166" s="1077"/>
      <c r="EC166" s="1077"/>
      <c r="ED166" s="1077"/>
      <c r="EE166" s="1077"/>
      <c r="EF166" s="1077"/>
      <c r="EG166" s="1077"/>
      <c r="EH166" s="1077"/>
      <c r="EI166" s="1077"/>
      <c r="EJ166" s="1077"/>
      <c r="EK166" s="1077"/>
      <c r="EL166" s="1077"/>
      <c r="EM166" s="1077"/>
    </row>
    <row r="167" spans="1:143" ht="18.75" customHeight="1">
      <c r="A167" s="178"/>
      <c r="B167" s="1072" t="s">
        <v>800</v>
      </c>
      <c r="C167" s="1072"/>
      <c r="D167" s="1072"/>
      <c r="E167" s="1072"/>
      <c r="F167" s="1072"/>
      <c r="G167" s="1072"/>
      <c r="H167" s="1072"/>
      <c r="I167" s="1072"/>
      <c r="J167" s="1072"/>
      <c r="K167" s="1072"/>
      <c r="L167" s="1072"/>
      <c r="M167" s="1072"/>
      <c r="N167" s="1072"/>
      <c r="O167" s="1072"/>
      <c r="P167" s="1072"/>
      <c r="Q167" s="1072"/>
      <c r="R167" s="1075" t="e">
        <f>I$6</f>
        <v>#VALUE!</v>
      </c>
      <c r="S167" s="1075"/>
      <c r="T167" s="1075"/>
      <c r="U167" s="1075"/>
      <c r="V167" s="1075"/>
      <c r="W167" s="1075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2" t="s">
        <v>800</v>
      </c>
      <c r="AY167" s="1072"/>
      <c r="AZ167" s="1072"/>
      <c r="BA167" s="1072"/>
      <c r="BB167" s="1072"/>
      <c r="BC167" s="1072"/>
      <c r="BD167" s="1072"/>
      <c r="BE167" s="1072"/>
      <c r="BF167" s="1072"/>
      <c r="BG167" s="1072"/>
      <c r="BH167" s="1072"/>
      <c r="BI167" s="1072"/>
      <c r="BJ167" s="1072"/>
      <c r="BK167" s="1072"/>
      <c r="BL167" s="1072"/>
      <c r="BM167" s="1072"/>
      <c r="BN167" s="1075" t="e">
        <f>BE$6</f>
        <v>#VALUE!</v>
      </c>
      <c r="BO167" s="1075"/>
      <c r="BP167" s="1075"/>
      <c r="BQ167" s="1075"/>
      <c r="BR167" s="1075"/>
      <c r="BS167" s="1075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2" t="s">
        <v>800</v>
      </c>
      <c r="CU167" s="1072"/>
      <c r="CV167" s="1072"/>
      <c r="CW167" s="1072"/>
      <c r="CX167" s="1072"/>
      <c r="CY167" s="1072"/>
      <c r="CZ167" s="1072"/>
      <c r="DA167" s="1072"/>
      <c r="DB167" s="1072"/>
      <c r="DC167" s="1072"/>
      <c r="DD167" s="1072"/>
      <c r="DE167" s="1072"/>
      <c r="DF167" s="1072"/>
      <c r="DG167" s="1072"/>
      <c r="DH167" s="1072"/>
      <c r="DI167" s="1072"/>
      <c r="DJ167" s="1075" t="e">
        <f>DA$6</f>
        <v>#VALUE!</v>
      </c>
      <c r="DK167" s="1075"/>
      <c r="DL167" s="1075"/>
      <c r="DM167" s="1075"/>
      <c r="DN167" s="1075"/>
      <c r="DO167" s="1075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50" t="s">
        <v>373</v>
      </c>
      <c r="J179" s="950"/>
      <c r="K179" s="950"/>
      <c r="L179" s="1063"/>
      <c r="M179" s="1063"/>
      <c r="N179" s="1063"/>
      <c r="O179" s="1063"/>
      <c r="P179" s="1021" t="s">
        <v>179</v>
      </c>
      <c r="Q179" s="1021"/>
      <c r="R179" s="1044"/>
      <c r="S179" s="1044"/>
      <c r="T179" s="1044"/>
      <c r="U179" s="1044"/>
      <c r="V179" s="1044"/>
      <c r="W179" s="950">
        <v>20</v>
      </c>
      <c r="X179" s="950"/>
      <c r="Y179" s="950"/>
      <c r="Z179" s="1045"/>
      <c r="AA179" s="1045"/>
      <c r="AB179" s="950" t="s">
        <v>374</v>
      </c>
      <c r="AC179" s="950"/>
      <c r="AD179" s="950"/>
      <c r="AE179" s="1021" t="s">
        <v>179</v>
      </c>
      <c r="AF179" s="1021"/>
      <c r="AG179" s="1044"/>
      <c r="AH179" s="1044"/>
      <c r="AI179" s="1044"/>
      <c r="AJ179" s="1044"/>
      <c r="AK179" s="1044"/>
      <c r="AL179" s="950">
        <v>20</v>
      </c>
      <c r="AM179" s="950"/>
      <c r="AN179" s="950"/>
      <c r="AO179" s="1045"/>
      <c r="AP179" s="1045"/>
      <c r="AQ179" s="1039" t="s">
        <v>375</v>
      </c>
      <c r="AR179" s="1039"/>
      <c r="AS179" s="1039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50" t="s">
        <v>373</v>
      </c>
      <c r="BF179" s="950"/>
      <c r="BG179" s="950"/>
      <c r="BH179" s="1063"/>
      <c r="BI179" s="1063"/>
      <c r="BJ179" s="1063"/>
      <c r="BK179" s="1063"/>
      <c r="BL179" s="1021" t="s">
        <v>179</v>
      </c>
      <c r="BM179" s="1021"/>
      <c r="BN179" s="1044"/>
      <c r="BO179" s="1044"/>
      <c r="BP179" s="1044"/>
      <c r="BQ179" s="1044"/>
      <c r="BR179" s="1044"/>
      <c r="BS179" s="950">
        <v>20</v>
      </c>
      <c r="BT179" s="950"/>
      <c r="BU179" s="950"/>
      <c r="BV179" s="1045"/>
      <c r="BW179" s="1045"/>
      <c r="BX179" s="950" t="s">
        <v>374</v>
      </c>
      <c r="BY179" s="950"/>
      <c r="BZ179" s="950"/>
      <c r="CA179" s="1021" t="s">
        <v>179</v>
      </c>
      <c r="CB179" s="1021"/>
      <c r="CC179" s="1044"/>
      <c r="CD179" s="1044"/>
      <c r="CE179" s="1044"/>
      <c r="CF179" s="1044"/>
      <c r="CG179" s="1044"/>
      <c r="CH179" s="950">
        <v>20</v>
      </c>
      <c r="CI179" s="950"/>
      <c r="CJ179" s="950"/>
      <c r="CK179" s="1045"/>
      <c r="CL179" s="1045"/>
      <c r="CM179" s="1039" t="s">
        <v>375</v>
      </c>
      <c r="CN179" s="1039"/>
      <c r="CO179" s="1039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50" t="s">
        <v>373</v>
      </c>
      <c r="DB179" s="950"/>
      <c r="DC179" s="950"/>
      <c r="DD179" s="1063"/>
      <c r="DE179" s="1063"/>
      <c r="DF179" s="1063"/>
      <c r="DG179" s="1063"/>
      <c r="DH179" s="1021" t="s">
        <v>179</v>
      </c>
      <c r="DI179" s="1021"/>
      <c r="DJ179" s="1044"/>
      <c r="DK179" s="1044"/>
      <c r="DL179" s="1044"/>
      <c r="DM179" s="1044"/>
      <c r="DN179" s="1044"/>
      <c r="DO179" s="950">
        <v>20</v>
      </c>
      <c r="DP179" s="950"/>
      <c r="DQ179" s="950"/>
      <c r="DR179" s="1045"/>
      <c r="DS179" s="1045"/>
      <c r="DT179" s="950" t="s">
        <v>374</v>
      </c>
      <c r="DU179" s="950"/>
      <c r="DV179" s="950"/>
      <c r="DW179" s="1021" t="s">
        <v>179</v>
      </c>
      <c r="DX179" s="1021"/>
      <c r="DY179" s="1044"/>
      <c r="DZ179" s="1044"/>
      <c r="EA179" s="1044"/>
      <c r="EB179" s="1044"/>
      <c r="EC179" s="1044"/>
      <c r="ED179" s="950">
        <v>20</v>
      </c>
      <c r="EE179" s="950"/>
      <c r="EF179" s="950"/>
      <c r="EG179" s="1045"/>
      <c r="EH179" s="1045"/>
      <c r="EI179" s="1039" t="s">
        <v>375</v>
      </c>
      <c r="EJ179" s="1039"/>
      <c r="EK179" s="1039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4"/>
      <c r="Q180" s="960"/>
      <c r="R180" s="960"/>
      <c r="S180" s="960"/>
      <c r="T180" s="960"/>
      <c r="U180" s="960"/>
      <c r="V180" s="960"/>
      <c r="W180" s="960"/>
      <c r="X180" s="960"/>
      <c r="Y180" s="960"/>
      <c r="Z180" s="960"/>
      <c r="AA180" s="960"/>
      <c r="AB180" s="960"/>
      <c r="AC180" s="960"/>
      <c r="AD180" s="960"/>
      <c r="AE180" s="960"/>
      <c r="AF180" s="960"/>
      <c r="AG180" s="960"/>
      <c r="AH180" s="960"/>
      <c r="AI180" s="960"/>
      <c r="AJ180" s="960"/>
      <c r="AK180" s="960"/>
      <c r="AL180" s="960"/>
      <c r="AM180" s="960"/>
      <c r="AN180" s="960"/>
      <c r="AO180" s="960"/>
      <c r="AP180" s="960"/>
      <c r="AQ180" s="960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4"/>
      <c r="BM180" s="960"/>
      <c r="BN180" s="960"/>
      <c r="BO180" s="960"/>
      <c r="BP180" s="960"/>
      <c r="BQ180" s="960"/>
      <c r="BR180" s="960"/>
      <c r="BS180" s="960"/>
      <c r="BT180" s="960"/>
      <c r="BU180" s="960"/>
      <c r="BV180" s="960"/>
      <c r="BW180" s="960"/>
      <c r="BX180" s="960"/>
      <c r="BY180" s="960"/>
      <c r="BZ180" s="960"/>
      <c r="CA180" s="960"/>
      <c r="CB180" s="960"/>
      <c r="CC180" s="960"/>
      <c r="CD180" s="960"/>
      <c r="CE180" s="960"/>
      <c r="CF180" s="960"/>
      <c r="CG180" s="960"/>
      <c r="CH180" s="960"/>
      <c r="CI180" s="960"/>
      <c r="CJ180" s="960"/>
      <c r="CK180" s="960"/>
      <c r="CL180" s="960"/>
      <c r="CM180" s="960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4"/>
      <c r="DI180" s="960"/>
      <c r="DJ180" s="960"/>
      <c r="DK180" s="960"/>
      <c r="DL180" s="960"/>
      <c r="DM180" s="960"/>
      <c r="DN180" s="960"/>
      <c r="DO180" s="960"/>
      <c r="DP180" s="960"/>
      <c r="DQ180" s="960"/>
      <c r="DR180" s="960"/>
      <c r="DS180" s="960"/>
      <c r="DT180" s="960"/>
      <c r="DU180" s="960"/>
      <c r="DV180" s="960"/>
      <c r="DW180" s="960"/>
      <c r="DX180" s="960"/>
      <c r="DY180" s="960"/>
      <c r="DZ180" s="960"/>
      <c r="EA180" s="960"/>
      <c r="EB180" s="960"/>
      <c r="EC180" s="960"/>
      <c r="ED180" s="960"/>
      <c r="EE180" s="960"/>
      <c r="EF180" s="960"/>
      <c r="EG180" s="960"/>
      <c r="EH180" s="960"/>
      <c r="EI180" s="960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5"/>
      <c r="V181" s="1065"/>
      <c r="W181" s="1065"/>
      <c r="X181" s="1065"/>
      <c r="Y181" s="1065"/>
      <c r="Z181" s="1065"/>
      <c r="AA181" s="1065"/>
      <c r="AB181" s="1065"/>
      <c r="AC181" s="1066">
        <f>I$9</f>
        <v>0</v>
      </c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1067"/>
      <c r="AO181" s="1067"/>
      <c r="AP181" s="1067"/>
      <c r="AQ181" s="106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5"/>
      <c r="BR181" s="1065"/>
      <c r="BS181" s="1065"/>
      <c r="BT181" s="1065"/>
      <c r="BU181" s="1065"/>
      <c r="BV181" s="1065"/>
      <c r="BW181" s="1065"/>
      <c r="BX181" s="1065"/>
      <c r="BY181" s="1066">
        <f>BE$9</f>
        <v>0</v>
      </c>
      <c r="BZ181" s="1067"/>
      <c r="CA181" s="1067"/>
      <c r="CB181" s="1067"/>
      <c r="CC181" s="1067"/>
      <c r="CD181" s="1067"/>
      <c r="CE181" s="1067"/>
      <c r="CF181" s="1067"/>
      <c r="CG181" s="1067"/>
      <c r="CH181" s="1067"/>
      <c r="CI181" s="1067"/>
      <c r="CJ181" s="1067"/>
      <c r="CK181" s="1067"/>
      <c r="CL181" s="1067"/>
      <c r="CM181" s="106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5"/>
      <c r="DN181" s="1065"/>
      <c r="DO181" s="1065"/>
      <c r="DP181" s="1065"/>
      <c r="DQ181" s="1065"/>
      <c r="DR181" s="1065"/>
      <c r="DS181" s="1065"/>
      <c r="DT181" s="1065"/>
      <c r="DU181" s="1066">
        <f>DA$9</f>
        <v>0</v>
      </c>
      <c r="DV181" s="1067"/>
      <c r="DW181" s="1067"/>
      <c r="DX181" s="1067"/>
      <c r="DY181" s="1067"/>
      <c r="DZ181" s="1067"/>
      <c r="EA181" s="1067"/>
      <c r="EB181" s="1067"/>
      <c r="EC181" s="1067"/>
      <c r="ED181" s="1067"/>
      <c r="EE181" s="1067"/>
      <c r="EF181" s="1067"/>
      <c r="EG181" s="1067"/>
      <c r="EH181" s="1067"/>
      <c r="EI181" s="1067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19" t="s">
        <v>5</v>
      </c>
      <c r="V182" s="1019"/>
      <c r="W182" s="1019"/>
      <c r="X182" s="1019"/>
      <c r="Y182" s="1019"/>
      <c r="Z182" s="1019"/>
      <c r="AA182" s="1019"/>
      <c r="AB182" s="1019"/>
      <c r="AC182" s="1019" t="s">
        <v>6</v>
      </c>
      <c r="AD182" s="1019"/>
      <c r="AE182" s="1019"/>
      <c r="AF182" s="1019"/>
      <c r="AG182" s="1019"/>
      <c r="AH182" s="1019"/>
      <c r="AI182" s="1019"/>
      <c r="AJ182" s="1019"/>
      <c r="AK182" s="1019"/>
      <c r="AL182" s="1019"/>
      <c r="AM182" s="1019"/>
      <c r="AN182" s="1019"/>
      <c r="AO182" s="1019"/>
      <c r="AP182" s="1019"/>
      <c r="AQ182" s="1019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19" t="s">
        <v>5</v>
      </c>
      <c r="BR182" s="1019"/>
      <c r="BS182" s="1019"/>
      <c r="BT182" s="1019"/>
      <c r="BU182" s="1019"/>
      <c r="BV182" s="1019"/>
      <c r="BW182" s="1019"/>
      <c r="BX182" s="1019"/>
      <c r="BY182" s="1019" t="s">
        <v>6</v>
      </c>
      <c r="BZ182" s="1019"/>
      <c r="CA182" s="1019"/>
      <c r="CB182" s="1019"/>
      <c r="CC182" s="1019"/>
      <c r="CD182" s="1019"/>
      <c r="CE182" s="1019"/>
      <c r="CF182" s="1019"/>
      <c r="CG182" s="1019"/>
      <c r="CH182" s="1019"/>
      <c r="CI182" s="1019"/>
      <c r="CJ182" s="1019"/>
      <c r="CK182" s="1019"/>
      <c r="CL182" s="1019"/>
      <c r="CM182" s="1019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19" t="s">
        <v>5</v>
      </c>
      <c r="DN182" s="1019"/>
      <c r="DO182" s="1019"/>
      <c r="DP182" s="1019"/>
      <c r="DQ182" s="1019"/>
      <c r="DR182" s="1019"/>
      <c r="DS182" s="1019"/>
      <c r="DT182" s="1019"/>
      <c r="DU182" s="1019" t="s">
        <v>6</v>
      </c>
      <c r="DV182" s="1019"/>
      <c r="DW182" s="1019"/>
      <c r="DX182" s="1019"/>
      <c r="DY182" s="1019"/>
      <c r="DZ182" s="1019"/>
      <c r="EA182" s="1019"/>
      <c r="EB182" s="1019"/>
      <c r="EC182" s="1019"/>
      <c r="ED182" s="1019"/>
      <c r="EE182" s="1019"/>
      <c r="EF182" s="1019"/>
      <c r="EG182" s="1019"/>
      <c r="EH182" s="1019"/>
      <c r="EI182" s="1019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9"/>
      <c r="V183" s="949"/>
      <c r="W183" s="949"/>
      <c r="X183" s="949"/>
      <c r="Y183" s="949"/>
      <c r="Z183" s="949"/>
      <c r="AA183" s="949"/>
      <c r="AB183" s="949"/>
      <c r="AC183" s="949"/>
      <c r="AD183" s="949"/>
      <c r="AE183" s="949"/>
      <c r="AF183" s="949"/>
      <c r="AG183" s="949"/>
      <c r="AH183" s="949"/>
      <c r="AI183" s="949"/>
      <c r="AJ183" s="949"/>
      <c r="AK183" s="949"/>
      <c r="AL183" s="949"/>
      <c r="AM183" s="949"/>
      <c r="AN183" s="949"/>
      <c r="AO183" s="949"/>
      <c r="AP183" s="949"/>
      <c r="AQ183" s="949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9"/>
      <c r="BR183" s="949"/>
      <c r="BS183" s="949"/>
      <c r="BT183" s="949"/>
      <c r="BU183" s="949"/>
      <c r="BV183" s="949"/>
      <c r="BW183" s="949"/>
      <c r="BX183" s="949"/>
      <c r="BY183" s="949"/>
      <c r="BZ183" s="949"/>
      <c r="CA183" s="949"/>
      <c r="CB183" s="949"/>
      <c r="CC183" s="949"/>
      <c r="CD183" s="949"/>
      <c r="CE183" s="949"/>
      <c r="CF183" s="949"/>
      <c r="CG183" s="949"/>
      <c r="CH183" s="949"/>
      <c r="CI183" s="949"/>
      <c r="CJ183" s="949"/>
      <c r="CK183" s="949"/>
      <c r="CL183" s="949"/>
      <c r="CM183" s="949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9"/>
      <c r="DN183" s="949"/>
      <c r="DO183" s="949"/>
      <c r="DP183" s="949"/>
      <c r="DQ183" s="949"/>
      <c r="DR183" s="949"/>
      <c r="DS183" s="949"/>
      <c r="DT183" s="949"/>
      <c r="DU183" s="949"/>
      <c r="DV183" s="949"/>
      <c r="DW183" s="949"/>
      <c r="DX183" s="949"/>
      <c r="DY183" s="949"/>
      <c r="DZ183" s="949"/>
      <c r="EA183" s="949"/>
      <c r="EB183" s="949"/>
      <c r="EC183" s="949"/>
      <c r="ED183" s="949"/>
      <c r="EE183" s="949"/>
      <c r="EF183" s="949"/>
      <c r="EG183" s="949"/>
      <c r="EH183" s="949"/>
      <c r="EI183" s="949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19" t="s">
        <v>5</v>
      </c>
      <c r="V184" s="1019"/>
      <c r="W184" s="1019"/>
      <c r="X184" s="1019"/>
      <c r="Y184" s="1019"/>
      <c r="Z184" s="1019"/>
      <c r="AA184" s="1019"/>
      <c r="AB184" s="1019"/>
      <c r="AC184" s="1019" t="s">
        <v>6</v>
      </c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19" t="s">
        <v>5</v>
      </c>
      <c r="BR184" s="1019"/>
      <c r="BS184" s="1019"/>
      <c r="BT184" s="1019"/>
      <c r="BU184" s="1019"/>
      <c r="BV184" s="1019"/>
      <c r="BW184" s="1019"/>
      <c r="BX184" s="1019"/>
      <c r="BY184" s="1019" t="s">
        <v>6</v>
      </c>
      <c r="BZ184" s="1019"/>
      <c r="CA184" s="1019"/>
      <c r="CB184" s="1019"/>
      <c r="CC184" s="1019"/>
      <c r="CD184" s="1019"/>
      <c r="CE184" s="1019"/>
      <c r="CF184" s="1019"/>
      <c r="CG184" s="1019"/>
      <c r="CH184" s="1019"/>
      <c r="CI184" s="1019"/>
      <c r="CJ184" s="1019"/>
      <c r="CK184" s="1019"/>
      <c r="CL184" s="1019"/>
      <c r="CM184" s="1019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19" t="s">
        <v>5</v>
      </c>
      <c r="DN184" s="1019"/>
      <c r="DO184" s="1019"/>
      <c r="DP184" s="1019"/>
      <c r="DQ184" s="1019"/>
      <c r="DR184" s="1019"/>
      <c r="DS184" s="1019"/>
      <c r="DT184" s="1019"/>
      <c r="DU184" s="1019" t="s">
        <v>6</v>
      </c>
      <c r="DV184" s="1019"/>
      <c r="DW184" s="1019"/>
      <c r="DX184" s="1019"/>
      <c r="DY184" s="1019"/>
      <c r="DZ184" s="1019"/>
      <c r="EA184" s="1019"/>
      <c r="EB184" s="1019"/>
      <c r="EC184" s="1019"/>
      <c r="ED184" s="1019"/>
      <c r="EE184" s="1019"/>
      <c r="EF184" s="1019"/>
      <c r="EG184" s="1019"/>
      <c r="EH184" s="1019"/>
      <c r="EI184" s="1019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6"/>
      <c r="AB186" s="1046"/>
      <c r="AC186" s="1046"/>
      <c r="AD186" s="1046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7" t="s">
        <v>182</v>
      </c>
      <c r="AR186" s="1048"/>
      <c r="AS186" s="1048"/>
      <c r="AT186" s="1048"/>
      <c r="AU186" s="1049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6"/>
      <c r="BX186" s="1046"/>
      <c r="BY186" s="1046"/>
      <c r="BZ186" s="1046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7" t="s">
        <v>182</v>
      </c>
      <c r="CN186" s="1048"/>
      <c r="CO186" s="1048"/>
      <c r="CP186" s="1048"/>
      <c r="CQ186" s="1049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6"/>
      <c r="DT186" s="1046"/>
      <c r="DU186" s="1046"/>
      <c r="DV186" s="1046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7" t="s">
        <v>182</v>
      </c>
      <c r="EJ186" s="1048"/>
      <c r="EK186" s="1048"/>
      <c r="EL186" s="1048"/>
      <c r="EM186" s="1049"/>
    </row>
    <row r="187" spans="1:143">
      <c r="A187" s="87"/>
      <c r="B187" s="88"/>
      <c r="C187" s="88"/>
      <c r="D187" s="88"/>
      <c r="E187" s="1054"/>
      <c r="F187" s="1054"/>
      <c r="G187" s="1054"/>
      <c r="H187" s="1054"/>
      <c r="I187" s="1054"/>
      <c r="J187" s="1054"/>
      <c r="K187" s="1054"/>
      <c r="L187" s="1054"/>
      <c r="M187" s="1054"/>
      <c r="N187" s="1054"/>
      <c r="O187" s="1054"/>
      <c r="P187" s="1054"/>
      <c r="Q187" s="1054"/>
      <c r="R187" s="1054"/>
      <c r="S187" s="1054"/>
      <c r="T187" s="1054"/>
      <c r="U187" s="1054"/>
      <c r="V187" s="1054"/>
      <c r="W187" s="1054"/>
      <c r="X187" s="1054"/>
      <c r="Y187" s="1054"/>
      <c r="Z187" s="1054"/>
      <c r="AA187" s="1054"/>
      <c r="AB187" s="1054"/>
      <c r="AC187" s="1054"/>
      <c r="AD187" s="1054"/>
      <c r="AE187" s="1054"/>
      <c r="AF187" s="1054"/>
      <c r="AG187" s="1054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50" t="s">
        <v>380</v>
      </c>
      <c r="AR187" s="999"/>
      <c r="AS187" s="999"/>
      <c r="AT187" s="999"/>
      <c r="AU187" s="1000"/>
      <c r="AV187" s="234"/>
      <c r="AW187" s="87"/>
      <c r="AX187" s="88"/>
      <c r="AY187" s="88"/>
      <c r="AZ187" s="88"/>
      <c r="BA187" s="1054"/>
      <c r="BB187" s="1054"/>
      <c r="BC187" s="1054"/>
      <c r="BD187" s="1054"/>
      <c r="BE187" s="1054"/>
      <c r="BF187" s="1054"/>
      <c r="BG187" s="1054"/>
      <c r="BH187" s="1054"/>
      <c r="BI187" s="1054"/>
      <c r="BJ187" s="1054"/>
      <c r="BK187" s="1054"/>
      <c r="BL187" s="1054"/>
      <c r="BM187" s="1054"/>
      <c r="BN187" s="1054"/>
      <c r="BO187" s="1054"/>
      <c r="BP187" s="1054"/>
      <c r="BQ187" s="1054"/>
      <c r="BR187" s="1054"/>
      <c r="BS187" s="1054"/>
      <c r="BT187" s="1054"/>
      <c r="BU187" s="1054"/>
      <c r="BV187" s="1054"/>
      <c r="BW187" s="1054"/>
      <c r="BX187" s="1054"/>
      <c r="BY187" s="1054"/>
      <c r="BZ187" s="1054"/>
      <c r="CA187" s="1054"/>
      <c r="CB187" s="1054"/>
      <c r="CC187" s="1054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50" t="s">
        <v>380</v>
      </c>
      <c r="CN187" s="999"/>
      <c r="CO187" s="999"/>
      <c r="CP187" s="999"/>
      <c r="CQ187" s="1000"/>
      <c r="CR187" s="234"/>
      <c r="CS187" s="87"/>
      <c r="CT187" s="88"/>
      <c r="CU187" s="88"/>
      <c r="CV187" s="88"/>
      <c r="CW187" s="1054"/>
      <c r="CX187" s="1054"/>
      <c r="CY187" s="1054"/>
      <c r="CZ187" s="1054"/>
      <c r="DA187" s="1054"/>
      <c r="DB187" s="1054"/>
      <c r="DC187" s="1054"/>
      <c r="DD187" s="1054"/>
      <c r="DE187" s="1054"/>
      <c r="DF187" s="1054"/>
      <c r="DG187" s="1054"/>
      <c r="DH187" s="1054"/>
      <c r="DI187" s="1054"/>
      <c r="DJ187" s="1054"/>
      <c r="DK187" s="1054"/>
      <c r="DL187" s="1054"/>
      <c r="DM187" s="1054"/>
      <c r="DN187" s="1054"/>
      <c r="DO187" s="1054"/>
      <c r="DP187" s="1054"/>
      <c r="DQ187" s="1054"/>
      <c r="DR187" s="1054"/>
      <c r="DS187" s="1054"/>
      <c r="DT187" s="1054"/>
      <c r="DU187" s="1054"/>
      <c r="DV187" s="1054"/>
      <c r="DW187" s="1054"/>
      <c r="DX187" s="1054"/>
      <c r="DY187" s="1054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50" t="s">
        <v>380</v>
      </c>
      <c r="EJ187" s="999"/>
      <c r="EK187" s="999"/>
      <c r="EL187" s="999"/>
      <c r="EM187" s="1000"/>
    </row>
    <row r="188" spans="1:143">
      <c r="A188" s="129"/>
      <c r="B188" s="129"/>
      <c r="C188" s="129"/>
      <c r="D188" s="129"/>
      <c r="E188" s="129"/>
      <c r="F188" s="130" t="s">
        <v>381</v>
      </c>
      <c r="G188" s="1001"/>
      <c r="H188" s="1001"/>
      <c r="I188" s="1001"/>
      <c r="J188" s="1001"/>
      <c r="K188" s="1001"/>
      <c r="L188" s="1001"/>
      <c r="M188" s="1001"/>
      <c r="N188" s="1001"/>
      <c r="O188" s="1001"/>
      <c r="P188" s="1001"/>
      <c r="Q188" s="1001"/>
      <c r="R188" s="1001"/>
      <c r="S188" s="1001"/>
      <c r="T188" s="1001"/>
      <c r="U188" s="1055">
        <v>20</v>
      </c>
      <c r="V188" s="1055"/>
      <c r="W188" s="1056"/>
      <c r="X188" s="1056"/>
      <c r="Y188" s="105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1"/>
      <c r="AR188" s="1052"/>
      <c r="AS188" s="1052"/>
      <c r="AT188" s="1052"/>
      <c r="AU188" s="1053"/>
      <c r="AV188" s="234"/>
      <c r="AW188" s="129"/>
      <c r="AX188" s="129"/>
      <c r="AY188" s="129"/>
      <c r="AZ188" s="129"/>
      <c r="BA188" s="129"/>
      <c r="BB188" s="130" t="s">
        <v>381</v>
      </c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55">
        <v>20</v>
      </c>
      <c r="BR188" s="1055"/>
      <c r="BS188" s="1056"/>
      <c r="BT188" s="1056"/>
      <c r="BU188" s="105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1"/>
      <c r="CN188" s="1052"/>
      <c r="CO188" s="1052"/>
      <c r="CP188" s="1052"/>
      <c r="CQ188" s="1053"/>
      <c r="CR188" s="234"/>
      <c r="CS188" s="129"/>
      <c r="CT188" s="129"/>
      <c r="CU188" s="129"/>
      <c r="CV188" s="129"/>
      <c r="CW188" s="129"/>
      <c r="CX188" s="130" t="s">
        <v>381</v>
      </c>
      <c r="CY188" s="1001"/>
      <c r="CZ188" s="1001"/>
      <c r="DA188" s="1001"/>
      <c r="DB188" s="1001"/>
      <c r="DC188" s="1001"/>
      <c r="DD188" s="1001"/>
      <c r="DE188" s="1001"/>
      <c r="DF188" s="1001"/>
      <c r="DG188" s="1001"/>
      <c r="DH188" s="1001"/>
      <c r="DI188" s="1001"/>
      <c r="DJ188" s="1001"/>
      <c r="DK188" s="1001"/>
      <c r="DL188" s="1001"/>
      <c r="DM188" s="1055">
        <v>20</v>
      </c>
      <c r="DN188" s="1055"/>
      <c r="DO188" s="1056"/>
      <c r="DP188" s="1056"/>
      <c r="DQ188" s="105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1"/>
      <c r="EJ188" s="1052"/>
      <c r="EK188" s="1052"/>
      <c r="EL188" s="1052"/>
      <c r="EM188" s="1053"/>
    </row>
    <row r="189" spans="1:143">
      <c r="A189" s="129" t="s">
        <v>186</v>
      </c>
      <c r="B189" s="129"/>
      <c r="C189" s="129"/>
      <c r="D189" s="129"/>
      <c r="E189" s="1054"/>
      <c r="F189" s="1054"/>
      <c r="G189" s="1054"/>
      <c r="H189" s="1054"/>
      <c r="I189" s="1054"/>
      <c r="J189" s="1054"/>
      <c r="K189" s="1054"/>
      <c r="L189" s="1054"/>
      <c r="M189" s="1054"/>
      <c r="N189" s="1054"/>
      <c r="O189" s="1054"/>
      <c r="P189" s="1054"/>
      <c r="Q189" s="1054"/>
      <c r="R189" s="1054"/>
      <c r="S189" s="1054"/>
      <c r="T189" s="1054"/>
      <c r="U189" s="1054"/>
      <c r="V189" s="1054"/>
      <c r="W189" s="1054"/>
      <c r="X189" s="1054"/>
      <c r="Y189" s="1054"/>
      <c r="Z189" s="1054"/>
      <c r="AA189" s="1054"/>
      <c r="AB189" s="1054"/>
      <c r="AC189" s="1054"/>
      <c r="AD189" s="1054"/>
      <c r="AE189" s="1054"/>
      <c r="AF189" s="1054"/>
      <c r="AG189" s="1054"/>
      <c r="AH189" s="1054"/>
      <c r="AI189" s="1054"/>
      <c r="AJ189" s="1054"/>
      <c r="AK189" s="317"/>
      <c r="AL189" s="317"/>
      <c r="AM189" s="318"/>
      <c r="AN189" s="318"/>
      <c r="AO189" s="130" t="s">
        <v>187</v>
      </c>
      <c r="AP189" s="129"/>
      <c r="AQ189" s="1012"/>
      <c r="AR189" s="1013"/>
      <c r="AS189" s="1013"/>
      <c r="AT189" s="1013"/>
      <c r="AU189" s="1014"/>
      <c r="AV189" s="234"/>
      <c r="AW189" s="129" t="s">
        <v>186</v>
      </c>
      <c r="AX189" s="129"/>
      <c r="AY189" s="129"/>
      <c r="AZ189" s="129"/>
      <c r="BA189" s="1054"/>
      <c r="BB189" s="1054"/>
      <c r="BC189" s="1054"/>
      <c r="BD189" s="1054"/>
      <c r="BE189" s="1054"/>
      <c r="BF189" s="1054"/>
      <c r="BG189" s="1054"/>
      <c r="BH189" s="1054"/>
      <c r="BI189" s="1054"/>
      <c r="BJ189" s="1054"/>
      <c r="BK189" s="1054"/>
      <c r="BL189" s="1054"/>
      <c r="BM189" s="1054"/>
      <c r="BN189" s="1054"/>
      <c r="BO189" s="1054"/>
      <c r="BP189" s="1054"/>
      <c r="BQ189" s="1054"/>
      <c r="BR189" s="1054"/>
      <c r="BS189" s="1054"/>
      <c r="BT189" s="1054"/>
      <c r="BU189" s="1054"/>
      <c r="BV189" s="1054"/>
      <c r="BW189" s="1054"/>
      <c r="BX189" s="1054"/>
      <c r="BY189" s="1054"/>
      <c r="BZ189" s="1054"/>
      <c r="CA189" s="1054"/>
      <c r="CB189" s="1054"/>
      <c r="CC189" s="1054"/>
      <c r="CD189" s="1054"/>
      <c r="CE189" s="1054"/>
      <c r="CF189" s="1054"/>
      <c r="CG189" s="317"/>
      <c r="CH189" s="317"/>
      <c r="CI189" s="318"/>
      <c r="CJ189" s="318"/>
      <c r="CK189" s="130" t="s">
        <v>187</v>
      </c>
      <c r="CL189" s="129"/>
      <c r="CM189" s="1012"/>
      <c r="CN189" s="1013"/>
      <c r="CO189" s="1013"/>
      <c r="CP189" s="1013"/>
      <c r="CQ189" s="1014"/>
      <c r="CR189" s="234"/>
      <c r="CS189" s="129" t="s">
        <v>186</v>
      </c>
      <c r="CT189" s="129"/>
      <c r="CU189" s="129"/>
      <c r="CV189" s="129"/>
      <c r="CW189" s="1054"/>
      <c r="CX189" s="1054"/>
      <c r="CY189" s="1054"/>
      <c r="CZ189" s="1054"/>
      <c r="DA189" s="1054"/>
      <c r="DB189" s="1054"/>
      <c r="DC189" s="1054"/>
      <c r="DD189" s="1054"/>
      <c r="DE189" s="1054"/>
      <c r="DF189" s="1054"/>
      <c r="DG189" s="1054"/>
      <c r="DH189" s="1054"/>
      <c r="DI189" s="1054"/>
      <c r="DJ189" s="1054"/>
      <c r="DK189" s="1054"/>
      <c r="DL189" s="1054"/>
      <c r="DM189" s="1054"/>
      <c r="DN189" s="1054"/>
      <c r="DO189" s="1054"/>
      <c r="DP189" s="1054"/>
      <c r="DQ189" s="1054"/>
      <c r="DR189" s="1054"/>
      <c r="DS189" s="1054"/>
      <c r="DT189" s="1054"/>
      <c r="DU189" s="1054"/>
      <c r="DV189" s="1054"/>
      <c r="DW189" s="1054"/>
      <c r="DX189" s="1054"/>
      <c r="DY189" s="1054"/>
      <c r="DZ189" s="1054"/>
      <c r="EA189" s="1054"/>
      <c r="EB189" s="1054"/>
      <c r="EC189" s="317"/>
      <c r="ED189" s="317"/>
      <c r="EE189" s="318"/>
      <c r="EF189" s="318"/>
      <c r="EG189" s="130" t="s">
        <v>187</v>
      </c>
      <c r="EH189" s="129"/>
      <c r="EI189" s="1012"/>
      <c r="EJ189" s="1013"/>
      <c r="EK189" s="1013"/>
      <c r="EL189" s="1013"/>
      <c r="EM189" s="1014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4"/>
      <c r="AR190" s="1035"/>
      <c r="AS190" s="1035"/>
      <c r="AT190" s="1035"/>
      <c r="AU190" s="1036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4"/>
      <c r="CN190" s="1035"/>
      <c r="CO190" s="1035"/>
      <c r="CP190" s="1035"/>
      <c r="CQ190" s="1036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4"/>
      <c r="EJ190" s="1035"/>
      <c r="EK190" s="1035"/>
      <c r="EL190" s="1035"/>
      <c r="EM190" s="1036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5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7"/>
      <c r="AM191" s="129"/>
      <c r="AN191" s="129"/>
      <c r="AO191" s="130" t="s">
        <v>189</v>
      </c>
      <c r="AP191" s="129"/>
      <c r="AQ191" s="1037"/>
      <c r="AR191" s="942"/>
      <c r="AS191" s="942"/>
      <c r="AT191" s="942"/>
      <c r="AU191" s="1038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5"/>
      <c r="BV191" s="996"/>
      <c r="BW191" s="996"/>
      <c r="BX191" s="996"/>
      <c r="BY191" s="996"/>
      <c r="BZ191" s="996"/>
      <c r="CA191" s="996"/>
      <c r="CB191" s="996"/>
      <c r="CC191" s="996"/>
      <c r="CD191" s="996"/>
      <c r="CE191" s="996"/>
      <c r="CF191" s="996"/>
      <c r="CG191" s="996"/>
      <c r="CH191" s="997"/>
      <c r="CI191" s="129"/>
      <c r="CJ191" s="129"/>
      <c r="CK191" s="130" t="s">
        <v>189</v>
      </c>
      <c r="CL191" s="129"/>
      <c r="CM191" s="1037"/>
      <c r="CN191" s="942"/>
      <c r="CO191" s="942"/>
      <c r="CP191" s="942"/>
      <c r="CQ191" s="1038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5"/>
      <c r="DR191" s="996"/>
      <c r="DS191" s="996"/>
      <c r="DT191" s="996"/>
      <c r="DU191" s="996"/>
      <c r="DV191" s="996"/>
      <c r="DW191" s="996"/>
      <c r="DX191" s="996"/>
      <c r="DY191" s="996"/>
      <c r="DZ191" s="996"/>
      <c r="EA191" s="996"/>
      <c r="EB191" s="996"/>
      <c r="EC191" s="996"/>
      <c r="ED191" s="997"/>
      <c r="EE191" s="129"/>
      <c r="EF191" s="129"/>
      <c r="EG191" s="130" t="s">
        <v>189</v>
      </c>
      <c r="EH191" s="129"/>
      <c r="EI191" s="1037"/>
      <c r="EJ191" s="942"/>
      <c r="EK191" s="942"/>
      <c r="EL191" s="942"/>
      <c r="EM191" s="1038"/>
    </row>
    <row r="192" spans="1:143">
      <c r="A192" s="1039" t="s">
        <v>190</v>
      </c>
      <c r="B192" s="1039"/>
      <c r="C192" s="1039"/>
      <c r="D192" s="1039"/>
      <c r="E192" s="1039"/>
      <c r="F192" s="1039"/>
      <c r="G192" s="1039"/>
      <c r="H192" s="1039"/>
      <c r="I192" s="1039"/>
      <c r="J192" s="1039"/>
      <c r="K192" s="949"/>
      <c r="L192" s="949"/>
      <c r="M192" s="949"/>
      <c r="N192" s="949"/>
      <c r="O192" s="949"/>
      <c r="P192" s="949"/>
      <c r="Q192" s="949"/>
      <c r="R192" s="949"/>
      <c r="S192" s="949"/>
      <c r="T192" s="949"/>
      <c r="U192" s="949"/>
      <c r="V192" s="949"/>
      <c r="W192" s="949"/>
      <c r="X192" s="949"/>
      <c r="Y192" s="949"/>
      <c r="Z192" s="949"/>
      <c r="AA192" s="949"/>
      <c r="AB192" s="949"/>
      <c r="AC192" s="949"/>
      <c r="AD192" s="949"/>
      <c r="AE192" s="949"/>
      <c r="AF192" s="949"/>
      <c r="AG192" s="949"/>
      <c r="AH192" s="949"/>
      <c r="AI192" s="949"/>
      <c r="AJ192" s="949"/>
      <c r="AK192" s="949"/>
      <c r="AL192" s="90"/>
      <c r="AM192" s="80"/>
      <c r="AN192" s="80"/>
      <c r="AO192" s="80"/>
      <c r="AP192" s="80"/>
      <c r="AQ192" s="1016"/>
      <c r="AR192" s="1017"/>
      <c r="AS192" s="1017"/>
      <c r="AT192" s="1017"/>
      <c r="AU192" s="1018"/>
      <c r="AV192" s="234"/>
      <c r="AW192" s="1039" t="s">
        <v>190</v>
      </c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949"/>
      <c r="BH192" s="949"/>
      <c r="BI192" s="949"/>
      <c r="BJ192" s="949"/>
      <c r="BK192" s="949"/>
      <c r="BL192" s="949"/>
      <c r="BM192" s="949"/>
      <c r="BN192" s="949"/>
      <c r="BO192" s="949"/>
      <c r="BP192" s="949"/>
      <c r="BQ192" s="949"/>
      <c r="BR192" s="949"/>
      <c r="BS192" s="949"/>
      <c r="BT192" s="949"/>
      <c r="BU192" s="949"/>
      <c r="BV192" s="949"/>
      <c r="BW192" s="949"/>
      <c r="BX192" s="949"/>
      <c r="BY192" s="949"/>
      <c r="BZ192" s="949"/>
      <c r="CA192" s="949"/>
      <c r="CB192" s="949"/>
      <c r="CC192" s="949"/>
      <c r="CD192" s="949"/>
      <c r="CE192" s="949"/>
      <c r="CF192" s="949"/>
      <c r="CG192" s="949"/>
      <c r="CH192" s="90"/>
      <c r="CI192" s="80"/>
      <c r="CJ192" s="80"/>
      <c r="CK192" s="80"/>
      <c r="CL192" s="80"/>
      <c r="CM192" s="1016"/>
      <c r="CN192" s="1017"/>
      <c r="CO192" s="1017"/>
      <c r="CP192" s="1017"/>
      <c r="CQ192" s="1018"/>
      <c r="CR192" s="234"/>
      <c r="CS192" s="1039" t="s">
        <v>190</v>
      </c>
      <c r="CT192" s="1039"/>
      <c r="CU192" s="1039"/>
      <c r="CV192" s="1039"/>
      <c r="CW192" s="1039"/>
      <c r="CX192" s="1039"/>
      <c r="CY192" s="1039"/>
      <c r="CZ192" s="1039"/>
      <c r="DA192" s="1039"/>
      <c r="DB192" s="1039"/>
      <c r="DC192" s="949"/>
      <c r="DD192" s="949"/>
      <c r="DE192" s="949"/>
      <c r="DF192" s="949"/>
      <c r="DG192" s="949"/>
      <c r="DH192" s="949"/>
      <c r="DI192" s="949"/>
      <c r="DJ192" s="949"/>
      <c r="DK192" s="949"/>
      <c r="DL192" s="949"/>
      <c r="DM192" s="949"/>
      <c r="DN192" s="949"/>
      <c r="DO192" s="949"/>
      <c r="DP192" s="949"/>
      <c r="DQ192" s="949"/>
      <c r="DR192" s="949"/>
      <c r="DS192" s="949"/>
      <c r="DT192" s="949"/>
      <c r="DU192" s="949"/>
      <c r="DV192" s="949"/>
      <c r="DW192" s="949"/>
      <c r="DX192" s="949"/>
      <c r="DY192" s="949"/>
      <c r="DZ192" s="949"/>
      <c r="EA192" s="949"/>
      <c r="EB192" s="949"/>
      <c r="EC192" s="949"/>
      <c r="ED192" s="90"/>
      <c r="EE192" s="80"/>
      <c r="EF192" s="80"/>
      <c r="EG192" s="80"/>
      <c r="EH192" s="80"/>
      <c r="EI192" s="1016"/>
      <c r="EJ192" s="1017"/>
      <c r="EK192" s="1017"/>
      <c r="EL192" s="1017"/>
      <c r="EM192" s="1018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40" t="s">
        <v>285</v>
      </c>
      <c r="AR193" s="1006"/>
      <c r="AS193" s="1006"/>
      <c r="AT193" s="1006"/>
      <c r="AU193" s="1007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40" t="s">
        <v>285</v>
      </c>
      <c r="CN193" s="1006"/>
      <c r="CO193" s="1006"/>
      <c r="CP193" s="1006"/>
      <c r="CQ193" s="1007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40" t="s">
        <v>285</v>
      </c>
      <c r="EJ193" s="1006"/>
      <c r="EK193" s="1006"/>
      <c r="EL193" s="1006"/>
      <c r="EM193" s="1007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67" t="s">
        <v>384</v>
      </c>
      <c r="B195" s="968"/>
      <c r="C195" s="968"/>
      <c r="D195" s="968"/>
      <c r="E195" s="968"/>
      <c r="F195" s="968"/>
      <c r="G195" s="968"/>
      <c r="H195" s="968"/>
      <c r="I195" s="969"/>
      <c r="J195" s="80"/>
      <c r="K195" s="80"/>
      <c r="L195" s="80"/>
      <c r="M195" s="967" t="s">
        <v>385</v>
      </c>
      <c r="N195" s="968"/>
      <c r="O195" s="968"/>
      <c r="P195" s="968"/>
      <c r="Q195" s="968"/>
      <c r="R195" s="968"/>
      <c r="S195" s="968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8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9"/>
      <c r="AV195" s="234"/>
      <c r="AW195" s="967" t="s">
        <v>384</v>
      </c>
      <c r="AX195" s="968"/>
      <c r="AY195" s="968"/>
      <c r="AZ195" s="968"/>
      <c r="BA195" s="968"/>
      <c r="BB195" s="968"/>
      <c r="BC195" s="968"/>
      <c r="BD195" s="968"/>
      <c r="BE195" s="969"/>
      <c r="BF195" s="80"/>
      <c r="BG195" s="80"/>
      <c r="BH195" s="80"/>
      <c r="BI195" s="967" t="s">
        <v>385</v>
      </c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8"/>
      <c r="BV195" s="968"/>
      <c r="BW195" s="968"/>
      <c r="BX195" s="968"/>
      <c r="BY195" s="968"/>
      <c r="BZ195" s="968"/>
      <c r="CA195" s="968"/>
      <c r="CB195" s="968"/>
      <c r="CC195" s="968"/>
      <c r="CD195" s="968"/>
      <c r="CE195" s="968"/>
      <c r="CF195" s="968"/>
      <c r="CG195" s="968"/>
      <c r="CH195" s="968"/>
      <c r="CI195" s="968"/>
      <c r="CJ195" s="968"/>
      <c r="CK195" s="968"/>
      <c r="CL195" s="968"/>
      <c r="CM195" s="968"/>
      <c r="CN195" s="968"/>
      <c r="CO195" s="968"/>
      <c r="CP195" s="968"/>
      <c r="CQ195" s="969"/>
      <c r="CR195" s="234"/>
      <c r="CS195" s="967" t="s">
        <v>384</v>
      </c>
      <c r="CT195" s="968"/>
      <c r="CU195" s="968"/>
      <c r="CV195" s="968"/>
      <c r="CW195" s="968"/>
      <c r="CX195" s="968"/>
      <c r="CY195" s="968"/>
      <c r="CZ195" s="968"/>
      <c r="DA195" s="969"/>
      <c r="DB195" s="80"/>
      <c r="DC195" s="80"/>
      <c r="DD195" s="80"/>
      <c r="DE195" s="967" t="s">
        <v>385</v>
      </c>
      <c r="DF195" s="968"/>
      <c r="DG195" s="968"/>
      <c r="DH195" s="968"/>
      <c r="DI195" s="968"/>
      <c r="DJ195" s="968"/>
      <c r="DK195" s="968"/>
      <c r="DL195" s="968"/>
      <c r="DM195" s="968"/>
      <c r="DN195" s="968"/>
      <c r="DO195" s="968"/>
      <c r="DP195" s="968"/>
      <c r="DQ195" s="968"/>
      <c r="DR195" s="968"/>
      <c r="DS195" s="968"/>
      <c r="DT195" s="968"/>
      <c r="DU195" s="968"/>
      <c r="DV195" s="968"/>
      <c r="DW195" s="968"/>
      <c r="DX195" s="968"/>
      <c r="DY195" s="968"/>
      <c r="DZ195" s="968"/>
      <c r="EA195" s="968"/>
      <c r="EB195" s="968"/>
      <c r="EC195" s="968"/>
      <c r="ED195" s="968"/>
      <c r="EE195" s="968"/>
      <c r="EF195" s="968"/>
      <c r="EG195" s="968"/>
      <c r="EH195" s="968"/>
      <c r="EI195" s="968"/>
      <c r="EJ195" s="968"/>
      <c r="EK195" s="968"/>
      <c r="EL195" s="968"/>
      <c r="EM195" s="969"/>
    </row>
    <row r="196" spans="1:143">
      <c r="A196" s="1041" t="s">
        <v>230</v>
      </c>
      <c r="B196" s="1041"/>
      <c r="C196" s="1041"/>
      <c r="D196" s="1041"/>
      <c r="E196" s="1041" t="s">
        <v>231</v>
      </c>
      <c r="F196" s="1041"/>
      <c r="G196" s="1041"/>
      <c r="H196" s="1041"/>
      <c r="I196" s="1041"/>
      <c r="J196" s="80"/>
      <c r="K196" s="94"/>
      <c r="L196" s="95"/>
      <c r="M196" s="967" t="s">
        <v>386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9"/>
      <c r="AF196" s="967" t="s">
        <v>387</v>
      </c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1041" t="s">
        <v>230</v>
      </c>
      <c r="AX196" s="1041"/>
      <c r="AY196" s="1041"/>
      <c r="AZ196" s="1041"/>
      <c r="BA196" s="1041" t="s">
        <v>231</v>
      </c>
      <c r="BB196" s="1041"/>
      <c r="BC196" s="1041"/>
      <c r="BD196" s="1041"/>
      <c r="BE196" s="1041"/>
      <c r="BF196" s="80"/>
      <c r="BG196" s="94"/>
      <c r="BH196" s="95"/>
      <c r="BI196" s="967" t="s">
        <v>386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9"/>
      <c r="CB196" s="967" t="s">
        <v>387</v>
      </c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1041" t="s">
        <v>230</v>
      </c>
      <c r="CT196" s="1041"/>
      <c r="CU196" s="1041"/>
      <c r="CV196" s="1041"/>
      <c r="CW196" s="1041" t="s">
        <v>231</v>
      </c>
      <c r="CX196" s="1041"/>
      <c r="CY196" s="1041"/>
      <c r="CZ196" s="1041"/>
      <c r="DA196" s="1041"/>
      <c r="DB196" s="80"/>
      <c r="DC196" s="94"/>
      <c r="DD196" s="95"/>
      <c r="DE196" s="967" t="s">
        <v>386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9"/>
      <c r="DX196" s="967" t="s">
        <v>387</v>
      </c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966"/>
      <c r="B197" s="966"/>
      <c r="C197" s="966"/>
      <c r="D197" s="966"/>
      <c r="E197" s="966"/>
      <c r="F197" s="966"/>
      <c r="G197" s="966"/>
      <c r="H197" s="966"/>
      <c r="I197" s="966"/>
      <c r="J197" s="80"/>
      <c r="K197" s="80"/>
      <c r="L197" s="80"/>
      <c r="M197" s="985"/>
      <c r="N197" s="986"/>
      <c r="O197" s="986"/>
      <c r="P197" s="986"/>
      <c r="Q197" s="986"/>
      <c r="R197" s="986"/>
      <c r="S197" s="986"/>
      <c r="T197" s="986"/>
      <c r="U197" s="986"/>
      <c r="V197" s="986"/>
      <c r="W197" s="986"/>
      <c r="X197" s="986"/>
      <c r="Y197" s="986"/>
      <c r="Z197" s="986"/>
      <c r="AA197" s="986"/>
      <c r="AB197" s="986"/>
      <c r="AC197" s="986"/>
      <c r="AD197" s="986"/>
      <c r="AE197" s="987"/>
      <c r="AF197" s="985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7"/>
      <c r="AV197" s="234"/>
      <c r="AW197" s="966"/>
      <c r="AX197" s="966"/>
      <c r="AY197" s="966"/>
      <c r="AZ197" s="966"/>
      <c r="BA197" s="966"/>
      <c r="BB197" s="966"/>
      <c r="BC197" s="966"/>
      <c r="BD197" s="966"/>
      <c r="BE197" s="966"/>
      <c r="BF197" s="80"/>
      <c r="BG197" s="80"/>
      <c r="BH197" s="80"/>
      <c r="BI197" s="985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  <c r="BU197" s="986"/>
      <c r="BV197" s="986"/>
      <c r="BW197" s="986"/>
      <c r="BX197" s="986"/>
      <c r="BY197" s="986"/>
      <c r="BZ197" s="986"/>
      <c r="CA197" s="987"/>
      <c r="CB197" s="985"/>
      <c r="CC197" s="986"/>
      <c r="CD197" s="986"/>
      <c r="CE197" s="986"/>
      <c r="CF197" s="986"/>
      <c r="CG197" s="986"/>
      <c r="CH197" s="986"/>
      <c r="CI197" s="986"/>
      <c r="CJ197" s="986"/>
      <c r="CK197" s="986"/>
      <c r="CL197" s="986"/>
      <c r="CM197" s="986"/>
      <c r="CN197" s="986"/>
      <c r="CO197" s="986"/>
      <c r="CP197" s="986"/>
      <c r="CQ197" s="987"/>
      <c r="CR197" s="234"/>
      <c r="CS197" s="966"/>
      <c r="CT197" s="966"/>
      <c r="CU197" s="966"/>
      <c r="CV197" s="966"/>
      <c r="CW197" s="966"/>
      <c r="CX197" s="966"/>
      <c r="CY197" s="966"/>
      <c r="CZ197" s="966"/>
      <c r="DA197" s="966"/>
      <c r="DB197" s="80"/>
      <c r="DC197" s="80"/>
      <c r="DD197" s="80"/>
      <c r="DE197" s="985"/>
      <c r="DF197" s="986"/>
      <c r="DG197" s="986"/>
      <c r="DH197" s="986"/>
      <c r="DI197" s="986"/>
      <c r="DJ197" s="986"/>
      <c r="DK197" s="986"/>
      <c r="DL197" s="986"/>
      <c r="DM197" s="986"/>
      <c r="DN197" s="986"/>
      <c r="DO197" s="986"/>
      <c r="DP197" s="986"/>
      <c r="DQ197" s="986"/>
      <c r="DR197" s="986"/>
      <c r="DS197" s="986"/>
      <c r="DT197" s="986"/>
      <c r="DU197" s="986"/>
      <c r="DV197" s="986"/>
      <c r="DW197" s="987"/>
      <c r="DX197" s="985"/>
      <c r="DY197" s="986"/>
      <c r="DZ197" s="986"/>
      <c r="EA197" s="986"/>
      <c r="EB197" s="986"/>
      <c r="EC197" s="986"/>
      <c r="ED197" s="986"/>
      <c r="EE197" s="986"/>
      <c r="EF197" s="986"/>
      <c r="EG197" s="986"/>
      <c r="EH197" s="986"/>
      <c r="EI197" s="986"/>
      <c r="EJ197" s="986"/>
      <c r="EK197" s="986"/>
      <c r="EL197" s="986"/>
      <c r="EM197" s="987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72" t="s">
        <v>43</v>
      </c>
      <c r="B200" s="973"/>
      <c r="C200" s="974"/>
      <c r="D200" s="972" t="s">
        <v>141</v>
      </c>
      <c r="E200" s="973"/>
      <c r="F200" s="973"/>
      <c r="G200" s="973"/>
      <c r="H200" s="973"/>
      <c r="I200" s="973"/>
      <c r="J200" s="973"/>
      <c r="K200" s="973"/>
      <c r="L200" s="973"/>
      <c r="M200" s="973"/>
      <c r="N200" s="973"/>
      <c r="O200" s="973"/>
      <c r="P200" s="973"/>
      <c r="Q200" s="974"/>
      <c r="R200" s="967" t="s">
        <v>388</v>
      </c>
      <c r="S200" s="968"/>
      <c r="T200" s="968"/>
      <c r="U200" s="968"/>
      <c r="V200" s="968"/>
      <c r="W200" s="968"/>
      <c r="X200" s="968"/>
      <c r="Y200" s="968"/>
      <c r="Z200" s="968"/>
      <c r="AA200" s="968"/>
      <c r="AB200" s="968"/>
      <c r="AC200" s="968"/>
      <c r="AD200" s="968"/>
      <c r="AE200" s="969"/>
      <c r="AF200" s="972" t="s">
        <v>198</v>
      </c>
      <c r="AG200" s="973"/>
      <c r="AH200" s="973"/>
      <c r="AI200" s="973"/>
      <c r="AJ200" s="973"/>
      <c r="AK200" s="973"/>
      <c r="AL200" s="974"/>
      <c r="AM200" s="972" t="s">
        <v>389</v>
      </c>
      <c r="AN200" s="973"/>
      <c r="AO200" s="973"/>
      <c r="AP200" s="973"/>
      <c r="AQ200" s="973"/>
      <c r="AR200" s="973"/>
      <c r="AS200" s="973"/>
      <c r="AT200" s="973"/>
      <c r="AU200" s="974"/>
      <c r="AV200" s="234"/>
      <c r="AW200" s="972" t="s">
        <v>43</v>
      </c>
      <c r="AX200" s="973"/>
      <c r="AY200" s="974"/>
      <c r="AZ200" s="972" t="s">
        <v>141</v>
      </c>
      <c r="BA200" s="973"/>
      <c r="BB200" s="973"/>
      <c r="BC200" s="973"/>
      <c r="BD200" s="973"/>
      <c r="BE200" s="973"/>
      <c r="BF200" s="973"/>
      <c r="BG200" s="973"/>
      <c r="BH200" s="973"/>
      <c r="BI200" s="973"/>
      <c r="BJ200" s="973"/>
      <c r="BK200" s="973"/>
      <c r="BL200" s="973"/>
      <c r="BM200" s="974"/>
      <c r="BN200" s="967" t="s">
        <v>388</v>
      </c>
      <c r="BO200" s="968"/>
      <c r="BP200" s="968"/>
      <c r="BQ200" s="968"/>
      <c r="BR200" s="968"/>
      <c r="BS200" s="968"/>
      <c r="BT200" s="968"/>
      <c r="BU200" s="968"/>
      <c r="BV200" s="968"/>
      <c r="BW200" s="968"/>
      <c r="BX200" s="968"/>
      <c r="BY200" s="968"/>
      <c r="BZ200" s="968"/>
      <c r="CA200" s="969"/>
      <c r="CB200" s="972" t="s">
        <v>198</v>
      </c>
      <c r="CC200" s="973"/>
      <c r="CD200" s="973"/>
      <c r="CE200" s="973"/>
      <c r="CF200" s="973"/>
      <c r="CG200" s="973"/>
      <c r="CH200" s="974"/>
      <c r="CI200" s="972" t="s">
        <v>389</v>
      </c>
      <c r="CJ200" s="973"/>
      <c r="CK200" s="973"/>
      <c r="CL200" s="973"/>
      <c r="CM200" s="973"/>
      <c r="CN200" s="973"/>
      <c r="CO200" s="973"/>
      <c r="CP200" s="973"/>
      <c r="CQ200" s="974"/>
      <c r="CR200" s="234"/>
      <c r="CS200" s="972" t="s">
        <v>43</v>
      </c>
      <c r="CT200" s="973"/>
      <c r="CU200" s="974"/>
      <c r="CV200" s="972" t="s">
        <v>141</v>
      </c>
      <c r="CW200" s="973"/>
      <c r="CX200" s="973"/>
      <c r="CY200" s="973"/>
      <c r="CZ200" s="973"/>
      <c r="DA200" s="973"/>
      <c r="DB200" s="973"/>
      <c r="DC200" s="973"/>
      <c r="DD200" s="973"/>
      <c r="DE200" s="973"/>
      <c r="DF200" s="973"/>
      <c r="DG200" s="973"/>
      <c r="DH200" s="973"/>
      <c r="DI200" s="974"/>
      <c r="DJ200" s="967" t="s">
        <v>388</v>
      </c>
      <c r="DK200" s="968"/>
      <c r="DL200" s="968"/>
      <c r="DM200" s="968"/>
      <c r="DN200" s="968"/>
      <c r="DO200" s="968"/>
      <c r="DP200" s="968"/>
      <c r="DQ200" s="968"/>
      <c r="DR200" s="968"/>
      <c r="DS200" s="968"/>
      <c r="DT200" s="968"/>
      <c r="DU200" s="968"/>
      <c r="DV200" s="968"/>
      <c r="DW200" s="969"/>
      <c r="DX200" s="972" t="s">
        <v>198</v>
      </c>
      <c r="DY200" s="973"/>
      <c r="DZ200" s="973"/>
      <c r="EA200" s="973"/>
      <c r="EB200" s="973"/>
      <c r="EC200" s="973"/>
      <c r="ED200" s="974"/>
      <c r="EE200" s="972" t="s">
        <v>389</v>
      </c>
      <c r="EF200" s="973"/>
      <c r="EG200" s="973"/>
      <c r="EH200" s="973"/>
      <c r="EI200" s="973"/>
      <c r="EJ200" s="973"/>
      <c r="EK200" s="973"/>
      <c r="EL200" s="973"/>
      <c r="EM200" s="974"/>
    </row>
    <row r="201" spans="1:143">
      <c r="A201" s="975"/>
      <c r="B201" s="976"/>
      <c r="C201" s="977"/>
      <c r="D201" s="975"/>
      <c r="E201" s="976"/>
      <c r="F201" s="976"/>
      <c r="G201" s="976"/>
      <c r="H201" s="976"/>
      <c r="I201" s="976"/>
      <c r="J201" s="976"/>
      <c r="K201" s="976"/>
      <c r="L201" s="976"/>
      <c r="M201" s="976"/>
      <c r="N201" s="976"/>
      <c r="O201" s="976"/>
      <c r="P201" s="976"/>
      <c r="Q201" s="977"/>
      <c r="R201" s="988"/>
      <c r="S201" s="989"/>
      <c r="T201" s="989"/>
      <c r="U201" s="989"/>
      <c r="V201" s="989"/>
      <c r="W201" s="989"/>
      <c r="X201" s="990"/>
      <c r="Y201" s="988"/>
      <c r="Z201" s="989"/>
      <c r="AA201" s="989"/>
      <c r="AB201" s="989"/>
      <c r="AC201" s="989"/>
      <c r="AD201" s="989"/>
      <c r="AE201" s="990"/>
      <c r="AF201" s="975"/>
      <c r="AG201" s="976"/>
      <c r="AH201" s="976"/>
      <c r="AI201" s="976"/>
      <c r="AJ201" s="976"/>
      <c r="AK201" s="976"/>
      <c r="AL201" s="977"/>
      <c r="AM201" s="975"/>
      <c r="AN201" s="976"/>
      <c r="AO201" s="976"/>
      <c r="AP201" s="976"/>
      <c r="AQ201" s="976"/>
      <c r="AR201" s="976"/>
      <c r="AS201" s="976"/>
      <c r="AT201" s="976"/>
      <c r="AU201" s="977"/>
      <c r="AV201" s="234"/>
      <c r="AW201" s="975"/>
      <c r="AX201" s="976"/>
      <c r="AY201" s="977"/>
      <c r="AZ201" s="975"/>
      <c r="BA201" s="976"/>
      <c r="BB201" s="976"/>
      <c r="BC201" s="976"/>
      <c r="BD201" s="976"/>
      <c r="BE201" s="976"/>
      <c r="BF201" s="976"/>
      <c r="BG201" s="976"/>
      <c r="BH201" s="976"/>
      <c r="BI201" s="976"/>
      <c r="BJ201" s="976"/>
      <c r="BK201" s="976"/>
      <c r="BL201" s="976"/>
      <c r="BM201" s="977"/>
      <c r="BN201" s="988"/>
      <c r="BO201" s="989"/>
      <c r="BP201" s="989"/>
      <c r="BQ201" s="989"/>
      <c r="BR201" s="989"/>
      <c r="BS201" s="989"/>
      <c r="BT201" s="990"/>
      <c r="BU201" s="988"/>
      <c r="BV201" s="989"/>
      <c r="BW201" s="989"/>
      <c r="BX201" s="989"/>
      <c r="BY201" s="989"/>
      <c r="BZ201" s="989"/>
      <c r="CA201" s="990"/>
      <c r="CB201" s="975"/>
      <c r="CC201" s="976"/>
      <c r="CD201" s="976"/>
      <c r="CE201" s="976"/>
      <c r="CF201" s="976"/>
      <c r="CG201" s="976"/>
      <c r="CH201" s="977"/>
      <c r="CI201" s="975"/>
      <c r="CJ201" s="976"/>
      <c r="CK201" s="976"/>
      <c r="CL201" s="976"/>
      <c r="CM201" s="976"/>
      <c r="CN201" s="976"/>
      <c r="CO201" s="976"/>
      <c r="CP201" s="976"/>
      <c r="CQ201" s="977"/>
      <c r="CR201" s="234"/>
      <c r="CS201" s="975"/>
      <c r="CT201" s="976"/>
      <c r="CU201" s="977"/>
      <c r="CV201" s="975"/>
      <c r="CW201" s="976"/>
      <c r="CX201" s="976"/>
      <c r="CY201" s="976"/>
      <c r="CZ201" s="976"/>
      <c r="DA201" s="976"/>
      <c r="DB201" s="976"/>
      <c r="DC201" s="976"/>
      <c r="DD201" s="976"/>
      <c r="DE201" s="976"/>
      <c r="DF201" s="976"/>
      <c r="DG201" s="976"/>
      <c r="DH201" s="976"/>
      <c r="DI201" s="977"/>
      <c r="DJ201" s="988"/>
      <c r="DK201" s="989"/>
      <c r="DL201" s="989"/>
      <c r="DM201" s="989"/>
      <c r="DN201" s="989"/>
      <c r="DO201" s="989"/>
      <c r="DP201" s="990"/>
      <c r="DQ201" s="988"/>
      <c r="DR201" s="989"/>
      <c r="DS201" s="989"/>
      <c r="DT201" s="989"/>
      <c r="DU201" s="989"/>
      <c r="DV201" s="989"/>
      <c r="DW201" s="990"/>
      <c r="DX201" s="975"/>
      <c r="DY201" s="976"/>
      <c r="DZ201" s="976"/>
      <c r="EA201" s="976"/>
      <c r="EB201" s="976"/>
      <c r="EC201" s="976"/>
      <c r="ED201" s="977"/>
      <c r="EE201" s="975"/>
      <c r="EF201" s="976"/>
      <c r="EG201" s="976"/>
      <c r="EH201" s="976"/>
      <c r="EI201" s="976"/>
      <c r="EJ201" s="976"/>
      <c r="EK201" s="976"/>
      <c r="EL201" s="976"/>
      <c r="EM201" s="977"/>
    </row>
    <row r="202" spans="1:143">
      <c r="A202" s="1148" t="s">
        <v>399</v>
      </c>
      <c r="B202" s="1149"/>
      <c r="C202" s="1149"/>
      <c r="D202" s="1150" t="s">
        <v>400</v>
      </c>
      <c r="E202" s="1151"/>
      <c r="F202" s="1151"/>
      <c r="G202" s="1151"/>
      <c r="H202" s="1151"/>
      <c r="I202" s="1151"/>
      <c r="J202" s="1151"/>
      <c r="K202" s="1151"/>
      <c r="L202" s="1151"/>
      <c r="M202" s="1151"/>
      <c r="N202" s="1151"/>
      <c r="O202" s="1151"/>
      <c r="P202" s="1151"/>
      <c r="Q202" s="1152"/>
      <c r="R202" s="1150" t="s">
        <v>401</v>
      </c>
      <c r="S202" s="1151"/>
      <c r="T202" s="1151"/>
      <c r="U202" s="1151"/>
      <c r="V202" s="1151"/>
      <c r="W202" s="1151"/>
      <c r="X202" s="1152"/>
      <c r="Y202" s="1150" t="s">
        <v>402</v>
      </c>
      <c r="Z202" s="1151"/>
      <c r="AA202" s="1151"/>
      <c r="AB202" s="1151"/>
      <c r="AC202" s="1151"/>
      <c r="AD202" s="1151"/>
      <c r="AE202" s="1152"/>
      <c r="AF202" s="1150" t="s">
        <v>403</v>
      </c>
      <c r="AG202" s="1151"/>
      <c r="AH202" s="1151"/>
      <c r="AI202" s="1151"/>
      <c r="AJ202" s="1151"/>
      <c r="AK202" s="1151"/>
      <c r="AL202" s="1152"/>
      <c r="AM202" s="1150" t="s">
        <v>404</v>
      </c>
      <c r="AN202" s="1151"/>
      <c r="AO202" s="1151"/>
      <c r="AP202" s="1151"/>
      <c r="AQ202" s="1151"/>
      <c r="AR202" s="1151"/>
      <c r="AS202" s="1151"/>
      <c r="AT202" s="1151"/>
      <c r="AU202" s="1152"/>
      <c r="AV202" s="578"/>
      <c r="AW202" s="1148" t="s">
        <v>399</v>
      </c>
      <c r="AX202" s="1149"/>
      <c r="AY202" s="1149"/>
      <c r="AZ202" s="1150" t="s">
        <v>400</v>
      </c>
      <c r="BA202" s="1151"/>
      <c r="BB202" s="1151"/>
      <c r="BC202" s="1151"/>
      <c r="BD202" s="1151"/>
      <c r="BE202" s="1151"/>
      <c r="BF202" s="1151"/>
      <c r="BG202" s="1151"/>
      <c r="BH202" s="1151"/>
      <c r="BI202" s="1151"/>
      <c r="BJ202" s="1151"/>
      <c r="BK202" s="1151"/>
      <c r="BL202" s="1151"/>
      <c r="BM202" s="1152"/>
      <c r="BN202" s="1150" t="s">
        <v>401</v>
      </c>
      <c r="BO202" s="1151"/>
      <c r="BP202" s="1151"/>
      <c r="BQ202" s="1151"/>
      <c r="BR202" s="1151"/>
      <c r="BS202" s="1151"/>
      <c r="BT202" s="1152"/>
      <c r="BU202" s="1150" t="s">
        <v>402</v>
      </c>
      <c r="BV202" s="1151"/>
      <c r="BW202" s="1151"/>
      <c r="BX202" s="1151"/>
      <c r="BY202" s="1151"/>
      <c r="BZ202" s="1151"/>
      <c r="CA202" s="1152"/>
      <c r="CB202" s="1150" t="s">
        <v>403</v>
      </c>
      <c r="CC202" s="1151"/>
      <c r="CD202" s="1151"/>
      <c r="CE202" s="1151"/>
      <c r="CF202" s="1151"/>
      <c r="CG202" s="1151"/>
      <c r="CH202" s="1152"/>
      <c r="CI202" s="1150" t="s">
        <v>404</v>
      </c>
      <c r="CJ202" s="1151"/>
      <c r="CK202" s="1151"/>
      <c r="CL202" s="1151"/>
      <c r="CM202" s="1151"/>
      <c r="CN202" s="1151"/>
      <c r="CO202" s="1151"/>
      <c r="CP202" s="1151"/>
      <c r="CQ202" s="1152"/>
      <c r="CR202" s="578"/>
      <c r="CS202" s="1148" t="s">
        <v>399</v>
      </c>
      <c r="CT202" s="1149"/>
      <c r="CU202" s="1149"/>
      <c r="CV202" s="1150" t="s">
        <v>400</v>
      </c>
      <c r="CW202" s="1151"/>
      <c r="CX202" s="1151"/>
      <c r="CY202" s="1151"/>
      <c r="CZ202" s="1151"/>
      <c r="DA202" s="1151"/>
      <c r="DB202" s="1151"/>
      <c r="DC202" s="1151"/>
      <c r="DD202" s="1151"/>
      <c r="DE202" s="1151"/>
      <c r="DF202" s="1151"/>
      <c r="DG202" s="1151"/>
      <c r="DH202" s="1151"/>
      <c r="DI202" s="1152"/>
      <c r="DJ202" s="1150" t="s">
        <v>401</v>
      </c>
      <c r="DK202" s="1151"/>
      <c r="DL202" s="1151"/>
      <c r="DM202" s="1151"/>
      <c r="DN202" s="1151"/>
      <c r="DO202" s="1151"/>
      <c r="DP202" s="1152"/>
      <c r="DQ202" s="1150" t="s">
        <v>402</v>
      </c>
      <c r="DR202" s="1151"/>
      <c r="DS202" s="1151"/>
      <c r="DT202" s="1151"/>
      <c r="DU202" s="1151"/>
      <c r="DV202" s="1151"/>
      <c r="DW202" s="1152"/>
      <c r="DX202" s="1150" t="s">
        <v>403</v>
      </c>
      <c r="DY202" s="1151"/>
      <c r="DZ202" s="1151"/>
      <c r="EA202" s="1151"/>
      <c r="EB202" s="1151"/>
      <c r="EC202" s="1151"/>
      <c r="ED202" s="1152"/>
      <c r="EE202" s="1150" t="s">
        <v>404</v>
      </c>
      <c r="EF202" s="1151"/>
      <c r="EG202" s="1151"/>
      <c r="EH202" s="1151"/>
      <c r="EI202" s="1151"/>
      <c r="EJ202" s="1151"/>
      <c r="EK202" s="1151"/>
      <c r="EL202" s="1151"/>
      <c r="EM202" s="1152"/>
    </row>
    <row r="203" spans="1:143" ht="15" customHeight="1">
      <c r="A203" s="952" t="s">
        <v>399</v>
      </c>
      <c r="B203" s="952"/>
      <c r="C203" s="952"/>
      <c r="D203" s="1153">
        <f>I$16</f>
        <v>0</v>
      </c>
      <c r="E203" s="1154"/>
      <c r="F203" s="1154"/>
      <c r="G203" s="1154"/>
      <c r="H203" s="1154"/>
      <c r="I203" s="1154"/>
      <c r="J203" s="1154"/>
      <c r="K203" s="1154"/>
      <c r="L203" s="1154"/>
      <c r="M203" s="1154"/>
      <c r="N203" s="1154"/>
      <c r="O203" s="1154"/>
      <c r="P203" s="1154"/>
      <c r="Q203" s="1155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2">
        <f>I$13</f>
        <v>0</v>
      </c>
      <c r="AG203" s="963"/>
      <c r="AH203" s="963"/>
      <c r="AI203" s="963"/>
      <c r="AJ203" s="963"/>
      <c r="AK203" s="963"/>
      <c r="AL203" s="964"/>
      <c r="AM203" s="1028"/>
      <c r="AN203" s="1029"/>
      <c r="AO203" s="1029"/>
      <c r="AP203" s="1029"/>
      <c r="AQ203" s="1029"/>
      <c r="AR203" s="1029"/>
      <c r="AS203" s="1029"/>
      <c r="AT203" s="1029"/>
      <c r="AU203" s="1030"/>
      <c r="AV203" s="234"/>
      <c r="AW203" s="952" t="s">
        <v>399</v>
      </c>
      <c r="AX203" s="952"/>
      <c r="AY203" s="952"/>
      <c r="AZ203" s="1153">
        <f>BE$16</f>
        <v>0</v>
      </c>
      <c r="BA203" s="1154"/>
      <c r="BB203" s="1154"/>
      <c r="BC203" s="1154"/>
      <c r="BD203" s="1154"/>
      <c r="BE203" s="1154"/>
      <c r="BF203" s="1154"/>
      <c r="BG203" s="1154"/>
      <c r="BH203" s="1154"/>
      <c r="BI203" s="1154"/>
      <c r="BJ203" s="1154"/>
      <c r="BK203" s="1154"/>
      <c r="BL203" s="1154"/>
      <c r="BM203" s="1155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2">
        <f>BE$13</f>
        <v>0</v>
      </c>
      <c r="CC203" s="963"/>
      <c r="CD203" s="963"/>
      <c r="CE203" s="963"/>
      <c r="CF203" s="963"/>
      <c r="CG203" s="963"/>
      <c r="CH203" s="964"/>
      <c r="CI203" s="1028"/>
      <c r="CJ203" s="1029"/>
      <c r="CK203" s="1029"/>
      <c r="CL203" s="1029"/>
      <c r="CM203" s="1029"/>
      <c r="CN203" s="1029"/>
      <c r="CO203" s="1029"/>
      <c r="CP203" s="1029"/>
      <c r="CQ203" s="1030"/>
      <c r="CR203" s="234"/>
      <c r="CS203" s="952" t="s">
        <v>399</v>
      </c>
      <c r="CT203" s="952"/>
      <c r="CU203" s="952"/>
      <c r="CV203" s="1153">
        <f>DA$16</f>
        <v>0</v>
      </c>
      <c r="CW203" s="1154"/>
      <c r="CX203" s="1154"/>
      <c r="CY203" s="1154"/>
      <c r="CZ203" s="1154"/>
      <c r="DA203" s="1154"/>
      <c r="DB203" s="1154"/>
      <c r="DC203" s="1154"/>
      <c r="DD203" s="1154"/>
      <c r="DE203" s="1154"/>
      <c r="DF203" s="1154"/>
      <c r="DG203" s="1154"/>
      <c r="DH203" s="1154"/>
      <c r="DI203" s="1155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2">
        <f>DA$13</f>
        <v>0</v>
      </c>
      <c r="DY203" s="963"/>
      <c r="DZ203" s="963"/>
      <c r="EA203" s="963"/>
      <c r="EB203" s="963"/>
      <c r="EC203" s="963"/>
      <c r="ED203" s="964"/>
      <c r="EE203" s="1028"/>
      <c r="EF203" s="1029"/>
      <c r="EG203" s="1029"/>
      <c r="EH203" s="1029"/>
      <c r="EI203" s="1029"/>
      <c r="EJ203" s="1029"/>
      <c r="EK203" s="1029"/>
      <c r="EL203" s="1029"/>
      <c r="EM203" s="1030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2">
        <f>SUM(AF203:AL203)</f>
        <v>0</v>
      </c>
      <c r="AG204" s="963"/>
      <c r="AH204" s="963"/>
      <c r="AI204" s="963"/>
      <c r="AJ204" s="963"/>
      <c r="AK204" s="963"/>
      <c r="AL204" s="964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2">
        <f>SUM(CB203:CH203)</f>
        <v>0</v>
      </c>
      <c r="CC204" s="963"/>
      <c r="CD204" s="963"/>
      <c r="CE204" s="963"/>
      <c r="CF204" s="963"/>
      <c r="CG204" s="963"/>
      <c r="CH204" s="964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2">
        <f>SUM(DX203:ED203)</f>
        <v>0</v>
      </c>
      <c r="DY204" s="963"/>
      <c r="DZ204" s="963"/>
      <c r="EA204" s="963"/>
      <c r="EB204" s="963"/>
      <c r="EC204" s="963"/>
      <c r="ED204" s="964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6"/>
      <c r="Q206" s="957"/>
      <c r="R206" s="957"/>
      <c r="S206" s="957"/>
      <c r="T206" s="957"/>
      <c r="U206" s="957"/>
      <c r="V206" s="957"/>
      <c r="W206" s="957"/>
      <c r="X206" s="957"/>
      <c r="Y206" s="957"/>
      <c r="Z206" s="957"/>
      <c r="AA206" s="957"/>
      <c r="AB206" s="957"/>
      <c r="AC206" s="957"/>
      <c r="AD206" s="957"/>
      <c r="AE206" s="957"/>
      <c r="AF206" s="957"/>
      <c r="AG206" s="957"/>
      <c r="AH206" s="957"/>
      <c r="AI206" s="957"/>
      <c r="AJ206" s="957"/>
      <c r="AK206" s="957"/>
      <c r="AL206" s="95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6"/>
      <c r="BM206" s="957"/>
      <c r="BN206" s="957"/>
      <c r="BO206" s="957"/>
      <c r="BP206" s="957"/>
      <c r="BQ206" s="957"/>
      <c r="BR206" s="957"/>
      <c r="BS206" s="957"/>
      <c r="BT206" s="957"/>
      <c r="BU206" s="957"/>
      <c r="BV206" s="957"/>
      <c r="BW206" s="957"/>
      <c r="BX206" s="957"/>
      <c r="BY206" s="957"/>
      <c r="BZ206" s="957"/>
      <c r="CA206" s="957"/>
      <c r="CB206" s="957"/>
      <c r="CC206" s="957"/>
      <c r="CD206" s="957"/>
      <c r="CE206" s="957"/>
      <c r="CF206" s="957"/>
      <c r="CG206" s="957"/>
      <c r="CH206" s="95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6"/>
      <c r="DI206" s="957"/>
      <c r="DJ206" s="957"/>
      <c r="DK206" s="957"/>
      <c r="DL206" s="957"/>
      <c r="DM206" s="957"/>
      <c r="DN206" s="957"/>
      <c r="DO206" s="957"/>
      <c r="DP206" s="957"/>
      <c r="DQ206" s="957"/>
      <c r="DR206" s="957"/>
      <c r="DS206" s="957"/>
      <c r="DT206" s="957"/>
      <c r="DU206" s="957"/>
      <c r="DV206" s="957"/>
      <c r="DW206" s="957"/>
      <c r="DX206" s="957"/>
      <c r="DY206" s="957"/>
      <c r="DZ206" s="957"/>
      <c r="EA206" s="957"/>
      <c r="EB206" s="957"/>
      <c r="EC206" s="957"/>
      <c r="ED206" s="95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6"/>
      <c r="Q208" s="957"/>
      <c r="R208" s="957"/>
      <c r="S208" s="957"/>
      <c r="T208" s="957"/>
      <c r="U208" s="957"/>
      <c r="V208" s="957"/>
      <c r="W208" s="957"/>
      <c r="X208" s="957"/>
      <c r="Y208" s="957"/>
      <c r="Z208" s="957"/>
      <c r="AA208" s="957"/>
      <c r="AB208" s="957"/>
      <c r="AC208" s="957"/>
      <c r="AD208" s="957"/>
      <c r="AE208" s="957"/>
      <c r="AF208" s="957"/>
      <c r="AG208" s="957"/>
      <c r="AH208" s="957"/>
      <c r="AI208" s="957"/>
      <c r="AJ208" s="957"/>
      <c r="AK208" s="957"/>
      <c r="AL208" s="95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6"/>
      <c r="BM208" s="957"/>
      <c r="BN208" s="957"/>
      <c r="BO208" s="957"/>
      <c r="BP208" s="957"/>
      <c r="BQ208" s="957"/>
      <c r="BR208" s="957"/>
      <c r="BS208" s="957"/>
      <c r="BT208" s="957"/>
      <c r="BU208" s="957"/>
      <c r="BV208" s="957"/>
      <c r="BW208" s="957"/>
      <c r="BX208" s="957"/>
      <c r="BY208" s="957"/>
      <c r="BZ208" s="957"/>
      <c r="CA208" s="957"/>
      <c r="CB208" s="957"/>
      <c r="CC208" s="957"/>
      <c r="CD208" s="957"/>
      <c r="CE208" s="957"/>
      <c r="CF208" s="957"/>
      <c r="CG208" s="957"/>
      <c r="CH208" s="95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6"/>
      <c r="DI208" s="957"/>
      <c r="DJ208" s="957"/>
      <c r="DK208" s="957"/>
      <c r="DL208" s="957"/>
      <c r="DM208" s="957"/>
      <c r="DN208" s="957"/>
      <c r="DO208" s="957"/>
      <c r="DP208" s="957"/>
      <c r="DQ208" s="957"/>
      <c r="DR208" s="957"/>
      <c r="DS208" s="957"/>
      <c r="DT208" s="957"/>
      <c r="DU208" s="957"/>
      <c r="DV208" s="957"/>
      <c r="DW208" s="957"/>
      <c r="DX208" s="957"/>
      <c r="DY208" s="957"/>
      <c r="DZ208" s="957"/>
      <c r="EA208" s="957"/>
      <c r="EB208" s="957"/>
      <c r="EC208" s="957"/>
      <c r="ED208" s="95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6"/>
      <c r="Q210" s="957"/>
      <c r="R210" s="957"/>
      <c r="S210" s="957"/>
      <c r="T210" s="957"/>
      <c r="U210" s="957"/>
      <c r="V210" s="957"/>
      <c r="W210" s="957"/>
      <c r="X210" s="957"/>
      <c r="Y210" s="957"/>
      <c r="Z210" s="957"/>
      <c r="AA210" s="957"/>
      <c r="AB210" s="957"/>
      <c r="AC210" s="957"/>
      <c r="AD210" s="957"/>
      <c r="AE210" s="957"/>
      <c r="AF210" s="957"/>
      <c r="AG210" s="957"/>
      <c r="AH210" s="957"/>
      <c r="AI210" s="957"/>
      <c r="AJ210" s="957"/>
      <c r="AK210" s="957"/>
      <c r="AL210" s="95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6"/>
      <c r="BM210" s="957"/>
      <c r="BN210" s="957"/>
      <c r="BO210" s="957"/>
      <c r="BP210" s="957"/>
      <c r="BQ210" s="957"/>
      <c r="BR210" s="957"/>
      <c r="BS210" s="957"/>
      <c r="BT210" s="957"/>
      <c r="BU210" s="957"/>
      <c r="BV210" s="957"/>
      <c r="BW210" s="957"/>
      <c r="BX210" s="957"/>
      <c r="BY210" s="957"/>
      <c r="BZ210" s="957"/>
      <c r="CA210" s="957"/>
      <c r="CB210" s="957"/>
      <c r="CC210" s="957"/>
      <c r="CD210" s="957"/>
      <c r="CE210" s="957"/>
      <c r="CF210" s="957"/>
      <c r="CG210" s="957"/>
      <c r="CH210" s="95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6"/>
      <c r="DI210" s="957"/>
      <c r="DJ210" s="957"/>
      <c r="DK210" s="957"/>
      <c r="DL210" s="957"/>
      <c r="DM210" s="957"/>
      <c r="DN210" s="957"/>
      <c r="DO210" s="957"/>
      <c r="DP210" s="957"/>
      <c r="DQ210" s="957"/>
      <c r="DR210" s="957"/>
      <c r="DS210" s="957"/>
      <c r="DT210" s="957"/>
      <c r="DU210" s="957"/>
      <c r="DV210" s="957"/>
      <c r="DW210" s="957"/>
      <c r="DX210" s="957"/>
      <c r="DY210" s="957"/>
      <c r="DZ210" s="957"/>
      <c r="EA210" s="957"/>
      <c r="EB210" s="957"/>
      <c r="EC210" s="957"/>
      <c r="ED210" s="95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9"/>
      <c r="F212" s="949"/>
      <c r="G212" s="949"/>
      <c r="H212" s="321"/>
      <c r="I212" s="949"/>
      <c r="J212" s="949"/>
      <c r="K212" s="949"/>
      <c r="L212" s="949"/>
      <c r="M212" s="949"/>
      <c r="N212" s="949"/>
      <c r="O212" s="949"/>
      <c r="P212" s="949"/>
      <c r="Q212" s="949"/>
      <c r="R212" s="949"/>
      <c r="S212" s="949"/>
      <c r="T212" s="949"/>
      <c r="U212" s="949"/>
      <c r="V212" s="949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9"/>
      <c r="BB212" s="949"/>
      <c r="BC212" s="949"/>
      <c r="BD212" s="321"/>
      <c r="BE212" s="949"/>
      <c r="BF212" s="949"/>
      <c r="BG212" s="949"/>
      <c r="BH212" s="949"/>
      <c r="BI212" s="949"/>
      <c r="BJ212" s="949"/>
      <c r="BK212" s="949"/>
      <c r="BL212" s="949"/>
      <c r="BM212" s="949"/>
      <c r="BN212" s="949"/>
      <c r="BO212" s="949"/>
      <c r="BP212" s="949"/>
      <c r="BQ212" s="949"/>
      <c r="BR212" s="949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9"/>
      <c r="CX212" s="949"/>
      <c r="CY212" s="949"/>
      <c r="CZ212" s="321"/>
      <c r="DA212" s="949"/>
      <c r="DB212" s="949"/>
      <c r="DC212" s="949"/>
      <c r="DD212" s="949"/>
      <c r="DE212" s="949"/>
      <c r="DF212" s="949"/>
      <c r="DG212" s="949"/>
      <c r="DH212" s="949"/>
      <c r="DI212" s="949"/>
      <c r="DJ212" s="949"/>
      <c r="DK212" s="949"/>
      <c r="DL212" s="949"/>
      <c r="DM212" s="949"/>
      <c r="DN212" s="949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47" t="s">
        <v>5</v>
      </c>
      <c r="F213" s="947"/>
      <c r="G213" s="947"/>
      <c r="I213" s="947" t="s">
        <v>6</v>
      </c>
      <c r="J213" s="947"/>
      <c r="K213" s="947"/>
      <c r="L213" s="947"/>
      <c r="M213" s="947"/>
      <c r="N213" s="947"/>
      <c r="O213" s="947"/>
      <c r="P213" s="947"/>
      <c r="Q213" s="947"/>
      <c r="R213" s="947"/>
      <c r="S213" s="947"/>
      <c r="T213" s="947"/>
      <c r="U213" s="947"/>
      <c r="V213" s="947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7" t="s">
        <v>5</v>
      </c>
      <c r="BB213" s="947"/>
      <c r="BC213" s="947"/>
      <c r="BD213" s="234"/>
      <c r="BE213" s="947" t="s">
        <v>6</v>
      </c>
      <c r="BF213" s="947"/>
      <c r="BG213" s="947"/>
      <c r="BH213" s="947"/>
      <c r="BI213" s="947"/>
      <c r="BJ213" s="947"/>
      <c r="BK213" s="947"/>
      <c r="BL213" s="947"/>
      <c r="BM213" s="947"/>
      <c r="BN213" s="947"/>
      <c r="BO213" s="947"/>
      <c r="BP213" s="947"/>
      <c r="BQ213" s="947"/>
      <c r="BR213" s="947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7" t="s">
        <v>5</v>
      </c>
      <c r="CX213" s="947"/>
      <c r="CY213" s="947"/>
      <c r="CZ213" s="234"/>
      <c r="DA213" s="947" t="s">
        <v>6</v>
      </c>
      <c r="DB213" s="947"/>
      <c r="DC213" s="947"/>
      <c r="DD213" s="947"/>
      <c r="DE213" s="947"/>
      <c r="DF213" s="947"/>
      <c r="DG213" s="947"/>
      <c r="DH213" s="947"/>
      <c r="DI213" s="947"/>
      <c r="DJ213" s="947"/>
      <c r="DK213" s="947"/>
      <c r="DL213" s="947"/>
      <c r="DM213" s="947"/>
      <c r="DN213" s="947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943" t="s">
        <v>179</v>
      </c>
      <c r="D214" s="943"/>
      <c r="E214" s="942"/>
      <c r="F214" s="942"/>
      <c r="G214" s="942"/>
      <c r="H214" s="941"/>
      <c r="I214" s="941"/>
      <c r="J214" s="946"/>
      <c r="K214" s="946"/>
      <c r="L214" s="946"/>
      <c r="M214" s="944" t="s">
        <v>180</v>
      </c>
      <c r="N214" s="944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3" t="s">
        <v>179</v>
      </c>
      <c r="AZ214" s="943"/>
      <c r="BA214" s="942"/>
      <c r="BB214" s="942"/>
      <c r="BC214" s="942"/>
      <c r="BD214" s="941"/>
      <c r="BE214" s="941"/>
      <c r="BF214" s="946"/>
      <c r="BG214" s="946"/>
      <c r="BH214" s="946"/>
      <c r="BI214" s="944" t="s">
        <v>180</v>
      </c>
      <c r="BJ214" s="944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3" t="s">
        <v>179</v>
      </c>
      <c r="CV214" s="943"/>
      <c r="CW214" s="942"/>
      <c r="CX214" s="942"/>
      <c r="CY214" s="942"/>
      <c r="CZ214" s="941"/>
      <c r="DA214" s="941"/>
      <c r="DB214" s="946"/>
      <c r="DC214" s="946"/>
      <c r="DD214" s="946"/>
      <c r="DE214" s="944" t="s">
        <v>180</v>
      </c>
      <c r="DF214" s="944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27" t="s">
        <v>140</v>
      </c>
      <c r="F216" s="1027"/>
      <c r="G216" s="1027"/>
      <c r="H216" s="1027"/>
      <c r="I216" s="1027"/>
      <c r="J216" s="81"/>
      <c r="K216" s="81"/>
      <c r="L216" s="960"/>
      <c r="M216" s="960"/>
      <c r="N216" s="960"/>
      <c r="O216" s="960"/>
      <c r="P216" s="960"/>
      <c r="Q216" s="960"/>
      <c r="R216" s="960"/>
      <c r="S216" s="960"/>
      <c r="T216" s="960"/>
      <c r="U216" s="960"/>
      <c r="V216" s="1023">
        <f>I$9</f>
        <v>0</v>
      </c>
      <c r="W216" s="959"/>
      <c r="X216" s="959"/>
      <c r="Y216" s="959"/>
      <c r="Z216" s="959"/>
      <c r="AA216" s="959"/>
      <c r="AB216" s="959"/>
      <c r="AC216" s="959"/>
      <c r="AD216" s="959"/>
      <c r="AE216" s="959"/>
      <c r="AF216" s="959"/>
      <c r="AG216" s="959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7" t="s">
        <v>140</v>
      </c>
      <c r="BB216" s="1027"/>
      <c r="BC216" s="1027"/>
      <c r="BD216" s="1027"/>
      <c r="BE216" s="1027"/>
      <c r="BF216" s="81"/>
      <c r="BG216" s="81"/>
      <c r="BH216" s="960"/>
      <c r="BI216" s="960"/>
      <c r="BJ216" s="960"/>
      <c r="BK216" s="960"/>
      <c r="BL216" s="960"/>
      <c r="BM216" s="960"/>
      <c r="BN216" s="960"/>
      <c r="BO216" s="960"/>
      <c r="BP216" s="960"/>
      <c r="BQ216" s="960"/>
      <c r="BR216" s="1023">
        <f>BE$9</f>
        <v>0</v>
      </c>
      <c r="BS216" s="959"/>
      <c r="BT216" s="959"/>
      <c r="BU216" s="959"/>
      <c r="BV216" s="959"/>
      <c r="BW216" s="959"/>
      <c r="BX216" s="959"/>
      <c r="BY216" s="959"/>
      <c r="BZ216" s="959"/>
      <c r="CA216" s="959"/>
      <c r="CB216" s="959"/>
      <c r="CC216" s="959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7" t="s">
        <v>140</v>
      </c>
      <c r="CX216" s="1027"/>
      <c r="CY216" s="1027"/>
      <c r="CZ216" s="1027"/>
      <c r="DA216" s="1027"/>
      <c r="DB216" s="81"/>
      <c r="DC216" s="81"/>
      <c r="DD216" s="960"/>
      <c r="DE216" s="960"/>
      <c r="DF216" s="960"/>
      <c r="DG216" s="960"/>
      <c r="DH216" s="960"/>
      <c r="DI216" s="960"/>
      <c r="DJ216" s="960"/>
      <c r="DK216" s="960"/>
      <c r="DL216" s="960"/>
      <c r="DM216" s="960"/>
      <c r="DN216" s="1023">
        <f>DA$9</f>
        <v>0</v>
      </c>
      <c r="DO216" s="959"/>
      <c r="DP216" s="959"/>
      <c r="DQ216" s="959"/>
      <c r="DR216" s="959"/>
      <c r="DS216" s="959"/>
      <c r="DT216" s="959"/>
      <c r="DU216" s="959"/>
      <c r="DV216" s="959"/>
      <c r="DW216" s="959"/>
      <c r="DX216" s="959"/>
      <c r="DY216" s="959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47"/>
      <c r="F217" s="947"/>
      <c r="G217" s="947"/>
      <c r="H217" s="947"/>
      <c r="I217" s="947"/>
      <c r="J217" s="81"/>
      <c r="K217" s="81"/>
      <c r="L217" s="947" t="s">
        <v>5</v>
      </c>
      <c r="M217" s="947"/>
      <c r="N217" s="947"/>
      <c r="O217" s="947"/>
      <c r="P217" s="947"/>
      <c r="Q217" s="947"/>
      <c r="R217" s="947"/>
      <c r="S217" s="947"/>
      <c r="T217" s="947"/>
      <c r="U217" s="947"/>
      <c r="V217" s="947"/>
      <c r="W217" s="947"/>
      <c r="X217" s="947"/>
      <c r="Y217" s="947"/>
      <c r="Z217" s="947"/>
      <c r="AA217" s="947"/>
      <c r="AB217" s="947"/>
      <c r="AC217" s="947"/>
      <c r="AD217" s="947"/>
      <c r="AE217" s="947"/>
      <c r="AF217" s="947"/>
      <c r="AG217" s="947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7"/>
      <c r="BB217" s="947"/>
      <c r="BC217" s="947"/>
      <c r="BD217" s="947"/>
      <c r="BE217" s="947"/>
      <c r="BF217" s="81"/>
      <c r="BG217" s="81"/>
      <c r="BH217" s="947" t="s">
        <v>5</v>
      </c>
      <c r="BI217" s="947"/>
      <c r="BJ217" s="947"/>
      <c r="BK217" s="947"/>
      <c r="BL217" s="947"/>
      <c r="BM217" s="947"/>
      <c r="BN217" s="947"/>
      <c r="BO217" s="947"/>
      <c r="BP217" s="947"/>
      <c r="BQ217" s="947"/>
      <c r="BR217" s="947"/>
      <c r="BS217" s="947"/>
      <c r="BT217" s="947"/>
      <c r="BU217" s="947"/>
      <c r="BV217" s="947"/>
      <c r="BW217" s="947"/>
      <c r="BX217" s="947"/>
      <c r="BY217" s="947"/>
      <c r="BZ217" s="947"/>
      <c r="CA217" s="947"/>
      <c r="CB217" s="947"/>
      <c r="CC217" s="947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7"/>
      <c r="CX217" s="947"/>
      <c r="CY217" s="947"/>
      <c r="CZ217" s="947"/>
      <c r="DA217" s="947"/>
      <c r="DB217" s="81"/>
      <c r="DC217" s="81"/>
      <c r="DD217" s="947" t="s">
        <v>5</v>
      </c>
      <c r="DE217" s="947"/>
      <c r="DF217" s="947"/>
      <c r="DG217" s="947"/>
      <c r="DH217" s="947"/>
      <c r="DI217" s="947"/>
      <c r="DJ217" s="947"/>
      <c r="DK217" s="947"/>
      <c r="DL217" s="947"/>
      <c r="DM217" s="947"/>
      <c r="DN217" s="947"/>
      <c r="DO217" s="947"/>
      <c r="DP217" s="947"/>
      <c r="DQ217" s="947"/>
      <c r="DR217" s="947"/>
      <c r="DS217" s="947"/>
      <c r="DT217" s="947"/>
      <c r="DU217" s="947"/>
      <c r="DV217" s="947"/>
      <c r="DW217" s="947"/>
      <c r="DX217" s="947"/>
      <c r="DY217" s="947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943" t="s">
        <v>179</v>
      </c>
      <c r="D218" s="943"/>
      <c r="E218" s="942"/>
      <c r="F218" s="942"/>
      <c r="G218" s="942"/>
      <c r="H218" s="941"/>
      <c r="I218" s="941"/>
      <c r="J218" s="946"/>
      <c r="K218" s="946"/>
      <c r="L218" s="946"/>
      <c r="M218" s="944" t="s">
        <v>180</v>
      </c>
      <c r="N218" s="944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3" t="s">
        <v>179</v>
      </c>
      <c r="AZ218" s="943"/>
      <c r="BA218" s="942"/>
      <c r="BB218" s="942"/>
      <c r="BC218" s="942"/>
      <c r="BD218" s="941"/>
      <c r="BE218" s="941"/>
      <c r="BF218" s="946"/>
      <c r="BG218" s="946"/>
      <c r="BH218" s="946"/>
      <c r="BI218" s="944" t="s">
        <v>180</v>
      </c>
      <c r="BJ218" s="944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3" t="s">
        <v>179</v>
      </c>
      <c r="CV218" s="943"/>
      <c r="CW218" s="942"/>
      <c r="CX218" s="942"/>
      <c r="CY218" s="942"/>
      <c r="CZ218" s="941"/>
      <c r="DA218" s="941"/>
      <c r="DB218" s="946"/>
      <c r="DC218" s="946"/>
      <c r="DD218" s="946"/>
      <c r="DE218" s="944" t="s">
        <v>180</v>
      </c>
      <c r="DF218" s="944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9"/>
      <c r="F220" s="949"/>
      <c r="G220" s="949"/>
      <c r="H220" s="949"/>
      <c r="I220" s="81"/>
      <c r="J220" s="81"/>
      <c r="K220" s="949"/>
      <c r="L220" s="949"/>
      <c r="M220" s="949"/>
      <c r="N220" s="949"/>
      <c r="O220" s="949"/>
      <c r="P220" s="949"/>
      <c r="Q220" s="949"/>
      <c r="R220" s="949"/>
      <c r="S220" s="949"/>
      <c r="T220" s="949"/>
      <c r="U220" s="949"/>
      <c r="V220" s="949"/>
      <c r="W220" s="949"/>
      <c r="X220" s="949"/>
      <c r="Y220" s="949"/>
      <c r="Z220" s="949"/>
      <c r="AA220" s="949"/>
      <c r="AB220" s="949"/>
      <c r="AC220" s="949"/>
      <c r="AD220" s="949"/>
      <c r="AE220" s="949"/>
      <c r="AF220" s="949"/>
      <c r="AG220" s="949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9"/>
      <c r="BB220" s="949"/>
      <c r="BC220" s="949"/>
      <c r="BD220" s="949"/>
      <c r="BE220" s="81"/>
      <c r="BF220" s="81"/>
      <c r="BG220" s="949"/>
      <c r="BH220" s="949"/>
      <c r="BI220" s="949"/>
      <c r="BJ220" s="949"/>
      <c r="BK220" s="949"/>
      <c r="BL220" s="949"/>
      <c r="BM220" s="949"/>
      <c r="BN220" s="949"/>
      <c r="BO220" s="949"/>
      <c r="BP220" s="949"/>
      <c r="BQ220" s="949"/>
      <c r="BR220" s="949"/>
      <c r="BS220" s="949"/>
      <c r="BT220" s="949"/>
      <c r="BU220" s="949"/>
      <c r="BV220" s="949"/>
      <c r="BW220" s="949"/>
      <c r="BX220" s="949"/>
      <c r="BY220" s="949"/>
      <c r="BZ220" s="949"/>
      <c r="CA220" s="949"/>
      <c r="CB220" s="949"/>
      <c r="CC220" s="949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9"/>
      <c r="CX220" s="949"/>
      <c r="CY220" s="949"/>
      <c r="CZ220" s="949"/>
      <c r="DA220" s="81"/>
      <c r="DB220" s="81"/>
      <c r="DC220" s="949"/>
      <c r="DD220" s="949"/>
      <c r="DE220" s="949"/>
      <c r="DF220" s="949"/>
      <c r="DG220" s="949"/>
      <c r="DH220" s="949"/>
      <c r="DI220" s="949"/>
      <c r="DJ220" s="949"/>
      <c r="DK220" s="949"/>
      <c r="DL220" s="949"/>
      <c r="DM220" s="949"/>
      <c r="DN220" s="949"/>
      <c r="DO220" s="949"/>
      <c r="DP220" s="949"/>
      <c r="DQ220" s="949"/>
      <c r="DR220" s="949"/>
      <c r="DS220" s="949"/>
      <c r="DT220" s="949"/>
      <c r="DU220" s="949"/>
      <c r="DV220" s="949"/>
      <c r="DW220" s="949"/>
      <c r="DX220" s="949"/>
      <c r="DY220" s="949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47"/>
      <c r="F221" s="947"/>
      <c r="G221" s="947"/>
      <c r="H221" s="947"/>
      <c r="I221" s="81"/>
      <c r="J221" s="81"/>
      <c r="K221" s="947" t="s">
        <v>5</v>
      </c>
      <c r="L221" s="947"/>
      <c r="M221" s="947"/>
      <c r="N221" s="947"/>
      <c r="O221" s="947"/>
      <c r="P221" s="947"/>
      <c r="Q221" s="947"/>
      <c r="R221" s="947"/>
      <c r="S221" s="947"/>
      <c r="T221" s="947"/>
      <c r="U221" s="947"/>
      <c r="V221" s="947"/>
      <c r="W221" s="947"/>
      <c r="X221" s="947"/>
      <c r="Y221" s="947"/>
      <c r="Z221" s="947"/>
      <c r="AA221" s="947"/>
      <c r="AB221" s="947"/>
      <c r="AC221" s="947"/>
      <c r="AD221" s="947"/>
      <c r="AE221" s="947"/>
      <c r="AF221" s="947"/>
      <c r="AG221" s="947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7"/>
      <c r="BB221" s="947"/>
      <c r="BC221" s="947"/>
      <c r="BD221" s="947"/>
      <c r="BE221" s="81"/>
      <c r="BF221" s="81"/>
      <c r="BG221" s="947" t="s">
        <v>5</v>
      </c>
      <c r="BH221" s="947"/>
      <c r="BI221" s="947"/>
      <c r="BJ221" s="947"/>
      <c r="BK221" s="947"/>
      <c r="BL221" s="947"/>
      <c r="BM221" s="947"/>
      <c r="BN221" s="947"/>
      <c r="BO221" s="947"/>
      <c r="BP221" s="947"/>
      <c r="BQ221" s="947"/>
      <c r="BR221" s="947"/>
      <c r="BS221" s="947"/>
      <c r="BT221" s="947"/>
      <c r="BU221" s="947"/>
      <c r="BV221" s="947"/>
      <c r="BW221" s="947"/>
      <c r="BX221" s="947"/>
      <c r="BY221" s="947"/>
      <c r="BZ221" s="947"/>
      <c r="CA221" s="947"/>
      <c r="CB221" s="947"/>
      <c r="CC221" s="947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7"/>
      <c r="CX221" s="947"/>
      <c r="CY221" s="947"/>
      <c r="CZ221" s="947"/>
      <c r="DA221" s="81"/>
      <c r="DB221" s="81"/>
      <c r="DC221" s="947" t="s">
        <v>5</v>
      </c>
      <c r="DD221" s="947"/>
      <c r="DE221" s="947"/>
      <c r="DF221" s="947"/>
      <c r="DG221" s="947"/>
      <c r="DH221" s="947"/>
      <c r="DI221" s="947"/>
      <c r="DJ221" s="947"/>
      <c r="DK221" s="947"/>
      <c r="DL221" s="947"/>
      <c r="DM221" s="947"/>
      <c r="DN221" s="947"/>
      <c r="DO221" s="947"/>
      <c r="DP221" s="947"/>
      <c r="DQ221" s="947"/>
      <c r="DR221" s="947"/>
      <c r="DS221" s="947"/>
      <c r="DT221" s="947"/>
      <c r="DU221" s="947"/>
      <c r="DV221" s="947"/>
      <c r="DW221" s="947"/>
      <c r="DX221" s="947"/>
      <c r="DY221" s="947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9"/>
      <c r="F222" s="949"/>
      <c r="G222" s="949"/>
      <c r="H222" s="949"/>
      <c r="I222" s="106"/>
      <c r="J222" s="106"/>
      <c r="K222" s="949"/>
      <c r="L222" s="949"/>
      <c r="M222" s="949"/>
      <c r="N222" s="949"/>
      <c r="O222" s="949"/>
      <c r="P222" s="949"/>
      <c r="Q222" s="949"/>
      <c r="R222" s="949"/>
      <c r="S222" s="949"/>
      <c r="T222" s="949"/>
      <c r="U222" s="949"/>
      <c r="V222" s="949"/>
      <c r="W222" s="949"/>
      <c r="X222" s="949"/>
      <c r="Y222" s="949"/>
      <c r="Z222" s="949"/>
      <c r="AA222" s="949"/>
      <c r="AB222" s="949"/>
      <c r="AC222" s="949"/>
      <c r="AD222" s="949"/>
      <c r="AE222" s="949"/>
      <c r="AF222" s="949"/>
      <c r="AG222" s="949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9"/>
      <c r="BB222" s="949"/>
      <c r="BC222" s="949"/>
      <c r="BD222" s="949"/>
      <c r="BE222" s="106"/>
      <c r="BF222" s="106"/>
      <c r="BG222" s="949"/>
      <c r="BH222" s="949"/>
      <c r="BI222" s="949"/>
      <c r="BJ222" s="949"/>
      <c r="BK222" s="949"/>
      <c r="BL222" s="949"/>
      <c r="BM222" s="949"/>
      <c r="BN222" s="949"/>
      <c r="BO222" s="949"/>
      <c r="BP222" s="949"/>
      <c r="BQ222" s="949"/>
      <c r="BR222" s="949"/>
      <c r="BS222" s="949"/>
      <c r="BT222" s="949"/>
      <c r="BU222" s="949"/>
      <c r="BV222" s="949"/>
      <c r="BW222" s="949"/>
      <c r="BX222" s="949"/>
      <c r="BY222" s="949"/>
      <c r="BZ222" s="949"/>
      <c r="CA222" s="949"/>
      <c r="CB222" s="949"/>
      <c r="CC222" s="949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9"/>
      <c r="CX222" s="949"/>
      <c r="CY222" s="949"/>
      <c r="CZ222" s="949"/>
      <c r="DA222" s="106"/>
      <c r="DB222" s="106"/>
      <c r="DC222" s="949"/>
      <c r="DD222" s="949"/>
      <c r="DE222" s="949"/>
      <c r="DF222" s="949"/>
      <c r="DG222" s="949"/>
      <c r="DH222" s="949"/>
      <c r="DI222" s="949"/>
      <c r="DJ222" s="949"/>
      <c r="DK222" s="949"/>
      <c r="DL222" s="949"/>
      <c r="DM222" s="949"/>
      <c r="DN222" s="949"/>
      <c r="DO222" s="949"/>
      <c r="DP222" s="949"/>
      <c r="DQ222" s="949"/>
      <c r="DR222" s="949"/>
      <c r="DS222" s="949"/>
      <c r="DT222" s="949"/>
      <c r="DU222" s="949"/>
      <c r="DV222" s="949"/>
      <c r="DW222" s="949"/>
      <c r="DX222" s="949"/>
      <c r="DY222" s="949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47"/>
      <c r="F223" s="947"/>
      <c r="G223" s="947"/>
      <c r="H223" s="947"/>
      <c r="I223" s="81"/>
      <c r="J223" s="81"/>
      <c r="K223" s="947" t="s">
        <v>5</v>
      </c>
      <c r="L223" s="947"/>
      <c r="M223" s="947"/>
      <c r="N223" s="947"/>
      <c r="O223" s="947"/>
      <c r="P223" s="947"/>
      <c r="Q223" s="947"/>
      <c r="R223" s="947"/>
      <c r="S223" s="947"/>
      <c r="T223" s="947"/>
      <c r="U223" s="947"/>
      <c r="V223" s="947"/>
      <c r="W223" s="947"/>
      <c r="X223" s="947"/>
      <c r="Y223" s="947"/>
      <c r="Z223" s="947"/>
      <c r="AA223" s="947"/>
      <c r="AB223" s="947"/>
      <c r="AC223" s="947"/>
      <c r="AD223" s="947"/>
      <c r="AE223" s="947"/>
      <c r="AF223" s="947"/>
      <c r="AG223" s="947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7"/>
      <c r="BB223" s="947"/>
      <c r="BC223" s="947"/>
      <c r="BD223" s="947"/>
      <c r="BE223" s="81"/>
      <c r="BF223" s="81"/>
      <c r="BG223" s="947" t="s">
        <v>5</v>
      </c>
      <c r="BH223" s="947"/>
      <c r="BI223" s="947"/>
      <c r="BJ223" s="947"/>
      <c r="BK223" s="947"/>
      <c r="BL223" s="947"/>
      <c r="BM223" s="947"/>
      <c r="BN223" s="947"/>
      <c r="BO223" s="947"/>
      <c r="BP223" s="947"/>
      <c r="BQ223" s="947"/>
      <c r="BR223" s="947"/>
      <c r="BS223" s="947"/>
      <c r="BT223" s="947"/>
      <c r="BU223" s="947"/>
      <c r="BV223" s="947"/>
      <c r="BW223" s="947"/>
      <c r="BX223" s="947"/>
      <c r="BY223" s="947"/>
      <c r="BZ223" s="947"/>
      <c r="CA223" s="947"/>
      <c r="CB223" s="947"/>
      <c r="CC223" s="947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7"/>
      <c r="CX223" s="947"/>
      <c r="CY223" s="947"/>
      <c r="CZ223" s="947"/>
      <c r="DA223" s="81"/>
      <c r="DB223" s="81"/>
      <c r="DC223" s="947" t="s">
        <v>5</v>
      </c>
      <c r="DD223" s="947"/>
      <c r="DE223" s="947"/>
      <c r="DF223" s="947"/>
      <c r="DG223" s="947"/>
      <c r="DH223" s="947"/>
      <c r="DI223" s="947"/>
      <c r="DJ223" s="947"/>
      <c r="DK223" s="947"/>
      <c r="DL223" s="947"/>
      <c r="DM223" s="947"/>
      <c r="DN223" s="947"/>
      <c r="DO223" s="947"/>
      <c r="DP223" s="947"/>
      <c r="DQ223" s="947"/>
      <c r="DR223" s="947"/>
      <c r="DS223" s="947"/>
      <c r="DT223" s="947"/>
      <c r="DU223" s="947"/>
      <c r="DV223" s="947"/>
      <c r="DW223" s="947"/>
      <c r="DX223" s="947"/>
      <c r="DY223" s="947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943" t="s">
        <v>179</v>
      </c>
      <c r="D224" s="943"/>
      <c r="E224" s="942"/>
      <c r="F224" s="942"/>
      <c r="G224" s="942"/>
      <c r="H224" s="941"/>
      <c r="I224" s="941"/>
      <c r="J224" s="946"/>
      <c r="K224" s="946"/>
      <c r="L224" s="946"/>
      <c r="M224" s="944" t="s">
        <v>180</v>
      </c>
      <c r="N224" s="944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3" t="s">
        <v>179</v>
      </c>
      <c r="AZ224" s="943"/>
      <c r="BA224" s="942"/>
      <c r="BB224" s="942"/>
      <c r="BC224" s="942"/>
      <c r="BD224" s="941"/>
      <c r="BE224" s="941"/>
      <c r="BF224" s="946"/>
      <c r="BG224" s="946"/>
      <c r="BH224" s="946"/>
      <c r="BI224" s="944" t="s">
        <v>180</v>
      </c>
      <c r="BJ224" s="944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3" t="s">
        <v>179</v>
      </c>
      <c r="CV224" s="943"/>
      <c r="CW224" s="942"/>
      <c r="CX224" s="942"/>
      <c r="CY224" s="942"/>
      <c r="CZ224" s="941"/>
      <c r="DA224" s="941"/>
      <c r="DB224" s="946"/>
      <c r="DC224" s="946"/>
      <c r="DD224" s="946"/>
      <c r="DE224" s="944" t="s">
        <v>180</v>
      </c>
      <c r="DF224" s="944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5"/>
    </row>
  </sheetData>
  <sheetProtection password="C09F" sheet="1" objects="1" scenarios="1"/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zoomScale="70" zoomScaleNormal="70" workbookViewId="0">
      <selection activeCell="EC26" sqref="EC26:EK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80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>
      <c r="A2" s="1026" t="s">
        <v>1040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1040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1040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.75" customHeight="1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8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5" customHeight="1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8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ht="15" customHeight="1">
      <c r="A5" s="1117" t="s">
        <v>522</v>
      </c>
      <c r="B5" s="1117"/>
      <c r="C5" s="1117"/>
      <c r="D5" s="1117"/>
      <c r="E5" s="1117"/>
      <c r="F5" s="1117"/>
      <c r="G5" s="1117"/>
      <c r="H5" s="1117"/>
      <c r="I5" s="487" t="s">
        <v>523</v>
      </c>
      <c r="J5" s="1025"/>
      <c r="K5" s="1025"/>
      <c r="L5" s="1025"/>
      <c r="M5" s="488" t="s">
        <v>524</v>
      </c>
      <c r="N5" s="489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89"/>
      <c r="AK5" s="1025"/>
      <c r="AL5" s="1025"/>
      <c r="AM5" s="1025"/>
      <c r="AN5" s="1025"/>
      <c r="AO5" s="1025"/>
      <c r="AP5" s="1025"/>
      <c r="AQ5" s="1025"/>
      <c r="AR5" s="1025"/>
      <c r="AS5" s="1025"/>
      <c r="AT5" s="489"/>
      <c r="AU5" s="490" t="s">
        <v>375</v>
      </c>
      <c r="AV5" s="491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7" t="s">
        <v>523</v>
      </c>
      <c r="BF5" s="1025"/>
      <c r="BG5" s="1025"/>
      <c r="BH5" s="1025"/>
      <c r="BI5" s="488" t="s">
        <v>524</v>
      </c>
      <c r="BJ5" s="489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89"/>
      <c r="CG5" s="1025"/>
      <c r="CH5" s="1025"/>
      <c r="CI5" s="1025"/>
      <c r="CJ5" s="1025"/>
      <c r="CK5" s="1025"/>
      <c r="CL5" s="1025"/>
      <c r="CM5" s="1025"/>
      <c r="CN5" s="1025"/>
      <c r="CO5" s="1025"/>
      <c r="CP5" s="489"/>
      <c r="CQ5" s="490" t="s">
        <v>375</v>
      </c>
      <c r="CR5" s="492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7" t="s">
        <v>523</v>
      </c>
      <c r="DB5" s="1025"/>
      <c r="DC5" s="1025"/>
      <c r="DD5" s="1025"/>
      <c r="DE5" s="488" t="s">
        <v>524</v>
      </c>
      <c r="DF5" s="489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89"/>
      <c r="EC5" s="1025"/>
      <c r="ED5" s="1025"/>
      <c r="EE5" s="1025"/>
      <c r="EF5" s="1025"/>
      <c r="EG5" s="1025"/>
      <c r="EH5" s="1025"/>
      <c r="EI5" s="1025"/>
      <c r="EJ5" s="1025"/>
      <c r="EK5" s="1025"/>
      <c r="EL5" s="489"/>
      <c r="EM5" s="490" t="s">
        <v>375</v>
      </c>
    </row>
    <row r="6" spans="1:143" ht="15" customHeight="1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18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5" customHeight="1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18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5" customHeight="1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18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3" customHeight="1">
      <c r="A9" s="1026" t="s">
        <v>528</v>
      </c>
      <c r="B9" s="1026"/>
      <c r="C9" s="1026"/>
      <c r="D9" s="1026"/>
      <c r="E9" s="1026"/>
      <c r="F9" s="1026"/>
      <c r="G9" s="1026"/>
      <c r="H9" s="1026"/>
      <c r="I9" s="1114">
        <f>'Настройки УИК'!$I$43</f>
        <v>0</v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8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>
        <f>'Настройки УИК'!$I$43</f>
        <v>0</v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>
        <f>'Настройки УИК'!$I$43</f>
        <v>0</v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6" customHeight="1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8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2" t="s">
        <v>523</v>
      </c>
      <c r="J11" s="1025"/>
      <c r="K11" s="1025"/>
      <c r="L11" s="1025"/>
      <c r="M11" s="523" t="s">
        <v>524</v>
      </c>
      <c r="N11" s="524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4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4"/>
      <c r="AU11" s="525" t="s">
        <v>375</v>
      </c>
      <c r="AV11" s="18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2" t="s">
        <v>523</v>
      </c>
      <c r="BF11" s="1025"/>
      <c r="BG11" s="1025"/>
      <c r="BH11" s="1025"/>
      <c r="BI11" s="523" t="s">
        <v>524</v>
      </c>
      <c r="BJ11" s="524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4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4"/>
      <c r="CQ11" s="525" t="s">
        <v>375</v>
      </c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2" t="s">
        <v>523</v>
      </c>
      <c r="DB11" s="1025"/>
      <c r="DC11" s="1025"/>
      <c r="DD11" s="1025"/>
      <c r="DE11" s="523" t="s">
        <v>524</v>
      </c>
      <c r="DF11" s="524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4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4"/>
      <c r="EM11" s="525" t="s">
        <v>375</v>
      </c>
    </row>
    <row r="12" spans="1:143" ht="15" customHeight="1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2" t="s">
        <v>523</v>
      </c>
      <c r="J12" s="1025"/>
      <c r="K12" s="1025"/>
      <c r="L12" s="1025"/>
      <c r="M12" s="526" t="s">
        <v>524</v>
      </c>
      <c r="N12" s="524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4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4"/>
      <c r="AU12" s="525" t="s">
        <v>375</v>
      </c>
      <c r="AV12" s="18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2" t="s">
        <v>523</v>
      </c>
      <c r="BF12" s="1025"/>
      <c r="BG12" s="1025"/>
      <c r="BH12" s="1025"/>
      <c r="BI12" s="526" t="s">
        <v>524</v>
      </c>
      <c r="BJ12" s="524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4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4"/>
      <c r="CQ12" s="525" t="s">
        <v>375</v>
      </c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2" t="s">
        <v>523</v>
      </c>
      <c r="DB12" s="1025"/>
      <c r="DC12" s="1025"/>
      <c r="DD12" s="1025"/>
      <c r="DE12" s="526" t="s">
        <v>524</v>
      </c>
      <c r="DF12" s="524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4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4"/>
      <c r="EM12" s="525" t="s">
        <v>375</v>
      </c>
    </row>
    <row r="13" spans="1:143" ht="15" customHeight="1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8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15" customHeight="1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8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28.5" customHeight="1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2" t="s">
        <v>523</v>
      </c>
      <c r="J15" s="1025"/>
      <c r="K15" s="1025"/>
      <c r="L15" s="1025"/>
      <c r="M15" s="526" t="s">
        <v>524</v>
      </c>
      <c r="N15" s="524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4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4"/>
      <c r="AU15" s="525" t="s">
        <v>375</v>
      </c>
      <c r="AV15" s="18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2" t="s">
        <v>523</v>
      </c>
      <c r="BF15" s="1025"/>
      <c r="BG15" s="1025"/>
      <c r="BH15" s="1025"/>
      <c r="BI15" s="526" t="s">
        <v>524</v>
      </c>
      <c r="BJ15" s="524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4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4"/>
      <c r="CQ15" s="525" t="s">
        <v>375</v>
      </c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2" t="s">
        <v>523</v>
      </c>
      <c r="DB15" s="1025"/>
      <c r="DC15" s="1025"/>
      <c r="DD15" s="1025"/>
      <c r="DE15" s="526" t="s">
        <v>524</v>
      </c>
      <c r="DF15" s="524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4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4"/>
      <c r="EM15" s="525" t="s">
        <v>375</v>
      </c>
    </row>
    <row r="16" spans="1:143" ht="15" customHeight="1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8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18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18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8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15" customHeight="1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18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18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8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18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8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3.75" customHeight="1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18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9" customHeight="1">
      <c r="A26" s="1026" t="s">
        <v>840</v>
      </c>
      <c r="B26" s="1026"/>
      <c r="C26" s="1026"/>
      <c r="D26" s="1026"/>
      <c r="E26" s="1026"/>
      <c r="F26" s="1026"/>
      <c r="G26" s="1026"/>
      <c r="H26" s="1026"/>
      <c r="I26" s="522" t="s">
        <v>523</v>
      </c>
      <c r="J26" s="1025"/>
      <c r="K26" s="1025"/>
      <c r="L26" s="1025"/>
      <c r="M26" s="526" t="s">
        <v>524</v>
      </c>
      <c r="N26" s="524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4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4"/>
      <c r="AU26" s="525" t="s">
        <v>375</v>
      </c>
      <c r="AV26" s="180"/>
      <c r="AW26" s="1026" t="s">
        <v>840</v>
      </c>
      <c r="AX26" s="1026"/>
      <c r="AY26" s="1026"/>
      <c r="AZ26" s="1026"/>
      <c r="BA26" s="1026"/>
      <c r="BB26" s="1026"/>
      <c r="BC26" s="1026"/>
      <c r="BD26" s="1026"/>
      <c r="BE26" s="522" t="s">
        <v>523</v>
      </c>
      <c r="BF26" s="1025"/>
      <c r="BG26" s="1025"/>
      <c r="BH26" s="1025"/>
      <c r="BI26" s="526" t="s">
        <v>524</v>
      </c>
      <c r="BJ26" s="524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4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4"/>
      <c r="CQ26" s="525" t="s">
        <v>375</v>
      </c>
      <c r="CS26" s="1026" t="s">
        <v>840</v>
      </c>
      <c r="CT26" s="1026"/>
      <c r="CU26" s="1026"/>
      <c r="CV26" s="1026"/>
      <c r="CW26" s="1026"/>
      <c r="CX26" s="1026"/>
      <c r="CY26" s="1026"/>
      <c r="CZ26" s="1026"/>
      <c r="DA26" s="522" t="s">
        <v>523</v>
      </c>
      <c r="DB26" s="1025"/>
      <c r="DC26" s="1025"/>
      <c r="DD26" s="1025"/>
      <c r="DE26" s="526" t="s">
        <v>524</v>
      </c>
      <c r="DF26" s="524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4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4"/>
      <c r="EM26" s="525" t="s">
        <v>375</v>
      </c>
    </row>
    <row r="27" spans="1:143" ht="54" customHeight="1">
      <c r="A27" s="1026" t="s">
        <v>842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180"/>
      <c r="AW27" s="1026" t="s">
        <v>842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S27" s="1026" t="s">
        <v>842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0"/>
      <c r="AA33" s="170"/>
      <c r="AB33" s="170"/>
      <c r="AC33" s="1110" t="s">
        <v>551</v>
      </c>
      <c r="AD33" s="1110"/>
      <c r="AE33" s="1110"/>
      <c r="AF33" s="1111">
        <f>J$5</f>
        <v>0</v>
      </c>
      <c r="AG33" s="1111"/>
      <c r="AH33" s="191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11">
        <f>AK$5</f>
        <v>0</v>
      </c>
      <c r="AQ33" s="1111"/>
      <c r="AR33" s="1111"/>
      <c r="AS33" s="1111"/>
      <c r="AT33" s="1112" t="s">
        <v>375</v>
      </c>
      <c r="AU33" s="1112"/>
      <c r="AW33" s="170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0"/>
      <c r="BW33" s="170"/>
      <c r="BX33" s="170"/>
      <c r="BY33" s="1110" t="s">
        <v>551</v>
      </c>
      <c r="BZ33" s="1110"/>
      <c r="CA33" s="1110"/>
      <c r="CB33" s="1111">
        <f>BF$5</f>
        <v>0</v>
      </c>
      <c r="CC33" s="1111"/>
      <c r="CD33" s="191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11">
        <f>CG$5</f>
        <v>0</v>
      </c>
      <c r="CM33" s="1111"/>
      <c r="CN33" s="1111"/>
      <c r="CO33" s="1111"/>
      <c r="CP33" s="1112" t="s">
        <v>375</v>
      </c>
      <c r="CQ33" s="1112"/>
      <c r="CS33" s="170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0"/>
      <c r="DS33" s="170"/>
      <c r="DT33" s="170"/>
      <c r="DU33" s="1110" t="s">
        <v>551</v>
      </c>
      <c r="DV33" s="1110"/>
      <c r="DW33" s="1110"/>
      <c r="DX33" s="1111">
        <f>DB$5</f>
        <v>0</v>
      </c>
      <c r="DY33" s="1111"/>
      <c r="DZ33" s="191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11">
        <f>EC$5</f>
        <v>0</v>
      </c>
      <c r="EI33" s="1111"/>
      <c r="EJ33" s="1111"/>
      <c r="EK33" s="1111"/>
      <c r="EL33" s="1112" t="s">
        <v>375</v>
      </c>
      <c r="EM33" s="1112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60" customHeight="1">
      <c r="A38" s="178"/>
      <c r="B38" s="1077" t="s">
        <v>740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740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740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2.75" customHeight="1">
      <c r="A40" s="178"/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178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178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>
      <c r="A42" s="178"/>
      <c r="B42" s="186"/>
      <c r="C42" s="186"/>
      <c r="D42" s="1127" t="s">
        <v>557</v>
      </c>
      <c r="E42" s="1127"/>
      <c r="F42" s="1158" t="s">
        <v>742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742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742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77.25" customHeight="1">
      <c r="A43" s="178"/>
      <c r="B43" s="1098" t="s">
        <v>743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743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743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>
      <c r="A44" s="178"/>
      <c r="B44" s="186"/>
      <c r="C44" s="186"/>
      <c r="D44" s="1127" t="s">
        <v>560</v>
      </c>
      <c r="E44" s="1127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>
      <c r="A46" s="178"/>
      <c r="B46" s="186"/>
      <c r="C46" s="186"/>
      <c r="D46" s="1127" t="s">
        <v>562</v>
      </c>
      <c r="E46" s="1127"/>
      <c r="F46" s="1079" t="s">
        <v>745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745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745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>
      <c r="A47" s="178"/>
      <c r="B47" s="186"/>
      <c r="C47" s="186"/>
      <c r="D47" s="1127" t="s">
        <v>565</v>
      </c>
      <c r="E47" s="1127"/>
      <c r="F47" s="1079" t="s">
        <v>746</v>
      </c>
      <c r="G47" s="1079"/>
      <c r="H47" s="1079"/>
      <c r="I47" s="1079"/>
      <c r="J47" s="1079"/>
      <c r="K47" s="1079"/>
      <c r="L47" s="1079"/>
      <c r="M47" s="1079"/>
      <c r="N47" s="1079"/>
      <c r="O47" s="1079"/>
      <c r="P47" s="1079"/>
      <c r="Q47" s="1079"/>
      <c r="R47" s="1079"/>
      <c r="S47" s="1079"/>
      <c r="T47" s="1079"/>
      <c r="U47" s="1079"/>
      <c r="V47" s="1079"/>
      <c r="W47" s="1079"/>
      <c r="X47" s="1079"/>
      <c r="Y47" s="1079"/>
      <c r="Z47" s="1079"/>
      <c r="AA47" s="1079"/>
      <c r="AB47" s="1079"/>
      <c r="AC47" s="1079"/>
      <c r="AD47" s="1079"/>
      <c r="AE47" s="1079"/>
      <c r="AF47" s="1079"/>
      <c r="AG47" s="1079"/>
      <c r="AH47" s="1079"/>
      <c r="AI47" s="1079"/>
      <c r="AJ47" s="1079"/>
      <c r="AK47" s="1079"/>
      <c r="AL47" s="1079"/>
      <c r="AM47" s="1079"/>
      <c r="AN47" s="1079"/>
      <c r="AO47" s="1079"/>
      <c r="AP47" s="1079"/>
      <c r="AQ47" s="1079"/>
      <c r="AR47" s="1079"/>
      <c r="AS47" s="1079"/>
      <c r="AT47" s="1079"/>
      <c r="AU47" s="187"/>
      <c r="AW47" s="178"/>
      <c r="AX47" s="186"/>
      <c r="AY47" s="186"/>
      <c r="AZ47" s="1127" t="s">
        <v>565</v>
      </c>
      <c r="BA47" s="1127"/>
      <c r="BB47" s="1079" t="s">
        <v>746</v>
      </c>
      <c r="BC47" s="1079"/>
      <c r="BD47" s="1079"/>
      <c r="BE47" s="1079"/>
      <c r="BF47" s="1079"/>
      <c r="BG47" s="1079"/>
      <c r="BH47" s="1079"/>
      <c r="BI47" s="1079"/>
      <c r="BJ47" s="1079"/>
      <c r="BK47" s="1079"/>
      <c r="BL47" s="1079"/>
      <c r="BM47" s="1079"/>
      <c r="BN47" s="1079"/>
      <c r="BO47" s="1079"/>
      <c r="BP47" s="1079"/>
      <c r="BQ47" s="1079"/>
      <c r="BR47" s="1079"/>
      <c r="BS47" s="1079"/>
      <c r="BT47" s="1079"/>
      <c r="BU47" s="1079"/>
      <c r="BV47" s="1079"/>
      <c r="BW47" s="1079"/>
      <c r="BX47" s="1079"/>
      <c r="BY47" s="1079"/>
      <c r="BZ47" s="1079"/>
      <c r="CA47" s="1079"/>
      <c r="CB47" s="1079"/>
      <c r="CC47" s="1079"/>
      <c r="CD47" s="1079"/>
      <c r="CE47" s="1079"/>
      <c r="CF47" s="1079"/>
      <c r="CG47" s="1079"/>
      <c r="CH47" s="1079"/>
      <c r="CI47" s="1079"/>
      <c r="CJ47" s="1079"/>
      <c r="CK47" s="1079"/>
      <c r="CL47" s="1079"/>
      <c r="CM47" s="1079"/>
      <c r="CN47" s="1079"/>
      <c r="CO47" s="1079"/>
      <c r="CP47" s="1079"/>
      <c r="CQ47" s="187"/>
      <c r="CS47" s="178"/>
      <c r="CT47" s="186"/>
      <c r="CU47" s="186"/>
      <c r="CV47" s="1127" t="s">
        <v>565</v>
      </c>
      <c r="CW47" s="1127"/>
      <c r="CX47" s="1079" t="s">
        <v>746</v>
      </c>
      <c r="CY47" s="1079"/>
      <c r="CZ47" s="1079"/>
      <c r="DA47" s="1079"/>
      <c r="DB47" s="1079"/>
      <c r="DC47" s="1079"/>
      <c r="DD47" s="1079"/>
      <c r="DE47" s="1079"/>
      <c r="DF47" s="1079"/>
      <c r="DG47" s="1079"/>
      <c r="DH47" s="1079"/>
      <c r="DI47" s="1079"/>
      <c r="DJ47" s="1079"/>
      <c r="DK47" s="1079"/>
      <c r="DL47" s="1079"/>
      <c r="DM47" s="1079"/>
      <c r="DN47" s="1079"/>
      <c r="DO47" s="1079"/>
      <c r="DP47" s="1079"/>
      <c r="DQ47" s="1079"/>
      <c r="DR47" s="1079"/>
      <c r="DS47" s="1079"/>
      <c r="DT47" s="1079"/>
      <c r="DU47" s="1079"/>
      <c r="DV47" s="1079"/>
      <c r="DW47" s="1079"/>
      <c r="DX47" s="1079"/>
      <c r="DY47" s="1079"/>
      <c r="DZ47" s="1079"/>
      <c r="EA47" s="1079"/>
      <c r="EB47" s="1079"/>
      <c r="EC47" s="1079"/>
      <c r="ED47" s="1079"/>
      <c r="EE47" s="1079"/>
      <c r="EF47" s="1079"/>
      <c r="EG47" s="1079"/>
      <c r="EH47" s="1079"/>
      <c r="EI47" s="1079"/>
      <c r="EJ47" s="1079"/>
      <c r="EK47" s="1079"/>
      <c r="EL47" s="1079"/>
      <c r="EM47" s="187"/>
    </row>
    <row r="48" spans="1:143" ht="18.75" customHeight="1">
      <c r="A48" s="178"/>
      <c r="B48" s="1131" t="s">
        <v>579</v>
      </c>
      <c r="C48" s="1131"/>
      <c r="D48" s="1107">
        <f>J$11</f>
        <v>0</v>
      </c>
      <c r="E48" s="1107"/>
      <c r="F48" s="191" t="s">
        <v>524</v>
      </c>
      <c r="G48" s="1107">
        <f>O$11</f>
        <v>0</v>
      </c>
      <c r="H48" s="1107"/>
      <c r="I48" s="1107"/>
      <c r="J48" s="1107"/>
      <c r="K48" s="1107"/>
      <c r="L48" s="1107"/>
      <c r="M48" s="1107"/>
      <c r="N48" s="1107"/>
      <c r="O48" s="170"/>
      <c r="P48" s="1130">
        <f>AK$11</f>
        <v>0</v>
      </c>
      <c r="Q48" s="1130"/>
      <c r="R48" s="1130"/>
      <c r="S48" s="1130"/>
      <c r="T48" s="1133" t="s">
        <v>580</v>
      </c>
      <c r="U48" s="1133"/>
      <c r="V48" s="1133"/>
      <c r="W48" s="1133"/>
      <c r="X48" s="1133"/>
      <c r="Y48" s="1107">
        <f>J$12</f>
        <v>0</v>
      </c>
      <c r="Z48" s="1107"/>
      <c r="AA48" s="191" t="s">
        <v>524</v>
      </c>
      <c r="AB48" s="1107">
        <f>O$12</f>
        <v>0</v>
      </c>
      <c r="AC48" s="1107"/>
      <c r="AD48" s="1107"/>
      <c r="AE48" s="1107"/>
      <c r="AF48" s="1107"/>
      <c r="AG48" s="1107"/>
      <c r="AH48" s="1107"/>
      <c r="AI48" s="1107"/>
      <c r="AJ48" s="170"/>
      <c r="AK48" s="1130">
        <f>AK$12</f>
        <v>0</v>
      </c>
      <c r="AL48" s="1130"/>
      <c r="AM48" s="1130"/>
      <c r="AN48" s="1130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1" t="s">
        <v>579</v>
      </c>
      <c r="AY48" s="1131"/>
      <c r="AZ48" s="1107">
        <f>BF$11</f>
        <v>0</v>
      </c>
      <c r="BA48" s="1107"/>
      <c r="BB48" s="191" t="s">
        <v>524</v>
      </c>
      <c r="BC48" s="1107">
        <f>BK$11</f>
        <v>0</v>
      </c>
      <c r="BD48" s="1107"/>
      <c r="BE48" s="1107"/>
      <c r="BF48" s="1107"/>
      <c r="BG48" s="1107"/>
      <c r="BH48" s="1107"/>
      <c r="BI48" s="1107"/>
      <c r="BJ48" s="1107"/>
      <c r="BK48" s="170"/>
      <c r="BL48" s="1130">
        <f>CG$11</f>
        <v>0</v>
      </c>
      <c r="BM48" s="1130"/>
      <c r="BN48" s="1130"/>
      <c r="BO48" s="1130"/>
      <c r="BP48" s="1133" t="s">
        <v>580</v>
      </c>
      <c r="BQ48" s="1133"/>
      <c r="BR48" s="1133"/>
      <c r="BS48" s="1133"/>
      <c r="BT48" s="1133"/>
      <c r="BU48" s="1107">
        <f>BF$12</f>
        <v>0</v>
      </c>
      <c r="BV48" s="1107"/>
      <c r="BW48" s="191" t="s">
        <v>524</v>
      </c>
      <c r="BX48" s="1107">
        <f>BK$12</f>
        <v>0</v>
      </c>
      <c r="BY48" s="1107"/>
      <c r="BZ48" s="1107"/>
      <c r="CA48" s="1107"/>
      <c r="CB48" s="1107"/>
      <c r="CC48" s="1107"/>
      <c r="CD48" s="1107"/>
      <c r="CE48" s="1107"/>
      <c r="CF48" s="170"/>
      <c r="CG48" s="1130">
        <f>CG$12</f>
        <v>0</v>
      </c>
      <c r="CH48" s="1130"/>
      <c r="CI48" s="1130"/>
      <c r="CJ48" s="1130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1" t="s">
        <v>579</v>
      </c>
      <c r="CU48" s="1131"/>
      <c r="CV48" s="1107">
        <f>DB$11</f>
        <v>0</v>
      </c>
      <c r="CW48" s="1107"/>
      <c r="CX48" s="191" t="s">
        <v>524</v>
      </c>
      <c r="CY48" s="1107">
        <f>DG$11</f>
        <v>0</v>
      </c>
      <c r="CZ48" s="1107"/>
      <c r="DA48" s="1107"/>
      <c r="DB48" s="1107"/>
      <c r="DC48" s="1107"/>
      <c r="DD48" s="1107"/>
      <c r="DE48" s="1107"/>
      <c r="DF48" s="1107"/>
      <c r="DG48" s="170"/>
      <c r="DH48" s="1130">
        <f>EC$11</f>
        <v>0</v>
      </c>
      <c r="DI48" s="1130"/>
      <c r="DJ48" s="1130"/>
      <c r="DK48" s="1130"/>
      <c r="DL48" s="1133" t="s">
        <v>580</v>
      </c>
      <c r="DM48" s="1133"/>
      <c r="DN48" s="1133"/>
      <c r="DO48" s="1133"/>
      <c r="DP48" s="1133"/>
      <c r="DQ48" s="1107">
        <f>DB$12</f>
        <v>0</v>
      </c>
      <c r="DR48" s="1107"/>
      <c r="DS48" s="191" t="s">
        <v>524</v>
      </c>
      <c r="DT48" s="1107">
        <f>DG$12</f>
        <v>0</v>
      </c>
      <c r="DU48" s="1107"/>
      <c r="DV48" s="1107"/>
      <c r="DW48" s="1107"/>
      <c r="DX48" s="1107"/>
      <c r="DY48" s="1107"/>
      <c r="DZ48" s="1107"/>
      <c r="EA48" s="1107"/>
      <c r="EB48" s="170"/>
      <c r="EC48" s="1130">
        <f>EC$12</f>
        <v>0</v>
      </c>
      <c r="ED48" s="1130"/>
      <c r="EE48" s="1130"/>
      <c r="EF48" s="1130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134" t="s">
        <v>747</v>
      </c>
      <c r="C49" s="1134"/>
      <c r="D49" s="1134"/>
      <c r="E49" s="1134"/>
      <c r="F49" s="1134"/>
      <c r="G49" s="1134"/>
      <c r="H49" s="1134"/>
      <c r="I49" s="1134"/>
      <c r="J49" s="1134"/>
      <c r="K49" s="1134"/>
      <c r="L49" s="1134"/>
      <c r="M49" s="1134"/>
      <c r="N49" s="1134"/>
      <c r="O49" s="1134"/>
      <c r="P49" s="1134"/>
      <c r="Q49" s="1134"/>
      <c r="R49" s="1134"/>
      <c r="S49" s="1134"/>
      <c r="T49" s="1134"/>
      <c r="U49" s="1134"/>
      <c r="V49" s="1134"/>
      <c r="W49" s="1134"/>
      <c r="X49" s="1134"/>
      <c r="Y49" s="1134"/>
      <c r="Z49" s="1134"/>
      <c r="AA49" s="1134"/>
      <c r="AB49" s="1134"/>
      <c r="AC49" s="1134"/>
      <c r="AD49" s="1134"/>
      <c r="AE49" s="1134"/>
      <c r="AF49" s="1134"/>
      <c r="AG49" s="1134"/>
      <c r="AH49" s="1134"/>
      <c r="AI49" s="1134"/>
      <c r="AJ49" s="1134"/>
      <c r="AK49" s="1134"/>
      <c r="AL49" s="1134"/>
      <c r="AM49" s="1134"/>
      <c r="AN49" s="1134"/>
      <c r="AO49" s="1134"/>
      <c r="AP49" s="1134"/>
      <c r="AQ49" s="1134"/>
      <c r="AR49" s="1134"/>
      <c r="AS49" s="1134"/>
      <c r="AT49" s="1134"/>
      <c r="AU49" s="1134"/>
      <c r="AW49" s="178"/>
      <c r="AX49" s="1134" t="s">
        <v>747</v>
      </c>
      <c r="AY49" s="1134"/>
      <c r="AZ49" s="1134"/>
      <c r="BA49" s="1134"/>
      <c r="BB49" s="1134"/>
      <c r="BC49" s="1134"/>
      <c r="BD49" s="1134"/>
      <c r="BE49" s="1134"/>
      <c r="BF49" s="1134"/>
      <c r="BG49" s="1134"/>
      <c r="BH49" s="1134"/>
      <c r="BI49" s="1134"/>
      <c r="BJ49" s="1134"/>
      <c r="BK49" s="1134"/>
      <c r="BL49" s="1134"/>
      <c r="BM49" s="1134"/>
      <c r="BN49" s="1134"/>
      <c r="BO49" s="1134"/>
      <c r="BP49" s="1134"/>
      <c r="BQ49" s="1134"/>
      <c r="BR49" s="1134"/>
      <c r="BS49" s="1134"/>
      <c r="BT49" s="1134"/>
      <c r="BU49" s="1134"/>
      <c r="BV49" s="1134"/>
      <c r="BW49" s="1134"/>
      <c r="BX49" s="1134"/>
      <c r="BY49" s="1134"/>
      <c r="BZ49" s="1134"/>
      <c r="CA49" s="1134"/>
      <c r="CB49" s="1134"/>
      <c r="CC49" s="1134"/>
      <c r="CD49" s="1134"/>
      <c r="CE49" s="1134"/>
      <c r="CF49" s="1134"/>
      <c r="CG49" s="1134"/>
      <c r="CH49" s="1134"/>
      <c r="CI49" s="1134"/>
      <c r="CJ49" s="1134"/>
      <c r="CK49" s="1134"/>
      <c r="CL49" s="1134"/>
      <c r="CM49" s="1134"/>
      <c r="CN49" s="1134"/>
      <c r="CO49" s="1134"/>
      <c r="CP49" s="1134"/>
      <c r="CQ49" s="1134"/>
      <c r="CS49" s="178"/>
      <c r="CT49" s="1134" t="s">
        <v>747</v>
      </c>
      <c r="CU49" s="1134"/>
      <c r="CV49" s="1134"/>
      <c r="CW49" s="1134"/>
      <c r="CX49" s="1134"/>
      <c r="CY49" s="1134"/>
      <c r="CZ49" s="1134"/>
      <c r="DA49" s="1134"/>
      <c r="DB49" s="1134"/>
      <c r="DC49" s="1134"/>
      <c r="DD49" s="1134"/>
      <c r="DE49" s="1134"/>
      <c r="DF49" s="1134"/>
      <c r="DG49" s="1134"/>
      <c r="DH49" s="1134"/>
      <c r="DI49" s="1134"/>
      <c r="DJ49" s="1134"/>
      <c r="DK49" s="1134"/>
      <c r="DL49" s="1134"/>
      <c r="DM49" s="1134"/>
      <c r="DN49" s="1134"/>
      <c r="DO49" s="1134"/>
      <c r="DP49" s="1134"/>
      <c r="DQ49" s="1134"/>
      <c r="DR49" s="1134"/>
      <c r="DS49" s="1134"/>
      <c r="DT49" s="1134"/>
      <c r="DU49" s="1134"/>
      <c r="DV49" s="1134"/>
      <c r="DW49" s="1134"/>
      <c r="DX49" s="1134"/>
      <c r="DY49" s="1134"/>
      <c r="DZ49" s="1134"/>
      <c r="EA49" s="1134"/>
      <c r="EB49" s="1134"/>
      <c r="EC49" s="1134"/>
      <c r="ED49" s="1134"/>
      <c r="EE49" s="1134"/>
      <c r="EF49" s="1134"/>
      <c r="EG49" s="1134"/>
      <c r="EH49" s="1134"/>
      <c r="EI49" s="1134"/>
      <c r="EJ49" s="1134"/>
      <c r="EK49" s="1134"/>
      <c r="EL49" s="1134"/>
      <c r="EM49" s="1134"/>
    </row>
    <row r="50" spans="1:143" ht="18.75" customHeight="1">
      <c r="A50" s="178"/>
      <c r="B50" s="190"/>
      <c r="C50" s="190"/>
      <c r="D50" s="1094" t="s">
        <v>582</v>
      </c>
      <c r="E50" s="1094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4" t="s">
        <v>582</v>
      </c>
      <c r="BA50" s="1094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4" t="s">
        <v>582</v>
      </c>
      <c r="CW50" s="1094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98" t="s">
        <v>749</v>
      </c>
      <c r="C51" s="1098"/>
      <c r="D51" s="1098"/>
      <c r="E51" s="1098"/>
      <c r="F51" s="1098"/>
      <c r="G51" s="1098"/>
      <c r="H51" s="1098"/>
      <c r="I51" s="1098"/>
      <c r="J51" s="1098"/>
      <c r="K51" s="1098"/>
      <c r="L51" s="1098"/>
      <c r="M51" s="1098"/>
      <c r="N51" s="1098"/>
      <c r="O51" s="1098"/>
      <c r="P51" s="1098"/>
      <c r="Q51" s="1098"/>
      <c r="R51" s="1098"/>
      <c r="S51" s="1098"/>
      <c r="T51" s="1098"/>
      <c r="U51" s="1098"/>
      <c r="V51" s="1098"/>
      <c r="W51" s="1098"/>
      <c r="X51" s="1098"/>
      <c r="Y51" s="1098"/>
      <c r="Z51" s="1098"/>
      <c r="AA51" s="1098"/>
      <c r="AB51" s="1098"/>
      <c r="AC51" s="1098"/>
      <c r="AD51" s="1098"/>
      <c r="AE51" s="1098"/>
      <c r="AF51" s="1098"/>
      <c r="AG51" s="1098"/>
      <c r="AH51" s="1098"/>
      <c r="AI51" s="1098"/>
      <c r="AJ51" s="1098"/>
      <c r="AK51" s="1098"/>
      <c r="AL51" s="1098"/>
      <c r="AM51" s="1098"/>
      <c r="AN51" s="1098"/>
      <c r="AO51" s="1098"/>
      <c r="AP51" s="1098"/>
      <c r="AQ51" s="1098"/>
      <c r="AR51" s="1098"/>
      <c r="AS51" s="1098"/>
      <c r="AT51" s="1098"/>
      <c r="AU51" s="1098"/>
      <c r="AW51" s="178"/>
      <c r="AX51" s="1098" t="s">
        <v>749</v>
      </c>
      <c r="AY51" s="1098"/>
      <c r="AZ51" s="1098"/>
      <c r="BA51" s="1098"/>
      <c r="BB51" s="1098"/>
      <c r="BC51" s="1098"/>
      <c r="BD51" s="1098"/>
      <c r="BE51" s="1098"/>
      <c r="BF51" s="1098"/>
      <c r="BG51" s="1098"/>
      <c r="BH51" s="1098"/>
      <c r="BI51" s="1098"/>
      <c r="BJ51" s="1098"/>
      <c r="BK51" s="1098"/>
      <c r="BL51" s="1098"/>
      <c r="BM51" s="1098"/>
      <c r="BN51" s="1098"/>
      <c r="BO51" s="1098"/>
      <c r="BP51" s="1098"/>
      <c r="BQ51" s="1098"/>
      <c r="BR51" s="1098"/>
      <c r="BS51" s="1098"/>
      <c r="BT51" s="1098"/>
      <c r="BU51" s="1098"/>
      <c r="BV51" s="1098"/>
      <c r="BW51" s="1098"/>
      <c r="BX51" s="1098"/>
      <c r="BY51" s="1098"/>
      <c r="BZ51" s="1098"/>
      <c r="CA51" s="1098"/>
      <c r="CB51" s="1098"/>
      <c r="CC51" s="1098"/>
      <c r="CD51" s="1098"/>
      <c r="CE51" s="1098"/>
      <c r="CF51" s="1098"/>
      <c r="CG51" s="1098"/>
      <c r="CH51" s="1098"/>
      <c r="CI51" s="1098"/>
      <c r="CJ51" s="1098"/>
      <c r="CK51" s="1098"/>
      <c r="CL51" s="1098"/>
      <c r="CM51" s="1098"/>
      <c r="CN51" s="1098"/>
      <c r="CO51" s="1098"/>
      <c r="CP51" s="1098"/>
      <c r="CQ51" s="1098"/>
      <c r="CS51" s="178"/>
      <c r="CT51" s="1098" t="s">
        <v>749</v>
      </c>
      <c r="CU51" s="1098"/>
      <c r="CV51" s="1098"/>
      <c r="CW51" s="1098"/>
      <c r="CX51" s="1098"/>
      <c r="CY51" s="1098"/>
      <c r="CZ51" s="1098"/>
      <c r="DA51" s="1098"/>
      <c r="DB51" s="1098"/>
      <c r="DC51" s="1098"/>
      <c r="DD51" s="1098"/>
      <c r="DE51" s="1098"/>
      <c r="DF51" s="1098"/>
      <c r="DG51" s="1098"/>
      <c r="DH51" s="1098"/>
      <c r="DI51" s="1098"/>
      <c r="DJ51" s="1098"/>
      <c r="DK51" s="1098"/>
      <c r="DL51" s="1098"/>
      <c r="DM51" s="1098"/>
      <c r="DN51" s="1098"/>
      <c r="DO51" s="1098"/>
      <c r="DP51" s="1098"/>
      <c r="DQ51" s="1098"/>
      <c r="DR51" s="1098"/>
      <c r="DS51" s="1098"/>
      <c r="DT51" s="1098"/>
      <c r="DU51" s="1098"/>
      <c r="DV51" s="1098"/>
      <c r="DW51" s="1098"/>
      <c r="DX51" s="1098"/>
      <c r="DY51" s="1098"/>
      <c r="DZ51" s="1098"/>
      <c r="EA51" s="1098"/>
      <c r="EB51" s="1098"/>
      <c r="EC51" s="1098"/>
      <c r="ED51" s="1098"/>
      <c r="EE51" s="1098"/>
      <c r="EF51" s="1098"/>
      <c r="EG51" s="1098"/>
      <c r="EH51" s="1098"/>
      <c r="EI51" s="1098"/>
      <c r="EJ51" s="1098"/>
      <c r="EK51" s="1098"/>
      <c r="EL51" s="1098"/>
      <c r="EM51" s="1098"/>
    </row>
    <row r="52" spans="1:143" ht="18.75" customHeight="1">
      <c r="A52" s="178"/>
      <c r="B52" s="1098" t="s">
        <v>750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750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750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18.75" customHeight="1">
      <c r="A53" s="178"/>
      <c r="B53" s="1098" t="s">
        <v>751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751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751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39.75" customHeight="1">
      <c r="A54" s="178"/>
      <c r="B54" s="1098" t="s">
        <v>752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752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752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81" customHeight="1">
      <c r="A55" s="178"/>
      <c r="B55" s="1098" t="s">
        <v>753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753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753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>
      <c r="A56" s="178"/>
      <c r="B56" s="1098" t="s">
        <v>754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754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754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18.75" customHeight="1">
      <c r="A57" s="178"/>
      <c r="B57" s="190"/>
      <c r="C57" s="190"/>
      <c r="D57" s="1094" t="s">
        <v>589</v>
      </c>
      <c r="E57" s="1094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4" t="s">
        <v>589</v>
      </c>
      <c r="BA57" s="1094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4" t="s">
        <v>589</v>
      </c>
      <c r="CW57" s="1094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98" t="s">
        <v>756</v>
      </c>
      <c r="C58" s="1098"/>
      <c r="D58" s="1098"/>
      <c r="E58" s="1098"/>
      <c r="F58" s="1098"/>
      <c r="G58" s="1098"/>
      <c r="H58" s="1098"/>
      <c r="I58" s="1098"/>
      <c r="J58" s="1098"/>
      <c r="K58" s="1098"/>
      <c r="L58" s="1098"/>
      <c r="M58" s="1098"/>
      <c r="N58" s="1098"/>
      <c r="O58" s="1098"/>
      <c r="P58" s="1098"/>
      <c r="Q58" s="1098"/>
      <c r="R58" s="1098"/>
      <c r="S58" s="1098"/>
      <c r="T58" s="1098"/>
      <c r="U58" s="1098"/>
      <c r="V58" s="1098"/>
      <c r="W58" s="1098"/>
      <c r="X58" s="1098"/>
      <c r="Y58" s="1098"/>
      <c r="Z58" s="1098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098"/>
      <c r="AO58" s="1098"/>
      <c r="AP58" s="1098"/>
      <c r="AQ58" s="1098"/>
      <c r="AR58" s="1098"/>
      <c r="AS58" s="1098"/>
      <c r="AT58" s="1098"/>
      <c r="AU58" s="1098"/>
      <c r="AW58" s="178"/>
      <c r="AX58" s="1098" t="s">
        <v>756</v>
      </c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  <c r="BX58" s="1098"/>
      <c r="BY58" s="1098"/>
      <c r="BZ58" s="1098"/>
      <c r="CA58" s="1098"/>
      <c r="CB58" s="1098"/>
      <c r="CC58" s="1098"/>
      <c r="CD58" s="1098"/>
      <c r="CE58" s="1098"/>
      <c r="CF58" s="1098"/>
      <c r="CG58" s="1098"/>
      <c r="CH58" s="1098"/>
      <c r="CI58" s="1098"/>
      <c r="CJ58" s="1098"/>
      <c r="CK58" s="1098"/>
      <c r="CL58" s="1098"/>
      <c r="CM58" s="1098"/>
      <c r="CN58" s="1098"/>
      <c r="CO58" s="1098"/>
      <c r="CP58" s="1098"/>
      <c r="CQ58" s="1098"/>
      <c r="CS58" s="178"/>
      <c r="CT58" s="1098" t="s">
        <v>756</v>
      </c>
      <c r="CU58" s="1098"/>
      <c r="CV58" s="1098"/>
      <c r="CW58" s="1098"/>
      <c r="CX58" s="1098"/>
      <c r="CY58" s="1098"/>
      <c r="CZ58" s="1098"/>
      <c r="DA58" s="1098"/>
      <c r="DB58" s="1098"/>
      <c r="DC58" s="1098"/>
      <c r="DD58" s="1098"/>
      <c r="DE58" s="1098"/>
      <c r="DF58" s="1098"/>
      <c r="DG58" s="1098"/>
      <c r="DH58" s="1098"/>
      <c r="DI58" s="1098"/>
      <c r="DJ58" s="1098"/>
      <c r="DK58" s="1098"/>
      <c r="DL58" s="1098"/>
      <c r="DM58" s="1098"/>
      <c r="DN58" s="1098"/>
      <c r="DO58" s="1098"/>
      <c r="DP58" s="1098"/>
      <c r="DQ58" s="1098"/>
      <c r="DR58" s="1098"/>
      <c r="DS58" s="1098"/>
      <c r="DT58" s="1098"/>
      <c r="DU58" s="1098"/>
      <c r="DV58" s="1098"/>
      <c r="DW58" s="1098"/>
      <c r="DX58" s="1098"/>
      <c r="DY58" s="1098"/>
      <c r="DZ58" s="1098"/>
      <c r="EA58" s="1098"/>
      <c r="EB58" s="1098"/>
      <c r="EC58" s="1098"/>
      <c r="ED58" s="1098"/>
      <c r="EE58" s="1098"/>
      <c r="EF58" s="1098"/>
      <c r="EG58" s="1098"/>
      <c r="EH58" s="1098"/>
      <c r="EI58" s="1098"/>
      <c r="EJ58" s="1098"/>
      <c r="EK58" s="1098"/>
      <c r="EL58" s="1098"/>
      <c r="EM58" s="1098"/>
    </row>
    <row r="59" spans="1:143" ht="57" customHeight="1">
      <c r="A59" s="178"/>
      <c r="B59" s="1098" t="s">
        <v>757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757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757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42.75" customHeight="1">
      <c r="A60" s="178"/>
      <c r="B60" s="1098" t="s">
        <v>758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758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758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16.5">
      <c r="A61" s="178"/>
      <c r="B61" s="1134" t="s">
        <v>759</v>
      </c>
      <c r="C61" s="1134"/>
      <c r="D61" s="1134"/>
      <c r="E61" s="1134"/>
      <c r="F61" s="1134"/>
      <c r="G61" s="1134"/>
      <c r="H61" s="1134"/>
      <c r="I61" s="1134"/>
      <c r="J61" s="1134"/>
      <c r="K61" s="1134"/>
      <c r="L61" s="1134"/>
      <c r="M61" s="1134"/>
      <c r="N61" s="1134"/>
      <c r="O61" s="1134"/>
      <c r="P61" s="1134"/>
      <c r="Q61" s="1134"/>
      <c r="R61" s="1134"/>
      <c r="S61" s="1134"/>
      <c r="T61" s="1134"/>
      <c r="U61" s="1134"/>
      <c r="V61" s="1134"/>
      <c r="W61" s="1134"/>
      <c r="X61" s="1134"/>
      <c r="Y61" s="1134"/>
      <c r="Z61" s="1134"/>
      <c r="AA61" s="1134"/>
      <c r="AB61" s="1134"/>
      <c r="AC61" s="1134"/>
      <c r="AD61" s="1134"/>
      <c r="AE61" s="1134"/>
      <c r="AF61" s="1134"/>
      <c r="AG61" s="1134"/>
      <c r="AH61" s="1134"/>
      <c r="AI61" s="1134"/>
      <c r="AJ61" s="1134"/>
      <c r="AK61" s="1134"/>
      <c r="AL61" s="1134"/>
      <c r="AM61" s="1134"/>
      <c r="AN61" s="1134"/>
      <c r="AO61" s="1134"/>
      <c r="AP61" s="1134"/>
      <c r="AQ61" s="1134"/>
      <c r="AR61" s="1134"/>
      <c r="AS61" s="1134"/>
      <c r="AT61" s="1134"/>
      <c r="AU61" s="1134"/>
      <c r="AW61" s="178"/>
      <c r="AX61" s="1134" t="s">
        <v>759</v>
      </c>
      <c r="AY61" s="1134"/>
      <c r="AZ61" s="1134"/>
      <c r="BA61" s="1134"/>
      <c r="BB61" s="1134"/>
      <c r="BC61" s="1134"/>
      <c r="BD61" s="1134"/>
      <c r="BE61" s="1134"/>
      <c r="BF61" s="1134"/>
      <c r="BG61" s="1134"/>
      <c r="BH61" s="1134"/>
      <c r="BI61" s="1134"/>
      <c r="BJ61" s="1134"/>
      <c r="BK61" s="1134"/>
      <c r="BL61" s="1134"/>
      <c r="BM61" s="1134"/>
      <c r="BN61" s="1134"/>
      <c r="BO61" s="1134"/>
      <c r="BP61" s="1134"/>
      <c r="BQ61" s="1134"/>
      <c r="BR61" s="1134"/>
      <c r="BS61" s="1134"/>
      <c r="BT61" s="1134"/>
      <c r="BU61" s="1134"/>
      <c r="BV61" s="1134"/>
      <c r="BW61" s="1134"/>
      <c r="BX61" s="1134"/>
      <c r="BY61" s="1134"/>
      <c r="BZ61" s="1134"/>
      <c r="CA61" s="1134"/>
      <c r="CB61" s="1134"/>
      <c r="CC61" s="1134"/>
      <c r="CD61" s="1134"/>
      <c r="CE61" s="1134"/>
      <c r="CF61" s="1134"/>
      <c r="CG61" s="1134"/>
      <c r="CH61" s="1134"/>
      <c r="CI61" s="1134"/>
      <c r="CJ61" s="1134"/>
      <c r="CK61" s="1134"/>
      <c r="CL61" s="1134"/>
      <c r="CM61" s="1134"/>
      <c r="CN61" s="1134"/>
      <c r="CO61" s="1134"/>
      <c r="CP61" s="1134"/>
      <c r="CQ61" s="1134"/>
      <c r="CS61" s="178"/>
      <c r="CT61" s="1134" t="s">
        <v>759</v>
      </c>
      <c r="CU61" s="1134"/>
      <c r="CV61" s="1134"/>
      <c r="CW61" s="1134"/>
      <c r="CX61" s="1134"/>
      <c r="CY61" s="1134"/>
      <c r="CZ61" s="1134"/>
      <c r="DA61" s="1134"/>
      <c r="DB61" s="1134"/>
      <c r="DC61" s="1134"/>
      <c r="DD61" s="1134"/>
      <c r="DE61" s="1134"/>
      <c r="DF61" s="1134"/>
      <c r="DG61" s="1134"/>
      <c r="DH61" s="1134"/>
      <c r="DI61" s="1134"/>
      <c r="DJ61" s="1134"/>
      <c r="DK61" s="1134"/>
      <c r="DL61" s="1134"/>
      <c r="DM61" s="1134"/>
      <c r="DN61" s="1134"/>
      <c r="DO61" s="1134"/>
      <c r="DP61" s="1134"/>
      <c r="DQ61" s="1134"/>
      <c r="DR61" s="1134"/>
      <c r="DS61" s="1134"/>
      <c r="DT61" s="1134"/>
      <c r="DU61" s="1134"/>
      <c r="DV61" s="1134"/>
      <c r="DW61" s="1134"/>
      <c r="DX61" s="1134"/>
      <c r="DY61" s="1134"/>
      <c r="DZ61" s="1134"/>
      <c r="EA61" s="1134"/>
      <c r="EB61" s="1134"/>
      <c r="EC61" s="1134"/>
      <c r="ED61" s="1134"/>
      <c r="EE61" s="1134"/>
      <c r="EF61" s="1134"/>
      <c r="EG61" s="1134"/>
      <c r="EH61" s="1134"/>
      <c r="EI61" s="1134"/>
      <c r="EJ61" s="1134"/>
      <c r="EK61" s="1134"/>
      <c r="EL61" s="1134"/>
      <c r="EM61" s="1134"/>
    </row>
    <row r="62" spans="1:143" ht="18.75" customHeight="1">
      <c r="A62" s="178"/>
      <c r="B62" s="190"/>
      <c r="C62" s="190"/>
      <c r="D62" s="1094" t="s">
        <v>601</v>
      </c>
      <c r="E62" s="1094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4" t="s">
        <v>601</v>
      </c>
      <c r="BA62" s="1094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4" t="s">
        <v>601</v>
      </c>
      <c r="CW62" s="1094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94" t="s">
        <v>761</v>
      </c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87"/>
      <c r="AP63" s="1106">
        <f>I$13</f>
        <v>0</v>
      </c>
      <c r="AQ63" s="1106"/>
      <c r="AR63" s="1106"/>
      <c r="AS63" s="1106"/>
      <c r="AT63" s="1106"/>
      <c r="AU63" s="1106"/>
      <c r="AW63" s="178"/>
      <c r="AX63" s="1094" t="s">
        <v>761</v>
      </c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  <c r="BX63" s="1094"/>
      <c r="BY63" s="1094"/>
      <c r="BZ63" s="1094"/>
      <c r="CA63" s="1094"/>
      <c r="CB63" s="1094"/>
      <c r="CC63" s="1094"/>
      <c r="CD63" s="1094"/>
      <c r="CE63" s="1094"/>
      <c r="CF63" s="1094"/>
      <c r="CG63" s="1094"/>
      <c r="CH63" s="1094"/>
      <c r="CI63" s="1094"/>
      <c r="CJ63" s="1094"/>
      <c r="CK63" s="187"/>
      <c r="CL63" s="1106">
        <f>BE$13</f>
        <v>0</v>
      </c>
      <c r="CM63" s="1106"/>
      <c r="CN63" s="1106"/>
      <c r="CO63" s="1106"/>
      <c r="CP63" s="1106"/>
      <c r="CQ63" s="1106"/>
      <c r="CS63" s="178"/>
      <c r="CT63" s="1094" t="s">
        <v>761</v>
      </c>
      <c r="CU63" s="1094"/>
      <c r="CV63" s="1094"/>
      <c r="CW63" s="1094"/>
      <c r="CX63" s="1094"/>
      <c r="CY63" s="1094"/>
      <c r="CZ63" s="1094"/>
      <c r="DA63" s="1094"/>
      <c r="DB63" s="1094"/>
      <c r="DC63" s="1094"/>
      <c r="DD63" s="1094"/>
      <c r="DE63" s="1094"/>
      <c r="DF63" s="1094"/>
      <c r="DG63" s="1094"/>
      <c r="DH63" s="1094"/>
      <c r="DI63" s="1094"/>
      <c r="DJ63" s="1094"/>
      <c r="DK63" s="1094"/>
      <c r="DL63" s="1094"/>
      <c r="DM63" s="1094"/>
      <c r="DN63" s="1094"/>
      <c r="DO63" s="1094"/>
      <c r="DP63" s="1094"/>
      <c r="DQ63" s="1094"/>
      <c r="DR63" s="1094"/>
      <c r="DS63" s="1094"/>
      <c r="DT63" s="1094"/>
      <c r="DU63" s="1094"/>
      <c r="DV63" s="1094"/>
      <c r="DW63" s="1094"/>
      <c r="DX63" s="1094"/>
      <c r="DY63" s="1094"/>
      <c r="DZ63" s="1094"/>
      <c r="EA63" s="1094"/>
      <c r="EB63" s="1094"/>
      <c r="EC63" s="1094"/>
      <c r="ED63" s="1094"/>
      <c r="EE63" s="1094"/>
      <c r="EF63" s="1094"/>
      <c r="EG63" s="187"/>
      <c r="EH63" s="1106">
        <f>DA$13</f>
        <v>0</v>
      </c>
      <c r="EI63" s="1106"/>
      <c r="EJ63" s="1106"/>
      <c r="EK63" s="1106"/>
      <c r="EL63" s="1106"/>
      <c r="EM63" s="1106"/>
    </row>
    <row r="64" spans="1:143" ht="18.75" customHeight="1">
      <c r="A64" s="178"/>
      <c r="B64" s="195" t="s">
        <v>586</v>
      </c>
      <c r="C64" s="1107">
        <f>I14</f>
        <v>0</v>
      </c>
      <c r="D64" s="1107"/>
      <c r="E64" s="1107"/>
      <c r="F64" s="1107"/>
      <c r="G64" s="1107"/>
      <c r="H64" s="1107"/>
      <c r="I64" s="1107"/>
      <c r="J64" s="1107"/>
      <c r="K64" s="1107"/>
      <c r="L64" s="1107"/>
      <c r="M64" s="1107"/>
      <c r="N64" s="1107"/>
      <c r="O64" s="1107"/>
      <c r="P64" s="1107"/>
      <c r="Q64" s="1107"/>
      <c r="R64" s="1107"/>
      <c r="S64" s="1107"/>
      <c r="T64" s="1107"/>
      <c r="U64" s="1107"/>
      <c r="V64" s="1107"/>
      <c r="W64" s="1107"/>
      <c r="X64" s="1107"/>
      <c r="Y64" s="1107"/>
      <c r="Z64" s="1107"/>
      <c r="AA64" s="1107"/>
      <c r="AB64" s="1107"/>
      <c r="AC64" s="1107"/>
      <c r="AD64" s="1107"/>
      <c r="AE64" s="1107"/>
      <c r="AF64" s="1159" t="s">
        <v>762</v>
      </c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W64" s="178"/>
      <c r="AX64" s="195" t="s">
        <v>586</v>
      </c>
      <c r="AY64" s="1107">
        <f>BE14</f>
        <v>0</v>
      </c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  <c r="BX64" s="1107"/>
      <c r="BY64" s="1107"/>
      <c r="BZ64" s="1107"/>
      <c r="CA64" s="1107"/>
      <c r="CB64" s="1159" t="s">
        <v>762</v>
      </c>
      <c r="CC64" s="1159"/>
      <c r="CD64" s="1159"/>
      <c r="CE64" s="1159"/>
      <c r="CF64" s="1159"/>
      <c r="CG64" s="1159"/>
      <c r="CH64" s="1159"/>
      <c r="CI64" s="1159"/>
      <c r="CJ64" s="1159"/>
      <c r="CK64" s="1159"/>
      <c r="CL64" s="1159"/>
      <c r="CM64" s="1159"/>
      <c r="CN64" s="1159"/>
      <c r="CO64" s="1159"/>
      <c r="CP64" s="1159"/>
      <c r="CQ64" s="1159"/>
      <c r="CS64" s="178"/>
      <c r="CT64" s="195" t="s">
        <v>586</v>
      </c>
      <c r="CU64" s="1107">
        <f>DA14</f>
        <v>0</v>
      </c>
      <c r="CV64" s="1107"/>
      <c r="CW64" s="1107"/>
      <c r="CX64" s="1107"/>
      <c r="CY64" s="1107"/>
      <c r="CZ64" s="1107"/>
      <c r="DA64" s="1107"/>
      <c r="DB64" s="1107"/>
      <c r="DC64" s="1107"/>
      <c r="DD64" s="1107"/>
      <c r="DE64" s="1107"/>
      <c r="DF64" s="1107"/>
      <c r="DG64" s="1107"/>
      <c r="DH64" s="1107"/>
      <c r="DI64" s="1107"/>
      <c r="DJ64" s="1107"/>
      <c r="DK64" s="1107"/>
      <c r="DL64" s="1107"/>
      <c r="DM64" s="1107"/>
      <c r="DN64" s="1107"/>
      <c r="DO64" s="1107"/>
      <c r="DP64" s="1107"/>
      <c r="DQ64" s="1107"/>
      <c r="DR64" s="1107"/>
      <c r="DS64" s="1107"/>
      <c r="DT64" s="1107"/>
      <c r="DU64" s="1107"/>
      <c r="DV64" s="1107"/>
      <c r="DW64" s="1107"/>
      <c r="DX64" s="1159" t="s">
        <v>762</v>
      </c>
      <c r="DY64" s="1159"/>
      <c r="DZ64" s="1159"/>
      <c r="EA64" s="1159"/>
      <c r="EB64" s="1159"/>
      <c r="EC64" s="1159"/>
      <c r="ED64" s="1159"/>
      <c r="EE64" s="1159"/>
      <c r="EF64" s="1159"/>
      <c r="EG64" s="1159"/>
      <c r="EH64" s="1159"/>
      <c r="EI64" s="1159"/>
      <c r="EJ64" s="1159"/>
      <c r="EK64" s="1159"/>
      <c r="EL64" s="1159"/>
      <c r="EM64" s="1159"/>
    </row>
    <row r="65" spans="1:143" ht="18.75" customHeight="1">
      <c r="A65" s="178"/>
      <c r="B65" s="190"/>
      <c r="C65" s="190"/>
      <c r="D65" s="1094" t="s">
        <v>609</v>
      </c>
      <c r="E65" s="1094"/>
      <c r="F65" s="1079" t="s">
        <v>763</v>
      </c>
      <c r="G65" s="1079"/>
      <c r="H65" s="1079"/>
      <c r="I65" s="1079"/>
      <c r="J65" s="1079"/>
      <c r="K65" s="1079"/>
      <c r="L65" s="1079"/>
      <c r="M65" s="1079"/>
      <c r="N65" s="1079"/>
      <c r="O65" s="1079"/>
      <c r="P65" s="1079"/>
      <c r="Q65" s="1079"/>
      <c r="R65" s="1079"/>
      <c r="S65" s="1079"/>
      <c r="T65" s="1079"/>
      <c r="U65" s="1079"/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W65" s="178"/>
      <c r="AX65" s="190"/>
      <c r="AY65" s="190"/>
      <c r="AZ65" s="1094" t="s">
        <v>609</v>
      </c>
      <c r="BA65" s="1094"/>
      <c r="BB65" s="1079" t="s">
        <v>763</v>
      </c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  <c r="BX65" s="1079"/>
      <c r="BY65" s="1079"/>
      <c r="BZ65" s="1079"/>
      <c r="CA65" s="1079"/>
      <c r="CB65" s="1079"/>
      <c r="CC65" s="1079"/>
      <c r="CD65" s="1079"/>
      <c r="CE65" s="1079"/>
      <c r="CF65" s="1079"/>
      <c r="CG65" s="1079"/>
      <c r="CH65" s="1079"/>
      <c r="CI65" s="1079"/>
      <c r="CJ65" s="1079"/>
      <c r="CK65" s="1079"/>
      <c r="CL65" s="1079"/>
      <c r="CM65" s="1079"/>
      <c r="CN65" s="1079"/>
      <c r="CO65" s="1079"/>
      <c r="CP65" s="1079"/>
      <c r="CQ65" s="1079"/>
      <c r="CS65" s="178"/>
      <c r="CT65" s="190"/>
      <c r="CU65" s="190"/>
      <c r="CV65" s="1094" t="s">
        <v>609</v>
      </c>
      <c r="CW65" s="1094"/>
      <c r="CX65" s="1079" t="s">
        <v>763</v>
      </c>
      <c r="CY65" s="1079"/>
      <c r="CZ65" s="1079"/>
      <c r="DA65" s="1079"/>
      <c r="DB65" s="1079"/>
      <c r="DC65" s="1079"/>
      <c r="DD65" s="1079"/>
      <c r="DE65" s="1079"/>
      <c r="DF65" s="1079"/>
      <c r="DG65" s="1079"/>
      <c r="DH65" s="1079"/>
      <c r="DI65" s="1079"/>
      <c r="DJ65" s="1079"/>
      <c r="DK65" s="1079"/>
      <c r="DL65" s="1079"/>
      <c r="DM65" s="1079"/>
      <c r="DN65" s="1079"/>
      <c r="DO65" s="1079"/>
      <c r="DP65" s="1079"/>
      <c r="DQ65" s="1079"/>
      <c r="DR65" s="1079"/>
      <c r="DS65" s="1079"/>
      <c r="DT65" s="1079"/>
      <c r="DU65" s="1079"/>
      <c r="DV65" s="1079"/>
      <c r="DW65" s="1079"/>
      <c r="DX65" s="1079"/>
      <c r="DY65" s="1079"/>
      <c r="DZ65" s="1079"/>
      <c r="EA65" s="1079"/>
      <c r="EB65" s="1079"/>
      <c r="EC65" s="1079"/>
      <c r="ED65" s="1079"/>
      <c r="EE65" s="1079"/>
      <c r="EF65" s="1079"/>
      <c r="EG65" s="1079"/>
      <c r="EH65" s="1079"/>
      <c r="EI65" s="1079"/>
      <c r="EJ65" s="1079"/>
      <c r="EK65" s="1079"/>
      <c r="EL65" s="1079"/>
      <c r="EM65" s="1079"/>
    </row>
    <row r="66" spans="1:143" ht="18.75" customHeight="1">
      <c r="A66" s="178"/>
      <c r="B66" s="1098" t="s">
        <v>764</v>
      </c>
      <c r="C66" s="1098"/>
      <c r="D66" s="1098"/>
      <c r="E66" s="1098"/>
      <c r="F66" s="1098"/>
      <c r="G66" s="1098"/>
      <c r="H66" s="1098"/>
      <c r="I66" s="1098"/>
      <c r="J66" s="1098"/>
      <c r="K66" s="1098"/>
      <c r="L66" s="1098"/>
      <c r="M66" s="1098"/>
      <c r="N66" s="1098"/>
      <c r="O66" s="1098"/>
      <c r="P66" s="1098"/>
      <c r="Q66" s="1098"/>
      <c r="R66" s="1098"/>
      <c r="S66" s="1098"/>
      <c r="T66" s="1098"/>
      <c r="U66" s="1098"/>
      <c r="V66" s="1098"/>
      <c r="W66" s="1098"/>
      <c r="X66" s="1098"/>
      <c r="Y66" s="1098"/>
      <c r="Z66" s="1098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W66" s="178"/>
      <c r="AX66" s="1098" t="s">
        <v>764</v>
      </c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  <c r="BX66" s="1098"/>
      <c r="BY66" s="1098"/>
      <c r="BZ66" s="1098"/>
      <c r="CA66" s="1098"/>
      <c r="CB66" s="1098"/>
      <c r="CC66" s="1098"/>
      <c r="CD66" s="1098"/>
      <c r="CE66" s="1098"/>
      <c r="CF66" s="1098"/>
      <c r="CG66" s="1098"/>
      <c r="CH66" s="1098"/>
      <c r="CI66" s="1098"/>
      <c r="CJ66" s="1098"/>
      <c r="CK66" s="1098"/>
      <c r="CL66" s="1098"/>
      <c r="CM66" s="1098"/>
      <c r="CN66" s="1098"/>
      <c r="CO66" s="1098"/>
      <c r="CP66" s="1098"/>
      <c r="CQ66" s="1098"/>
      <c r="CS66" s="178"/>
      <c r="CT66" s="1098" t="s">
        <v>764</v>
      </c>
      <c r="CU66" s="1098"/>
      <c r="CV66" s="1098"/>
      <c r="CW66" s="1098"/>
      <c r="CX66" s="1098"/>
      <c r="CY66" s="1098"/>
      <c r="CZ66" s="1098"/>
      <c r="DA66" s="1098"/>
      <c r="DB66" s="1098"/>
      <c r="DC66" s="1098"/>
      <c r="DD66" s="1098"/>
      <c r="DE66" s="1098"/>
      <c r="DF66" s="1098"/>
      <c r="DG66" s="1098"/>
      <c r="DH66" s="1098"/>
      <c r="DI66" s="1098"/>
      <c r="DJ66" s="1098"/>
      <c r="DK66" s="1098"/>
      <c r="DL66" s="1098"/>
      <c r="DM66" s="1098"/>
      <c r="DN66" s="1098"/>
      <c r="DO66" s="1098"/>
      <c r="DP66" s="1098"/>
      <c r="DQ66" s="1098"/>
      <c r="DR66" s="1098"/>
      <c r="DS66" s="1098"/>
      <c r="DT66" s="1098"/>
      <c r="DU66" s="1098"/>
      <c r="DV66" s="1098"/>
      <c r="DW66" s="1098"/>
      <c r="DX66" s="1098"/>
      <c r="DY66" s="1098"/>
      <c r="DZ66" s="1098"/>
      <c r="EA66" s="1098"/>
      <c r="EB66" s="1098"/>
      <c r="EC66" s="1098"/>
      <c r="ED66" s="1098"/>
      <c r="EE66" s="1098"/>
      <c r="EF66" s="1098"/>
      <c r="EG66" s="1098"/>
      <c r="EH66" s="1098"/>
      <c r="EI66" s="1098"/>
      <c r="EJ66" s="1098"/>
      <c r="EK66" s="1098"/>
      <c r="EL66" s="1098"/>
      <c r="EM66" s="1098"/>
    </row>
    <row r="67" spans="1:143" ht="18.75" customHeight="1">
      <c r="A67" s="178"/>
      <c r="B67" s="190"/>
      <c r="C67" s="190"/>
      <c r="D67" s="1094" t="s">
        <v>635</v>
      </c>
      <c r="E67" s="1094"/>
      <c r="F67" s="1079" t="s">
        <v>765</v>
      </c>
      <c r="G67" s="1079" t="s">
        <v>766</v>
      </c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W67" s="178"/>
      <c r="AX67" s="190"/>
      <c r="AY67" s="190"/>
      <c r="AZ67" s="1094" t="s">
        <v>635</v>
      </c>
      <c r="BA67" s="1094"/>
      <c r="BB67" s="1079" t="s">
        <v>765</v>
      </c>
      <c r="BC67" s="1079" t="s">
        <v>766</v>
      </c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  <c r="BX67" s="1079"/>
      <c r="BY67" s="1079"/>
      <c r="BZ67" s="1079"/>
      <c r="CA67" s="1079"/>
      <c r="CB67" s="1079"/>
      <c r="CC67" s="1079"/>
      <c r="CD67" s="1079"/>
      <c r="CE67" s="1079"/>
      <c r="CF67" s="1079"/>
      <c r="CG67" s="1079"/>
      <c r="CH67" s="1079"/>
      <c r="CI67" s="1079"/>
      <c r="CJ67" s="1079"/>
      <c r="CK67" s="1079"/>
      <c r="CL67" s="1079"/>
      <c r="CM67" s="1079"/>
      <c r="CN67" s="1079"/>
      <c r="CO67" s="1079"/>
      <c r="CP67" s="1079"/>
      <c r="CQ67" s="1079"/>
      <c r="CS67" s="178"/>
      <c r="CT67" s="190"/>
      <c r="CU67" s="190"/>
      <c r="CV67" s="1094" t="s">
        <v>635</v>
      </c>
      <c r="CW67" s="1094"/>
      <c r="CX67" s="1079" t="s">
        <v>765</v>
      </c>
      <c r="CY67" s="1079" t="s">
        <v>766</v>
      </c>
      <c r="CZ67" s="1079"/>
      <c r="DA67" s="1079"/>
      <c r="DB67" s="1079"/>
      <c r="DC67" s="1079"/>
      <c r="DD67" s="1079"/>
      <c r="DE67" s="1079"/>
      <c r="DF67" s="1079"/>
      <c r="DG67" s="1079"/>
      <c r="DH67" s="1079"/>
      <c r="DI67" s="1079"/>
      <c r="DJ67" s="1079"/>
      <c r="DK67" s="1079"/>
      <c r="DL67" s="1079"/>
      <c r="DM67" s="1079"/>
      <c r="DN67" s="1079"/>
      <c r="DO67" s="1079"/>
      <c r="DP67" s="1079"/>
      <c r="DQ67" s="1079"/>
      <c r="DR67" s="1079"/>
      <c r="DS67" s="1079"/>
      <c r="DT67" s="1079"/>
      <c r="DU67" s="1079"/>
      <c r="DV67" s="1079"/>
      <c r="DW67" s="1079"/>
      <c r="DX67" s="1079"/>
      <c r="DY67" s="1079"/>
      <c r="DZ67" s="1079"/>
      <c r="EA67" s="1079"/>
      <c r="EB67" s="1079"/>
      <c r="EC67" s="1079"/>
      <c r="ED67" s="1079"/>
      <c r="EE67" s="1079"/>
      <c r="EF67" s="1079"/>
      <c r="EG67" s="1079"/>
      <c r="EH67" s="1079"/>
      <c r="EI67" s="1079"/>
      <c r="EJ67" s="1079"/>
      <c r="EK67" s="1079"/>
      <c r="EL67" s="1079"/>
      <c r="EM67" s="1079"/>
    </row>
    <row r="68" spans="1:143" s="234" customFormat="1" ht="22.5" customHeight="1">
      <c r="A68" s="178"/>
      <c r="B68" s="1098" t="s">
        <v>938</v>
      </c>
      <c r="C68" s="1098"/>
      <c r="D68" s="1098"/>
      <c r="E68" s="1098"/>
      <c r="F68" s="1098"/>
      <c r="G68" s="1098"/>
      <c r="H68" s="1098"/>
      <c r="I68" s="1098"/>
      <c r="J68" s="1098"/>
      <c r="K68" s="1098"/>
      <c r="L68" s="1098"/>
      <c r="M68" s="1098"/>
      <c r="N68" s="1098"/>
      <c r="O68" s="1098"/>
      <c r="P68" s="1098"/>
      <c r="Q68" s="1098"/>
      <c r="R68" s="1098"/>
      <c r="S68" s="1098"/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W68" s="178"/>
      <c r="AX68" s="1098" t="s">
        <v>938</v>
      </c>
      <c r="AY68" s="1098"/>
      <c r="AZ68" s="1098"/>
      <c r="BA68" s="1098"/>
      <c r="BB68" s="1098"/>
      <c r="BC68" s="1098"/>
      <c r="BD68" s="1098"/>
      <c r="BE68" s="1098"/>
      <c r="BF68" s="1098"/>
      <c r="BG68" s="1098"/>
      <c r="BH68" s="1098"/>
      <c r="BI68" s="1098"/>
      <c r="BJ68" s="1098"/>
      <c r="BK68" s="1098"/>
      <c r="BL68" s="1098"/>
      <c r="BM68" s="1098"/>
      <c r="BN68" s="1098"/>
      <c r="BO68" s="1098"/>
      <c r="BP68" s="1098"/>
      <c r="BQ68" s="1098"/>
      <c r="BR68" s="1098"/>
      <c r="BS68" s="1098"/>
      <c r="BT68" s="1098"/>
      <c r="BU68" s="1098"/>
      <c r="BV68" s="1098"/>
      <c r="BW68" s="1098"/>
      <c r="BX68" s="1098"/>
      <c r="BY68" s="1098"/>
      <c r="BZ68" s="1098"/>
      <c r="CA68" s="1098"/>
      <c r="CB68" s="1098"/>
      <c r="CC68" s="1098"/>
      <c r="CD68" s="1098"/>
      <c r="CE68" s="1098"/>
      <c r="CF68" s="1098"/>
      <c r="CG68" s="1098"/>
      <c r="CH68" s="1098"/>
      <c r="CI68" s="1098"/>
      <c r="CJ68" s="1098"/>
      <c r="CK68" s="1098"/>
      <c r="CL68" s="1098"/>
      <c r="CM68" s="1098"/>
      <c r="CN68" s="1098"/>
      <c r="CO68" s="1098"/>
      <c r="CP68" s="1098"/>
      <c r="CQ68" s="1098"/>
      <c r="CS68" s="178"/>
      <c r="CT68" s="1098" t="s">
        <v>938</v>
      </c>
      <c r="CU68" s="1098"/>
      <c r="CV68" s="1098"/>
      <c r="CW68" s="1098"/>
      <c r="CX68" s="1098"/>
      <c r="CY68" s="1098"/>
      <c r="CZ68" s="1098"/>
      <c r="DA68" s="1098"/>
      <c r="DB68" s="1098"/>
      <c r="DC68" s="1098"/>
      <c r="DD68" s="1098"/>
      <c r="DE68" s="1098"/>
      <c r="DF68" s="1098"/>
      <c r="DG68" s="1098"/>
      <c r="DH68" s="1098"/>
      <c r="DI68" s="1098"/>
      <c r="DJ68" s="1098"/>
      <c r="DK68" s="1098"/>
      <c r="DL68" s="1098"/>
      <c r="DM68" s="1098"/>
      <c r="DN68" s="1098"/>
      <c r="DO68" s="1098"/>
      <c r="DP68" s="1098"/>
      <c r="DQ68" s="1098"/>
      <c r="DR68" s="1098"/>
      <c r="DS68" s="1098"/>
      <c r="DT68" s="1098"/>
      <c r="DU68" s="1098"/>
      <c r="DV68" s="1098"/>
      <c r="DW68" s="1098"/>
      <c r="DX68" s="1098"/>
      <c r="DY68" s="1098"/>
      <c r="DZ68" s="1098"/>
      <c r="EA68" s="1098"/>
      <c r="EB68" s="1098"/>
      <c r="EC68" s="1098"/>
      <c r="ED68" s="1098"/>
      <c r="EE68" s="1098"/>
      <c r="EF68" s="1098"/>
      <c r="EG68" s="1098"/>
      <c r="EH68" s="1098"/>
      <c r="EI68" s="1098"/>
      <c r="EJ68" s="1098"/>
      <c r="EK68" s="1098"/>
      <c r="EL68" s="1098"/>
      <c r="EM68" s="1098"/>
    </row>
    <row r="69" spans="1:143" s="234" customFormat="1" ht="57" customHeight="1">
      <c r="A69" s="178"/>
      <c r="B69" s="1105">
        <f>B31</f>
        <v>0</v>
      </c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5"/>
      <c r="W69" s="1105"/>
      <c r="X69" s="1105"/>
      <c r="Y69" s="1105"/>
      <c r="Z69" s="1105"/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105"/>
      <c r="AO69" s="1105"/>
      <c r="AP69" s="1105"/>
      <c r="AQ69" s="1105"/>
      <c r="AR69" s="1105"/>
      <c r="AS69" s="1105"/>
      <c r="AT69" s="1105"/>
      <c r="AU69" s="1105"/>
      <c r="AW69" s="178"/>
      <c r="AX69" s="1105">
        <f>AX31</f>
        <v>0</v>
      </c>
      <c r="AY69" s="1105"/>
      <c r="AZ69" s="1105"/>
      <c r="BA69" s="1105"/>
      <c r="BB69" s="1105"/>
      <c r="BC69" s="1105"/>
      <c r="BD69" s="1105"/>
      <c r="BE69" s="1105"/>
      <c r="BF69" s="1105"/>
      <c r="BG69" s="1105"/>
      <c r="BH69" s="1105"/>
      <c r="BI69" s="1105"/>
      <c r="BJ69" s="1105"/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  <c r="BX69" s="1105"/>
      <c r="BY69" s="1105"/>
      <c r="BZ69" s="1105"/>
      <c r="CA69" s="1105"/>
      <c r="CB69" s="1105"/>
      <c r="CC69" s="1105"/>
      <c r="CD69" s="1105"/>
      <c r="CE69" s="1105"/>
      <c r="CF69" s="1105"/>
      <c r="CG69" s="1105"/>
      <c r="CH69" s="1105"/>
      <c r="CI69" s="1105"/>
      <c r="CJ69" s="1105"/>
      <c r="CK69" s="1105"/>
      <c r="CL69" s="1105"/>
      <c r="CM69" s="1105"/>
      <c r="CN69" s="1105"/>
      <c r="CO69" s="1105"/>
      <c r="CP69" s="1105"/>
      <c r="CQ69" s="1105"/>
      <c r="CS69" s="178"/>
      <c r="CT69" s="1105">
        <f>CT31</f>
        <v>0</v>
      </c>
      <c r="CU69" s="1105"/>
      <c r="CV69" s="1105"/>
      <c r="CW69" s="1105"/>
      <c r="CX69" s="1105"/>
      <c r="CY69" s="1105"/>
      <c r="CZ69" s="1105"/>
      <c r="DA69" s="1105"/>
      <c r="DB69" s="1105"/>
      <c r="DC69" s="1105"/>
      <c r="DD69" s="1105"/>
      <c r="DE69" s="1105"/>
      <c r="DF69" s="1105"/>
      <c r="DG69" s="1105"/>
      <c r="DH69" s="1105"/>
      <c r="DI69" s="1105"/>
      <c r="DJ69" s="1105"/>
      <c r="DK69" s="1105"/>
      <c r="DL69" s="1105"/>
      <c r="DM69" s="1105"/>
      <c r="DN69" s="1105"/>
      <c r="DO69" s="1105"/>
      <c r="DP69" s="1105"/>
      <c r="DQ69" s="1105"/>
      <c r="DR69" s="1105"/>
      <c r="DS69" s="1105"/>
      <c r="DT69" s="1105"/>
      <c r="DU69" s="1105"/>
      <c r="DV69" s="1105"/>
      <c r="DW69" s="1105"/>
      <c r="DX69" s="1105"/>
      <c r="DY69" s="1105"/>
      <c r="DZ69" s="1105"/>
      <c r="EA69" s="1105"/>
      <c r="EB69" s="1105"/>
      <c r="EC69" s="1105"/>
      <c r="ED69" s="1105"/>
      <c r="EE69" s="1105"/>
      <c r="EF69" s="1105"/>
      <c r="EG69" s="1105"/>
      <c r="EH69" s="1105"/>
      <c r="EI69" s="1105"/>
      <c r="EJ69" s="1105"/>
      <c r="EK69" s="1105"/>
      <c r="EL69" s="1105"/>
      <c r="EM69" s="1105"/>
    </row>
    <row r="70" spans="1:143" ht="18.75" customHeight="1">
      <c r="A70" s="178"/>
      <c r="B70" s="1160" t="s">
        <v>767</v>
      </c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097" t="e">
        <f>I$6</f>
        <v>#VALUE!</v>
      </c>
      <c r="V70" s="1097"/>
      <c r="W70" s="1097"/>
      <c r="X70" s="1097"/>
      <c r="Y70" s="1096" t="s">
        <v>768</v>
      </c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W70" s="178"/>
      <c r="AX70" s="1160" t="s">
        <v>767</v>
      </c>
      <c r="AY70" s="1160"/>
      <c r="AZ70" s="1160"/>
      <c r="BA70" s="1160"/>
      <c r="BB70" s="1160"/>
      <c r="BC70" s="1160"/>
      <c r="BD70" s="1160"/>
      <c r="BE70" s="1160"/>
      <c r="BF70" s="1160"/>
      <c r="BG70" s="1160"/>
      <c r="BH70" s="1160"/>
      <c r="BI70" s="1160"/>
      <c r="BJ70" s="1160"/>
      <c r="BK70" s="1160"/>
      <c r="BL70" s="1160"/>
      <c r="BM70" s="1160"/>
      <c r="BN70" s="1160"/>
      <c r="BO70" s="1160"/>
      <c r="BP70" s="1160"/>
      <c r="BQ70" s="1097" t="e">
        <f>BE$6</f>
        <v>#VALUE!</v>
      </c>
      <c r="BR70" s="1097"/>
      <c r="BS70" s="1097"/>
      <c r="BT70" s="1097"/>
      <c r="BU70" s="1096" t="s">
        <v>768</v>
      </c>
      <c r="BV70" s="1096"/>
      <c r="BW70" s="1096"/>
      <c r="BX70" s="1096"/>
      <c r="BY70" s="1096"/>
      <c r="BZ70" s="1096"/>
      <c r="CA70" s="1096"/>
      <c r="CB70" s="1096"/>
      <c r="CC70" s="1096"/>
      <c r="CD70" s="1096"/>
      <c r="CE70" s="1096"/>
      <c r="CF70" s="1096"/>
      <c r="CG70" s="1096"/>
      <c r="CH70" s="1096"/>
      <c r="CI70" s="1096"/>
      <c r="CJ70" s="1096"/>
      <c r="CK70" s="1096"/>
      <c r="CL70" s="1096"/>
      <c r="CM70" s="1096"/>
      <c r="CN70" s="1096"/>
      <c r="CO70" s="1096"/>
      <c r="CP70" s="1096"/>
      <c r="CQ70" s="1096"/>
      <c r="CS70" s="178"/>
      <c r="CT70" s="1160" t="s">
        <v>767</v>
      </c>
      <c r="CU70" s="1160"/>
      <c r="CV70" s="1160"/>
      <c r="CW70" s="1160"/>
      <c r="CX70" s="1160"/>
      <c r="CY70" s="1160"/>
      <c r="CZ70" s="1160"/>
      <c r="DA70" s="1160"/>
      <c r="DB70" s="1160"/>
      <c r="DC70" s="1160"/>
      <c r="DD70" s="1160"/>
      <c r="DE70" s="1160"/>
      <c r="DF70" s="1160"/>
      <c r="DG70" s="1160"/>
      <c r="DH70" s="1160"/>
      <c r="DI70" s="1160"/>
      <c r="DJ70" s="1160"/>
      <c r="DK70" s="1160"/>
      <c r="DL70" s="1160"/>
      <c r="DM70" s="1097" t="e">
        <f>DA$6</f>
        <v>#VALUE!</v>
      </c>
      <c r="DN70" s="1097"/>
      <c r="DO70" s="1097"/>
      <c r="DP70" s="1097"/>
      <c r="DQ70" s="1096" t="s">
        <v>768</v>
      </c>
      <c r="DR70" s="1096"/>
      <c r="DS70" s="1096"/>
      <c r="DT70" s="1096"/>
      <c r="DU70" s="1096"/>
      <c r="DV70" s="1096"/>
      <c r="DW70" s="1096"/>
      <c r="DX70" s="1096"/>
      <c r="DY70" s="1096"/>
      <c r="DZ70" s="1096"/>
      <c r="EA70" s="1096"/>
      <c r="EB70" s="1096"/>
      <c r="EC70" s="1096"/>
      <c r="ED70" s="1096"/>
      <c r="EE70" s="1096"/>
      <c r="EF70" s="1096"/>
      <c r="EG70" s="1096"/>
      <c r="EH70" s="1096"/>
      <c r="EI70" s="1096"/>
      <c r="EJ70" s="1096"/>
      <c r="EK70" s="1096"/>
      <c r="EL70" s="1096"/>
      <c r="EM70" s="1096"/>
    </row>
    <row r="71" spans="1:143" ht="39" customHeight="1">
      <c r="A71" s="178"/>
      <c r="B71" s="1098" t="s">
        <v>769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W71" s="178"/>
      <c r="AX71" s="1098" t="s">
        <v>769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769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ht="18.75" customHeight="1">
      <c r="A72" s="178"/>
      <c r="B72" s="190"/>
      <c r="C72" s="190"/>
      <c r="D72" s="1094" t="s">
        <v>640</v>
      </c>
      <c r="E72" s="1094"/>
      <c r="F72" s="193"/>
      <c r="G72" s="1079" t="s">
        <v>770</v>
      </c>
      <c r="H72" s="1079"/>
      <c r="I72" s="1079"/>
      <c r="J72" s="1079"/>
      <c r="K72" s="1079"/>
      <c r="L72" s="1079"/>
      <c r="M72" s="1079"/>
      <c r="N72" s="1079"/>
      <c r="O72" s="1079"/>
      <c r="P72" s="1079"/>
      <c r="Q72" s="1079"/>
      <c r="R72" s="1079"/>
      <c r="S72" s="1079"/>
      <c r="T72" s="1079"/>
      <c r="U72" s="1079"/>
      <c r="V72" s="1079"/>
      <c r="W72" s="1079"/>
      <c r="X72" s="1079"/>
      <c r="Y72" s="1079"/>
      <c r="Z72" s="1079"/>
      <c r="AA72" s="1079"/>
      <c r="AB72" s="1079"/>
      <c r="AC72" s="1079"/>
      <c r="AD72" s="1079"/>
      <c r="AE72" s="1079"/>
      <c r="AF72" s="1079"/>
      <c r="AG72" s="1079"/>
      <c r="AH72" s="1079"/>
      <c r="AI72" s="1079"/>
      <c r="AJ72" s="1079"/>
      <c r="AK72" s="1079"/>
      <c r="AL72" s="1079"/>
      <c r="AM72" s="1079"/>
      <c r="AN72" s="1079"/>
      <c r="AO72" s="1079"/>
      <c r="AP72" s="1079"/>
      <c r="AQ72" s="1079"/>
      <c r="AR72" s="1079"/>
      <c r="AS72" s="1079"/>
      <c r="AT72" s="1079"/>
      <c r="AU72" s="1079"/>
      <c r="AW72" s="178"/>
      <c r="AX72" s="190"/>
      <c r="AY72" s="190"/>
      <c r="AZ72" s="1094" t="s">
        <v>640</v>
      </c>
      <c r="BA72" s="1094"/>
      <c r="BB72" s="306"/>
      <c r="BC72" s="1079" t="s">
        <v>770</v>
      </c>
      <c r="BD72" s="1079"/>
      <c r="BE72" s="1079"/>
      <c r="BF72" s="1079"/>
      <c r="BG72" s="1079"/>
      <c r="BH72" s="1079"/>
      <c r="BI72" s="1079"/>
      <c r="BJ72" s="1079"/>
      <c r="BK72" s="1079"/>
      <c r="BL72" s="1079"/>
      <c r="BM72" s="1079"/>
      <c r="BN72" s="1079"/>
      <c r="BO72" s="1079"/>
      <c r="BP72" s="1079"/>
      <c r="BQ72" s="1079"/>
      <c r="BR72" s="1079"/>
      <c r="BS72" s="1079"/>
      <c r="BT72" s="1079"/>
      <c r="BU72" s="1079"/>
      <c r="BV72" s="1079"/>
      <c r="BW72" s="1079"/>
      <c r="BX72" s="1079"/>
      <c r="BY72" s="1079"/>
      <c r="BZ72" s="1079"/>
      <c r="CA72" s="1079"/>
      <c r="CB72" s="1079"/>
      <c r="CC72" s="1079"/>
      <c r="CD72" s="1079"/>
      <c r="CE72" s="1079"/>
      <c r="CF72" s="1079"/>
      <c r="CG72" s="1079"/>
      <c r="CH72" s="1079"/>
      <c r="CI72" s="1079"/>
      <c r="CJ72" s="1079"/>
      <c r="CK72" s="1079"/>
      <c r="CL72" s="1079"/>
      <c r="CM72" s="1079"/>
      <c r="CN72" s="1079"/>
      <c r="CO72" s="1079"/>
      <c r="CP72" s="1079"/>
      <c r="CQ72" s="1079"/>
      <c r="CS72" s="178"/>
      <c r="CT72" s="190"/>
      <c r="CU72" s="190"/>
      <c r="CV72" s="1094" t="s">
        <v>640</v>
      </c>
      <c r="CW72" s="1094"/>
      <c r="CX72" s="306"/>
      <c r="CY72" s="1079" t="s">
        <v>770</v>
      </c>
      <c r="CZ72" s="1079"/>
      <c r="DA72" s="1079"/>
      <c r="DB72" s="1079"/>
      <c r="DC72" s="1079"/>
      <c r="DD72" s="1079"/>
      <c r="DE72" s="1079"/>
      <c r="DF72" s="1079"/>
      <c r="DG72" s="1079"/>
      <c r="DH72" s="1079"/>
      <c r="DI72" s="1079"/>
      <c r="DJ72" s="1079"/>
      <c r="DK72" s="1079"/>
      <c r="DL72" s="1079"/>
      <c r="DM72" s="1079"/>
      <c r="DN72" s="1079"/>
      <c r="DO72" s="1079"/>
      <c r="DP72" s="1079"/>
      <c r="DQ72" s="1079"/>
      <c r="DR72" s="1079"/>
      <c r="DS72" s="1079"/>
      <c r="DT72" s="1079"/>
      <c r="DU72" s="1079"/>
      <c r="DV72" s="1079"/>
      <c r="DW72" s="1079"/>
      <c r="DX72" s="1079"/>
      <c r="DY72" s="1079"/>
      <c r="DZ72" s="1079"/>
      <c r="EA72" s="1079"/>
      <c r="EB72" s="1079"/>
      <c r="EC72" s="1079"/>
      <c r="ED72" s="1079"/>
      <c r="EE72" s="1079"/>
      <c r="EF72" s="1079"/>
      <c r="EG72" s="1079"/>
      <c r="EH72" s="1079"/>
      <c r="EI72" s="1079"/>
      <c r="EJ72" s="1079"/>
      <c r="EK72" s="1079"/>
      <c r="EL72" s="1079"/>
      <c r="EM72" s="1079"/>
    </row>
    <row r="73" spans="1:143" ht="42" customHeight="1">
      <c r="A73" s="178"/>
      <c r="B73" s="1098" t="s">
        <v>599</v>
      </c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W73" s="178"/>
      <c r="AX73" s="1098" t="s">
        <v>599</v>
      </c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  <c r="BX73" s="1098"/>
      <c r="BY73" s="1098"/>
      <c r="BZ73" s="1098"/>
      <c r="CA73" s="1098"/>
      <c r="CB73" s="1098"/>
      <c r="CC73" s="1098"/>
      <c r="CD73" s="1098"/>
      <c r="CE73" s="1098"/>
      <c r="CF73" s="1098"/>
      <c r="CG73" s="1098"/>
      <c r="CH73" s="1098"/>
      <c r="CI73" s="1098"/>
      <c r="CJ73" s="1098"/>
      <c r="CK73" s="1098"/>
      <c r="CL73" s="1098"/>
      <c r="CM73" s="1098"/>
      <c r="CN73" s="1098"/>
      <c r="CO73" s="1098"/>
      <c r="CP73" s="1098"/>
      <c r="CQ73" s="1098"/>
      <c r="CS73" s="178"/>
      <c r="CT73" s="1098" t="s">
        <v>599</v>
      </c>
      <c r="CU73" s="1098"/>
      <c r="CV73" s="1098"/>
      <c r="CW73" s="1098"/>
      <c r="CX73" s="1098"/>
      <c r="CY73" s="1098"/>
      <c r="CZ73" s="1098"/>
      <c r="DA73" s="1098"/>
      <c r="DB73" s="1098"/>
      <c r="DC73" s="1098"/>
      <c r="DD73" s="1098"/>
      <c r="DE73" s="1098"/>
      <c r="DF73" s="1098"/>
      <c r="DG73" s="1098"/>
      <c r="DH73" s="1098"/>
      <c r="DI73" s="1098"/>
      <c r="DJ73" s="1098"/>
      <c r="DK73" s="1098"/>
      <c r="DL73" s="1098"/>
      <c r="DM73" s="1098"/>
      <c r="DN73" s="1098"/>
      <c r="DO73" s="1098"/>
      <c r="DP73" s="1098"/>
      <c r="DQ73" s="1098"/>
      <c r="DR73" s="1098"/>
      <c r="DS73" s="1098"/>
      <c r="DT73" s="1098"/>
      <c r="DU73" s="1098"/>
      <c r="DV73" s="1098"/>
      <c r="DW73" s="1098"/>
      <c r="DX73" s="1098"/>
      <c r="DY73" s="1098"/>
      <c r="DZ73" s="1098"/>
      <c r="EA73" s="1098"/>
      <c r="EB73" s="1098"/>
      <c r="EC73" s="1098"/>
      <c r="ED73" s="1098"/>
      <c r="EE73" s="1098"/>
      <c r="EF73" s="1098"/>
      <c r="EG73" s="1098"/>
      <c r="EH73" s="1098"/>
      <c r="EI73" s="1098"/>
      <c r="EJ73" s="1098"/>
      <c r="EK73" s="1098"/>
      <c r="EL73" s="1098"/>
      <c r="EM73" s="1098"/>
    </row>
    <row r="74" spans="1:143" ht="16.5">
      <c r="A74" s="178"/>
      <c r="B74" s="1134" t="s">
        <v>771</v>
      </c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W74" s="178"/>
      <c r="AX74" s="1134" t="s">
        <v>771</v>
      </c>
      <c r="AY74" s="1134"/>
      <c r="AZ74" s="1134"/>
      <c r="BA74" s="1134"/>
      <c r="BB74" s="1134"/>
      <c r="BC74" s="1134"/>
      <c r="BD74" s="1134"/>
      <c r="BE74" s="1134"/>
      <c r="BF74" s="1134"/>
      <c r="BG74" s="1134"/>
      <c r="BH74" s="1134"/>
      <c r="BI74" s="1134"/>
      <c r="BJ74" s="1134"/>
      <c r="BK74" s="1134"/>
      <c r="BL74" s="1134"/>
      <c r="BM74" s="1134"/>
      <c r="BN74" s="1134"/>
      <c r="BO74" s="1134"/>
      <c r="BP74" s="1134"/>
      <c r="BQ74" s="1134"/>
      <c r="BR74" s="1134"/>
      <c r="BS74" s="1134"/>
      <c r="BT74" s="1134"/>
      <c r="BU74" s="1134"/>
      <c r="BV74" s="1134"/>
      <c r="BW74" s="1134"/>
      <c r="BX74" s="1134"/>
      <c r="BY74" s="1134"/>
      <c r="BZ74" s="1134"/>
      <c r="CA74" s="1134"/>
      <c r="CB74" s="1134"/>
      <c r="CC74" s="1134"/>
      <c r="CD74" s="1134"/>
      <c r="CE74" s="1134"/>
      <c r="CF74" s="1134"/>
      <c r="CG74" s="1134"/>
      <c r="CH74" s="1134"/>
      <c r="CI74" s="1134"/>
      <c r="CJ74" s="1134"/>
      <c r="CK74" s="1134"/>
      <c r="CL74" s="1134"/>
      <c r="CM74" s="1134"/>
      <c r="CN74" s="1134"/>
      <c r="CO74" s="1134"/>
      <c r="CP74" s="1134"/>
      <c r="CQ74" s="1134"/>
      <c r="CS74" s="178"/>
      <c r="CT74" s="1134" t="s">
        <v>771</v>
      </c>
      <c r="CU74" s="1134"/>
      <c r="CV74" s="1134"/>
      <c r="CW74" s="1134"/>
      <c r="CX74" s="1134"/>
      <c r="CY74" s="1134"/>
      <c r="CZ74" s="1134"/>
      <c r="DA74" s="1134"/>
      <c r="DB74" s="1134"/>
      <c r="DC74" s="1134"/>
      <c r="DD74" s="1134"/>
      <c r="DE74" s="1134"/>
      <c r="DF74" s="1134"/>
      <c r="DG74" s="1134"/>
      <c r="DH74" s="1134"/>
      <c r="DI74" s="1134"/>
      <c r="DJ74" s="1134"/>
      <c r="DK74" s="1134"/>
      <c r="DL74" s="1134"/>
      <c r="DM74" s="1134"/>
      <c r="DN74" s="1134"/>
      <c r="DO74" s="1134"/>
      <c r="DP74" s="1134"/>
      <c r="DQ74" s="1134"/>
      <c r="DR74" s="1134"/>
      <c r="DS74" s="1134"/>
      <c r="DT74" s="1134"/>
      <c r="DU74" s="1134"/>
      <c r="DV74" s="1134"/>
      <c r="DW74" s="1134"/>
      <c r="DX74" s="1134"/>
      <c r="DY74" s="1134"/>
      <c r="DZ74" s="1134"/>
      <c r="EA74" s="1134"/>
      <c r="EB74" s="1134"/>
      <c r="EC74" s="1134"/>
      <c r="ED74" s="1134"/>
      <c r="EE74" s="1134"/>
      <c r="EF74" s="1134"/>
      <c r="EG74" s="1134"/>
      <c r="EH74" s="1134"/>
      <c r="EI74" s="1134"/>
      <c r="EJ74" s="1134"/>
      <c r="EK74" s="1134"/>
      <c r="EL74" s="1134"/>
      <c r="EM74" s="1134"/>
    </row>
    <row r="75" spans="1:143" ht="18.75" customHeight="1">
      <c r="A75" s="178"/>
      <c r="B75" s="190"/>
      <c r="C75" s="190"/>
      <c r="D75" s="1094" t="s">
        <v>273</v>
      </c>
      <c r="E75" s="1094"/>
      <c r="F75" s="1079" t="s">
        <v>655</v>
      </c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W75" s="178"/>
      <c r="AX75" s="190"/>
      <c r="AY75" s="190"/>
      <c r="AZ75" s="1094" t="s">
        <v>273</v>
      </c>
      <c r="BA75" s="1094"/>
      <c r="BB75" s="1079" t="s">
        <v>655</v>
      </c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273</v>
      </c>
      <c r="CW75" s="1094"/>
      <c r="CX75" s="1079" t="s">
        <v>655</v>
      </c>
      <c r="CY75" s="1079"/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18.75" customHeight="1">
      <c r="A76" s="178"/>
      <c r="B76" s="1098" t="s">
        <v>772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W76" s="178"/>
      <c r="AX76" s="1098" t="s">
        <v>772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772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8.75" customHeight="1">
      <c r="A77" s="178"/>
      <c r="B77" s="1094" t="s">
        <v>773</v>
      </c>
      <c r="C77" s="1094"/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94"/>
      <c r="V77" s="1094"/>
      <c r="W77" s="1094"/>
      <c r="X77" s="1094"/>
      <c r="Y77" s="1094"/>
      <c r="Z77" s="1094"/>
      <c r="AA77" s="1094"/>
      <c r="AB77" s="1111">
        <f>J$15</f>
        <v>0</v>
      </c>
      <c r="AC77" s="1111"/>
      <c r="AD77" s="191" t="s">
        <v>524</v>
      </c>
      <c r="AE77" s="1111">
        <f>O$15</f>
        <v>0</v>
      </c>
      <c r="AF77" s="1111"/>
      <c r="AG77" s="1111"/>
      <c r="AH77" s="1111"/>
      <c r="AI77" s="1111"/>
      <c r="AJ77" s="1111"/>
      <c r="AK77" s="1111"/>
      <c r="AL77" s="1111"/>
      <c r="AM77" s="1111"/>
      <c r="AN77" s="1111"/>
      <c r="AO77" s="1111"/>
      <c r="AP77" s="1111">
        <f>AK$15</f>
        <v>0</v>
      </c>
      <c r="AQ77" s="1111"/>
      <c r="AR77" s="1111"/>
      <c r="AS77" s="1111"/>
      <c r="AT77" s="301"/>
      <c r="AU77" s="301" t="s">
        <v>375</v>
      </c>
      <c r="AW77" s="178"/>
      <c r="AX77" s="1094" t="s">
        <v>773</v>
      </c>
      <c r="AY77" s="1094"/>
      <c r="AZ77" s="1094"/>
      <c r="BA77" s="1094"/>
      <c r="BB77" s="1094"/>
      <c r="BC77" s="1094"/>
      <c r="BD77" s="1094"/>
      <c r="BE77" s="1094"/>
      <c r="BF77" s="1094"/>
      <c r="BG77" s="1094"/>
      <c r="BH77" s="1094"/>
      <c r="BI77" s="1094"/>
      <c r="BJ77" s="1094"/>
      <c r="BK77" s="1094"/>
      <c r="BL77" s="1094"/>
      <c r="BM77" s="1094"/>
      <c r="BN77" s="1094"/>
      <c r="BO77" s="1094"/>
      <c r="BP77" s="1094"/>
      <c r="BQ77" s="1094"/>
      <c r="BR77" s="1094"/>
      <c r="BS77" s="1094"/>
      <c r="BT77" s="1094"/>
      <c r="BU77" s="1094"/>
      <c r="BV77" s="1094"/>
      <c r="BW77" s="1094"/>
      <c r="BX77" s="1111">
        <f>BF$15</f>
        <v>0</v>
      </c>
      <c r="BY77" s="1111"/>
      <c r="BZ77" s="191" t="s">
        <v>524</v>
      </c>
      <c r="CA77" s="1111">
        <f>BK$15</f>
        <v>0</v>
      </c>
      <c r="CB77" s="1111"/>
      <c r="CC77" s="1111"/>
      <c r="CD77" s="1111"/>
      <c r="CE77" s="1111"/>
      <c r="CF77" s="1111"/>
      <c r="CG77" s="1111"/>
      <c r="CH77" s="1111"/>
      <c r="CI77" s="1111"/>
      <c r="CJ77" s="1111"/>
      <c r="CK77" s="1111"/>
      <c r="CL77" s="1111">
        <f>CG$15</f>
        <v>0</v>
      </c>
      <c r="CM77" s="1111"/>
      <c r="CN77" s="1111"/>
      <c r="CO77" s="1111"/>
      <c r="CP77" s="301"/>
      <c r="CQ77" s="301" t="s">
        <v>375</v>
      </c>
      <c r="CS77" s="178"/>
      <c r="CT77" s="1094" t="s">
        <v>773</v>
      </c>
      <c r="CU77" s="1094"/>
      <c r="CV77" s="1094"/>
      <c r="CW77" s="1094"/>
      <c r="CX77" s="1094"/>
      <c r="CY77" s="1094"/>
      <c r="CZ77" s="1094"/>
      <c r="DA77" s="1094"/>
      <c r="DB77" s="1094"/>
      <c r="DC77" s="1094"/>
      <c r="DD77" s="1094"/>
      <c r="DE77" s="1094"/>
      <c r="DF77" s="1094"/>
      <c r="DG77" s="1094"/>
      <c r="DH77" s="1094"/>
      <c r="DI77" s="1094"/>
      <c r="DJ77" s="1094"/>
      <c r="DK77" s="1094"/>
      <c r="DL77" s="1094"/>
      <c r="DM77" s="1094"/>
      <c r="DN77" s="1094"/>
      <c r="DO77" s="1094"/>
      <c r="DP77" s="1094"/>
      <c r="DQ77" s="1094"/>
      <c r="DR77" s="1094"/>
      <c r="DS77" s="1094"/>
      <c r="DT77" s="1111">
        <f>DB$15</f>
        <v>0</v>
      </c>
      <c r="DU77" s="1111"/>
      <c r="DV77" s="191" t="s">
        <v>524</v>
      </c>
      <c r="DW77" s="1111">
        <f>DG$15</f>
        <v>0</v>
      </c>
      <c r="DX77" s="1111"/>
      <c r="DY77" s="1111"/>
      <c r="DZ77" s="1111"/>
      <c r="EA77" s="1111"/>
      <c r="EB77" s="1111"/>
      <c r="EC77" s="1111"/>
      <c r="ED77" s="1111"/>
      <c r="EE77" s="1111"/>
      <c r="EF77" s="1111"/>
      <c r="EG77" s="1111"/>
      <c r="EH77" s="1111">
        <f>EC$15</f>
        <v>0</v>
      </c>
      <c r="EI77" s="1111"/>
      <c r="EJ77" s="1111"/>
      <c r="EK77" s="1111"/>
      <c r="EL77" s="301"/>
      <c r="EM77" s="301" t="s">
        <v>375</v>
      </c>
    </row>
    <row r="78" spans="1:143" ht="18.75" customHeight="1">
      <c r="A78" s="178"/>
      <c r="B78" s="305"/>
      <c r="C78" s="305"/>
      <c r="D78" s="1159" t="s">
        <v>274</v>
      </c>
      <c r="E78" s="1159"/>
      <c r="F78" s="1181" t="s">
        <v>659</v>
      </c>
      <c r="G78" s="1181"/>
      <c r="H78" s="1181"/>
      <c r="I78" s="1181"/>
      <c r="J78" s="1181"/>
      <c r="K78" s="1181"/>
      <c r="L78" s="1181"/>
      <c r="M78" s="1181"/>
      <c r="N78" s="1181"/>
      <c r="O78" s="1181"/>
      <c r="P78" s="1181"/>
      <c r="Q78" s="1181"/>
      <c r="R78" s="1181"/>
      <c r="S78" s="1181"/>
      <c r="T78" s="1181"/>
      <c r="U78" s="1181"/>
      <c r="V78" s="1181"/>
      <c r="W78" s="1181"/>
      <c r="X78" s="1181"/>
      <c r="Y78" s="1181"/>
      <c r="Z78" s="1181"/>
      <c r="AA78" s="1181"/>
      <c r="AB78" s="1181"/>
      <c r="AC78" s="1181"/>
      <c r="AD78" s="1181"/>
      <c r="AE78" s="1181"/>
      <c r="AF78" s="1181"/>
      <c r="AG78" s="1181"/>
      <c r="AH78" s="1181"/>
      <c r="AI78" s="1181"/>
      <c r="AJ78" s="1181"/>
      <c r="AK78" s="1181"/>
      <c r="AL78" s="1181"/>
      <c r="AM78" s="1181"/>
      <c r="AN78" s="1181"/>
      <c r="AO78" s="1181"/>
      <c r="AP78" s="1181"/>
      <c r="AQ78" s="1181"/>
      <c r="AR78" s="1181"/>
      <c r="AS78" s="1181"/>
      <c r="AT78" s="1181"/>
      <c r="AU78" s="1181"/>
      <c r="AW78" s="178"/>
      <c r="AX78" s="305"/>
      <c r="AY78" s="305"/>
      <c r="AZ78" s="1159" t="s">
        <v>274</v>
      </c>
      <c r="BA78" s="1159"/>
      <c r="BB78" s="1181" t="s">
        <v>659</v>
      </c>
      <c r="BC78" s="1181"/>
      <c r="BD78" s="1181"/>
      <c r="BE78" s="1181"/>
      <c r="BF78" s="1181"/>
      <c r="BG78" s="1181"/>
      <c r="BH78" s="1181"/>
      <c r="BI78" s="1181"/>
      <c r="BJ78" s="1181"/>
      <c r="BK78" s="1181"/>
      <c r="BL78" s="1181"/>
      <c r="BM78" s="1181"/>
      <c r="BN78" s="1181"/>
      <c r="BO78" s="1181"/>
      <c r="BP78" s="1181"/>
      <c r="BQ78" s="1181"/>
      <c r="BR78" s="1181"/>
      <c r="BS78" s="1181"/>
      <c r="BT78" s="1181"/>
      <c r="BU78" s="1181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81"/>
      <c r="CG78" s="1181"/>
      <c r="CH78" s="1181"/>
      <c r="CI78" s="1181"/>
      <c r="CJ78" s="1181"/>
      <c r="CK78" s="1181"/>
      <c r="CL78" s="1181"/>
      <c r="CM78" s="1181"/>
      <c r="CN78" s="1181"/>
      <c r="CO78" s="1181"/>
      <c r="CP78" s="1181"/>
      <c r="CQ78" s="1181"/>
      <c r="CS78" s="178"/>
      <c r="CT78" s="305"/>
      <c r="CU78" s="305"/>
      <c r="CV78" s="1159" t="s">
        <v>274</v>
      </c>
      <c r="CW78" s="1159"/>
      <c r="CX78" s="1181" t="s">
        <v>659</v>
      </c>
      <c r="CY78" s="1181"/>
      <c r="CZ78" s="1181"/>
      <c r="DA78" s="1181"/>
      <c r="DB78" s="1181"/>
      <c r="DC78" s="1181"/>
      <c r="DD78" s="1181"/>
      <c r="DE78" s="1181"/>
      <c r="DF78" s="1181"/>
      <c r="DG78" s="1181"/>
      <c r="DH78" s="1181"/>
      <c r="DI78" s="1181"/>
      <c r="DJ78" s="1181"/>
      <c r="DK78" s="1181"/>
      <c r="DL78" s="1181"/>
      <c r="DM78" s="1181"/>
      <c r="DN78" s="1181"/>
      <c r="DO78" s="1181"/>
      <c r="DP78" s="1181"/>
      <c r="DQ78" s="1181"/>
      <c r="DR78" s="1181"/>
      <c r="DS78" s="1181"/>
      <c r="DT78" s="1181"/>
      <c r="DU78" s="1181"/>
      <c r="DV78" s="1181"/>
      <c r="DW78" s="1181"/>
      <c r="DX78" s="1181"/>
      <c r="DY78" s="1181"/>
      <c r="DZ78" s="1181"/>
      <c r="EA78" s="1181"/>
      <c r="EB78" s="1181"/>
      <c r="EC78" s="1181"/>
      <c r="ED78" s="1181"/>
      <c r="EE78" s="1181"/>
      <c r="EF78" s="1181"/>
      <c r="EG78" s="1181"/>
      <c r="EH78" s="1181"/>
      <c r="EI78" s="1181"/>
      <c r="EJ78" s="1181"/>
      <c r="EK78" s="1181"/>
      <c r="EL78" s="1181"/>
      <c r="EM78" s="1181"/>
    </row>
    <row r="79" spans="1:143" ht="39" customHeight="1">
      <c r="A79" s="178"/>
      <c r="B79" s="1182" t="s">
        <v>660</v>
      </c>
      <c r="C79" s="1182"/>
      <c r="D79" s="1182"/>
      <c r="E79" s="1182"/>
      <c r="F79" s="1182"/>
      <c r="G79" s="1182"/>
      <c r="H79" s="1182"/>
      <c r="I79" s="1182"/>
      <c r="J79" s="1182"/>
      <c r="K79" s="1182"/>
      <c r="L79" s="1182"/>
      <c r="M79" s="1182"/>
      <c r="N79" s="1182"/>
      <c r="O79" s="1182"/>
      <c r="P79" s="1182"/>
      <c r="Q79" s="1182"/>
      <c r="R79" s="1182"/>
      <c r="S79" s="1182"/>
      <c r="T79" s="1182"/>
      <c r="U79" s="1182"/>
      <c r="V79" s="1182"/>
      <c r="W79" s="1182"/>
      <c r="X79" s="1182"/>
      <c r="Y79" s="1182"/>
      <c r="Z79" s="1182"/>
      <c r="AA79" s="1182"/>
      <c r="AB79" s="1182"/>
      <c r="AC79" s="1182"/>
      <c r="AD79" s="1182"/>
      <c r="AE79" s="1182"/>
      <c r="AF79" s="1182"/>
      <c r="AG79" s="1182"/>
      <c r="AH79" s="1182"/>
      <c r="AI79" s="1182"/>
      <c r="AJ79" s="1182"/>
      <c r="AK79" s="1182"/>
      <c r="AL79" s="1182"/>
      <c r="AM79" s="1182"/>
      <c r="AN79" s="1182"/>
      <c r="AO79" s="1182"/>
      <c r="AP79" s="1182"/>
      <c r="AQ79" s="1182"/>
      <c r="AR79" s="1182"/>
      <c r="AS79" s="1182"/>
      <c r="AT79" s="1182"/>
      <c r="AU79" s="1182"/>
      <c r="AW79" s="178"/>
      <c r="AX79" s="1182" t="s">
        <v>660</v>
      </c>
      <c r="AY79" s="1182"/>
      <c r="AZ79" s="1182"/>
      <c r="BA79" s="1182"/>
      <c r="BB79" s="1182"/>
      <c r="BC79" s="1182"/>
      <c r="BD79" s="1182"/>
      <c r="BE79" s="1182"/>
      <c r="BF79" s="1182"/>
      <c r="BG79" s="1182"/>
      <c r="BH79" s="1182"/>
      <c r="BI79" s="1182"/>
      <c r="BJ79" s="1182"/>
      <c r="BK79" s="1182"/>
      <c r="BL79" s="1182"/>
      <c r="BM79" s="1182"/>
      <c r="BN79" s="1182"/>
      <c r="BO79" s="1182"/>
      <c r="BP79" s="1182"/>
      <c r="BQ79" s="1182"/>
      <c r="BR79" s="1182"/>
      <c r="BS79" s="1182"/>
      <c r="BT79" s="1182"/>
      <c r="BU79" s="1182"/>
      <c r="BV79" s="1182"/>
      <c r="BW79" s="1182"/>
      <c r="BX79" s="1182"/>
      <c r="BY79" s="1182"/>
      <c r="BZ79" s="1182"/>
      <c r="CA79" s="1182"/>
      <c r="CB79" s="1182"/>
      <c r="CC79" s="1182"/>
      <c r="CD79" s="1182"/>
      <c r="CE79" s="1182"/>
      <c r="CF79" s="1182"/>
      <c r="CG79" s="1182"/>
      <c r="CH79" s="1182"/>
      <c r="CI79" s="1182"/>
      <c r="CJ79" s="1182"/>
      <c r="CK79" s="1182"/>
      <c r="CL79" s="1182"/>
      <c r="CM79" s="1182"/>
      <c r="CN79" s="1182"/>
      <c r="CO79" s="1182"/>
      <c r="CP79" s="1182"/>
      <c r="CQ79" s="1182"/>
      <c r="CS79" s="178"/>
      <c r="CT79" s="1182" t="s">
        <v>660</v>
      </c>
      <c r="CU79" s="1182"/>
      <c r="CV79" s="1182"/>
      <c r="CW79" s="1182"/>
      <c r="CX79" s="1182"/>
      <c r="CY79" s="1182"/>
      <c r="CZ79" s="1182"/>
      <c r="DA79" s="1182"/>
      <c r="DB79" s="1182"/>
      <c r="DC79" s="1182"/>
      <c r="DD79" s="1182"/>
      <c r="DE79" s="1182"/>
      <c r="DF79" s="1182"/>
      <c r="DG79" s="1182"/>
      <c r="DH79" s="1182"/>
      <c r="DI79" s="1182"/>
      <c r="DJ79" s="1182"/>
      <c r="DK79" s="1182"/>
      <c r="DL79" s="1182"/>
      <c r="DM79" s="1182"/>
      <c r="DN79" s="1182"/>
      <c r="DO79" s="1182"/>
      <c r="DP79" s="1182"/>
      <c r="DQ79" s="1182"/>
      <c r="DR79" s="1182"/>
      <c r="DS79" s="1182"/>
      <c r="DT79" s="1182"/>
      <c r="DU79" s="1182"/>
      <c r="DV79" s="1182"/>
      <c r="DW79" s="1182"/>
      <c r="DX79" s="1182"/>
      <c r="DY79" s="1182"/>
      <c r="DZ79" s="1182"/>
      <c r="EA79" s="1182"/>
      <c r="EB79" s="1182"/>
      <c r="EC79" s="1182"/>
      <c r="ED79" s="1182"/>
      <c r="EE79" s="1182"/>
      <c r="EF79" s="1182"/>
      <c r="EG79" s="1182"/>
      <c r="EH79" s="1182"/>
      <c r="EI79" s="1182"/>
      <c r="EJ79" s="1182"/>
      <c r="EK79" s="1182"/>
      <c r="EL79" s="1182"/>
      <c r="EM79" s="1182"/>
    </row>
    <row r="80" spans="1:143" ht="18.75" customHeight="1">
      <c r="A80" s="178"/>
      <c r="B80" s="190"/>
      <c r="C80" s="190"/>
      <c r="D80" s="1094" t="s">
        <v>275</v>
      </c>
      <c r="E80" s="1094"/>
      <c r="F80" s="1079" t="s">
        <v>662</v>
      </c>
      <c r="G80" s="1079"/>
      <c r="H80" s="1079"/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W80" s="178"/>
      <c r="AX80" s="190"/>
      <c r="AY80" s="190"/>
      <c r="AZ80" s="1094" t="s">
        <v>275</v>
      </c>
      <c r="BA80" s="1094"/>
      <c r="BB80" s="1079" t="s">
        <v>662</v>
      </c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  <c r="BX80" s="1079"/>
      <c r="BY80" s="1079"/>
      <c r="BZ80" s="1079"/>
      <c r="CA80" s="1079"/>
      <c r="CB80" s="1079"/>
      <c r="CC80" s="1079"/>
      <c r="CD80" s="1079"/>
      <c r="CE80" s="1079"/>
      <c r="CF80" s="1079"/>
      <c r="CG80" s="1079"/>
      <c r="CH80" s="1079"/>
      <c r="CI80" s="1079"/>
      <c r="CJ80" s="1079"/>
      <c r="CK80" s="1079"/>
      <c r="CL80" s="1079"/>
      <c r="CM80" s="1079"/>
      <c r="CN80" s="1079"/>
      <c r="CO80" s="1079"/>
      <c r="CP80" s="1079"/>
      <c r="CQ80" s="1079"/>
      <c r="CS80" s="178"/>
      <c r="CT80" s="190"/>
      <c r="CU80" s="190"/>
      <c r="CV80" s="1094" t="s">
        <v>275</v>
      </c>
      <c r="CW80" s="1094"/>
      <c r="CX80" s="1079" t="s">
        <v>662</v>
      </c>
      <c r="CY80" s="1079"/>
      <c r="CZ80" s="1079"/>
      <c r="DA80" s="1079"/>
      <c r="DB80" s="1079"/>
      <c r="DC80" s="1079"/>
      <c r="DD80" s="1079"/>
      <c r="DE80" s="1079"/>
      <c r="DF80" s="1079"/>
      <c r="DG80" s="1079"/>
      <c r="DH80" s="1079"/>
      <c r="DI80" s="1079"/>
      <c r="DJ80" s="1079"/>
      <c r="DK80" s="1079"/>
      <c r="DL80" s="1079"/>
      <c r="DM80" s="1079"/>
      <c r="DN80" s="1079"/>
      <c r="DO80" s="1079"/>
      <c r="DP80" s="1079"/>
      <c r="DQ80" s="1079"/>
      <c r="DR80" s="1079"/>
      <c r="DS80" s="1079"/>
      <c r="DT80" s="1079"/>
      <c r="DU80" s="1079"/>
      <c r="DV80" s="1079"/>
      <c r="DW80" s="1079"/>
      <c r="DX80" s="1079"/>
      <c r="DY80" s="1079"/>
      <c r="DZ80" s="1079"/>
      <c r="EA80" s="1079"/>
      <c r="EB80" s="1079"/>
      <c r="EC80" s="1079"/>
      <c r="ED80" s="1079"/>
      <c r="EE80" s="1079"/>
      <c r="EF80" s="1079"/>
      <c r="EG80" s="1079"/>
      <c r="EH80" s="1079"/>
      <c r="EI80" s="1079"/>
      <c r="EJ80" s="1079"/>
      <c r="EK80" s="1079"/>
      <c r="EL80" s="1079"/>
      <c r="EM80" s="1079"/>
    </row>
    <row r="81" spans="1:143" ht="95.25" customHeight="1">
      <c r="A81" s="178"/>
      <c r="B81" s="1129" t="s">
        <v>774</v>
      </c>
      <c r="C81" s="1129"/>
      <c r="D81" s="1129"/>
      <c r="E81" s="1129"/>
      <c r="F81" s="1129"/>
      <c r="G81" s="1129"/>
      <c r="H81" s="1129"/>
      <c r="I81" s="1129"/>
      <c r="J81" s="1129"/>
      <c r="K81" s="1129"/>
      <c r="L81" s="1129"/>
      <c r="M81" s="1129"/>
      <c r="N81" s="1129"/>
      <c r="O81" s="1129"/>
      <c r="P81" s="1129"/>
      <c r="Q81" s="1129"/>
      <c r="R81" s="1129"/>
      <c r="S81" s="1129"/>
      <c r="T81" s="1129"/>
      <c r="U81" s="1129"/>
      <c r="V81" s="1129"/>
      <c r="W81" s="1129"/>
      <c r="X81" s="1129"/>
      <c r="Y81" s="1129"/>
      <c r="Z81" s="1129"/>
      <c r="AA81" s="1129"/>
      <c r="AB81" s="1129"/>
      <c r="AC81" s="1129"/>
      <c r="AD81" s="1129"/>
      <c r="AE81" s="1129"/>
      <c r="AF81" s="1129"/>
      <c r="AG81" s="1129"/>
      <c r="AH81" s="1129"/>
      <c r="AI81" s="1129"/>
      <c r="AJ81" s="1129"/>
      <c r="AK81" s="1129"/>
      <c r="AL81" s="1129"/>
      <c r="AM81" s="1129"/>
      <c r="AN81" s="1129"/>
      <c r="AO81" s="1129"/>
      <c r="AP81" s="1129"/>
      <c r="AQ81" s="1129"/>
      <c r="AR81" s="1129"/>
      <c r="AS81" s="1129"/>
      <c r="AT81" s="1129"/>
      <c r="AU81" s="1129"/>
      <c r="AV81" s="486"/>
      <c r="AW81" s="485"/>
      <c r="AX81" s="1129" t="s">
        <v>774</v>
      </c>
      <c r="AY81" s="1129"/>
      <c r="AZ81" s="1129"/>
      <c r="BA81" s="1129"/>
      <c r="BB81" s="1129"/>
      <c r="BC81" s="1129"/>
      <c r="BD81" s="1129"/>
      <c r="BE81" s="1129"/>
      <c r="BF81" s="1129"/>
      <c r="BG81" s="1129"/>
      <c r="BH81" s="1129"/>
      <c r="BI81" s="1129"/>
      <c r="BJ81" s="1129"/>
      <c r="BK81" s="1129"/>
      <c r="BL81" s="1129"/>
      <c r="BM81" s="1129"/>
      <c r="BN81" s="1129"/>
      <c r="BO81" s="1129"/>
      <c r="BP81" s="1129"/>
      <c r="BQ81" s="1129"/>
      <c r="BR81" s="1129"/>
      <c r="BS81" s="1129"/>
      <c r="BT81" s="1129"/>
      <c r="BU81" s="1129"/>
      <c r="BV81" s="1129"/>
      <c r="BW81" s="1129"/>
      <c r="BX81" s="1129"/>
      <c r="BY81" s="1129"/>
      <c r="BZ81" s="1129"/>
      <c r="CA81" s="1129"/>
      <c r="CB81" s="1129"/>
      <c r="CC81" s="1129"/>
      <c r="CD81" s="1129"/>
      <c r="CE81" s="1129"/>
      <c r="CF81" s="1129"/>
      <c r="CG81" s="1129"/>
      <c r="CH81" s="1129"/>
      <c r="CI81" s="1129"/>
      <c r="CJ81" s="1129"/>
      <c r="CK81" s="1129"/>
      <c r="CL81" s="1129"/>
      <c r="CM81" s="1129"/>
      <c r="CN81" s="1129"/>
      <c r="CO81" s="1129"/>
      <c r="CP81" s="1129"/>
      <c r="CQ81" s="1129"/>
      <c r="CR81" s="486"/>
      <c r="CS81" s="485"/>
      <c r="CT81" s="1129" t="s">
        <v>774</v>
      </c>
      <c r="CU81" s="1129"/>
      <c r="CV81" s="1129"/>
      <c r="CW81" s="1129"/>
      <c r="CX81" s="1129"/>
      <c r="CY81" s="1129"/>
      <c r="CZ81" s="1129"/>
      <c r="DA81" s="1129"/>
      <c r="DB81" s="1129"/>
      <c r="DC81" s="1129"/>
      <c r="DD81" s="1129"/>
      <c r="DE81" s="1129"/>
      <c r="DF81" s="1129"/>
      <c r="DG81" s="1129"/>
      <c r="DH81" s="1129"/>
      <c r="DI81" s="1129"/>
      <c r="DJ81" s="1129"/>
      <c r="DK81" s="1129"/>
      <c r="DL81" s="1129"/>
      <c r="DM81" s="1129"/>
      <c r="DN81" s="1129"/>
      <c r="DO81" s="1129"/>
      <c r="DP81" s="1129"/>
      <c r="DQ81" s="1129"/>
      <c r="DR81" s="1129"/>
      <c r="DS81" s="1129"/>
      <c r="DT81" s="1129"/>
      <c r="DU81" s="1129"/>
      <c r="DV81" s="1129"/>
      <c r="DW81" s="1129"/>
      <c r="DX81" s="1129"/>
      <c r="DY81" s="1129"/>
      <c r="DZ81" s="1129"/>
      <c r="EA81" s="1129"/>
      <c r="EB81" s="1129"/>
      <c r="EC81" s="1129"/>
      <c r="ED81" s="1129"/>
      <c r="EE81" s="1129"/>
      <c r="EF81" s="1129"/>
      <c r="EG81" s="1129"/>
      <c r="EH81" s="1129"/>
      <c r="EI81" s="1129"/>
      <c r="EJ81" s="1129"/>
      <c r="EK81" s="1129"/>
      <c r="EL81" s="1129"/>
      <c r="EM81" s="1129"/>
    </row>
    <row r="82" spans="1:143" ht="16.5">
      <c r="A82" s="178"/>
      <c r="B82" s="1134" t="s">
        <v>775</v>
      </c>
      <c r="C82" s="1134"/>
      <c r="D82" s="1134"/>
      <c r="E82" s="1134"/>
      <c r="F82" s="1134"/>
      <c r="G82" s="1134"/>
      <c r="H82" s="1134"/>
      <c r="I82" s="1134"/>
      <c r="J82" s="1134"/>
      <c r="K82" s="1134"/>
      <c r="L82" s="1134"/>
      <c r="M82" s="1134"/>
      <c r="N82" s="1134"/>
      <c r="O82" s="1134"/>
      <c r="P82" s="1134"/>
      <c r="Q82" s="1134"/>
      <c r="R82" s="1134"/>
      <c r="S82" s="1134"/>
      <c r="T82" s="1134"/>
      <c r="U82" s="1134"/>
      <c r="V82" s="1134"/>
      <c r="W82" s="1134"/>
      <c r="X82" s="1134"/>
      <c r="Y82" s="1134"/>
      <c r="Z82" s="1134"/>
      <c r="AA82" s="1134"/>
      <c r="AB82" s="1134"/>
      <c r="AC82" s="1134"/>
      <c r="AD82" s="1134"/>
      <c r="AE82" s="1134"/>
      <c r="AF82" s="1134"/>
      <c r="AG82" s="1134"/>
      <c r="AH82" s="1134"/>
      <c r="AI82" s="1134"/>
      <c r="AJ82" s="1134"/>
      <c r="AK82" s="1134"/>
      <c r="AL82" s="1134"/>
      <c r="AM82" s="1134"/>
      <c r="AN82" s="1134"/>
      <c r="AO82" s="1134"/>
      <c r="AP82" s="1134"/>
      <c r="AQ82" s="1134"/>
      <c r="AR82" s="1134"/>
      <c r="AS82" s="1134"/>
      <c r="AT82" s="1134"/>
      <c r="AU82" s="1134"/>
      <c r="AW82" s="178"/>
      <c r="AX82" s="1134" t="s">
        <v>775</v>
      </c>
      <c r="AY82" s="1134"/>
      <c r="AZ82" s="1134"/>
      <c r="BA82" s="1134"/>
      <c r="BB82" s="1134"/>
      <c r="BC82" s="1134"/>
      <c r="BD82" s="1134"/>
      <c r="BE82" s="1134"/>
      <c r="BF82" s="1134"/>
      <c r="BG82" s="1134"/>
      <c r="BH82" s="1134"/>
      <c r="BI82" s="1134"/>
      <c r="BJ82" s="1134"/>
      <c r="BK82" s="1134"/>
      <c r="BL82" s="1134"/>
      <c r="BM82" s="1134"/>
      <c r="BN82" s="1134"/>
      <c r="BO82" s="1134"/>
      <c r="BP82" s="1134"/>
      <c r="BQ82" s="1134"/>
      <c r="BR82" s="1134"/>
      <c r="BS82" s="1134"/>
      <c r="BT82" s="1134"/>
      <c r="BU82" s="1134"/>
      <c r="BV82" s="1134"/>
      <c r="BW82" s="1134"/>
      <c r="BX82" s="1134"/>
      <c r="BY82" s="1134"/>
      <c r="BZ82" s="1134"/>
      <c r="CA82" s="1134"/>
      <c r="CB82" s="1134"/>
      <c r="CC82" s="1134"/>
      <c r="CD82" s="1134"/>
      <c r="CE82" s="1134"/>
      <c r="CF82" s="1134"/>
      <c r="CG82" s="1134"/>
      <c r="CH82" s="1134"/>
      <c r="CI82" s="1134"/>
      <c r="CJ82" s="1134"/>
      <c r="CK82" s="1134"/>
      <c r="CL82" s="1134"/>
      <c r="CM82" s="1134"/>
      <c r="CN82" s="1134"/>
      <c r="CO82" s="1134"/>
      <c r="CP82" s="1134"/>
      <c r="CQ82" s="1134"/>
      <c r="CS82" s="178"/>
      <c r="CT82" s="1134" t="s">
        <v>775</v>
      </c>
      <c r="CU82" s="1134"/>
      <c r="CV82" s="1134"/>
      <c r="CW82" s="1134"/>
      <c r="CX82" s="1134"/>
      <c r="CY82" s="1134"/>
      <c r="CZ82" s="1134"/>
      <c r="DA82" s="1134"/>
      <c r="DB82" s="1134"/>
      <c r="DC82" s="1134"/>
      <c r="DD82" s="1134"/>
      <c r="DE82" s="1134"/>
      <c r="DF82" s="1134"/>
      <c r="DG82" s="1134"/>
      <c r="DH82" s="1134"/>
      <c r="DI82" s="1134"/>
      <c r="DJ82" s="1134"/>
      <c r="DK82" s="1134"/>
      <c r="DL82" s="1134"/>
      <c r="DM82" s="1134"/>
      <c r="DN82" s="1134"/>
      <c r="DO82" s="1134"/>
      <c r="DP82" s="1134"/>
      <c r="DQ82" s="1134"/>
      <c r="DR82" s="1134"/>
      <c r="DS82" s="1134"/>
      <c r="DT82" s="1134"/>
      <c r="DU82" s="1134"/>
      <c r="DV82" s="1134"/>
      <c r="DW82" s="1134"/>
      <c r="DX82" s="1134"/>
      <c r="DY82" s="1134"/>
      <c r="DZ82" s="1134"/>
      <c r="EA82" s="1134"/>
      <c r="EB82" s="1134"/>
      <c r="EC82" s="1134"/>
      <c r="ED82" s="1134"/>
      <c r="EE82" s="1134"/>
      <c r="EF82" s="1134"/>
      <c r="EG82" s="1134"/>
      <c r="EH82" s="1134"/>
      <c r="EI82" s="1134"/>
      <c r="EJ82" s="1134"/>
      <c r="EK82" s="1134"/>
      <c r="EL82" s="1134"/>
      <c r="EM82" s="1134"/>
    </row>
    <row r="83" spans="1:143" ht="18.75" customHeight="1">
      <c r="A83" s="178"/>
      <c r="B83" s="190"/>
      <c r="C83" s="190"/>
      <c r="D83" s="1094" t="s">
        <v>654</v>
      </c>
      <c r="E83" s="1094"/>
      <c r="F83" s="1079" t="s">
        <v>649</v>
      </c>
      <c r="G83" s="1079"/>
      <c r="H83" s="1079"/>
      <c r="I83" s="1079"/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W83" s="178"/>
      <c r="AX83" s="190"/>
      <c r="AY83" s="190"/>
      <c r="AZ83" s="1094" t="s">
        <v>654</v>
      </c>
      <c r="BA83" s="1094"/>
      <c r="BB83" s="1079" t="s">
        <v>649</v>
      </c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094" t="s">
        <v>654</v>
      </c>
      <c r="CW83" s="1094"/>
      <c r="CX83" s="1079" t="s">
        <v>649</v>
      </c>
      <c r="CY83" s="1079"/>
      <c r="CZ83" s="1079"/>
      <c r="DA83" s="1079"/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37.5" customHeight="1">
      <c r="A84" s="178"/>
      <c r="B84" s="1098" t="s">
        <v>650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W84" s="178"/>
      <c r="AX84" s="1098" t="s">
        <v>650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650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>
      <c r="A85" s="178"/>
      <c r="B85" s="190"/>
      <c r="C85" s="190"/>
      <c r="D85" s="1094" t="s">
        <v>658</v>
      </c>
      <c r="E85" s="1094"/>
      <c r="F85" s="1079" t="s">
        <v>651</v>
      </c>
      <c r="G85" s="1079"/>
      <c r="H85" s="1079"/>
      <c r="I85" s="1079"/>
      <c r="J85" s="1079"/>
      <c r="K85" s="1079"/>
      <c r="L85" s="1079"/>
      <c r="M85" s="1079"/>
      <c r="N85" s="1079"/>
      <c r="O85" s="1079"/>
      <c r="P85" s="1079"/>
      <c r="Q85" s="1079"/>
      <c r="R85" s="1079"/>
      <c r="S85" s="1079"/>
      <c r="T85" s="1079"/>
      <c r="U85" s="1079"/>
      <c r="V85" s="1079"/>
      <c r="W85" s="1079"/>
      <c r="X85" s="1079"/>
      <c r="Y85" s="1079"/>
      <c r="Z85" s="1079"/>
      <c r="AA85" s="1079"/>
      <c r="AB85" s="1079"/>
      <c r="AC85" s="1079"/>
      <c r="AD85" s="1079"/>
      <c r="AE85" s="1079"/>
      <c r="AF85" s="1079"/>
      <c r="AG85" s="1079"/>
      <c r="AH85" s="1079"/>
      <c r="AI85" s="1079"/>
      <c r="AJ85" s="1079"/>
      <c r="AK85" s="1079"/>
      <c r="AL85" s="1079"/>
      <c r="AM85" s="1079"/>
      <c r="AN85" s="1079"/>
      <c r="AO85" s="1079"/>
      <c r="AP85" s="1079"/>
      <c r="AQ85" s="1079"/>
      <c r="AR85" s="1079"/>
      <c r="AS85" s="1079"/>
      <c r="AT85" s="1079"/>
      <c r="AU85" s="1079"/>
      <c r="AW85" s="178"/>
      <c r="AX85" s="190"/>
      <c r="AY85" s="190"/>
      <c r="AZ85" s="1094" t="s">
        <v>658</v>
      </c>
      <c r="BA85" s="1094"/>
      <c r="BB85" s="1079" t="s">
        <v>651</v>
      </c>
      <c r="BC85" s="1079"/>
      <c r="BD85" s="1079"/>
      <c r="BE85" s="1079"/>
      <c r="BF85" s="1079"/>
      <c r="BG85" s="1079"/>
      <c r="BH85" s="1079"/>
      <c r="BI85" s="1079"/>
      <c r="BJ85" s="1079"/>
      <c r="BK85" s="1079"/>
      <c r="BL85" s="1079"/>
      <c r="BM85" s="1079"/>
      <c r="BN85" s="1079"/>
      <c r="BO85" s="1079"/>
      <c r="BP85" s="1079"/>
      <c r="BQ85" s="1079"/>
      <c r="BR85" s="1079"/>
      <c r="BS85" s="1079"/>
      <c r="BT85" s="1079"/>
      <c r="BU85" s="1079"/>
      <c r="BV85" s="1079"/>
      <c r="BW85" s="1079"/>
      <c r="BX85" s="1079"/>
      <c r="BY85" s="1079"/>
      <c r="BZ85" s="1079"/>
      <c r="CA85" s="1079"/>
      <c r="CB85" s="1079"/>
      <c r="CC85" s="1079"/>
      <c r="CD85" s="1079"/>
      <c r="CE85" s="1079"/>
      <c r="CF85" s="1079"/>
      <c r="CG85" s="1079"/>
      <c r="CH85" s="1079"/>
      <c r="CI85" s="1079"/>
      <c r="CJ85" s="1079"/>
      <c r="CK85" s="1079"/>
      <c r="CL85" s="1079"/>
      <c r="CM85" s="1079"/>
      <c r="CN85" s="1079"/>
      <c r="CO85" s="1079"/>
      <c r="CP85" s="1079"/>
      <c r="CQ85" s="1079"/>
      <c r="CS85" s="178"/>
      <c r="CT85" s="190"/>
      <c r="CU85" s="190"/>
      <c r="CV85" s="1094" t="s">
        <v>658</v>
      </c>
      <c r="CW85" s="1094"/>
      <c r="CX85" s="1079" t="s">
        <v>651</v>
      </c>
      <c r="CY85" s="1079"/>
      <c r="CZ85" s="1079"/>
      <c r="DA85" s="1079"/>
      <c r="DB85" s="1079"/>
      <c r="DC85" s="1079"/>
      <c r="DD85" s="1079"/>
      <c r="DE85" s="1079"/>
      <c r="DF85" s="1079"/>
      <c r="DG85" s="1079"/>
      <c r="DH85" s="1079"/>
      <c r="DI85" s="1079"/>
      <c r="DJ85" s="1079"/>
      <c r="DK85" s="1079"/>
      <c r="DL85" s="1079"/>
      <c r="DM85" s="1079"/>
      <c r="DN85" s="1079"/>
      <c r="DO85" s="1079"/>
      <c r="DP85" s="1079"/>
      <c r="DQ85" s="1079"/>
      <c r="DR85" s="1079"/>
      <c r="DS85" s="1079"/>
      <c r="DT85" s="1079"/>
      <c r="DU85" s="1079"/>
      <c r="DV85" s="1079"/>
      <c r="DW85" s="1079"/>
      <c r="DX85" s="1079"/>
      <c r="DY85" s="1079"/>
      <c r="DZ85" s="1079"/>
      <c r="EA85" s="1079"/>
      <c r="EB85" s="1079"/>
      <c r="EC85" s="1079"/>
      <c r="ED85" s="1079"/>
      <c r="EE85" s="1079"/>
      <c r="EF85" s="1079"/>
      <c r="EG85" s="1079"/>
      <c r="EH85" s="1079"/>
      <c r="EI85" s="1079"/>
      <c r="EJ85" s="1079"/>
      <c r="EK85" s="1079"/>
      <c r="EL85" s="1079"/>
      <c r="EM85" s="1079"/>
    </row>
    <row r="86" spans="1:143" ht="38.25" customHeight="1">
      <c r="A86" s="178"/>
      <c r="B86" s="1098" t="s">
        <v>652</v>
      </c>
      <c r="C86" s="1098"/>
      <c r="D86" s="1098"/>
      <c r="E86" s="1098"/>
      <c r="F86" s="1098"/>
      <c r="G86" s="1098"/>
      <c r="H86" s="1098"/>
      <c r="I86" s="1098"/>
      <c r="J86" s="1098"/>
      <c r="K86" s="1098"/>
      <c r="L86" s="1098"/>
      <c r="M86" s="1098"/>
      <c r="N86" s="1098"/>
      <c r="O86" s="1098"/>
      <c r="P86" s="1098"/>
      <c r="Q86" s="1098"/>
      <c r="R86" s="1098"/>
      <c r="S86" s="1098"/>
      <c r="T86" s="1098"/>
      <c r="U86" s="1098"/>
      <c r="V86" s="1098"/>
      <c r="W86" s="1098"/>
      <c r="X86" s="1098"/>
      <c r="Y86" s="1098"/>
      <c r="Z86" s="1098"/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W86" s="178"/>
      <c r="AX86" s="1098" t="s">
        <v>652</v>
      </c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  <c r="BX86" s="1098"/>
      <c r="BY86" s="1098"/>
      <c r="BZ86" s="1098"/>
      <c r="CA86" s="1098"/>
      <c r="CB86" s="1098"/>
      <c r="CC86" s="1098"/>
      <c r="CD86" s="1098"/>
      <c r="CE86" s="1098"/>
      <c r="CF86" s="1098"/>
      <c r="CG86" s="1098"/>
      <c r="CH86" s="1098"/>
      <c r="CI86" s="1098"/>
      <c r="CJ86" s="1098"/>
      <c r="CK86" s="1098"/>
      <c r="CL86" s="1098"/>
      <c r="CM86" s="1098"/>
      <c r="CN86" s="1098"/>
      <c r="CO86" s="1098"/>
      <c r="CP86" s="1098"/>
      <c r="CQ86" s="1098"/>
      <c r="CS86" s="178"/>
      <c r="CT86" s="1098" t="s">
        <v>652</v>
      </c>
      <c r="CU86" s="1098"/>
      <c r="CV86" s="1098"/>
      <c r="CW86" s="1098"/>
      <c r="CX86" s="1098"/>
      <c r="CY86" s="1098"/>
      <c r="CZ86" s="1098"/>
      <c r="DA86" s="1098"/>
      <c r="DB86" s="1098"/>
      <c r="DC86" s="1098"/>
      <c r="DD86" s="1098"/>
      <c r="DE86" s="1098"/>
      <c r="DF86" s="1098"/>
      <c r="DG86" s="1098"/>
      <c r="DH86" s="1098"/>
      <c r="DI86" s="1098"/>
      <c r="DJ86" s="1098"/>
      <c r="DK86" s="1098"/>
      <c r="DL86" s="1098"/>
      <c r="DM86" s="1098"/>
      <c r="DN86" s="1098"/>
      <c r="DO86" s="1098"/>
      <c r="DP86" s="1098"/>
      <c r="DQ86" s="1098"/>
      <c r="DR86" s="1098"/>
      <c r="DS86" s="1098"/>
      <c r="DT86" s="1098"/>
      <c r="DU86" s="1098"/>
      <c r="DV86" s="1098"/>
      <c r="DW86" s="1098"/>
      <c r="DX86" s="1098"/>
      <c r="DY86" s="1098"/>
      <c r="DZ86" s="1098"/>
      <c r="EA86" s="1098"/>
      <c r="EB86" s="1098"/>
      <c r="EC86" s="1098"/>
      <c r="ED86" s="1098"/>
      <c r="EE86" s="1098"/>
      <c r="EF86" s="1098"/>
      <c r="EG86" s="1098"/>
      <c r="EH86" s="1098"/>
      <c r="EI86" s="1098"/>
      <c r="EJ86" s="1098"/>
      <c r="EK86" s="1098"/>
      <c r="EL86" s="1098"/>
      <c r="EM86" s="1098"/>
    </row>
    <row r="87" spans="1:143" ht="16.5">
      <c r="A87" s="178"/>
      <c r="B87" s="1134" t="s">
        <v>664</v>
      </c>
      <c r="C87" s="1134"/>
      <c r="D87" s="1134"/>
      <c r="E87" s="1134"/>
      <c r="F87" s="1134"/>
      <c r="G87" s="1134"/>
      <c r="H87" s="1134"/>
      <c r="I87" s="1134"/>
      <c r="J87" s="1134"/>
      <c r="K87" s="1134"/>
      <c r="L87" s="1134"/>
      <c r="M87" s="1134"/>
      <c r="N87" s="1134"/>
      <c r="O87" s="1134"/>
      <c r="P87" s="1134"/>
      <c r="Q87" s="1134"/>
      <c r="R87" s="1134"/>
      <c r="S87" s="1134"/>
      <c r="T87" s="1134"/>
      <c r="U87" s="1134"/>
      <c r="V87" s="1134"/>
      <c r="W87" s="1134"/>
      <c r="X87" s="1134"/>
      <c r="Y87" s="1134"/>
      <c r="Z87" s="1134"/>
      <c r="AA87" s="1134"/>
      <c r="AB87" s="1134"/>
      <c r="AC87" s="1134"/>
      <c r="AD87" s="1134"/>
      <c r="AE87" s="1134"/>
      <c r="AF87" s="1134"/>
      <c r="AG87" s="1134"/>
      <c r="AH87" s="1134"/>
      <c r="AI87" s="1134"/>
      <c r="AJ87" s="1134"/>
      <c r="AK87" s="1134"/>
      <c r="AL87" s="1134"/>
      <c r="AM87" s="1134"/>
      <c r="AN87" s="1134"/>
      <c r="AO87" s="1134"/>
      <c r="AP87" s="1134"/>
      <c r="AQ87" s="1134"/>
      <c r="AR87" s="1134"/>
      <c r="AS87" s="1134"/>
      <c r="AT87" s="1134"/>
      <c r="AU87" s="1134"/>
      <c r="AW87" s="178"/>
      <c r="AX87" s="1134" t="s">
        <v>664</v>
      </c>
      <c r="AY87" s="1134"/>
      <c r="AZ87" s="1134"/>
      <c r="BA87" s="1134"/>
      <c r="BB87" s="1134"/>
      <c r="BC87" s="1134"/>
      <c r="BD87" s="1134"/>
      <c r="BE87" s="1134"/>
      <c r="BF87" s="1134"/>
      <c r="BG87" s="1134"/>
      <c r="BH87" s="1134"/>
      <c r="BI87" s="1134"/>
      <c r="BJ87" s="1134"/>
      <c r="BK87" s="1134"/>
      <c r="BL87" s="1134"/>
      <c r="BM87" s="1134"/>
      <c r="BN87" s="1134"/>
      <c r="BO87" s="1134"/>
      <c r="BP87" s="1134"/>
      <c r="BQ87" s="1134"/>
      <c r="BR87" s="1134"/>
      <c r="BS87" s="1134"/>
      <c r="BT87" s="1134"/>
      <c r="BU87" s="1134"/>
      <c r="BV87" s="1134"/>
      <c r="BW87" s="1134"/>
      <c r="BX87" s="1134"/>
      <c r="BY87" s="1134"/>
      <c r="BZ87" s="1134"/>
      <c r="CA87" s="1134"/>
      <c r="CB87" s="1134"/>
      <c r="CC87" s="1134"/>
      <c r="CD87" s="1134"/>
      <c r="CE87" s="1134"/>
      <c r="CF87" s="1134"/>
      <c r="CG87" s="1134"/>
      <c r="CH87" s="1134"/>
      <c r="CI87" s="1134"/>
      <c r="CJ87" s="1134"/>
      <c r="CK87" s="1134"/>
      <c r="CL87" s="1134"/>
      <c r="CM87" s="1134"/>
      <c r="CN87" s="1134"/>
      <c r="CO87" s="1134"/>
      <c r="CP87" s="1134"/>
      <c r="CQ87" s="1134"/>
      <c r="CS87" s="178"/>
      <c r="CT87" s="1134" t="s">
        <v>664</v>
      </c>
      <c r="CU87" s="1134"/>
      <c r="CV87" s="1134"/>
      <c r="CW87" s="1134"/>
      <c r="CX87" s="1134"/>
      <c r="CY87" s="1134"/>
      <c r="CZ87" s="1134"/>
      <c r="DA87" s="1134"/>
      <c r="DB87" s="1134"/>
      <c r="DC87" s="1134"/>
      <c r="DD87" s="1134"/>
      <c r="DE87" s="1134"/>
      <c r="DF87" s="1134"/>
      <c r="DG87" s="1134"/>
      <c r="DH87" s="1134"/>
      <c r="DI87" s="1134"/>
      <c r="DJ87" s="1134"/>
      <c r="DK87" s="1134"/>
      <c r="DL87" s="1134"/>
      <c r="DM87" s="1134"/>
      <c r="DN87" s="1134"/>
      <c r="DO87" s="1134"/>
      <c r="DP87" s="1134"/>
      <c r="DQ87" s="1134"/>
      <c r="DR87" s="1134"/>
      <c r="DS87" s="1134"/>
      <c r="DT87" s="1134"/>
      <c r="DU87" s="1134"/>
      <c r="DV87" s="1134"/>
      <c r="DW87" s="1134"/>
      <c r="DX87" s="1134"/>
      <c r="DY87" s="1134"/>
      <c r="DZ87" s="1134"/>
      <c r="EA87" s="1134"/>
      <c r="EB87" s="1134"/>
      <c r="EC87" s="1134"/>
      <c r="ED87" s="1134"/>
      <c r="EE87" s="1134"/>
      <c r="EF87" s="1134"/>
      <c r="EG87" s="1134"/>
      <c r="EH87" s="1134"/>
      <c r="EI87" s="1134"/>
      <c r="EJ87" s="1134"/>
      <c r="EK87" s="1134"/>
      <c r="EL87" s="1134"/>
      <c r="EM87" s="1134"/>
    </row>
    <row r="88" spans="1:143" ht="18.75" customHeight="1">
      <c r="A88" s="178"/>
      <c r="B88" s="190"/>
      <c r="C88" s="190"/>
      <c r="D88" s="1138" t="s">
        <v>665</v>
      </c>
      <c r="E88" s="1138"/>
      <c r="F88" s="1079" t="s">
        <v>669</v>
      </c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1079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W88" s="178"/>
      <c r="AX88" s="190"/>
      <c r="AY88" s="190"/>
      <c r="AZ88" s="1138" t="s">
        <v>665</v>
      </c>
      <c r="BA88" s="1138"/>
      <c r="BB88" s="1079" t="s">
        <v>669</v>
      </c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  <c r="BX88" s="1079"/>
      <c r="BY88" s="1079"/>
      <c r="BZ88" s="1079"/>
      <c r="CA88" s="1079"/>
      <c r="CB88" s="1079"/>
      <c r="CC88" s="1079"/>
      <c r="CD88" s="1079"/>
      <c r="CE88" s="1079"/>
      <c r="CF88" s="1079"/>
      <c r="CG88" s="1079"/>
      <c r="CH88" s="1079"/>
      <c r="CI88" s="1079"/>
      <c r="CJ88" s="1079"/>
      <c r="CK88" s="1079"/>
      <c r="CL88" s="1079"/>
      <c r="CM88" s="1079"/>
      <c r="CN88" s="1079"/>
      <c r="CO88" s="1079"/>
      <c r="CP88" s="1079"/>
      <c r="CQ88" s="1079"/>
      <c r="CS88" s="178"/>
      <c r="CT88" s="190"/>
      <c r="CU88" s="190"/>
      <c r="CV88" s="1138" t="s">
        <v>665</v>
      </c>
      <c r="CW88" s="1138"/>
      <c r="CX88" s="1079" t="s">
        <v>669</v>
      </c>
      <c r="CY88" s="1079"/>
      <c r="CZ88" s="1079"/>
      <c r="DA88" s="1079"/>
      <c r="DB88" s="1079"/>
      <c r="DC88" s="1079"/>
      <c r="DD88" s="1079"/>
      <c r="DE88" s="1079"/>
      <c r="DF88" s="1079"/>
      <c r="DG88" s="1079"/>
      <c r="DH88" s="1079"/>
      <c r="DI88" s="1079"/>
      <c r="DJ88" s="1079"/>
      <c r="DK88" s="1079"/>
      <c r="DL88" s="1079"/>
      <c r="DM88" s="1079"/>
      <c r="DN88" s="1079"/>
      <c r="DO88" s="1079"/>
      <c r="DP88" s="1079"/>
      <c r="DQ88" s="1079"/>
      <c r="DR88" s="1079"/>
      <c r="DS88" s="1079"/>
      <c r="DT88" s="1079"/>
      <c r="DU88" s="1079"/>
      <c r="DV88" s="1079"/>
      <c r="DW88" s="1079"/>
      <c r="DX88" s="1079"/>
      <c r="DY88" s="1079"/>
      <c r="DZ88" s="1079"/>
      <c r="EA88" s="1079"/>
      <c r="EB88" s="1079"/>
      <c r="EC88" s="1079"/>
      <c r="ED88" s="1079"/>
      <c r="EE88" s="1079"/>
      <c r="EF88" s="1079"/>
      <c r="EG88" s="1079"/>
      <c r="EH88" s="1079"/>
      <c r="EI88" s="1079"/>
      <c r="EJ88" s="1079"/>
      <c r="EK88" s="1079"/>
      <c r="EL88" s="1079"/>
      <c r="EM88" s="1079"/>
    </row>
    <row r="89" spans="1:143" ht="39.75" customHeight="1">
      <c r="A89" s="178"/>
      <c r="B89" s="1098" t="s">
        <v>670</v>
      </c>
      <c r="C89" s="1098"/>
      <c r="D89" s="1098"/>
      <c r="E89" s="1098"/>
      <c r="F89" s="1098"/>
      <c r="G89" s="1098"/>
      <c r="H89" s="1098"/>
      <c r="I89" s="1098"/>
      <c r="J89" s="1098"/>
      <c r="K89" s="1098"/>
      <c r="L89" s="1098"/>
      <c r="M89" s="1098"/>
      <c r="N89" s="1098"/>
      <c r="O89" s="1098"/>
      <c r="P89" s="1098"/>
      <c r="Q89" s="1098"/>
      <c r="R89" s="1098"/>
      <c r="S89" s="1098"/>
      <c r="T89" s="1098"/>
      <c r="U89" s="1098"/>
      <c r="V89" s="1098"/>
      <c r="W89" s="1098"/>
      <c r="X89" s="1098"/>
      <c r="Y89" s="1098"/>
      <c r="Z89" s="1098"/>
      <c r="AA89" s="1098"/>
      <c r="AB89" s="1098"/>
      <c r="AC89" s="1098"/>
      <c r="AD89" s="1098"/>
      <c r="AE89" s="1098"/>
      <c r="AF89" s="1098"/>
      <c r="AG89" s="1098"/>
      <c r="AH89" s="1098"/>
      <c r="AI89" s="1098"/>
      <c r="AJ89" s="1098"/>
      <c r="AK89" s="1098"/>
      <c r="AL89" s="1098"/>
      <c r="AM89" s="1098"/>
      <c r="AN89" s="1098"/>
      <c r="AO89" s="1098"/>
      <c r="AP89" s="1098"/>
      <c r="AQ89" s="1098"/>
      <c r="AR89" s="1098"/>
      <c r="AS89" s="1098"/>
      <c r="AT89" s="1098"/>
      <c r="AU89" s="1098"/>
      <c r="AW89" s="178"/>
      <c r="AX89" s="1098" t="s">
        <v>670</v>
      </c>
      <c r="AY89" s="1098"/>
      <c r="AZ89" s="1098"/>
      <c r="BA89" s="1098"/>
      <c r="BB89" s="1098"/>
      <c r="BC89" s="1098"/>
      <c r="BD89" s="1098"/>
      <c r="BE89" s="1098"/>
      <c r="BF89" s="1098"/>
      <c r="BG89" s="1098"/>
      <c r="BH89" s="1098"/>
      <c r="BI89" s="1098"/>
      <c r="BJ89" s="1098"/>
      <c r="BK89" s="1098"/>
      <c r="BL89" s="1098"/>
      <c r="BM89" s="1098"/>
      <c r="BN89" s="1098"/>
      <c r="BO89" s="1098"/>
      <c r="BP89" s="1098"/>
      <c r="BQ89" s="1098"/>
      <c r="BR89" s="1098"/>
      <c r="BS89" s="1098"/>
      <c r="BT89" s="1098"/>
      <c r="BU89" s="1098"/>
      <c r="BV89" s="1098"/>
      <c r="BW89" s="1098"/>
      <c r="BX89" s="1098"/>
      <c r="BY89" s="1098"/>
      <c r="BZ89" s="1098"/>
      <c r="CA89" s="1098"/>
      <c r="CB89" s="1098"/>
      <c r="CC89" s="1098"/>
      <c r="CD89" s="1098"/>
      <c r="CE89" s="1098"/>
      <c r="CF89" s="1098"/>
      <c r="CG89" s="1098"/>
      <c r="CH89" s="1098"/>
      <c r="CI89" s="1098"/>
      <c r="CJ89" s="1098"/>
      <c r="CK89" s="1098"/>
      <c r="CL89" s="1098"/>
      <c r="CM89" s="1098"/>
      <c r="CN89" s="1098"/>
      <c r="CO89" s="1098"/>
      <c r="CP89" s="1098"/>
      <c r="CQ89" s="1098"/>
      <c r="CS89" s="178"/>
      <c r="CT89" s="1098" t="s">
        <v>670</v>
      </c>
      <c r="CU89" s="1098"/>
      <c r="CV89" s="1098"/>
      <c r="CW89" s="1098"/>
      <c r="CX89" s="1098"/>
      <c r="CY89" s="1098"/>
      <c r="CZ89" s="1098"/>
      <c r="DA89" s="1098"/>
      <c r="DB89" s="1098"/>
      <c r="DC89" s="1098"/>
      <c r="DD89" s="1098"/>
      <c r="DE89" s="1098"/>
      <c r="DF89" s="1098"/>
      <c r="DG89" s="1098"/>
      <c r="DH89" s="1098"/>
      <c r="DI89" s="1098"/>
      <c r="DJ89" s="1098"/>
      <c r="DK89" s="1098"/>
      <c r="DL89" s="1098"/>
      <c r="DM89" s="1098"/>
      <c r="DN89" s="1098"/>
      <c r="DO89" s="1098"/>
      <c r="DP89" s="1098"/>
      <c r="DQ89" s="1098"/>
      <c r="DR89" s="1098"/>
      <c r="DS89" s="1098"/>
      <c r="DT89" s="1098"/>
      <c r="DU89" s="1098"/>
      <c r="DV89" s="1098"/>
      <c r="DW89" s="1098"/>
      <c r="DX89" s="1098"/>
      <c r="DY89" s="1098"/>
      <c r="DZ89" s="1098"/>
      <c r="EA89" s="1098"/>
      <c r="EB89" s="1098"/>
      <c r="EC89" s="1098"/>
      <c r="ED89" s="1098"/>
      <c r="EE89" s="1098"/>
      <c r="EF89" s="1098"/>
      <c r="EG89" s="1098"/>
      <c r="EH89" s="1098"/>
      <c r="EI89" s="1098"/>
      <c r="EJ89" s="1098"/>
      <c r="EK89" s="1098"/>
      <c r="EL89" s="1098"/>
      <c r="EM89" s="1098"/>
    </row>
    <row r="90" spans="1:143" ht="18.75" customHeight="1">
      <c r="A90" s="178"/>
      <c r="B90" s="190"/>
      <c r="C90" s="190"/>
      <c r="D90" s="1094" t="s">
        <v>668</v>
      </c>
      <c r="E90" s="1094"/>
      <c r="F90" s="1079" t="s">
        <v>776</v>
      </c>
      <c r="G90" s="1079"/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W90" s="178"/>
      <c r="AX90" s="190"/>
      <c r="AY90" s="190"/>
      <c r="AZ90" s="1094" t="s">
        <v>668</v>
      </c>
      <c r="BA90" s="1094"/>
      <c r="BB90" s="1079" t="s">
        <v>776</v>
      </c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094" t="s">
        <v>668</v>
      </c>
      <c r="CW90" s="1094"/>
      <c r="CX90" s="1079" t="s">
        <v>776</v>
      </c>
      <c r="CY90" s="1079"/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9.5" customHeight="1">
      <c r="A91" s="178"/>
      <c r="B91" s="1098" t="s">
        <v>777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W91" s="178"/>
      <c r="AX91" s="1098" t="s">
        <v>777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777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>
      <c r="A92" s="178"/>
      <c r="B92" s="190"/>
      <c r="C92" s="190"/>
      <c r="D92" s="1094" t="s">
        <v>671</v>
      </c>
      <c r="E92" s="1094"/>
      <c r="F92" s="1079" t="s">
        <v>672</v>
      </c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W92" s="178"/>
      <c r="AX92" s="190"/>
      <c r="AY92" s="190"/>
      <c r="AZ92" s="1094" t="s">
        <v>671</v>
      </c>
      <c r="BA92" s="1094"/>
      <c r="BB92" s="1079" t="s">
        <v>672</v>
      </c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094" t="s">
        <v>671</v>
      </c>
      <c r="CW92" s="1094"/>
      <c r="CX92" s="1079" t="s">
        <v>672</v>
      </c>
      <c r="CY92" s="1079"/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57.75" customHeight="1">
      <c r="A93" s="178"/>
      <c r="B93" s="1098" t="s">
        <v>778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W93" s="178"/>
      <c r="AX93" s="1098" t="s">
        <v>778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778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6.5">
      <c r="A94" s="178"/>
      <c r="B94" s="1128" t="s">
        <v>674</v>
      </c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W94" s="178"/>
      <c r="AX94" s="1128" t="s">
        <v>674</v>
      </c>
      <c r="AY94" s="1128"/>
      <c r="AZ94" s="1128"/>
      <c r="BA94" s="1128"/>
      <c r="BB94" s="1128"/>
      <c r="BC94" s="1128"/>
      <c r="BD94" s="1128"/>
      <c r="BE94" s="1128"/>
      <c r="BF94" s="1128"/>
      <c r="BG94" s="1128"/>
      <c r="BH94" s="1128"/>
      <c r="BI94" s="1128"/>
      <c r="BJ94" s="1128"/>
      <c r="BK94" s="1128"/>
      <c r="BL94" s="1128"/>
      <c r="BM94" s="1128"/>
      <c r="BN94" s="1128"/>
      <c r="BO94" s="1128"/>
      <c r="BP94" s="1128"/>
      <c r="BQ94" s="1128"/>
      <c r="BR94" s="1128"/>
      <c r="BS94" s="1128"/>
      <c r="BT94" s="1128"/>
      <c r="BU94" s="1128"/>
      <c r="BV94" s="1128"/>
      <c r="BW94" s="1128"/>
      <c r="BX94" s="1128"/>
      <c r="BY94" s="1128"/>
      <c r="BZ94" s="1128"/>
      <c r="CA94" s="1128"/>
      <c r="CB94" s="1128"/>
      <c r="CC94" s="1128"/>
      <c r="CD94" s="1128"/>
      <c r="CE94" s="1128"/>
      <c r="CF94" s="1128"/>
      <c r="CG94" s="1128"/>
      <c r="CH94" s="1128"/>
      <c r="CI94" s="1128"/>
      <c r="CJ94" s="1128"/>
      <c r="CK94" s="1128"/>
      <c r="CL94" s="1128"/>
      <c r="CM94" s="1128"/>
      <c r="CN94" s="1128"/>
      <c r="CO94" s="1128"/>
      <c r="CP94" s="1128"/>
      <c r="CQ94" s="1128"/>
      <c r="CS94" s="178"/>
      <c r="CT94" s="1128" t="s">
        <v>674</v>
      </c>
      <c r="CU94" s="1128"/>
      <c r="CV94" s="1128"/>
      <c r="CW94" s="1128"/>
      <c r="CX94" s="1128"/>
      <c r="CY94" s="1128"/>
      <c r="CZ94" s="1128"/>
      <c r="DA94" s="1128"/>
      <c r="DB94" s="1128"/>
      <c r="DC94" s="1128"/>
      <c r="DD94" s="1128"/>
      <c r="DE94" s="1128"/>
      <c r="DF94" s="1128"/>
      <c r="DG94" s="1128"/>
      <c r="DH94" s="1128"/>
      <c r="DI94" s="1128"/>
      <c r="DJ94" s="1128"/>
      <c r="DK94" s="1128"/>
      <c r="DL94" s="1128"/>
      <c r="DM94" s="1128"/>
      <c r="DN94" s="1128"/>
      <c r="DO94" s="1128"/>
      <c r="DP94" s="1128"/>
      <c r="DQ94" s="1128"/>
      <c r="DR94" s="1128"/>
      <c r="DS94" s="1128"/>
      <c r="DT94" s="1128"/>
      <c r="DU94" s="1128"/>
      <c r="DV94" s="1128"/>
      <c r="DW94" s="1128"/>
      <c r="DX94" s="1128"/>
      <c r="DY94" s="1128"/>
      <c r="DZ94" s="1128"/>
      <c r="EA94" s="1128"/>
      <c r="EB94" s="1128"/>
      <c r="EC94" s="1128"/>
      <c r="ED94" s="1128"/>
      <c r="EE94" s="1128"/>
      <c r="EF94" s="1128"/>
      <c r="EG94" s="1128"/>
      <c r="EH94" s="1128"/>
      <c r="EI94" s="1128"/>
      <c r="EJ94" s="1128"/>
      <c r="EK94" s="1128"/>
      <c r="EL94" s="1128"/>
      <c r="EM94" s="1128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99" t="s">
        <v>779</v>
      </c>
      <c r="C96" s="1099"/>
      <c r="D96" s="1099"/>
      <c r="E96" s="1099"/>
      <c r="F96" s="1099"/>
      <c r="G96" s="1099"/>
      <c r="H96" s="1099"/>
      <c r="I96" s="1099"/>
      <c r="J96" s="1099"/>
      <c r="K96" s="1099"/>
      <c r="L96" s="1099"/>
      <c r="M96" s="1099"/>
      <c r="N96" s="1099"/>
      <c r="O96" s="1099"/>
      <c r="P96" s="1099"/>
      <c r="Q96" s="1099"/>
      <c r="R96" s="1099"/>
      <c r="S96" s="1099"/>
      <c r="T96" s="1099"/>
      <c r="U96" s="1099"/>
      <c r="V96" s="1099"/>
      <c r="W96" s="1099"/>
      <c r="X96" s="1099"/>
      <c r="Y96" s="1099" t="s">
        <v>780</v>
      </c>
      <c r="Z96" s="1099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W96" s="178"/>
      <c r="AX96" s="1099" t="s">
        <v>779</v>
      </c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 t="s">
        <v>780</v>
      </c>
      <c r="BV96" s="1099"/>
      <c r="BW96" s="1099"/>
      <c r="BX96" s="1099"/>
      <c r="BY96" s="1099"/>
      <c r="BZ96" s="1099"/>
      <c r="CA96" s="1099"/>
      <c r="CB96" s="1099"/>
      <c r="CC96" s="1099"/>
      <c r="CD96" s="1099"/>
      <c r="CE96" s="1099"/>
      <c r="CF96" s="1099"/>
      <c r="CG96" s="1099"/>
      <c r="CH96" s="1099"/>
      <c r="CI96" s="1099"/>
      <c r="CJ96" s="1099"/>
      <c r="CK96" s="1099"/>
      <c r="CL96" s="1099"/>
      <c r="CM96" s="1099"/>
      <c r="CN96" s="1099"/>
      <c r="CO96" s="1099"/>
      <c r="CP96" s="1099"/>
      <c r="CQ96" s="1099"/>
      <c r="CS96" s="178"/>
      <c r="CT96" s="1099" t="s">
        <v>779</v>
      </c>
      <c r="CU96" s="1099"/>
      <c r="CV96" s="1099"/>
      <c r="CW96" s="1099"/>
      <c r="CX96" s="1099"/>
      <c r="CY96" s="1099"/>
      <c r="CZ96" s="1099"/>
      <c r="DA96" s="1099"/>
      <c r="DB96" s="1099"/>
      <c r="DC96" s="1099"/>
      <c r="DD96" s="1099"/>
      <c r="DE96" s="1099"/>
      <c r="DF96" s="1099"/>
      <c r="DG96" s="1099"/>
      <c r="DH96" s="1099"/>
      <c r="DI96" s="1099"/>
      <c r="DJ96" s="1099"/>
      <c r="DK96" s="1099"/>
      <c r="DL96" s="1099"/>
      <c r="DM96" s="1099"/>
      <c r="DN96" s="1099"/>
      <c r="DO96" s="1099"/>
      <c r="DP96" s="1099"/>
      <c r="DQ96" s="1099" t="s">
        <v>780</v>
      </c>
      <c r="DR96" s="1099"/>
      <c r="DS96" s="1099"/>
      <c r="DT96" s="1099"/>
      <c r="DU96" s="1099"/>
      <c r="DV96" s="1099"/>
      <c r="DW96" s="1099"/>
      <c r="DX96" s="1099"/>
      <c r="DY96" s="1099"/>
      <c r="DZ96" s="1099"/>
      <c r="EA96" s="1099"/>
      <c r="EB96" s="1099"/>
      <c r="EC96" s="1099"/>
      <c r="ED96" s="1099"/>
      <c r="EE96" s="1099"/>
      <c r="EF96" s="1099"/>
      <c r="EG96" s="1099"/>
      <c r="EH96" s="1099"/>
      <c r="EI96" s="1099"/>
      <c r="EJ96" s="1099"/>
      <c r="EK96" s="1099"/>
      <c r="EL96" s="1099"/>
      <c r="EM96" s="1099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141" t="s">
        <v>781</v>
      </c>
      <c r="C98" s="1141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205"/>
      <c r="Y98" s="1140" t="s">
        <v>677</v>
      </c>
      <c r="Z98" s="1140"/>
      <c r="AA98" s="1140"/>
      <c r="AB98" s="1140"/>
      <c r="AC98" s="1139">
        <f>I$16</f>
        <v>0</v>
      </c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W98" s="178"/>
      <c r="AX98" s="1141" t="s">
        <v>781</v>
      </c>
      <c r="AY98" s="1141"/>
      <c r="AZ98" s="1141"/>
      <c r="BA98" s="1141"/>
      <c r="BB98" s="1141"/>
      <c r="BC98" s="1141"/>
      <c r="BD98" s="1141"/>
      <c r="BE98" s="1141"/>
      <c r="BF98" s="1141"/>
      <c r="BG98" s="1141"/>
      <c r="BH98" s="1141"/>
      <c r="BI98" s="1141"/>
      <c r="BJ98" s="1141"/>
      <c r="BK98" s="1141"/>
      <c r="BL98" s="1141"/>
      <c r="BM98" s="1141"/>
      <c r="BN98" s="1141"/>
      <c r="BO98" s="1141"/>
      <c r="BP98" s="1141"/>
      <c r="BQ98" s="1141"/>
      <c r="BR98" s="1141"/>
      <c r="BS98" s="1141"/>
      <c r="BT98" s="205"/>
      <c r="BU98" s="1140" t="s">
        <v>677</v>
      </c>
      <c r="BV98" s="1140"/>
      <c r="BW98" s="1140"/>
      <c r="BX98" s="1140"/>
      <c r="BY98" s="1139">
        <f>BE$16</f>
        <v>0</v>
      </c>
      <c r="BZ98" s="1139"/>
      <c r="CA98" s="1139"/>
      <c r="CB98" s="1139"/>
      <c r="CC98" s="1139"/>
      <c r="CD98" s="1139"/>
      <c r="CE98" s="1139"/>
      <c r="CF98" s="1139"/>
      <c r="CG98" s="1139"/>
      <c r="CH98" s="1139"/>
      <c r="CI98" s="1139"/>
      <c r="CJ98" s="1139"/>
      <c r="CK98" s="1139"/>
      <c r="CL98" s="1139"/>
      <c r="CM98" s="1139"/>
      <c r="CN98" s="1139"/>
      <c r="CO98" s="1139"/>
      <c r="CP98" s="1139"/>
      <c r="CQ98" s="1139"/>
      <c r="CS98" s="178"/>
      <c r="CT98" s="1141" t="s">
        <v>781</v>
      </c>
      <c r="CU98" s="1141"/>
      <c r="CV98" s="1141"/>
      <c r="CW98" s="1141"/>
      <c r="CX98" s="1141"/>
      <c r="CY98" s="1141"/>
      <c r="CZ98" s="1141"/>
      <c r="DA98" s="1141"/>
      <c r="DB98" s="1141"/>
      <c r="DC98" s="1141"/>
      <c r="DD98" s="1141"/>
      <c r="DE98" s="1141"/>
      <c r="DF98" s="1141"/>
      <c r="DG98" s="1141"/>
      <c r="DH98" s="1141"/>
      <c r="DI98" s="1141"/>
      <c r="DJ98" s="1141"/>
      <c r="DK98" s="1141"/>
      <c r="DL98" s="1141"/>
      <c r="DM98" s="1141"/>
      <c r="DN98" s="1141"/>
      <c r="DO98" s="1141"/>
      <c r="DP98" s="205"/>
      <c r="DQ98" s="1140" t="s">
        <v>677</v>
      </c>
      <c r="DR98" s="1140"/>
      <c r="DS98" s="1140"/>
      <c r="DT98" s="1140"/>
      <c r="DU98" s="1139">
        <f>DA$16</f>
        <v>0</v>
      </c>
      <c r="DV98" s="1139"/>
      <c r="DW98" s="1139"/>
      <c r="DX98" s="1139"/>
      <c r="DY98" s="1139"/>
      <c r="DZ98" s="1139"/>
      <c r="EA98" s="1139"/>
      <c r="EB98" s="1139"/>
      <c r="EC98" s="1139"/>
      <c r="ED98" s="1139"/>
      <c r="EE98" s="1139"/>
      <c r="EF98" s="1139"/>
      <c r="EG98" s="1139"/>
      <c r="EH98" s="1139"/>
      <c r="EI98" s="1139"/>
      <c r="EJ98" s="1139"/>
      <c r="EK98" s="1139"/>
      <c r="EL98" s="1139"/>
      <c r="EM98" s="1139"/>
    </row>
    <row r="99" spans="1:143" ht="16.5" customHeight="1">
      <c r="A99" s="178"/>
      <c r="B99" s="1157" t="s">
        <v>782</v>
      </c>
      <c r="C99" s="1157"/>
      <c r="D99" s="1157"/>
      <c r="E99" s="1157"/>
      <c r="F99" s="1157"/>
      <c r="G99" s="1157"/>
      <c r="H99" s="1157"/>
      <c r="I99" s="1157"/>
      <c r="J99" s="1157"/>
      <c r="K99" s="1157"/>
      <c r="L99" s="1157"/>
      <c r="M99" s="1157"/>
      <c r="N99" s="1157"/>
      <c r="O99" s="1156" t="e">
        <f>I$6</f>
        <v>#VALUE!</v>
      </c>
      <c r="P99" s="1156"/>
      <c r="Q99" s="1156"/>
      <c r="R99" s="1156"/>
      <c r="S99" s="1156"/>
      <c r="T99" s="1156"/>
      <c r="U99" s="1156"/>
      <c r="V99" s="1156"/>
      <c r="W99" s="1156"/>
      <c r="X99" s="206"/>
      <c r="Y99" s="1140" t="s">
        <v>684</v>
      </c>
      <c r="Z99" s="1140"/>
      <c r="AA99" s="1140"/>
      <c r="AB99" s="1140"/>
      <c r="AC99" s="1140"/>
      <c r="AD99" s="1140"/>
      <c r="AE99" s="1140"/>
      <c r="AF99" s="1140"/>
      <c r="AG99" s="1140"/>
      <c r="AH99" s="1142">
        <f>I$22</f>
        <v>0</v>
      </c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57" t="s">
        <v>782</v>
      </c>
      <c r="AY99" s="1157"/>
      <c r="AZ99" s="1157"/>
      <c r="BA99" s="1157"/>
      <c r="BB99" s="1157"/>
      <c r="BC99" s="1157"/>
      <c r="BD99" s="1157"/>
      <c r="BE99" s="1157"/>
      <c r="BF99" s="1157"/>
      <c r="BG99" s="1157"/>
      <c r="BH99" s="1157"/>
      <c r="BI99" s="1157"/>
      <c r="BJ99" s="1157"/>
      <c r="BK99" s="1156" t="e">
        <f>BE$6</f>
        <v>#VALUE!</v>
      </c>
      <c r="BL99" s="1156"/>
      <c r="BM99" s="1156"/>
      <c r="BN99" s="1156"/>
      <c r="BO99" s="1156"/>
      <c r="BP99" s="1156"/>
      <c r="BQ99" s="1156"/>
      <c r="BR99" s="1156"/>
      <c r="BS99" s="1156"/>
      <c r="BT99" s="206"/>
      <c r="BU99" s="1140" t="s">
        <v>684</v>
      </c>
      <c r="BV99" s="1140"/>
      <c r="BW99" s="1140"/>
      <c r="BX99" s="1140"/>
      <c r="BY99" s="1140"/>
      <c r="BZ99" s="1140"/>
      <c r="CA99" s="1140"/>
      <c r="CB99" s="1140"/>
      <c r="CC99" s="1140"/>
      <c r="CD99" s="1142">
        <f>BE$22</f>
        <v>0</v>
      </c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57" t="s">
        <v>782</v>
      </c>
      <c r="CU99" s="1157"/>
      <c r="CV99" s="1157"/>
      <c r="CW99" s="1157"/>
      <c r="CX99" s="1157"/>
      <c r="CY99" s="1157"/>
      <c r="CZ99" s="1157"/>
      <c r="DA99" s="1157"/>
      <c r="DB99" s="1157"/>
      <c r="DC99" s="1157"/>
      <c r="DD99" s="1157"/>
      <c r="DE99" s="1157"/>
      <c r="DF99" s="1157"/>
      <c r="DG99" s="1156" t="e">
        <f>DA$6</f>
        <v>#VALUE!</v>
      </c>
      <c r="DH99" s="1156"/>
      <c r="DI99" s="1156"/>
      <c r="DJ99" s="1156"/>
      <c r="DK99" s="1156"/>
      <c r="DL99" s="1156"/>
      <c r="DM99" s="1156"/>
      <c r="DN99" s="1156"/>
      <c r="DO99" s="1156"/>
      <c r="DP99" s="206"/>
      <c r="DQ99" s="1140" t="s">
        <v>684</v>
      </c>
      <c r="DR99" s="1140"/>
      <c r="DS99" s="1140"/>
      <c r="DT99" s="1140"/>
      <c r="DU99" s="1140"/>
      <c r="DV99" s="1140"/>
      <c r="DW99" s="1140"/>
      <c r="DX99" s="1140"/>
      <c r="DY99" s="1140"/>
      <c r="DZ99" s="1142">
        <f>DA$22</f>
        <v>0</v>
      </c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40" t="s">
        <v>683</v>
      </c>
      <c r="Z100" s="1140"/>
      <c r="AA100" s="1140"/>
      <c r="AB100" s="1140"/>
      <c r="AC100" s="1156">
        <f>I$21</f>
        <v>0</v>
      </c>
      <c r="AD100" s="1156"/>
      <c r="AE100" s="1156"/>
      <c r="AF100" s="1156"/>
      <c r="AG100" s="1156"/>
      <c r="AH100" s="1156"/>
      <c r="AI100" s="1156"/>
      <c r="AJ100" s="1156"/>
      <c r="AK100" s="1156"/>
      <c r="AL100" s="1156"/>
      <c r="AM100" s="1156"/>
      <c r="AN100" s="1156"/>
      <c r="AO100" s="1156"/>
      <c r="AP100" s="1156"/>
      <c r="AQ100" s="1156"/>
      <c r="AR100" s="1156"/>
      <c r="AS100" s="1156"/>
      <c r="AT100" s="1156"/>
      <c r="AU100" s="1156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40" t="s">
        <v>683</v>
      </c>
      <c r="BV100" s="1140"/>
      <c r="BW100" s="1140"/>
      <c r="BX100" s="1140"/>
      <c r="BY100" s="1156">
        <f>BE$21</f>
        <v>0</v>
      </c>
      <c r="BZ100" s="1156"/>
      <c r="CA100" s="1156"/>
      <c r="CB100" s="1156"/>
      <c r="CC100" s="1156"/>
      <c r="CD100" s="1156"/>
      <c r="CE100" s="1156"/>
      <c r="CF100" s="1156"/>
      <c r="CG100" s="1156"/>
      <c r="CH100" s="1156"/>
      <c r="CI100" s="1156"/>
      <c r="CJ100" s="1156"/>
      <c r="CK100" s="1156"/>
      <c r="CL100" s="1156"/>
      <c r="CM100" s="1156"/>
      <c r="CN100" s="1156"/>
      <c r="CO100" s="1156"/>
      <c r="CP100" s="1156"/>
      <c r="CQ100" s="1156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40" t="s">
        <v>683</v>
      </c>
      <c r="DR100" s="1140"/>
      <c r="DS100" s="1140"/>
      <c r="DT100" s="1140"/>
      <c r="DU100" s="1156">
        <f>DA$21</f>
        <v>0</v>
      </c>
      <c r="DV100" s="1156"/>
      <c r="DW100" s="1156"/>
      <c r="DX100" s="1156"/>
      <c r="DY100" s="1156"/>
      <c r="DZ100" s="1156"/>
      <c r="EA100" s="1156"/>
      <c r="EB100" s="1156"/>
      <c r="EC100" s="1156"/>
      <c r="ED100" s="1156"/>
      <c r="EE100" s="1156"/>
      <c r="EF100" s="1156"/>
      <c r="EG100" s="1156"/>
      <c r="EH100" s="1156"/>
      <c r="EI100" s="1156"/>
      <c r="EJ100" s="1156"/>
      <c r="EK100" s="1156"/>
      <c r="EL100" s="1156"/>
      <c r="EM100" s="1156"/>
    </row>
    <row r="101" spans="1:143" ht="16.5" customHeight="1">
      <c r="A101" s="178"/>
      <c r="B101" s="1100" t="s">
        <v>151</v>
      </c>
      <c r="C101" s="1100"/>
      <c r="D101" s="1100"/>
      <c r="E101" s="1100"/>
      <c r="F101" s="1100"/>
      <c r="G101" s="1100"/>
      <c r="H101" s="1100"/>
      <c r="I101" s="1100"/>
      <c r="J101" s="1100"/>
      <c r="K101" s="1100"/>
      <c r="L101" s="1100"/>
      <c r="M101" s="1100"/>
      <c r="N101" s="1100"/>
      <c r="O101" s="1100"/>
      <c r="P101" s="1100"/>
      <c r="Q101" s="1100"/>
      <c r="R101" s="1100"/>
      <c r="S101" s="1100"/>
      <c r="T101" s="1100"/>
      <c r="U101" s="1100"/>
      <c r="V101" s="1100"/>
      <c r="W101" s="1100"/>
      <c r="X101" s="1100"/>
      <c r="Y101" s="206"/>
      <c r="Z101" s="206"/>
      <c r="AA101" s="206"/>
      <c r="AB101" s="206"/>
      <c r="AC101" s="1156"/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1100" t="s">
        <v>151</v>
      </c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206"/>
      <c r="BV101" s="206"/>
      <c r="BW101" s="206"/>
      <c r="BX101" s="206"/>
      <c r="BY101" s="1156"/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1100" t="s">
        <v>151</v>
      </c>
      <c r="CU101" s="1100"/>
      <c r="CV101" s="1100"/>
      <c r="CW101" s="1100"/>
      <c r="CX101" s="1100"/>
      <c r="CY101" s="1100"/>
      <c r="CZ101" s="1100"/>
      <c r="DA101" s="1100"/>
      <c r="DB101" s="1100"/>
      <c r="DC101" s="1100"/>
      <c r="DD101" s="1100"/>
      <c r="DE101" s="1100"/>
      <c r="DF101" s="1100"/>
      <c r="DG101" s="1100"/>
      <c r="DH101" s="1100"/>
      <c r="DI101" s="1100"/>
      <c r="DJ101" s="1100"/>
      <c r="DK101" s="1100"/>
      <c r="DL101" s="1100"/>
      <c r="DM101" s="1100"/>
      <c r="DN101" s="1100"/>
      <c r="DO101" s="1100"/>
      <c r="DP101" s="1100"/>
      <c r="DQ101" s="206"/>
      <c r="DR101" s="206"/>
      <c r="DS101" s="206"/>
      <c r="DT101" s="206"/>
      <c r="DU101" s="1156"/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>
      <c r="A102" s="178"/>
      <c r="Y102" s="1140" t="s">
        <v>679</v>
      </c>
      <c r="Z102" s="1140"/>
      <c r="AA102" s="1140"/>
      <c r="AB102" s="1140"/>
      <c r="AC102" s="1140"/>
      <c r="AD102" s="1140"/>
      <c r="AE102" s="1140"/>
      <c r="AF102" s="1140"/>
      <c r="AG102" s="1140"/>
      <c r="AH102" s="1139">
        <f>I$17</f>
        <v>0</v>
      </c>
      <c r="AI102" s="1139"/>
      <c r="AJ102" s="1139"/>
      <c r="AK102" s="1139"/>
      <c r="AL102" s="1139"/>
      <c r="AM102" s="1141" t="s">
        <v>680</v>
      </c>
      <c r="AN102" s="1141"/>
      <c r="AO102" s="1139">
        <f>I$18</f>
        <v>0</v>
      </c>
      <c r="AP102" s="1139"/>
      <c r="AQ102" s="1139"/>
      <c r="AR102" s="1139"/>
      <c r="AS102" s="1139"/>
      <c r="AT102" s="1139"/>
      <c r="AU102" s="1139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40" t="s">
        <v>679</v>
      </c>
      <c r="BV102" s="1140"/>
      <c r="BW102" s="1140"/>
      <c r="BX102" s="1140"/>
      <c r="BY102" s="1140"/>
      <c r="BZ102" s="1140"/>
      <c r="CA102" s="1140"/>
      <c r="CB102" s="1140"/>
      <c r="CC102" s="1140"/>
      <c r="CD102" s="1139">
        <f>BE$17</f>
        <v>0</v>
      </c>
      <c r="CE102" s="1139"/>
      <c r="CF102" s="1139"/>
      <c r="CG102" s="1139"/>
      <c r="CH102" s="1139"/>
      <c r="CI102" s="1141" t="s">
        <v>680</v>
      </c>
      <c r="CJ102" s="1141"/>
      <c r="CK102" s="1139">
        <f>BE$18</f>
        <v>0</v>
      </c>
      <c r="CL102" s="1139"/>
      <c r="CM102" s="1139"/>
      <c r="CN102" s="1139"/>
      <c r="CO102" s="1139"/>
      <c r="CP102" s="1139"/>
      <c r="CQ102" s="1139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40" t="s">
        <v>679</v>
      </c>
      <c r="DR102" s="1140"/>
      <c r="DS102" s="1140"/>
      <c r="DT102" s="1140"/>
      <c r="DU102" s="1140"/>
      <c r="DV102" s="1140"/>
      <c r="DW102" s="1140"/>
      <c r="DX102" s="1140"/>
      <c r="DY102" s="1140"/>
      <c r="DZ102" s="1139">
        <f>DA$17</f>
        <v>0</v>
      </c>
      <c r="EA102" s="1139"/>
      <c r="EB102" s="1139"/>
      <c r="EC102" s="1139"/>
      <c r="ED102" s="1139"/>
      <c r="EE102" s="1141" t="s">
        <v>680</v>
      </c>
      <c r="EF102" s="1141"/>
      <c r="EG102" s="1139">
        <f>DA$18</f>
        <v>0</v>
      </c>
      <c r="EH102" s="1139"/>
      <c r="EI102" s="1139"/>
      <c r="EJ102" s="1139"/>
      <c r="EK102" s="1139"/>
      <c r="EL102" s="1139"/>
      <c r="EM102" s="1139"/>
    </row>
    <row r="103" spans="1:143" ht="16.5" customHeight="1">
      <c r="A103" s="178"/>
      <c r="Y103" s="1140" t="s">
        <v>681</v>
      </c>
      <c r="Z103" s="1140"/>
      <c r="AA103" s="1140"/>
      <c r="AB103" s="1140"/>
      <c r="AC103" s="1140"/>
      <c r="AD103" s="1156">
        <f>I$19</f>
        <v>0</v>
      </c>
      <c r="AE103" s="1156"/>
      <c r="AF103" s="1156"/>
      <c r="AG103" s="1156"/>
      <c r="AH103" s="1156"/>
      <c r="AI103" s="1156"/>
      <c r="AJ103" s="1156"/>
      <c r="AK103" s="1156"/>
      <c r="AL103" s="1156"/>
      <c r="AM103" s="1156"/>
      <c r="AN103" s="1156"/>
      <c r="AO103" s="1156"/>
      <c r="AP103" s="1156"/>
      <c r="AQ103" s="1156"/>
      <c r="AR103" s="1156"/>
      <c r="AS103" s="1156"/>
      <c r="AT103" s="1156"/>
      <c r="AU103" s="1156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681</v>
      </c>
      <c r="BV103" s="1140"/>
      <c r="BW103" s="1140"/>
      <c r="BX103" s="1140"/>
      <c r="BY103" s="1140"/>
      <c r="BZ103" s="1156">
        <f>BE$19</f>
        <v>0</v>
      </c>
      <c r="CA103" s="1156"/>
      <c r="CB103" s="1156"/>
      <c r="CC103" s="1156"/>
      <c r="CD103" s="1156"/>
      <c r="CE103" s="1156"/>
      <c r="CF103" s="1156"/>
      <c r="CG103" s="1156"/>
      <c r="CH103" s="1156"/>
      <c r="CI103" s="1156"/>
      <c r="CJ103" s="1156"/>
      <c r="CK103" s="1156"/>
      <c r="CL103" s="1156"/>
      <c r="CM103" s="1156"/>
      <c r="CN103" s="1156"/>
      <c r="CO103" s="1156"/>
      <c r="CP103" s="1156"/>
      <c r="CQ103" s="1156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681</v>
      </c>
      <c r="DR103" s="1140"/>
      <c r="DS103" s="1140"/>
      <c r="DT103" s="1140"/>
      <c r="DU103" s="1140"/>
      <c r="DV103" s="1156">
        <f>DA$19</f>
        <v>0</v>
      </c>
      <c r="DW103" s="1156"/>
      <c r="DX103" s="1156"/>
      <c r="DY103" s="1156"/>
      <c r="DZ103" s="1156"/>
      <c r="EA103" s="1156"/>
      <c r="EB103" s="1156"/>
      <c r="EC103" s="1156"/>
      <c r="ED103" s="1156"/>
      <c r="EE103" s="1156"/>
      <c r="EF103" s="1156"/>
      <c r="EG103" s="1156"/>
      <c r="EH103" s="1156"/>
      <c r="EI103" s="1156"/>
      <c r="EJ103" s="1156"/>
      <c r="EK103" s="1156"/>
      <c r="EL103" s="1156"/>
      <c r="EM103" s="1156"/>
    </row>
    <row r="104" spans="1:143" ht="61.5" customHeight="1">
      <c r="A104" s="178"/>
      <c r="B104" s="1173"/>
      <c r="C104" s="1173"/>
      <c r="D104" s="1173"/>
      <c r="E104" s="1173"/>
      <c r="F104" s="1173"/>
      <c r="G104" s="1173"/>
      <c r="H104" s="1173"/>
      <c r="I104" s="1173"/>
      <c r="J104" s="1173"/>
      <c r="K104" s="1173"/>
      <c r="L104" s="1173"/>
      <c r="M104" s="1173"/>
      <c r="N104" s="1174">
        <f>I$9</f>
        <v>0</v>
      </c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206"/>
      <c r="Y104" s="206"/>
      <c r="Z104" s="206"/>
      <c r="AA104" s="206"/>
      <c r="AB104" s="206"/>
      <c r="AC104" s="206"/>
      <c r="AD104" s="1156"/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1173"/>
      <c r="AY104" s="1173"/>
      <c r="AZ104" s="1173"/>
      <c r="BA104" s="1173"/>
      <c r="BB104" s="1173"/>
      <c r="BC104" s="1173"/>
      <c r="BD104" s="1173"/>
      <c r="BE104" s="1173"/>
      <c r="BF104" s="1173"/>
      <c r="BG104" s="1173"/>
      <c r="BH104" s="1173"/>
      <c r="BI104" s="1173"/>
      <c r="BJ104" s="1174">
        <f>BE$9</f>
        <v>0</v>
      </c>
      <c r="BK104" s="1174"/>
      <c r="BL104" s="1174"/>
      <c r="BM104" s="1174"/>
      <c r="BN104" s="1174"/>
      <c r="BO104" s="1174"/>
      <c r="BP104" s="1174"/>
      <c r="BQ104" s="1174"/>
      <c r="BR104" s="1174"/>
      <c r="BS104" s="1174"/>
      <c r="BT104" s="206"/>
      <c r="BU104" s="206"/>
      <c r="BV104" s="206"/>
      <c r="BW104" s="206"/>
      <c r="BX104" s="206"/>
      <c r="BY104" s="206"/>
      <c r="BZ104" s="1156"/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1173"/>
      <c r="CU104" s="1173"/>
      <c r="CV104" s="1173"/>
      <c r="CW104" s="1173"/>
      <c r="CX104" s="1173"/>
      <c r="CY104" s="1173"/>
      <c r="CZ104" s="1173"/>
      <c r="DA104" s="1173"/>
      <c r="DB104" s="1173"/>
      <c r="DC104" s="1173"/>
      <c r="DD104" s="1173"/>
      <c r="DE104" s="1173"/>
      <c r="DF104" s="1174">
        <f>DA$9</f>
        <v>0</v>
      </c>
      <c r="DG104" s="1174"/>
      <c r="DH104" s="1174"/>
      <c r="DI104" s="1174"/>
      <c r="DJ104" s="1174"/>
      <c r="DK104" s="1174"/>
      <c r="DL104" s="1174"/>
      <c r="DM104" s="1174"/>
      <c r="DN104" s="1174"/>
      <c r="DO104" s="1174"/>
      <c r="DP104" s="206"/>
      <c r="DQ104" s="206"/>
      <c r="DR104" s="206"/>
      <c r="DS104" s="206"/>
      <c r="DT104" s="206"/>
      <c r="DU104" s="206"/>
      <c r="DV104" s="1156"/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16.5">
      <c r="A105" s="178"/>
      <c r="B105" s="1175" t="s">
        <v>5</v>
      </c>
      <c r="C105" s="1175"/>
      <c r="D105" s="1175"/>
      <c r="E105" s="1175"/>
      <c r="F105" s="1175"/>
      <c r="G105" s="1175"/>
      <c r="H105" s="1175"/>
      <c r="I105" s="1175"/>
      <c r="J105" s="1175"/>
      <c r="K105" s="1175"/>
      <c r="L105" s="1175"/>
      <c r="M105" s="1175"/>
      <c r="N105" s="1176" t="s">
        <v>688</v>
      </c>
      <c r="O105" s="1176"/>
      <c r="P105" s="1176"/>
      <c r="Q105" s="1176"/>
      <c r="R105" s="1176"/>
      <c r="S105" s="1176"/>
      <c r="T105" s="1176"/>
      <c r="U105" s="1176"/>
      <c r="V105" s="1176"/>
      <c r="W105" s="1176"/>
      <c r="X105" s="202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5" t="s">
        <v>5</v>
      </c>
      <c r="AY105" s="1175"/>
      <c r="AZ105" s="1175"/>
      <c r="BA105" s="1175"/>
      <c r="BB105" s="1175"/>
      <c r="BC105" s="1175"/>
      <c r="BD105" s="1175"/>
      <c r="BE105" s="1175"/>
      <c r="BF105" s="1175"/>
      <c r="BG105" s="1175"/>
      <c r="BH105" s="1175"/>
      <c r="BI105" s="1175"/>
      <c r="BJ105" s="1176" t="s">
        <v>688</v>
      </c>
      <c r="BK105" s="1176"/>
      <c r="BL105" s="1176"/>
      <c r="BM105" s="1176"/>
      <c r="BN105" s="1176"/>
      <c r="BO105" s="1176"/>
      <c r="BP105" s="1176"/>
      <c r="BQ105" s="1176"/>
      <c r="BR105" s="1176"/>
      <c r="BS105" s="1176"/>
      <c r="BT105" s="202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5" t="s">
        <v>5</v>
      </c>
      <c r="CU105" s="1175"/>
      <c r="CV105" s="1175"/>
      <c r="CW105" s="1175"/>
      <c r="CX105" s="1175"/>
      <c r="CY105" s="1175"/>
      <c r="CZ105" s="1175"/>
      <c r="DA105" s="1175"/>
      <c r="DB105" s="1175"/>
      <c r="DC105" s="1175"/>
      <c r="DD105" s="1175"/>
      <c r="DE105" s="1175"/>
      <c r="DF105" s="1176" t="s">
        <v>688</v>
      </c>
      <c r="DG105" s="1176"/>
      <c r="DH105" s="1176"/>
      <c r="DI105" s="1176"/>
      <c r="DJ105" s="1176"/>
      <c r="DK105" s="1176"/>
      <c r="DL105" s="1176"/>
      <c r="DM105" s="1176"/>
      <c r="DN105" s="1176"/>
      <c r="DO105" s="1176"/>
      <c r="DP105" s="202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 customHeight="1">
      <c r="A106" s="178"/>
      <c r="B106" s="1061"/>
      <c r="C106" s="1061"/>
      <c r="D106" s="1061"/>
      <c r="E106" s="1061"/>
      <c r="F106" s="1061"/>
      <c r="G106" s="1061"/>
      <c r="H106" s="1061"/>
      <c r="I106" s="1061"/>
      <c r="J106" s="1061"/>
      <c r="K106" s="1061"/>
      <c r="L106" s="1061"/>
      <c r="M106" s="1061"/>
      <c r="N106" s="1061"/>
      <c r="O106" s="1061"/>
      <c r="P106" s="1061"/>
      <c r="Q106" s="1061"/>
      <c r="R106" s="1061"/>
      <c r="S106" s="1061"/>
      <c r="T106" s="1061"/>
      <c r="U106" s="1061"/>
      <c r="V106" s="1061"/>
      <c r="W106" s="1061"/>
      <c r="X106" s="1061"/>
      <c r="Y106" s="1140" t="s">
        <v>685</v>
      </c>
      <c r="Z106" s="1140"/>
      <c r="AA106" s="1140"/>
      <c r="AB106" s="1140"/>
      <c r="AC106" s="1171">
        <f>I$23</f>
        <v>0</v>
      </c>
      <c r="AD106" s="1171"/>
      <c r="AE106" s="1171"/>
      <c r="AF106" s="1171"/>
      <c r="AG106" s="1171"/>
      <c r="AH106" s="1171"/>
      <c r="AI106" s="1171"/>
      <c r="AJ106" s="1171"/>
      <c r="AK106" s="1171"/>
      <c r="AL106" s="1171"/>
      <c r="AM106" s="1171"/>
      <c r="AN106" s="1171"/>
      <c r="AO106" s="1171"/>
      <c r="AP106" s="1171"/>
      <c r="AQ106" s="1171"/>
      <c r="AR106" s="1171"/>
      <c r="AS106" s="1171"/>
      <c r="AT106" s="1171"/>
      <c r="AU106" s="1171"/>
      <c r="AW106" s="178"/>
      <c r="AX106" s="1061"/>
      <c r="AY106" s="1061"/>
      <c r="AZ106" s="1061"/>
      <c r="BA106" s="1061"/>
      <c r="BB106" s="1061"/>
      <c r="BC106" s="1061"/>
      <c r="BD106" s="1061"/>
      <c r="BE106" s="1061"/>
      <c r="BF106" s="1061"/>
      <c r="BG106" s="1061"/>
      <c r="BH106" s="1061"/>
      <c r="BI106" s="1061"/>
      <c r="BJ106" s="1061"/>
      <c r="BK106" s="1061"/>
      <c r="BL106" s="1061"/>
      <c r="BM106" s="1061"/>
      <c r="BN106" s="1061"/>
      <c r="BO106" s="1061"/>
      <c r="BP106" s="1061"/>
      <c r="BQ106" s="1061"/>
      <c r="BR106" s="1061"/>
      <c r="BS106" s="1061"/>
      <c r="BT106" s="1061"/>
      <c r="BU106" s="1140" t="s">
        <v>685</v>
      </c>
      <c r="BV106" s="1140"/>
      <c r="BW106" s="1140"/>
      <c r="BX106" s="1140"/>
      <c r="BY106" s="1171">
        <f>BE$23</f>
        <v>0</v>
      </c>
      <c r="BZ106" s="1171"/>
      <c r="CA106" s="1171"/>
      <c r="CB106" s="1171"/>
      <c r="CC106" s="1171"/>
      <c r="CD106" s="1171"/>
      <c r="CE106" s="1171"/>
      <c r="CF106" s="1171"/>
      <c r="CG106" s="1171"/>
      <c r="CH106" s="1171"/>
      <c r="CI106" s="1171"/>
      <c r="CJ106" s="1171"/>
      <c r="CK106" s="1171"/>
      <c r="CL106" s="1171"/>
      <c r="CM106" s="1171"/>
      <c r="CN106" s="1171"/>
      <c r="CO106" s="1171"/>
      <c r="CP106" s="1171"/>
      <c r="CQ106" s="1171"/>
      <c r="CS106" s="178"/>
      <c r="CT106" s="1061"/>
      <c r="CU106" s="1061"/>
      <c r="CV106" s="1061"/>
      <c r="CW106" s="1061"/>
      <c r="CX106" s="1061"/>
      <c r="CY106" s="1061"/>
      <c r="CZ106" s="1061"/>
      <c r="DA106" s="1061"/>
      <c r="DB106" s="1061"/>
      <c r="DC106" s="1061"/>
      <c r="DD106" s="1061"/>
      <c r="DE106" s="1061"/>
      <c r="DF106" s="1061"/>
      <c r="DG106" s="1061"/>
      <c r="DH106" s="1061"/>
      <c r="DI106" s="1061"/>
      <c r="DJ106" s="1061"/>
      <c r="DK106" s="1061"/>
      <c r="DL106" s="1061"/>
      <c r="DM106" s="1061"/>
      <c r="DN106" s="1061"/>
      <c r="DO106" s="1061"/>
      <c r="DP106" s="1061"/>
      <c r="DQ106" s="1140" t="s">
        <v>685</v>
      </c>
      <c r="DR106" s="1140"/>
      <c r="DS106" s="1140"/>
      <c r="DT106" s="1140"/>
      <c r="DU106" s="1171">
        <f>DA$23</f>
        <v>0</v>
      </c>
      <c r="DV106" s="1171"/>
      <c r="DW106" s="1171"/>
      <c r="DX106" s="1171"/>
      <c r="DY106" s="1171"/>
      <c r="DZ106" s="1171"/>
      <c r="EA106" s="1171"/>
      <c r="EB106" s="1171"/>
      <c r="EC106" s="1171"/>
      <c r="ED106" s="1171"/>
      <c r="EE106" s="1171"/>
      <c r="EF106" s="1171"/>
      <c r="EG106" s="1171"/>
      <c r="EH106" s="1171"/>
      <c r="EI106" s="1171"/>
      <c r="EJ106" s="1171"/>
      <c r="EK106" s="1171"/>
      <c r="EL106" s="1171"/>
      <c r="EM106" s="1171"/>
    </row>
    <row r="107" spans="1:143" ht="16.5" customHeight="1">
      <c r="A107" s="178"/>
      <c r="B107" s="1081" t="s">
        <v>978</v>
      </c>
      <c r="C107" s="1082"/>
      <c r="D107" s="1082"/>
      <c r="E107" s="1082"/>
      <c r="F107" s="1082"/>
      <c r="G107" s="1082"/>
      <c r="H107" s="1082"/>
      <c r="I107" s="1082"/>
      <c r="J107" s="1082"/>
      <c r="K107" s="1082"/>
      <c r="L107" s="1082"/>
      <c r="M107" s="1082"/>
      <c r="N107" s="1082"/>
      <c r="O107" s="1082"/>
      <c r="P107" s="1082"/>
      <c r="Q107" s="1082"/>
      <c r="R107" s="1082"/>
      <c r="S107" s="1082"/>
      <c r="T107" s="1082"/>
      <c r="U107" s="1082"/>
      <c r="V107" s="1082"/>
      <c r="W107" s="1082"/>
      <c r="X107" s="1082"/>
      <c r="Y107" s="1140" t="s">
        <v>686</v>
      </c>
      <c r="Z107" s="1140"/>
      <c r="AA107" s="1140"/>
      <c r="AB107" s="1140"/>
      <c r="AC107" s="1140"/>
      <c r="AD107" s="1140"/>
      <c r="AE107" s="1171">
        <f>I$24</f>
        <v>0</v>
      </c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81" t="s">
        <v>978</v>
      </c>
      <c r="AY107" s="1082"/>
      <c r="AZ107" s="1082"/>
      <c r="BA107" s="1082"/>
      <c r="BB107" s="1082"/>
      <c r="BC107" s="1082"/>
      <c r="BD107" s="1082"/>
      <c r="BE107" s="1082"/>
      <c r="BF107" s="1082"/>
      <c r="BG107" s="1082"/>
      <c r="BH107" s="1082"/>
      <c r="BI107" s="1082"/>
      <c r="BJ107" s="1082"/>
      <c r="BK107" s="1082"/>
      <c r="BL107" s="1082"/>
      <c r="BM107" s="1082"/>
      <c r="BN107" s="1082"/>
      <c r="BO107" s="1082"/>
      <c r="BP107" s="1082"/>
      <c r="BQ107" s="1082"/>
      <c r="BR107" s="1082"/>
      <c r="BS107" s="1082"/>
      <c r="BT107" s="1082"/>
      <c r="BU107" s="1140" t="s">
        <v>686</v>
      </c>
      <c r="BV107" s="1140"/>
      <c r="BW107" s="1140"/>
      <c r="BX107" s="1140"/>
      <c r="BY107" s="1140"/>
      <c r="BZ107" s="1140"/>
      <c r="CA107" s="1171">
        <f>BE$24</f>
        <v>0</v>
      </c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81" t="s">
        <v>978</v>
      </c>
      <c r="CU107" s="1082"/>
      <c r="CV107" s="1082"/>
      <c r="CW107" s="1082"/>
      <c r="CX107" s="1082"/>
      <c r="CY107" s="1082"/>
      <c r="CZ107" s="1082"/>
      <c r="DA107" s="1082"/>
      <c r="DB107" s="1082"/>
      <c r="DC107" s="1082"/>
      <c r="DD107" s="1082"/>
      <c r="DE107" s="1082"/>
      <c r="DF107" s="1082"/>
      <c r="DG107" s="1082"/>
      <c r="DH107" s="1082"/>
      <c r="DI107" s="1082"/>
      <c r="DJ107" s="1082"/>
      <c r="DK107" s="1082"/>
      <c r="DL107" s="1082"/>
      <c r="DM107" s="1082"/>
      <c r="DN107" s="1082"/>
      <c r="DO107" s="1082"/>
      <c r="DP107" s="1082"/>
      <c r="DQ107" s="1140" t="s">
        <v>686</v>
      </c>
      <c r="DR107" s="1140"/>
      <c r="DS107" s="1140"/>
      <c r="DT107" s="1140"/>
      <c r="DU107" s="1140"/>
      <c r="DV107" s="1140"/>
      <c r="DW107" s="1171">
        <f>DA$24</f>
        <v>0</v>
      </c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3" t="s">
        <v>369</v>
      </c>
      <c r="U108" s="1083"/>
      <c r="V108" s="1083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3" t="s">
        <v>369</v>
      </c>
      <c r="BQ108" s="1083"/>
      <c r="BR108" s="1083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3" t="s">
        <v>369</v>
      </c>
      <c r="DM108" s="1083"/>
      <c r="DN108" s="1083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84"/>
      <c r="Z109" s="1084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5">
        <f>I$16</f>
        <v>0</v>
      </c>
      <c r="AM109" s="1085"/>
      <c r="AN109" s="1085"/>
      <c r="AO109" s="1085"/>
      <c r="AP109" s="1085"/>
      <c r="AQ109" s="1085"/>
      <c r="AR109" s="1085"/>
      <c r="AS109" s="1085"/>
      <c r="AT109" s="1085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4"/>
      <c r="BV109" s="1084"/>
      <c r="BW109" s="1084"/>
      <c r="BX109" s="1084"/>
      <c r="BY109" s="1084"/>
      <c r="BZ109" s="1084"/>
      <c r="CA109" s="1084"/>
      <c r="CB109" s="1084"/>
      <c r="CC109" s="1084"/>
      <c r="CD109" s="1084"/>
      <c r="CE109" s="1084"/>
      <c r="CF109" s="1084"/>
      <c r="CG109" s="1084"/>
      <c r="CH109" s="1085">
        <f>BE$16</f>
        <v>0</v>
      </c>
      <c r="CI109" s="1085"/>
      <c r="CJ109" s="1085"/>
      <c r="CK109" s="1085"/>
      <c r="CL109" s="1085"/>
      <c r="CM109" s="1085"/>
      <c r="CN109" s="1085"/>
      <c r="CO109" s="1085"/>
      <c r="CP109" s="1085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4"/>
      <c r="DR109" s="1084"/>
      <c r="DS109" s="1084"/>
      <c r="DT109" s="1084"/>
      <c r="DU109" s="1084"/>
      <c r="DV109" s="1084"/>
      <c r="DW109" s="1084"/>
      <c r="DX109" s="1084"/>
      <c r="DY109" s="1084"/>
      <c r="DZ109" s="1084"/>
      <c r="EA109" s="1084"/>
      <c r="EB109" s="1084"/>
      <c r="EC109" s="1084"/>
      <c r="ED109" s="1085">
        <f>DA$16</f>
        <v>0</v>
      </c>
      <c r="EE109" s="1085"/>
      <c r="EF109" s="1085"/>
      <c r="EG109" s="1085"/>
      <c r="EH109" s="1085"/>
      <c r="EI109" s="1085"/>
      <c r="EJ109" s="1085"/>
      <c r="EK109" s="1085"/>
      <c r="EL109" s="1085"/>
      <c r="EM109" s="211"/>
    </row>
    <row r="110" spans="1:143">
      <c r="A110" s="178"/>
      <c r="Y110" s="1059" t="s">
        <v>5</v>
      </c>
      <c r="Z110" s="1059"/>
      <c r="AA110" s="1059"/>
      <c r="AB110" s="1059"/>
      <c r="AC110" s="1059"/>
      <c r="AD110" s="1059"/>
      <c r="AE110" s="1059"/>
      <c r="AF110" s="1059"/>
      <c r="AG110" s="1059"/>
      <c r="AH110" s="1059"/>
      <c r="AI110" s="1059"/>
      <c r="AJ110" s="1059"/>
      <c r="AK110" s="1059"/>
      <c r="AL110" s="1059" t="s">
        <v>688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9" t="s">
        <v>5</v>
      </c>
      <c r="BV110" s="1059"/>
      <c r="BW110" s="1059"/>
      <c r="BX110" s="1059"/>
      <c r="BY110" s="1059"/>
      <c r="BZ110" s="1059"/>
      <c r="CA110" s="1059"/>
      <c r="CB110" s="1059"/>
      <c r="CC110" s="1059"/>
      <c r="CD110" s="1059"/>
      <c r="CE110" s="1059"/>
      <c r="CF110" s="1059"/>
      <c r="CG110" s="1059"/>
      <c r="CH110" s="1059" t="s">
        <v>688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9" t="s">
        <v>5</v>
      </c>
      <c r="DR110" s="1059"/>
      <c r="DS110" s="1059"/>
      <c r="DT110" s="1059"/>
      <c r="DU110" s="1059"/>
      <c r="DV110" s="1059"/>
      <c r="DW110" s="1059"/>
      <c r="DX110" s="1059"/>
      <c r="DY110" s="1059"/>
      <c r="DZ110" s="1059"/>
      <c r="EA110" s="1059"/>
      <c r="EB110" s="1059"/>
      <c r="EC110" s="1059"/>
      <c r="ED110" s="1059" t="s">
        <v>688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2"/>
    </row>
    <row r="111" spans="1:143" ht="15.75">
      <c r="A111" s="178"/>
      <c r="Y111" s="1101"/>
      <c r="Z111" s="1101"/>
      <c r="AA111" s="1101"/>
      <c r="AB111" s="1101"/>
      <c r="AC111" s="1101"/>
      <c r="AD111" s="1101"/>
      <c r="AE111" s="1101"/>
      <c r="AF111" s="1101"/>
      <c r="AG111" s="1101"/>
      <c r="AH111" s="1101"/>
      <c r="AI111" s="1101"/>
      <c r="AJ111" s="1101"/>
      <c r="AK111" s="1101"/>
      <c r="AL111" s="1101"/>
      <c r="AM111" s="1101"/>
      <c r="AN111" s="1101"/>
      <c r="AO111" s="1101"/>
      <c r="AP111" s="1101"/>
      <c r="AQ111" s="1101"/>
      <c r="AR111" s="1101"/>
      <c r="AS111" s="1101"/>
      <c r="AT111" s="1101"/>
      <c r="AU111" s="110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1"/>
      <c r="BV111" s="1101"/>
      <c r="BW111" s="1101"/>
      <c r="BX111" s="1101"/>
      <c r="BY111" s="1101"/>
      <c r="BZ111" s="1101"/>
      <c r="CA111" s="1101"/>
      <c r="CB111" s="1101"/>
      <c r="CC111" s="1101"/>
      <c r="CD111" s="1101"/>
      <c r="CE111" s="1101"/>
      <c r="CF111" s="1101"/>
      <c r="CG111" s="1101"/>
      <c r="CH111" s="1101"/>
      <c r="CI111" s="1101"/>
      <c r="CJ111" s="1101"/>
      <c r="CK111" s="1101"/>
      <c r="CL111" s="1101"/>
      <c r="CM111" s="1101"/>
      <c r="CN111" s="1101"/>
      <c r="CO111" s="1101"/>
      <c r="CP111" s="1101"/>
      <c r="CQ111" s="110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1"/>
      <c r="DR111" s="1101"/>
      <c r="DS111" s="1101"/>
      <c r="DT111" s="1101"/>
      <c r="DU111" s="1101"/>
      <c r="DV111" s="1101"/>
      <c r="DW111" s="1101"/>
      <c r="DX111" s="1101"/>
      <c r="DY111" s="1101"/>
      <c r="DZ111" s="1101"/>
      <c r="EA111" s="1101"/>
      <c r="EB111" s="1101"/>
      <c r="EC111" s="1101"/>
      <c r="ED111" s="1101"/>
      <c r="EE111" s="1101"/>
      <c r="EF111" s="1101"/>
      <c r="EG111" s="1101"/>
      <c r="EH111" s="1101"/>
      <c r="EI111" s="1101"/>
      <c r="EJ111" s="1101"/>
      <c r="EK111" s="1101"/>
      <c r="EL111" s="1101"/>
      <c r="EM111" s="1101"/>
    </row>
    <row r="112" spans="1:143" ht="15.75" customHeight="1">
      <c r="A112" s="178"/>
      <c r="Y112" s="1081" t="s">
        <v>978</v>
      </c>
      <c r="Z112" s="1082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1" t="s">
        <v>978</v>
      </c>
      <c r="BV112" s="1082"/>
      <c r="BW112" s="1082"/>
      <c r="BX112" s="1082"/>
      <c r="BY112" s="1082"/>
      <c r="BZ112" s="1082"/>
      <c r="CA112" s="1082"/>
      <c r="CB112" s="1082"/>
      <c r="CC112" s="1082"/>
      <c r="CD112" s="1082"/>
      <c r="CE112" s="1082"/>
      <c r="CF112" s="1082"/>
      <c r="CG112" s="1082"/>
      <c r="CH112" s="1082"/>
      <c r="CI112" s="1082"/>
      <c r="CJ112" s="1082"/>
      <c r="CK112" s="1082"/>
      <c r="CL112" s="1082"/>
      <c r="CM112" s="1082"/>
      <c r="CN112" s="1082"/>
      <c r="CO112" s="1082"/>
      <c r="CP112" s="1082"/>
      <c r="CQ112" s="108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1" t="s">
        <v>978</v>
      </c>
      <c r="DR112" s="1082"/>
      <c r="DS112" s="1082"/>
      <c r="DT112" s="1082"/>
      <c r="DU112" s="1082"/>
      <c r="DV112" s="1082"/>
      <c r="DW112" s="1082"/>
      <c r="DX112" s="1082"/>
      <c r="DY112" s="1082"/>
      <c r="DZ112" s="1082"/>
      <c r="EA112" s="1082"/>
      <c r="EB112" s="1082"/>
      <c r="EC112" s="1082"/>
      <c r="ED112" s="1082"/>
      <c r="EE112" s="1082"/>
      <c r="EF112" s="1082"/>
      <c r="EG112" s="1082"/>
      <c r="EH112" s="1082"/>
      <c r="EI112" s="1082"/>
      <c r="EJ112" s="1082"/>
      <c r="EK112" s="1082"/>
      <c r="EL112" s="1082"/>
      <c r="EM112" s="1082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3"/>
      <c r="AI113" s="1083"/>
      <c r="AJ113" s="1083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3"/>
      <c r="CE113" s="1083"/>
      <c r="CF113" s="1083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3"/>
      <c r="EA113" s="1083"/>
      <c r="EB113" s="1083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7" t="s">
        <v>843</v>
      </c>
      <c r="X115" s="1087"/>
      <c r="Y115" s="1087"/>
      <c r="Z115" s="1087"/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7" t="s">
        <v>843</v>
      </c>
      <c r="BT115" s="1087"/>
      <c r="BU115" s="1087"/>
      <c r="BV115" s="1087"/>
      <c r="BW115" s="1087"/>
      <c r="BX115" s="1087"/>
      <c r="BY115" s="1087"/>
      <c r="BZ115" s="1087"/>
      <c r="CA115" s="1087"/>
      <c r="CB115" s="1087"/>
      <c r="CC115" s="1087"/>
      <c r="CD115" s="1087"/>
      <c r="CE115" s="1087"/>
      <c r="CF115" s="1087"/>
      <c r="CG115" s="1087"/>
      <c r="CH115" s="1087"/>
      <c r="CI115" s="1087"/>
      <c r="CJ115" s="1087"/>
      <c r="CK115" s="1087"/>
      <c r="CL115" s="1087"/>
      <c r="CM115" s="1087"/>
      <c r="CN115" s="1087"/>
      <c r="CO115" s="1087"/>
      <c r="CP115" s="1087"/>
      <c r="CQ115" s="1087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7" t="s">
        <v>843</v>
      </c>
      <c r="DP115" s="1087"/>
      <c r="DQ115" s="1087"/>
      <c r="DR115" s="1087"/>
      <c r="DS115" s="1087"/>
      <c r="DT115" s="1087"/>
      <c r="DU115" s="1087"/>
      <c r="DV115" s="1087"/>
      <c r="DW115" s="1087"/>
      <c r="DX115" s="1087"/>
      <c r="DY115" s="1087"/>
      <c r="DZ115" s="1087"/>
      <c r="EA115" s="1087"/>
      <c r="EB115" s="1087"/>
      <c r="EC115" s="1087"/>
      <c r="ED115" s="1087"/>
      <c r="EE115" s="1087"/>
      <c r="EF115" s="1087"/>
      <c r="EG115" s="1087"/>
      <c r="EH115" s="1087"/>
      <c r="EI115" s="1087"/>
      <c r="EJ115" s="1087"/>
      <c r="EK115" s="1087"/>
      <c r="EL115" s="1087"/>
      <c r="EM115" s="1087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9" t="s">
        <v>551</v>
      </c>
      <c r="X116" s="1089"/>
      <c r="Y116" s="1089"/>
      <c r="Z116" s="1093">
        <f>$AF$33</f>
        <v>0</v>
      </c>
      <c r="AA116" s="1093"/>
      <c r="AB116" s="215" t="s">
        <v>524</v>
      </c>
      <c r="AC116" s="1093">
        <f>$AI$33</f>
        <v>0</v>
      </c>
      <c r="AD116" s="1093"/>
      <c r="AE116" s="1093"/>
      <c r="AF116" s="1093"/>
      <c r="AG116" s="1093"/>
      <c r="AH116" s="1093"/>
      <c r="AI116" s="1093"/>
      <c r="AJ116" s="1093">
        <f>$AP$33</f>
        <v>0</v>
      </c>
      <c r="AK116" s="1093"/>
      <c r="AL116" s="1093"/>
      <c r="AM116" s="1093"/>
      <c r="AN116" s="1091" t="s">
        <v>375</v>
      </c>
      <c r="AO116" s="1091"/>
      <c r="AP116" s="1092" t="s">
        <v>680</v>
      </c>
      <c r="AQ116" s="1092"/>
      <c r="AR116" s="1093">
        <f>$AB$29</f>
        <v>0</v>
      </c>
      <c r="AS116" s="1093"/>
      <c r="AT116" s="1093"/>
      <c r="AU116" s="1093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9" t="s">
        <v>551</v>
      </c>
      <c r="BT116" s="1089"/>
      <c r="BU116" s="1089"/>
      <c r="BV116" s="1093">
        <f>$AF$33</f>
        <v>0</v>
      </c>
      <c r="BW116" s="1093"/>
      <c r="BX116" s="215" t="s">
        <v>524</v>
      </c>
      <c r="BY116" s="1093">
        <f>$AI$33</f>
        <v>0</v>
      </c>
      <c r="BZ116" s="1093"/>
      <c r="CA116" s="1093"/>
      <c r="CB116" s="1093"/>
      <c r="CC116" s="1093"/>
      <c r="CD116" s="1093"/>
      <c r="CE116" s="1093"/>
      <c r="CF116" s="1093">
        <f>$AP$33</f>
        <v>0</v>
      </c>
      <c r="CG116" s="1093"/>
      <c r="CH116" s="1093"/>
      <c r="CI116" s="1093"/>
      <c r="CJ116" s="1091" t="s">
        <v>375</v>
      </c>
      <c r="CK116" s="1091"/>
      <c r="CL116" s="1092" t="s">
        <v>680</v>
      </c>
      <c r="CM116" s="1092"/>
      <c r="CN116" s="1093">
        <f>$AB$29</f>
        <v>0</v>
      </c>
      <c r="CO116" s="1093"/>
      <c r="CP116" s="1093"/>
      <c r="CQ116" s="1093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9" t="s">
        <v>551</v>
      </c>
      <c r="DP116" s="1089"/>
      <c r="DQ116" s="1089"/>
      <c r="DR116" s="1093">
        <f>$AF$33</f>
        <v>0</v>
      </c>
      <c r="DS116" s="1093"/>
      <c r="DT116" s="215" t="s">
        <v>524</v>
      </c>
      <c r="DU116" s="1093">
        <f>$AI$33</f>
        <v>0</v>
      </c>
      <c r="DV116" s="1093"/>
      <c r="DW116" s="1093"/>
      <c r="DX116" s="1093"/>
      <c r="DY116" s="1093"/>
      <c r="DZ116" s="1093"/>
      <c r="EA116" s="1093"/>
      <c r="EB116" s="1093">
        <f>$AP$33</f>
        <v>0</v>
      </c>
      <c r="EC116" s="1093"/>
      <c r="ED116" s="1093"/>
      <c r="EE116" s="1093"/>
      <c r="EF116" s="1091" t="s">
        <v>375</v>
      </c>
      <c r="EG116" s="1091"/>
      <c r="EH116" s="1092" t="s">
        <v>680</v>
      </c>
      <c r="EI116" s="1092"/>
      <c r="EJ116" s="1093">
        <f>$AB$29</f>
        <v>0</v>
      </c>
      <c r="EK116" s="1093"/>
      <c r="EL116" s="1093"/>
      <c r="EM116" s="1093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3"/>
      <c r="AI118" s="1083"/>
      <c r="AJ118" s="1083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3"/>
      <c r="CE118" s="1083"/>
      <c r="CF118" s="1083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3"/>
      <c r="EA118" s="1083"/>
      <c r="EB118" s="1083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68" t="s">
        <v>784</v>
      </c>
      <c r="C120" s="1068"/>
      <c r="D120" s="1068"/>
      <c r="E120" s="1068"/>
      <c r="F120" s="1068"/>
      <c r="G120" s="1068"/>
      <c r="H120" s="1068"/>
      <c r="I120" s="1068"/>
      <c r="J120" s="1068"/>
      <c r="K120" s="1068"/>
      <c r="L120" s="1068"/>
      <c r="M120" s="1068"/>
      <c r="N120" s="1068"/>
      <c r="O120" s="1068"/>
      <c r="P120" s="1068"/>
      <c r="Q120" s="1068"/>
      <c r="R120" s="1068"/>
      <c r="S120" s="1068"/>
      <c r="T120" s="1068"/>
      <c r="U120" s="1068"/>
      <c r="V120" s="1068"/>
      <c r="W120" s="1068"/>
      <c r="X120" s="1068"/>
      <c r="Y120" s="1068"/>
      <c r="Z120" s="1068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W120" s="178"/>
      <c r="AX120" s="1068" t="s">
        <v>784</v>
      </c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  <c r="BX120" s="1068"/>
      <c r="BY120" s="1068"/>
      <c r="BZ120" s="1068"/>
      <c r="CA120" s="1068"/>
      <c r="CB120" s="1068"/>
      <c r="CC120" s="1068"/>
      <c r="CD120" s="1068"/>
      <c r="CE120" s="1068"/>
      <c r="CF120" s="1068"/>
      <c r="CG120" s="1068"/>
      <c r="CH120" s="1068"/>
      <c r="CI120" s="1068"/>
      <c r="CJ120" s="1068"/>
      <c r="CK120" s="1068"/>
      <c r="CL120" s="1068"/>
      <c r="CM120" s="1068"/>
      <c r="CN120" s="1068"/>
      <c r="CO120" s="1068"/>
      <c r="CP120" s="1068"/>
      <c r="CQ120" s="1068"/>
      <c r="CS120" s="178"/>
      <c r="CT120" s="1068" t="s">
        <v>784</v>
      </c>
      <c r="CU120" s="1068"/>
      <c r="CV120" s="1068"/>
      <c r="CW120" s="1068"/>
      <c r="CX120" s="1068"/>
      <c r="CY120" s="1068"/>
      <c r="CZ120" s="1068"/>
      <c r="DA120" s="1068"/>
      <c r="DB120" s="1068"/>
      <c r="DC120" s="1068"/>
      <c r="DD120" s="1068"/>
      <c r="DE120" s="1068"/>
      <c r="DF120" s="1068"/>
      <c r="DG120" s="1068"/>
      <c r="DH120" s="1068"/>
      <c r="DI120" s="1068"/>
      <c r="DJ120" s="1068"/>
      <c r="DK120" s="1068"/>
      <c r="DL120" s="1068"/>
      <c r="DM120" s="1068"/>
      <c r="DN120" s="1068"/>
      <c r="DO120" s="1068"/>
      <c r="DP120" s="1068"/>
      <c r="DQ120" s="1068"/>
      <c r="DR120" s="1068"/>
      <c r="DS120" s="1068"/>
      <c r="DT120" s="1068"/>
      <c r="DU120" s="1068"/>
      <c r="DV120" s="1068"/>
      <c r="DW120" s="1068"/>
      <c r="DX120" s="1068"/>
      <c r="DY120" s="1068"/>
      <c r="DZ120" s="1068"/>
      <c r="EA120" s="1068"/>
      <c r="EB120" s="1068"/>
      <c r="EC120" s="1068"/>
      <c r="ED120" s="1068"/>
      <c r="EE120" s="1068"/>
      <c r="EF120" s="1068"/>
      <c r="EG120" s="1068"/>
      <c r="EH120" s="1068"/>
      <c r="EI120" s="1068"/>
      <c r="EJ120" s="1068"/>
      <c r="EK120" s="1068"/>
      <c r="EL120" s="1068"/>
      <c r="EM120" s="1068"/>
    </row>
    <row r="121" spans="1:143" ht="16.5" customHeight="1">
      <c r="A121" s="178"/>
      <c r="B121" s="1068" t="s">
        <v>785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785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785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6.5">
      <c r="A122" s="178"/>
      <c r="B122" s="1068"/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/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/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s="302" customFormat="1" ht="18.75" customHeight="1">
      <c r="A123" s="170"/>
      <c r="B123" s="1109">
        <f>I$25</f>
        <v>0</v>
      </c>
      <c r="C123" s="1109"/>
      <c r="D123" s="1109"/>
      <c r="E123" s="1109"/>
      <c r="F123" s="1109"/>
      <c r="G123" s="1109"/>
      <c r="H123" s="1109"/>
      <c r="I123" s="1109"/>
      <c r="J123" s="1109"/>
      <c r="K123" s="1109"/>
      <c r="L123" s="1109"/>
      <c r="M123" s="1109"/>
      <c r="N123" s="1109"/>
      <c r="O123" s="1109"/>
      <c r="P123" s="1109"/>
      <c r="Q123" s="1109"/>
      <c r="R123" s="1109"/>
      <c r="S123" s="1109"/>
      <c r="T123" s="1109"/>
      <c r="U123" s="1109"/>
      <c r="V123" s="1109"/>
      <c r="W123" s="1109"/>
      <c r="X123" s="1109"/>
      <c r="Y123" s="1109"/>
      <c r="Z123" s="170"/>
      <c r="AA123" s="170"/>
      <c r="AB123" s="170"/>
      <c r="AC123" s="1110" t="s">
        <v>845</v>
      </c>
      <c r="AD123" s="1110"/>
      <c r="AE123" s="1110"/>
      <c r="AF123" s="1111">
        <f>J$26</f>
        <v>0</v>
      </c>
      <c r="AG123" s="1111"/>
      <c r="AH123" s="191" t="s">
        <v>524</v>
      </c>
      <c r="AI123" s="1111">
        <f>O$26</f>
        <v>0</v>
      </c>
      <c r="AJ123" s="1111"/>
      <c r="AK123" s="1111"/>
      <c r="AL123" s="1111"/>
      <c r="AM123" s="1111"/>
      <c r="AN123" s="1111"/>
      <c r="AO123" s="1111"/>
      <c r="AP123" s="1111">
        <f>AK$26</f>
        <v>0</v>
      </c>
      <c r="AQ123" s="1111"/>
      <c r="AR123" s="1111"/>
      <c r="AS123" s="1111"/>
      <c r="AT123" s="1112" t="s">
        <v>375</v>
      </c>
      <c r="AU123" s="1112"/>
      <c r="AW123" s="170"/>
      <c r="AX123" s="1109">
        <f>BE$25</f>
        <v>0</v>
      </c>
      <c r="AY123" s="1109"/>
      <c r="AZ123" s="1109"/>
      <c r="BA123" s="1109"/>
      <c r="BB123" s="1109"/>
      <c r="BC123" s="1109"/>
      <c r="BD123" s="1109"/>
      <c r="BE123" s="1109"/>
      <c r="BF123" s="1109"/>
      <c r="BG123" s="1109"/>
      <c r="BH123" s="1109"/>
      <c r="BI123" s="1109"/>
      <c r="BJ123" s="1109"/>
      <c r="BK123" s="1109"/>
      <c r="BL123" s="1109"/>
      <c r="BM123" s="1109"/>
      <c r="BN123" s="1109"/>
      <c r="BO123" s="1109"/>
      <c r="BP123" s="1109"/>
      <c r="BQ123" s="1109"/>
      <c r="BR123" s="1109"/>
      <c r="BS123" s="1109"/>
      <c r="BT123" s="1109"/>
      <c r="BU123" s="1109"/>
      <c r="BV123" s="170"/>
      <c r="BW123" s="170"/>
      <c r="BX123" s="170"/>
      <c r="BY123" s="1110" t="s">
        <v>845</v>
      </c>
      <c r="BZ123" s="1110"/>
      <c r="CA123" s="1110"/>
      <c r="CB123" s="1111">
        <f>BF$26</f>
        <v>0</v>
      </c>
      <c r="CC123" s="1111"/>
      <c r="CD123" s="191" t="s">
        <v>524</v>
      </c>
      <c r="CE123" s="1111">
        <f>BK$26</f>
        <v>0</v>
      </c>
      <c r="CF123" s="1111"/>
      <c r="CG123" s="1111"/>
      <c r="CH123" s="1111"/>
      <c r="CI123" s="1111"/>
      <c r="CJ123" s="1111"/>
      <c r="CK123" s="1111"/>
      <c r="CL123" s="1111">
        <f>CG$26</f>
        <v>0</v>
      </c>
      <c r="CM123" s="1111"/>
      <c r="CN123" s="1111"/>
      <c r="CO123" s="1111"/>
      <c r="CP123" s="1112" t="s">
        <v>375</v>
      </c>
      <c r="CQ123" s="1112"/>
      <c r="CS123" s="170"/>
      <c r="CT123" s="1109">
        <f>DA$25</f>
        <v>0</v>
      </c>
      <c r="CU123" s="1109"/>
      <c r="CV123" s="1109"/>
      <c r="CW123" s="1109"/>
      <c r="CX123" s="1109"/>
      <c r="CY123" s="1109"/>
      <c r="CZ123" s="1109"/>
      <c r="DA123" s="1109"/>
      <c r="DB123" s="1109"/>
      <c r="DC123" s="1109"/>
      <c r="DD123" s="1109"/>
      <c r="DE123" s="1109"/>
      <c r="DF123" s="1109"/>
      <c r="DG123" s="1109"/>
      <c r="DH123" s="1109"/>
      <c r="DI123" s="1109"/>
      <c r="DJ123" s="1109"/>
      <c r="DK123" s="1109"/>
      <c r="DL123" s="1109"/>
      <c r="DM123" s="1109"/>
      <c r="DN123" s="1109"/>
      <c r="DO123" s="1109"/>
      <c r="DP123" s="1109"/>
      <c r="DQ123" s="1109"/>
      <c r="DR123" s="170"/>
      <c r="DS123" s="170"/>
      <c r="DT123" s="170"/>
      <c r="DU123" s="1110" t="s">
        <v>845</v>
      </c>
      <c r="DV123" s="1110"/>
      <c r="DW123" s="1110"/>
      <c r="DX123" s="1111">
        <f>DB$26</f>
        <v>0</v>
      </c>
      <c r="DY123" s="1111"/>
      <c r="DZ123" s="191" t="s">
        <v>524</v>
      </c>
      <c r="EA123" s="1111">
        <f>DG$26</f>
        <v>0</v>
      </c>
      <c r="EB123" s="1111"/>
      <c r="EC123" s="1111"/>
      <c r="ED123" s="1111"/>
      <c r="EE123" s="1111"/>
      <c r="EF123" s="1111"/>
      <c r="EG123" s="1111"/>
      <c r="EH123" s="1111">
        <f>EC$26</f>
        <v>0</v>
      </c>
      <c r="EI123" s="1111"/>
      <c r="EJ123" s="1111"/>
      <c r="EK123" s="1111"/>
      <c r="EL123" s="1112" t="s">
        <v>375</v>
      </c>
      <c r="EM123" s="1112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1" t="e">
        <f>I$6</f>
        <v>#VALUE!</v>
      </c>
      <c r="AT125" s="1161"/>
      <c r="AU125" s="1161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1" t="e">
        <f>BE$6</f>
        <v>#VALUE!</v>
      </c>
      <c r="CP125" s="1161"/>
      <c r="CQ125" s="1161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1" t="e">
        <f>DA$6</f>
        <v>#VALUE!</v>
      </c>
      <c r="EL125" s="1161"/>
      <c r="EM125" s="1161"/>
    </row>
    <row r="126" spans="1:143" ht="18.75">
      <c r="A126" s="178"/>
      <c r="B126" s="1162" t="s">
        <v>738</v>
      </c>
      <c r="C126" s="1162"/>
      <c r="D126" s="1162"/>
      <c r="E126" s="1162"/>
      <c r="F126" s="1162"/>
      <c r="G126" s="1162"/>
      <c r="H126" s="1162"/>
      <c r="I126" s="1162"/>
      <c r="J126" s="1162"/>
      <c r="K126" s="1162"/>
      <c r="L126" s="1162"/>
      <c r="M126" s="1162"/>
      <c r="N126" s="1162"/>
      <c r="O126" s="1162"/>
      <c r="P126" s="1162"/>
      <c r="Q126" s="1162"/>
      <c r="R126" s="1162"/>
      <c r="S126" s="1162"/>
      <c r="T126" s="1162"/>
      <c r="U126" s="1162"/>
      <c r="V126" s="1162"/>
      <c r="W126" s="1162"/>
      <c r="X126" s="1162"/>
      <c r="Y126" s="1162"/>
      <c r="Z126" s="1162"/>
      <c r="AA126" s="1162"/>
      <c r="AB126" s="1162"/>
      <c r="AC126" s="1162"/>
      <c r="AD126" s="1162"/>
      <c r="AE126" s="1162"/>
      <c r="AF126" s="1162"/>
      <c r="AG126" s="1162"/>
      <c r="AH126" s="1162"/>
      <c r="AI126" s="1162"/>
      <c r="AJ126" s="1162"/>
      <c r="AK126" s="1162"/>
      <c r="AL126" s="1162"/>
      <c r="AM126" s="1162"/>
      <c r="AN126" s="1162"/>
      <c r="AO126" s="1162"/>
      <c r="AP126" s="1162"/>
      <c r="AQ126" s="1162"/>
      <c r="AR126" s="1162"/>
      <c r="AS126" s="1162"/>
      <c r="AT126" s="1162"/>
      <c r="AU126" s="1162"/>
      <c r="AW126" s="178"/>
      <c r="AX126" s="1162" t="s">
        <v>738</v>
      </c>
      <c r="AY126" s="1162"/>
      <c r="AZ126" s="1162"/>
      <c r="BA126" s="1162"/>
      <c r="BB126" s="1162"/>
      <c r="BC126" s="1162"/>
      <c r="BD126" s="1162"/>
      <c r="BE126" s="1162"/>
      <c r="BF126" s="1162"/>
      <c r="BG126" s="1162"/>
      <c r="BH126" s="1162"/>
      <c r="BI126" s="1162"/>
      <c r="BJ126" s="1162"/>
      <c r="BK126" s="1162"/>
      <c r="BL126" s="1162"/>
      <c r="BM126" s="1162"/>
      <c r="BN126" s="1162"/>
      <c r="BO126" s="1162"/>
      <c r="BP126" s="1162"/>
      <c r="BQ126" s="1162"/>
      <c r="BR126" s="1162"/>
      <c r="BS126" s="1162"/>
      <c r="BT126" s="1162"/>
      <c r="BU126" s="1162"/>
      <c r="BV126" s="1162"/>
      <c r="BW126" s="1162"/>
      <c r="BX126" s="1162"/>
      <c r="BY126" s="1162"/>
      <c r="BZ126" s="1162"/>
      <c r="CA126" s="1162"/>
      <c r="CB126" s="1162"/>
      <c r="CC126" s="1162"/>
      <c r="CD126" s="1162"/>
      <c r="CE126" s="1162"/>
      <c r="CF126" s="1162"/>
      <c r="CG126" s="1162"/>
      <c r="CH126" s="1162"/>
      <c r="CI126" s="1162"/>
      <c r="CJ126" s="1162"/>
      <c r="CK126" s="1162"/>
      <c r="CL126" s="1162"/>
      <c r="CM126" s="1162"/>
      <c r="CN126" s="1162"/>
      <c r="CO126" s="1162"/>
      <c r="CP126" s="1162"/>
      <c r="CQ126" s="1162"/>
      <c r="CS126" s="178"/>
      <c r="CT126" s="1162" t="s">
        <v>738</v>
      </c>
      <c r="CU126" s="1162"/>
      <c r="CV126" s="1162"/>
      <c r="CW126" s="1162"/>
      <c r="CX126" s="1162"/>
      <c r="CY126" s="1162"/>
      <c r="CZ126" s="1162"/>
      <c r="DA126" s="1162"/>
      <c r="DB126" s="1162"/>
      <c r="DC126" s="1162"/>
      <c r="DD126" s="1162"/>
      <c r="DE126" s="1162"/>
      <c r="DF126" s="1162"/>
      <c r="DG126" s="1162"/>
      <c r="DH126" s="1162"/>
      <c r="DI126" s="1162"/>
      <c r="DJ126" s="1162"/>
      <c r="DK126" s="1162"/>
      <c r="DL126" s="1162"/>
      <c r="DM126" s="1162"/>
      <c r="DN126" s="1162"/>
      <c r="DO126" s="1162"/>
      <c r="DP126" s="1162"/>
      <c r="DQ126" s="1162"/>
      <c r="DR126" s="1162"/>
      <c r="DS126" s="1162"/>
      <c r="DT126" s="1162"/>
      <c r="DU126" s="1162"/>
      <c r="DV126" s="1162"/>
      <c r="DW126" s="1162"/>
      <c r="DX126" s="1162"/>
      <c r="DY126" s="1162"/>
      <c r="DZ126" s="1162"/>
      <c r="EA126" s="1162"/>
      <c r="EB126" s="1162"/>
      <c r="EC126" s="1162"/>
      <c r="ED126" s="1162"/>
      <c r="EE126" s="1162"/>
      <c r="EF126" s="1162"/>
      <c r="EG126" s="1162"/>
      <c r="EH126" s="1162"/>
      <c r="EI126" s="1162"/>
      <c r="EJ126" s="1162"/>
      <c r="EK126" s="1162"/>
      <c r="EL126" s="1162"/>
      <c r="EM126" s="1162"/>
    </row>
    <row r="127" spans="1:143" ht="18.75" customHeight="1">
      <c r="A127" s="178"/>
      <c r="B127" s="1163">
        <f>I$10</f>
        <v>0</v>
      </c>
      <c r="C127" s="1163"/>
      <c r="D127" s="1163"/>
      <c r="E127" s="1163"/>
      <c r="F127" s="1163"/>
      <c r="G127" s="1163"/>
      <c r="H127" s="1163"/>
      <c r="I127" s="1163"/>
      <c r="J127" s="1163"/>
      <c r="K127" s="1163"/>
      <c r="L127" s="1163"/>
      <c r="M127" s="1163"/>
      <c r="N127" s="1163"/>
      <c r="O127" s="1163"/>
      <c r="P127" s="1163"/>
      <c r="Q127" s="1163"/>
      <c r="R127" s="1163"/>
      <c r="S127" s="1163"/>
      <c r="T127" s="1163"/>
      <c r="U127" s="1163"/>
      <c r="V127" s="1163"/>
      <c r="W127" s="1163"/>
      <c r="X127" s="1163"/>
      <c r="Y127" s="1163"/>
      <c r="Z127" s="1163"/>
      <c r="AA127" s="1163"/>
      <c r="AB127" s="1163"/>
      <c r="AC127" s="1163"/>
      <c r="AD127" s="1163"/>
      <c r="AE127" s="1163"/>
      <c r="AF127" s="1163"/>
      <c r="AG127" s="1163"/>
      <c r="AH127" s="1163"/>
      <c r="AI127" s="1163"/>
      <c r="AJ127" s="1164" t="s">
        <v>739</v>
      </c>
      <c r="AK127" s="1164"/>
      <c r="AL127" s="1164"/>
      <c r="AM127" s="1164"/>
      <c r="AN127" s="1164"/>
      <c r="AO127" s="1164"/>
      <c r="AP127" s="1164"/>
      <c r="AQ127" s="1164"/>
      <c r="AR127" s="1164"/>
      <c r="AS127" s="1164"/>
      <c r="AT127" s="1164"/>
      <c r="AU127" s="1164"/>
      <c r="AW127" s="178"/>
      <c r="AX127" s="1163">
        <f>BE$10</f>
        <v>0</v>
      </c>
      <c r="AY127" s="1163"/>
      <c r="AZ127" s="1163"/>
      <c r="BA127" s="1163"/>
      <c r="BB127" s="1163"/>
      <c r="BC127" s="1163"/>
      <c r="BD127" s="1163"/>
      <c r="BE127" s="1163"/>
      <c r="BF127" s="1163"/>
      <c r="BG127" s="1163"/>
      <c r="BH127" s="1163"/>
      <c r="BI127" s="1163"/>
      <c r="BJ127" s="1163"/>
      <c r="BK127" s="1163"/>
      <c r="BL127" s="1163"/>
      <c r="BM127" s="1163"/>
      <c r="BN127" s="1163"/>
      <c r="BO127" s="1163"/>
      <c r="BP127" s="1163"/>
      <c r="BQ127" s="1163"/>
      <c r="BR127" s="1163"/>
      <c r="BS127" s="1163"/>
      <c r="BT127" s="1163"/>
      <c r="BU127" s="1163"/>
      <c r="BV127" s="1163"/>
      <c r="BW127" s="1163"/>
      <c r="BX127" s="1163"/>
      <c r="BY127" s="1163"/>
      <c r="BZ127" s="1163"/>
      <c r="CA127" s="1163"/>
      <c r="CB127" s="1163"/>
      <c r="CC127" s="1163"/>
      <c r="CD127" s="1163"/>
      <c r="CE127" s="1163"/>
      <c r="CF127" s="1164" t="s">
        <v>739</v>
      </c>
      <c r="CG127" s="1164"/>
      <c r="CH127" s="1164"/>
      <c r="CI127" s="1164"/>
      <c r="CJ127" s="1164"/>
      <c r="CK127" s="1164"/>
      <c r="CL127" s="1164"/>
      <c r="CM127" s="1164"/>
      <c r="CN127" s="1164"/>
      <c r="CO127" s="1164"/>
      <c r="CP127" s="1164"/>
      <c r="CQ127" s="1164"/>
      <c r="CS127" s="178"/>
      <c r="CT127" s="1163">
        <f>DA$10</f>
        <v>0</v>
      </c>
      <c r="CU127" s="1163"/>
      <c r="CV127" s="1163"/>
      <c r="CW127" s="1163"/>
      <c r="CX127" s="1163"/>
      <c r="CY127" s="1163"/>
      <c r="CZ127" s="1163"/>
      <c r="DA127" s="1163"/>
      <c r="DB127" s="1163"/>
      <c r="DC127" s="1163"/>
      <c r="DD127" s="1163"/>
      <c r="DE127" s="1163"/>
      <c r="DF127" s="1163"/>
      <c r="DG127" s="1163"/>
      <c r="DH127" s="1163"/>
      <c r="DI127" s="1163"/>
      <c r="DJ127" s="1163"/>
      <c r="DK127" s="1163"/>
      <c r="DL127" s="1163"/>
      <c r="DM127" s="1163"/>
      <c r="DN127" s="1163"/>
      <c r="DO127" s="1163"/>
      <c r="DP127" s="1163"/>
      <c r="DQ127" s="1163"/>
      <c r="DR127" s="1163"/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4" t="s">
        <v>739</v>
      </c>
      <c r="EC127" s="1164"/>
      <c r="ED127" s="1164"/>
      <c r="EE127" s="1164"/>
      <c r="EF127" s="1164"/>
      <c r="EG127" s="1164"/>
      <c r="EH127" s="1164"/>
      <c r="EI127" s="1164"/>
      <c r="EJ127" s="1164"/>
      <c r="EK127" s="1164"/>
      <c r="EL127" s="1164"/>
      <c r="EM127" s="1164"/>
    </row>
    <row r="128" spans="1:143" ht="60" customHeight="1">
      <c r="A128" s="178"/>
      <c r="B128" s="1077" t="s">
        <v>786</v>
      </c>
      <c r="C128" s="1077"/>
      <c r="D128" s="1077"/>
      <c r="E128" s="1077"/>
      <c r="F128" s="1077"/>
      <c r="G128" s="1077"/>
      <c r="H128" s="1077"/>
      <c r="I128" s="1077"/>
      <c r="J128" s="1077"/>
      <c r="K128" s="1077"/>
      <c r="L128" s="1077"/>
      <c r="M128" s="1077"/>
      <c r="N128" s="1077"/>
      <c r="O128" s="1077"/>
      <c r="P128" s="1077"/>
      <c r="Q128" s="1077"/>
      <c r="R128" s="1077"/>
      <c r="S128" s="1077"/>
      <c r="T128" s="1077"/>
      <c r="U128" s="1077"/>
      <c r="V128" s="1077"/>
      <c r="W128" s="1077"/>
      <c r="X128" s="1077"/>
      <c r="Y128" s="1077"/>
      <c r="Z128" s="1077"/>
      <c r="AA128" s="1077"/>
      <c r="AB128" s="1077"/>
      <c r="AC128" s="1077"/>
      <c r="AD128" s="1077"/>
      <c r="AE128" s="1077"/>
      <c r="AF128" s="1077"/>
      <c r="AG128" s="1077"/>
      <c r="AH128" s="1077"/>
      <c r="AI128" s="1077"/>
      <c r="AJ128" s="1077"/>
      <c r="AK128" s="1077"/>
      <c r="AL128" s="1077"/>
      <c r="AM128" s="1077"/>
      <c r="AN128" s="1077"/>
      <c r="AO128" s="1077"/>
      <c r="AP128" s="1077"/>
      <c r="AQ128" s="1077"/>
      <c r="AR128" s="1077"/>
      <c r="AS128" s="1077"/>
      <c r="AT128" s="1077"/>
      <c r="AU128" s="1077"/>
      <c r="AW128" s="178"/>
      <c r="AX128" s="1077" t="s">
        <v>786</v>
      </c>
      <c r="AY128" s="1077"/>
      <c r="AZ128" s="1077"/>
      <c r="BA128" s="1077"/>
      <c r="BB128" s="1077"/>
      <c r="BC128" s="1077"/>
      <c r="BD128" s="1077"/>
      <c r="BE128" s="1077"/>
      <c r="BF128" s="1077"/>
      <c r="BG128" s="1077"/>
      <c r="BH128" s="1077"/>
      <c r="BI128" s="1077"/>
      <c r="BJ128" s="1077"/>
      <c r="BK128" s="1077"/>
      <c r="BL128" s="1077"/>
      <c r="BM128" s="1077"/>
      <c r="BN128" s="1077"/>
      <c r="BO128" s="1077"/>
      <c r="BP128" s="1077"/>
      <c r="BQ128" s="1077"/>
      <c r="BR128" s="1077"/>
      <c r="BS128" s="1077"/>
      <c r="BT128" s="1077"/>
      <c r="BU128" s="1077"/>
      <c r="BV128" s="1077"/>
      <c r="BW128" s="1077"/>
      <c r="BX128" s="1077"/>
      <c r="BY128" s="1077"/>
      <c r="BZ128" s="1077"/>
      <c r="CA128" s="1077"/>
      <c r="CB128" s="1077"/>
      <c r="CC128" s="1077"/>
      <c r="CD128" s="1077"/>
      <c r="CE128" s="1077"/>
      <c r="CF128" s="1077"/>
      <c r="CG128" s="1077"/>
      <c r="CH128" s="1077"/>
      <c r="CI128" s="1077"/>
      <c r="CJ128" s="1077"/>
      <c r="CK128" s="1077"/>
      <c r="CL128" s="1077"/>
      <c r="CM128" s="1077"/>
      <c r="CN128" s="1077"/>
      <c r="CO128" s="1077"/>
      <c r="CP128" s="1077"/>
      <c r="CQ128" s="1077"/>
      <c r="CS128" s="178"/>
      <c r="CT128" s="1077" t="s">
        <v>786</v>
      </c>
      <c r="CU128" s="1077"/>
      <c r="CV128" s="1077"/>
      <c r="CW128" s="1077"/>
      <c r="CX128" s="1077"/>
      <c r="CY128" s="1077"/>
      <c r="CZ128" s="1077"/>
      <c r="DA128" s="1077"/>
      <c r="DB128" s="1077"/>
      <c r="DC128" s="1077"/>
      <c r="DD128" s="1077"/>
      <c r="DE128" s="1077"/>
      <c r="DF128" s="1077"/>
      <c r="DG128" s="1077"/>
      <c r="DH128" s="1077"/>
      <c r="DI128" s="1077"/>
      <c r="DJ128" s="1077"/>
      <c r="DK128" s="1077"/>
      <c r="DL128" s="1077"/>
      <c r="DM128" s="1077"/>
      <c r="DN128" s="1077"/>
      <c r="DO128" s="1077"/>
      <c r="DP128" s="1077"/>
      <c r="DQ128" s="1077"/>
      <c r="DR128" s="1077"/>
      <c r="DS128" s="1077"/>
      <c r="DT128" s="1077"/>
      <c r="DU128" s="1077"/>
      <c r="DV128" s="1077"/>
      <c r="DW128" s="1077"/>
      <c r="DX128" s="1077"/>
      <c r="DY128" s="1077"/>
      <c r="DZ128" s="1077"/>
      <c r="EA128" s="1077"/>
      <c r="EB128" s="1077"/>
      <c r="EC128" s="1077"/>
      <c r="ED128" s="1077"/>
      <c r="EE128" s="1077"/>
      <c r="EF128" s="1077"/>
      <c r="EG128" s="1077"/>
      <c r="EH128" s="1077"/>
      <c r="EI128" s="1077"/>
      <c r="EJ128" s="1077"/>
      <c r="EK128" s="1077"/>
      <c r="EL128" s="1077"/>
      <c r="EM128" s="1077"/>
    </row>
    <row r="129" spans="1:143" ht="18.75">
      <c r="A129" s="178"/>
      <c r="B129" s="1069">
        <f>I$16</f>
        <v>0</v>
      </c>
      <c r="C129" s="1069"/>
      <c r="D129" s="1069"/>
      <c r="E129" s="1069"/>
      <c r="F129" s="1069"/>
      <c r="G129" s="1069"/>
      <c r="H129" s="1069"/>
      <c r="I129" s="1069"/>
      <c r="J129" s="1069"/>
      <c r="K129" s="1069"/>
      <c r="L129" s="1069"/>
      <c r="M129" s="1069"/>
      <c r="N129" s="1069"/>
      <c r="O129" s="1069"/>
      <c r="P129" s="1069"/>
      <c r="Q129" s="1069"/>
      <c r="R129" s="1069"/>
      <c r="S129" s="1069"/>
      <c r="T129" s="1069"/>
      <c r="U129" s="1069"/>
      <c r="V129" s="1069"/>
      <c r="W129" s="1069"/>
      <c r="X129" s="1069"/>
      <c r="Y129" s="1069"/>
      <c r="Z129" s="1069"/>
      <c r="AA129" s="1069"/>
      <c r="AB129" s="1069"/>
      <c r="AC129" s="1069"/>
      <c r="AD129" s="1069"/>
      <c r="AE129" s="1069"/>
      <c r="AF129" s="1069"/>
      <c r="AG129" s="1069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69">
        <f>BE$16</f>
        <v>0</v>
      </c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  <c r="BX129" s="1069"/>
      <c r="BY129" s="1069"/>
      <c r="BZ129" s="1069"/>
      <c r="CA129" s="1069"/>
      <c r="CB129" s="1069"/>
      <c r="CC129" s="1069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69">
        <f>DA$16</f>
        <v>0</v>
      </c>
      <c r="CU129" s="1069"/>
      <c r="CV129" s="1069"/>
      <c r="CW129" s="1069"/>
      <c r="CX129" s="1069"/>
      <c r="CY129" s="1069"/>
      <c r="CZ129" s="1069"/>
      <c r="DA129" s="1069"/>
      <c r="DB129" s="1069"/>
      <c r="DC129" s="1069"/>
      <c r="DD129" s="1069"/>
      <c r="DE129" s="1069"/>
      <c r="DF129" s="1069"/>
      <c r="DG129" s="1069"/>
      <c r="DH129" s="1069"/>
      <c r="DI129" s="1069"/>
      <c r="DJ129" s="1069"/>
      <c r="DK129" s="1069"/>
      <c r="DL129" s="1069"/>
      <c r="DM129" s="1069"/>
      <c r="DN129" s="1069"/>
      <c r="DO129" s="1069"/>
      <c r="DP129" s="1069"/>
      <c r="DQ129" s="1069"/>
      <c r="DR129" s="1069"/>
      <c r="DS129" s="1069"/>
      <c r="DT129" s="1069"/>
      <c r="DU129" s="1069"/>
      <c r="DV129" s="1069"/>
      <c r="DW129" s="1069"/>
      <c r="DX129" s="1069"/>
      <c r="DY129" s="1069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77" t="s">
        <v>788</v>
      </c>
      <c r="C130" s="1077"/>
      <c r="D130" s="1077"/>
      <c r="E130" s="1077"/>
      <c r="F130" s="1077"/>
      <c r="G130" s="1077"/>
      <c r="H130" s="1077"/>
      <c r="I130" s="1077"/>
      <c r="J130" s="1077"/>
      <c r="K130" s="1077"/>
      <c r="L130" s="1077"/>
      <c r="M130" s="1077"/>
      <c r="N130" s="1077"/>
      <c r="O130" s="1077"/>
      <c r="P130" s="1077"/>
      <c r="Q130" s="1077"/>
      <c r="R130" s="1077"/>
      <c r="S130" s="1077"/>
      <c r="T130" s="1077"/>
      <c r="U130" s="1077"/>
      <c r="V130" s="1077"/>
      <c r="W130" s="1077"/>
      <c r="X130" s="1077"/>
      <c r="Y130" s="1077"/>
      <c r="Z130" s="1077"/>
      <c r="AA130" s="1077"/>
      <c r="AB130" s="1077"/>
      <c r="AC130" s="1077"/>
      <c r="AD130" s="1077"/>
      <c r="AE130" s="1077"/>
      <c r="AF130" s="1077"/>
      <c r="AG130" s="1077"/>
      <c r="AH130" s="1077"/>
      <c r="AI130" s="1077"/>
      <c r="AJ130" s="1077"/>
      <c r="AK130" s="1077"/>
      <c r="AL130" s="1077"/>
      <c r="AM130" s="1077"/>
      <c r="AN130" s="1077"/>
      <c r="AO130" s="1077"/>
      <c r="AP130" s="1077"/>
      <c r="AQ130" s="1077"/>
      <c r="AR130" s="1077"/>
      <c r="AS130" s="1077"/>
      <c r="AT130" s="1077"/>
      <c r="AU130" s="1077"/>
      <c r="AW130" s="178"/>
      <c r="AX130" s="1077" t="s">
        <v>788</v>
      </c>
      <c r="AY130" s="1077"/>
      <c r="AZ130" s="1077"/>
      <c r="BA130" s="1077"/>
      <c r="BB130" s="1077"/>
      <c r="BC130" s="1077"/>
      <c r="BD130" s="1077"/>
      <c r="BE130" s="1077"/>
      <c r="BF130" s="1077"/>
      <c r="BG130" s="1077"/>
      <c r="BH130" s="1077"/>
      <c r="BI130" s="1077"/>
      <c r="BJ130" s="1077"/>
      <c r="BK130" s="1077"/>
      <c r="BL130" s="1077"/>
      <c r="BM130" s="1077"/>
      <c r="BN130" s="1077"/>
      <c r="BO130" s="1077"/>
      <c r="BP130" s="1077"/>
      <c r="BQ130" s="1077"/>
      <c r="BR130" s="1077"/>
      <c r="BS130" s="1077"/>
      <c r="BT130" s="1077"/>
      <c r="BU130" s="1077"/>
      <c r="BV130" s="1077"/>
      <c r="BW130" s="1077"/>
      <c r="BX130" s="1077"/>
      <c r="BY130" s="1077"/>
      <c r="BZ130" s="1077"/>
      <c r="CA130" s="1077"/>
      <c r="CB130" s="1077"/>
      <c r="CC130" s="1077"/>
      <c r="CD130" s="1077"/>
      <c r="CE130" s="1077"/>
      <c r="CF130" s="1077"/>
      <c r="CG130" s="1077"/>
      <c r="CH130" s="1077"/>
      <c r="CI130" s="1077"/>
      <c r="CJ130" s="1077"/>
      <c r="CK130" s="1077"/>
      <c r="CL130" s="1077"/>
      <c r="CM130" s="1077"/>
      <c r="CN130" s="1077"/>
      <c r="CO130" s="1077"/>
      <c r="CP130" s="1077"/>
      <c r="CQ130" s="1077"/>
      <c r="CS130" s="178"/>
      <c r="CT130" s="1077" t="s">
        <v>788</v>
      </c>
      <c r="CU130" s="1077"/>
      <c r="CV130" s="1077"/>
      <c r="CW130" s="1077"/>
      <c r="CX130" s="1077"/>
      <c r="CY130" s="1077"/>
      <c r="CZ130" s="1077"/>
      <c r="DA130" s="1077"/>
      <c r="DB130" s="1077"/>
      <c r="DC130" s="1077"/>
      <c r="DD130" s="1077"/>
      <c r="DE130" s="1077"/>
      <c r="DF130" s="1077"/>
      <c r="DG130" s="1077"/>
      <c r="DH130" s="1077"/>
      <c r="DI130" s="1077"/>
      <c r="DJ130" s="1077"/>
      <c r="DK130" s="1077"/>
      <c r="DL130" s="1077"/>
      <c r="DM130" s="1077"/>
      <c r="DN130" s="1077"/>
      <c r="DO130" s="1077"/>
      <c r="DP130" s="1077"/>
      <c r="DQ130" s="1077"/>
      <c r="DR130" s="1077"/>
      <c r="DS130" s="1077"/>
      <c r="DT130" s="1077"/>
      <c r="DU130" s="1077"/>
      <c r="DV130" s="1077"/>
      <c r="DW130" s="1077"/>
      <c r="DX130" s="1077"/>
      <c r="DY130" s="1077"/>
      <c r="DZ130" s="1077"/>
      <c r="EA130" s="1077"/>
      <c r="EB130" s="1077"/>
      <c r="EC130" s="1077"/>
      <c r="ED130" s="1077"/>
      <c r="EE130" s="1077"/>
      <c r="EF130" s="1077"/>
      <c r="EG130" s="1077"/>
      <c r="EH130" s="1077"/>
      <c r="EI130" s="1077"/>
      <c r="EJ130" s="1077"/>
      <c r="EK130" s="1077"/>
      <c r="EL130" s="1077"/>
      <c r="EM130" s="1077"/>
    </row>
    <row r="131" spans="1:143" ht="18.75" customHeight="1">
      <c r="A131" s="178"/>
      <c r="B131" s="1070" t="s">
        <v>789</v>
      </c>
      <c r="C131" s="1070"/>
      <c r="D131" s="1070"/>
      <c r="E131" s="1070"/>
      <c r="F131" s="1070"/>
      <c r="G131" s="1070"/>
      <c r="H131" s="1070"/>
      <c r="I131" s="1070"/>
      <c r="J131" s="1070"/>
      <c r="K131" s="1070"/>
      <c r="L131" s="1070"/>
      <c r="M131" s="1070"/>
      <c r="N131" s="1071" t="str">
        <f>"c "&amp;J$11&amp;" "&amp;O11&amp;" "&amp;AK11&amp;" года"</f>
        <v>c    года</v>
      </c>
      <c r="O131" s="1071"/>
      <c r="P131" s="1071"/>
      <c r="Q131" s="1071"/>
      <c r="R131" s="1071"/>
      <c r="S131" s="1071"/>
      <c r="T131" s="1071"/>
      <c r="U131" s="1071"/>
      <c r="V131" s="1071"/>
      <c r="W131" s="1071"/>
      <c r="X131" s="1071"/>
      <c r="Y131" s="1071"/>
      <c r="Z131" s="1071"/>
      <c r="AA131" s="1071"/>
      <c r="AB131" s="1071"/>
      <c r="AC131" s="1070" t="s">
        <v>790</v>
      </c>
      <c r="AD131" s="1070"/>
      <c r="AE131" s="1070"/>
      <c r="AF131" s="1071" t="str">
        <f>J$12&amp;" "&amp;O12&amp;" "&amp;AK12&amp;" года"</f>
        <v xml:space="preserve">   года</v>
      </c>
      <c r="AG131" s="1071"/>
      <c r="AH131" s="1071"/>
      <c r="AI131" s="1071"/>
      <c r="AJ131" s="1071"/>
      <c r="AK131" s="1071"/>
      <c r="AL131" s="1071"/>
      <c r="AM131" s="1071"/>
      <c r="AN131" s="1071"/>
      <c r="AO131" s="1071"/>
      <c r="AP131" s="1071"/>
      <c r="AQ131" s="1071"/>
      <c r="AR131" s="1071"/>
      <c r="AS131" s="1071"/>
      <c r="AT131" s="1071"/>
      <c r="AU131" s="1071"/>
      <c r="AW131" s="178"/>
      <c r="AX131" s="1070" t="s">
        <v>789</v>
      </c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1" t="str">
        <f>"c "&amp;BF$11&amp;" "&amp;BK11&amp;" "&amp;CG11&amp;" года"</f>
        <v>c    года</v>
      </c>
      <c r="BK131" s="1071"/>
      <c r="BL131" s="1071"/>
      <c r="BM131" s="1071"/>
      <c r="BN131" s="1071"/>
      <c r="BO131" s="1071"/>
      <c r="BP131" s="1071"/>
      <c r="BQ131" s="1071"/>
      <c r="BR131" s="1071"/>
      <c r="BS131" s="1071"/>
      <c r="BT131" s="1071"/>
      <c r="BU131" s="1071"/>
      <c r="BV131" s="1071"/>
      <c r="BW131" s="1071"/>
      <c r="BX131" s="1071"/>
      <c r="BY131" s="1070" t="s">
        <v>790</v>
      </c>
      <c r="BZ131" s="1070"/>
      <c r="CA131" s="1070"/>
      <c r="CB131" s="1071" t="str">
        <f>BF$12&amp;" "&amp;BK12&amp;" "&amp;CG12&amp;" года"</f>
        <v xml:space="preserve">   года</v>
      </c>
      <c r="CC131" s="1071"/>
      <c r="CD131" s="1071"/>
      <c r="CE131" s="1071"/>
      <c r="CF131" s="1071"/>
      <c r="CG131" s="1071"/>
      <c r="CH131" s="1071"/>
      <c r="CI131" s="1071"/>
      <c r="CJ131" s="1071"/>
      <c r="CK131" s="1071"/>
      <c r="CL131" s="1071"/>
      <c r="CM131" s="1071"/>
      <c r="CN131" s="1071"/>
      <c r="CO131" s="1071"/>
      <c r="CP131" s="1071"/>
      <c r="CQ131" s="1071"/>
      <c r="CS131" s="178"/>
      <c r="CT131" s="1070" t="s">
        <v>789</v>
      </c>
      <c r="CU131" s="1070"/>
      <c r="CV131" s="1070"/>
      <c r="CW131" s="1070"/>
      <c r="CX131" s="1070"/>
      <c r="CY131" s="1070"/>
      <c r="CZ131" s="1070"/>
      <c r="DA131" s="1070"/>
      <c r="DB131" s="1070"/>
      <c r="DC131" s="1070"/>
      <c r="DD131" s="1070"/>
      <c r="DE131" s="1070"/>
      <c r="DF131" s="1071" t="str">
        <f>"c "&amp;DB$11&amp;" "&amp;DG11&amp;" "&amp;EC11&amp;" года"</f>
        <v>c    года</v>
      </c>
      <c r="DG131" s="1071"/>
      <c r="DH131" s="1071"/>
      <c r="DI131" s="1071"/>
      <c r="DJ131" s="1071"/>
      <c r="DK131" s="1071"/>
      <c r="DL131" s="1071"/>
      <c r="DM131" s="1071"/>
      <c r="DN131" s="1071"/>
      <c r="DO131" s="1071"/>
      <c r="DP131" s="1071"/>
      <c r="DQ131" s="1071"/>
      <c r="DR131" s="1071"/>
      <c r="DS131" s="1071"/>
      <c r="DT131" s="1071"/>
      <c r="DU131" s="1070" t="s">
        <v>790</v>
      </c>
      <c r="DV131" s="1070"/>
      <c r="DW131" s="1070"/>
      <c r="DX131" s="1071" t="str">
        <f>DB$12&amp;" "&amp;DG12&amp;" "&amp;EC12&amp;" года"</f>
        <v xml:space="preserve">   года</v>
      </c>
      <c r="DY131" s="1071"/>
      <c r="DZ131" s="1071"/>
      <c r="EA131" s="1071"/>
      <c r="EB131" s="1071"/>
      <c r="EC131" s="1071"/>
      <c r="ED131" s="1071"/>
      <c r="EE131" s="1071"/>
      <c r="EF131" s="1071"/>
      <c r="EG131" s="1071"/>
      <c r="EH131" s="1071"/>
      <c r="EI131" s="1071"/>
      <c r="EJ131" s="1071"/>
      <c r="EK131" s="1071"/>
      <c r="EL131" s="1071"/>
      <c r="EM131" s="1071"/>
    </row>
    <row r="132" spans="1:143" ht="18.75" customHeight="1">
      <c r="A132" s="178"/>
      <c r="B132" s="1072" t="s">
        <v>791</v>
      </c>
      <c r="C132" s="1072"/>
      <c r="D132" s="1072"/>
      <c r="E132" s="1072"/>
      <c r="F132" s="1072"/>
      <c r="G132" s="1072"/>
      <c r="H132" s="1072"/>
      <c r="I132" s="1072"/>
      <c r="J132" s="1072"/>
      <c r="K132" s="1072"/>
      <c r="L132" s="1072"/>
      <c r="M132" s="1072"/>
      <c r="N132" s="1072"/>
      <c r="O132" s="1072"/>
      <c r="P132" s="1072"/>
      <c r="Q132" s="1072"/>
      <c r="R132" s="1072"/>
      <c r="S132" s="1072"/>
      <c r="T132" s="1072"/>
      <c r="U132" s="1072"/>
      <c r="V132" s="1072"/>
      <c r="W132" s="1072"/>
      <c r="X132" s="1072"/>
      <c r="Y132" s="1072"/>
      <c r="Z132" s="1072"/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072"/>
      <c r="AO132" s="1072"/>
      <c r="AP132" s="1072"/>
      <c r="AQ132" s="1072"/>
      <c r="AR132" s="1072"/>
      <c r="AS132" s="1072"/>
      <c r="AT132" s="1072"/>
      <c r="AU132" s="1072"/>
      <c r="AW132" s="178"/>
      <c r="AX132" s="1072" t="s">
        <v>791</v>
      </c>
      <c r="AY132" s="1072"/>
      <c r="AZ132" s="1072"/>
      <c r="BA132" s="1072"/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2"/>
      <c r="BS132" s="1072"/>
      <c r="BT132" s="1072"/>
      <c r="BU132" s="1072"/>
      <c r="BV132" s="1072"/>
      <c r="BW132" s="1072"/>
      <c r="BX132" s="1072"/>
      <c r="BY132" s="1072"/>
      <c r="BZ132" s="1072"/>
      <c r="CA132" s="1072"/>
      <c r="CB132" s="1072"/>
      <c r="CC132" s="1072"/>
      <c r="CD132" s="1072"/>
      <c r="CE132" s="1072"/>
      <c r="CF132" s="1072"/>
      <c r="CG132" s="1072"/>
      <c r="CH132" s="1072"/>
      <c r="CI132" s="1072"/>
      <c r="CJ132" s="1072"/>
      <c r="CK132" s="1072"/>
      <c r="CL132" s="1072"/>
      <c r="CM132" s="1072"/>
      <c r="CN132" s="1072"/>
      <c r="CO132" s="1072"/>
      <c r="CP132" s="1072"/>
      <c r="CQ132" s="1072"/>
      <c r="CS132" s="178"/>
      <c r="CT132" s="1072" t="s">
        <v>791</v>
      </c>
      <c r="CU132" s="1072"/>
      <c r="CV132" s="1072"/>
      <c r="CW132" s="1072"/>
      <c r="CX132" s="1072"/>
      <c r="CY132" s="1072"/>
      <c r="CZ132" s="1072"/>
      <c r="DA132" s="1072"/>
      <c r="DB132" s="1072"/>
      <c r="DC132" s="1072"/>
      <c r="DD132" s="1072"/>
      <c r="DE132" s="1072"/>
      <c r="DF132" s="1072"/>
      <c r="DG132" s="1072"/>
      <c r="DH132" s="1072"/>
      <c r="DI132" s="1072"/>
      <c r="DJ132" s="1072"/>
      <c r="DK132" s="1072"/>
      <c r="DL132" s="1072"/>
      <c r="DM132" s="1072"/>
      <c r="DN132" s="1072"/>
      <c r="DO132" s="1072"/>
      <c r="DP132" s="1072"/>
      <c r="DQ132" s="1072"/>
      <c r="DR132" s="1072"/>
      <c r="DS132" s="1072"/>
      <c r="DT132" s="1072"/>
      <c r="DU132" s="1072"/>
      <c r="DV132" s="1072"/>
      <c r="DW132" s="1072"/>
      <c r="DX132" s="1072"/>
      <c r="DY132" s="1072"/>
      <c r="DZ132" s="1072"/>
      <c r="EA132" s="1072"/>
      <c r="EB132" s="1072"/>
      <c r="EC132" s="1072"/>
      <c r="ED132" s="1072"/>
      <c r="EE132" s="1072"/>
      <c r="EF132" s="1072"/>
      <c r="EG132" s="1072"/>
      <c r="EH132" s="1072"/>
      <c r="EI132" s="1072"/>
      <c r="EJ132" s="1072"/>
      <c r="EK132" s="1072"/>
      <c r="EL132" s="1072"/>
      <c r="EM132" s="1072"/>
    </row>
    <row r="133" spans="1:143" ht="49.5" customHeight="1">
      <c r="A133" s="178"/>
      <c r="B133" s="1105">
        <f>I$27</f>
        <v>0</v>
      </c>
      <c r="C133" s="1105"/>
      <c r="D133" s="1105"/>
      <c r="E133" s="1105"/>
      <c r="F133" s="1105"/>
      <c r="G133" s="1105"/>
      <c r="H133" s="1105"/>
      <c r="I133" s="1105"/>
      <c r="J133" s="1105"/>
      <c r="K133" s="1105"/>
      <c r="L133" s="1105"/>
      <c r="M133" s="1105"/>
      <c r="N133" s="1105"/>
      <c r="O133" s="1105"/>
      <c r="P133" s="1105"/>
      <c r="Q133" s="1105"/>
      <c r="R133" s="1105"/>
      <c r="S133" s="1105"/>
      <c r="T133" s="1105"/>
      <c r="U133" s="1105"/>
      <c r="V133" s="1105"/>
      <c r="W133" s="1105"/>
      <c r="X133" s="1105"/>
      <c r="Y133" s="1105"/>
      <c r="Z133" s="1105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105"/>
      <c r="AO133" s="1105"/>
      <c r="AP133" s="1105"/>
      <c r="AQ133" s="1105"/>
      <c r="AR133" s="1105"/>
      <c r="AS133" s="1105"/>
      <c r="AT133" s="1105"/>
      <c r="AU133" s="1105"/>
      <c r="AW133" s="178"/>
      <c r="AX133" s="1105">
        <f>BE$27</f>
        <v>0</v>
      </c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  <c r="BX133" s="1105"/>
      <c r="BY133" s="1105"/>
      <c r="BZ133" s="1105"/>
      <c r="CA133" s="1105"/>
      <c r="CB133" s="1105"/>
      <c r="CC133" s="1105"/>
      <c r="CD133" s="1105"/>
      <c r="CE133" s="1105"/>
      <c r="CF133" s="1105"/>
      <c r="CG133" s="1105"/>
      <c r="CH133" s="1105"/>
      <c r="CI133" s="1105"/>
      <c r="CJ133" s="1105"/>
      <c r="CK133" s="1105"/>
      <c r="CL133" s="1105"/>
      <c r="CM133" s="1105"/>
      <c r="CN133" s="1105"/>
      <c r="CO133" s="1105"/>
      <c r="CP133" s="1105"/>
      <c r="CQ133" s="1105"/>
      <c r="CS133" s="178"/>
      <c r="CT133" s="1105">
        <f>DA$27</f>
        <v>0</v>
      </c>
      <c r="CU133" s="1105"/>
      <c r="CV133" s="1105"/>
      <c r="CW133" s="1105"/>
      <c r="CX133" s="1105"/>
      <c r="CY133" s="1105"/>
      <c r="CZ133" s="1105"/>
      <c r="DA133" s="1105"/>
      <c r="DB133" s="1105"/>
      <c r="DC133" s="1105"/>
      <c r="DD133" s="1105"/>
      <c r="DE133" s="1105"/>
      <c r="DF133" s="1105"/>
      <c r="DG133" s="1105"/>
      <c r="DH133" s="1105"/>
      <c r="DI133" s="1105"/>
      <c r="DJ133" s="1105"/>
      <c r="DK133" s="1105"/>
      <c r="DL133" s="1105"/>
      <c r="DM133" s="1105"/>
      <c r="DN133" s="1105"/>
      <c r="DO133" s="1105"/>
      <c r="DP133" s="1105"/>
      <c r="DQ133" s="1105"/>
      <c r="DR133" s="1105"/>
      <c r="DS133" s="1105"/>
      <c r="DT133" s="1105"/>
      <c r="DU133" s="1105"/>
      <c r="DV133" s="1105"/>
      <c r="DW133" s="1105"/>
      <c r="DX133" s="1105"/>
      <c r="DY133" s="1105"/>
      <c r="DZ133" s="1105"/>
      <c r="EA133" s="1105"/>
      <c r="EB133" s="1105"/>
      <c r="EC133" s="1105"/>
      <c r="ED133" s="1105"/>
      <c r="EE133" s="1105"/>
      <c r="EF133" s="1105"/>
      <c r="EG133" s="1105"/>
      <c r="EH133" s="1105"/>
      <c r="EI133" s="1105"/>
      <c r="EJ133" s="1105"/>
      <c r="EK133" s="1105"/>
      <c r="EL133" s="1105"/>
      <c r="EM133" s="1105"/>
    </row>
    <row r="134" spans="1:143" ht="18.75">
      <c r="A134" s="178"/>
      <c r="B134" s="190"/>
      <c r="C134" s="1094"/>
      <c r="D134" s="1094"/>
      <c r="E134" s="1073" t="s">
        <v>792</v>
      </c>
      <c r="F134" s="1073"/>
      <c r="G134" s="1073"/>
      <c r="H134" s="1073"/>
      <c r="I134" s="1073"/>
      <c r="J134" s="1073"/>
      <c r="K134" s="1073"/>
      <c r="L134" s="1073"/>
      <c r="M134" s="1073"/>
      <c r="N134" s="1073"/>
      <c r="O134" s="1073"/>
      <c r="P134" s="1073"/>
      <c r="Q134" s="1073"/>
      <c r="R134" s="1073"/>
      <c r="S134" s="1073"/>
      <c r="T134" s="1073"/>
      <c r="U134" s="1073"/>
      <c r="V134" s="1073"/>
      <c r="W134" s="1073"/>
      <c r="X134" s="1073"/>
      <c r="Y134" s="1073"/>
      <c r="Z134" s="1073"/>
      <c r="AA134" s="1073"/>
      <c r="AB134" s="1073"/>
      <c r="AC134" s="1073"/>
      <c r="AD134" s="1073"/>
      <c r="AE134" s="1073"/>
      <c r="AF134" s="1073"/>
      <c r="AG134" s="1073"/>
      <c r="AH134" s="1073"/>
      <c r="AI134" s="1073"/>
      <c r="AJ134" s="1073"/>
      <c r="AK134" s="1073"/>
      <c r="AL134" s="1073"/>
      <c r="AM134" s="1073"/>
      <c r="AN134" s="1073"/>
      <c r="AO134" s="1073"/>
      <c r="AP134" s="1073"/>
      <c r="AQ134" s="1073"/>
      <c r="AR134" s="1073"/>
      <c r="AS134" s="1073"/>
      <c r="AT134" s="1073"/>
      <c r="AU134" s="1073"/>
      <c r="AW134" s="178"/>
      <c r="AX134" s="190"/>
      <c r="AY134" s="1094"/>
      <c r="AZ134" s="1094"/>
      <c r="BA134" s="1073" t="s">
        <v>792</v>
      </c>
      <c r="BB134" s="1073"/>
      <c r="BC134" s="1073"/>
      <c r="BD134" s="1073"/>
      <c r="BE134" s="1073"/>
      <c r="BF134" s="1073"/>
      <c r="BG134" s="1073"/>
      <c r="BH134" s="1073"/>
      <c r="BI134" s="1073"/>
      <c r="BJ134" s="1073"/>
      <c r="BK134" s="1073"/>
      <c r="BL134" s="1073"/>
      <c r="BM134" s="1073"/>
      <c r="BN134" s="1073"/>
      <c r="BO134" s="1073"/>
      <c r="BP134" s="1073"/>
      <c r="BQ134" s="1073"/>
      <c r="BR134" s="1073"/>
      <c r="BS134" s="1073"/>
      <c r="BT134" s="1073"/>
      <c r="BU134" s="1073"/>
      <c r="BV134" s="1073"/>
      <c r="BW134" s="1073"/>
      <c r="BX134" s="1073"/>
      <c r="BY134" s="1073"/>
      <c r="BZ134" s="1073"/>
      <c r="CA134" s="1073"/>
      <c r="CB134" s="1073"/>
      <c r="CC134" s="1073"/>
      <c r="CD134" s="1073"/>
      <c r="CE134" s="1073"/>
      <c r="CF134" s="1073"/>
      <c r="CG134" s="1073"/>
      <c r="CH134" s="1073"/>
      <c r="CI134" s="1073"/>
      <c r="CJ134" s="1073"/>
      <c r="CK134" s="1073"/>
      <c r="CL134" s="1073"/>
      <c r="CM134" s="1073"/>
      <c r="CN134" s="1073"/>
      <c r="CO134" s="1073"/>
      <c r="CP134" s="1073"/>
      <c r="CQ134" s="1073"/>
      <c r="CS134" s="178"/>
      <c r="CT134" s="190"/>
      <c r="CU134" s="1094"/>
      <c r="CV134" s="1094"/>
      <c r="CW134" s="1073" t="s">
        <v>792</v>
      </c>
      <c r="CX134" s="1073"/>
      <c r="CY134" s="1073"/>
      <c r="CZ134" s="1073"/>
      <c r="DA134" s="1073"/>
      <c r="DB134" s="1073"/>
      <c r="DC134" s="1073"/>
      <c r="DD134" s="1073"/>
      <c r="DE134" s="1073"/>
      <c r="DF134" s="1073"/>
      <c r="DG134" s="1073"/>
      <c r="DH134" s="1073"/>
      <c r="DI134" s="1073"/>
      <c r="DJ134" s="1073"/>
      <c r="DK134" s="1073"/>
      <c r="DL134" s="1073"/>
      <c r="DM134" s="1073"/>
      <c r="DN134" s="1073"/>
      <c r="DO134" s="1073"/>
      <c r="DP134" s="1073"/>
      <c r="DQ134" s="1073"/>
      <c r="DR134" s="1073"/>
      <c r="DS134" s="1073"/>
      <c r="DT134" s="1073"/>
      <c r="DU134" s="1073"/>
      <c r="DV134" s="1073"/>
      <c r="DW134" s="1073"/>
      <c r="DX134" s="1073"/>
      <c r="DY134" s="1073"/>
      <c r="DZ134" s="1073"/>
      <c r="EA134" s="1073"/>
      <c r="EB134" s="1073"/>
      <c r="EC134" s="1073"/>
      <c r="ED134" s="1073"/>
      <c r="EE134" s="1073"/>
      <c r="EF134" s="1073"/>
      <c r="EG134" s="1073"/>
      <c r="EH134" s="1073"/>
      <c r="EI134" s="1073"/>
      <c r="EJ134" s="1073"/>
      <c r="EK134" s="1073"/>
      <c r="EL134" s="1073"/>
      <c r="EM134" s="1073"/>
    </row>
    <row r="135" spans="1:143" ht="18.75" customHeight="1">
      <c r="A135" s="178"/>
      <c r="B135" s="1077" t="s">
        <v>793</v>
      </c>
      <c r="C135" s="1077"/>
      <c r="D135" s="1077"/>
      <c r="E135" s="1077"/>
      <c r="F135" s="1077"/>
      <c r="G135" s="1077"/>
      <c r="H135" s="1077"/>
      <c r="I135" s="1077"/>
      <c r="J135" s="1077"/>
      <c r="K135" s="1077"/>
      <c r="L135" s="1077"/>
      <c r="M135" s="1077"/>
      <c r="N135" s="1077"/>
      <c r="O135" s="1077"/>
      <c r="P135" s="1077"/>
      <c r="Q135" s="1077"/>
      <c r="R135" s="1077"/>
      <c r="S135" s="1077"/>
      <c r="T135" s="1077"/>
      <c r="U135" s="1077"/>
      <c r="V135" s="1077"/>
      <c r="W135" s="1077"/>
      <c r="X135" s="1077"/>
      <c r="Y135" s="1077"/>
      <c r="Z135" s="1077"/>
      <c r="AA135" s="1077"/>
      <c r="AB135" s="1077"/>
      <c r="AC135" s="1077"/>
      <c r="AD135" s="1077"/>
      <c r="AE135" s="1077"/>
      <c r="AF135" s="1077"/>
      <c r="AG135" s="1077"/>
      <c r="AH135" s="1077"/>
      <c r="AI135" s="1077"/>
      <c r="AJ135" s="1077"/>
      <c r="AK135" s="1077"/>
      <c r="AL135" s="1077"/>
      <c r="AM135" s="1077"/>
      <c r="AN135" s="1077"/>
      <c r="AO135" s="1077"/>
      <c r="AP135" s="1077"/>
      <c r="AQ135" s="1077"/>
      <c r="AR135" s="1077"/>
      <c r="AS135" s="1077"/>
      <c r="AT135" s="1077"/>
      <c r="AU135" s="1077"/>
      <c r="AW135" s="178"/>
      <c r="AX135" s="1077" t="s">
        <v>793</v>
      </c>
      <c r="AY135" s="1077"/>
      <c r="AZ135" s="1077"/>
      <c r="BA135" s="1077"/>
      <c r="BB135" s="1077"/>
      <c r="BC135" s="1077"/>
      <c r="BD135" s="1077"/>
      <c r="BE135" s="1077"/>
      <c r="BF135" s="1077"/>
      <c r="BG135" s="1077"/>
      <c r="BH135" s="1077"/>
      <c r="BI135" s="1077"/>
      <c r="BJ135" s="1077"/>
      <c r="BK135" s="1077"/>
      <c r="BL135" s="1077"/>
      <c r="BM135" s="1077"/>
      <c r="BN135" s="1077"/>
      <c r="BO135" s="1077"/>
      <c r="BP135" s="1077"/>
      <c r="BQ135" s="1077"/>
      <c r="BR135" s="1077"/>
      <c r="BS135" s="1077"/>
      <c r="BT135" s="1077"/>
      <c r="BU135" s="1077"/>
      <c r="BV135" s="1077"/>
      <c r="BW135" s="1077"/>
      <c r="BX135" s="1077"/>
      <c r="BY135" s="1077"/>
      <c r="BZ135" s="1077"/>
      <c r="CA135" s="1077"/>
      <c r="CB135" s="1077"/>
      <c r="CC135" s="1077"/>
      <c r="CD135" s="1077"/>
      <c r="CE135" s="1077"/>
      <c r="CF135" s="1077"/>
      <c r="CG135" s="1077"/>
      <c r="CH135" s="1077"/>
      <c r="CI135" s="1077"/>
      <c r="CJ135" s="1077"/>
      <c r="CK135" s="1077"/>
      <c r="CL135" s="1077"/>
      <c r="CM135" s="1077"/>
      <c r="CN135" s="1077"/>
      <c r="CO135" s="1077"/>
      <c r="CP135" s="1077"/>
      <c r="CQ135" s="1077"/>
      <c r="CS135" s="178"/>
      <c r="CT135" s="1077" t="s">
        <v>793</v>
      </c>
      <c r="CU135" s="1077"/>
      <c r="CV135" s="1077"/>
      <c r="CW135" s="1077"/>
      <c r="CX135" s="1077"/>
      <c r="CY135" s="1077"/>
      <c r="CZ135" s="1077"/>
      <c r="DA135" s="1077"/>
      <c r="DB135" s="1077"/>
      <c r="DC135" s="1077"/>
      <c r="DD135" s="1077"/>
      <c r="DE135" s="1077"/>
      <c r="DF135" s="1077"/>
      <c r="DG135" s="1077"/>
      <c r="DH135" s="1077"/>
      <c r="DI135" s="1077"/>
      <c r="DJ135" s="1077"/>
      <c r="DK135" s="1077"/>
      <c r="DL135" s="1077"/>
      <c r="DM135" s="1077"/>
      <c r="DN135" s="1077"/>
      <c r="DO135" s="1077"/>
      <c r="DP135" s="1077"/>
      <c r="DQ135" s="1077"/>
      <c r="DR135" s="1077"/>
      <c r="DS135" s="1077"/>
      <c r="DT135" s="1077"/>
      <c r="DU135" s="1077"/>
      <c r="DV135" s="1077"/>
      <c r="DW135" s="1077"/>
      <c r="DX135" s="1077"/>
      <c r="DY135" s="1077"/>
      <c r="DZ135" s="1077"/>
      <c r="EA135" s="1077"/>
      <c r="EB135" s="1077"/>
      <c r="EC135" s="1077"/>
      <c r="ED135" s="1077"/>
      <c r="EE135" s="1077"/>
      <c r="EF135" s="1077"/>
      <c r="EG135" s="1077"/>
      <c r="EH135" s="1077"/>
      <c r="EI135" s="1077"/>
      <c r="EJ135" s="1077"/>
      <c r="EK135" s="1077"/>
      <c r="EL135" s="1077"/>
      <c r="EM135" s="1077"/>
    </row>
    <row r="136" spans="1:143" ht="18.75">
      <c r="A136" s="178"/>
      <c r="B136" s="190"/>
      <c r="C136" s="1094"/>
      <c r="D136" s="1094"/>
      <c r="E136" s="1073" t="s">
        <v>794</v>
      </c>
      <c r="F136" s="1073"/>
      <c r="G136" s="1073"/>
      <c r="H136" s="1073"/>
      <c r="I136" s="1073"/>
      <c r="J136" s="1073"/>
      <c r="K136" s="1073"/>
      <c r="L136" s="1073"/>
      <c r="M136" s="1073"/>
      <c r="N136" s="1073"/>
      <c r="O136" s="1073"/>
      <c r="P136" s="1073"/>
      <c r="Q136" s="1073"/>
      <c r="R136" s="1073"/>
      <c r="S136" s="1073"/>
      <c r="T136" s="1073"/>
      <c r="U136" s="1073"/>
      <c r="V136" s="1073"/>
      <c r="W136" s="1073"/>
      <c r="X136" s="1073"/>
      <c r="Y136" s="1073"/>
      <c r="Z136" s="1073"/>
      <c r="AA136" s="1073"/>
      <c r="AB136" s="1073"/>
      <c r="AC136" s="1073"/>
      <c r="AD136" s="1073"/>
      <c r="AE136" s="1073"/>
      <c r="AF136" s="1073"/>
      <c r="AG136" s="1073"/>
      <c r="AH136" s="1073"/>
      <c r="AI136" s="1073"/>
      <c r="AJ136" s="1073"/>
      <c r="AK136" s="1073"/>
      <c r="AL136" s="1073"/>
      <c r="AM136" s="1073"/>
      <c r="AN136" s="1073"/>
      <c r="AO136" s="1073"/>
      <c r="AP136" s="1073"/>
      <c r="AQ136" s="1073"/>
      <c r="AR136" s="1073"/>
      <c r="AS136" s="1073"/>
      <c r="AT136" s="1073"/>
      <c r="AU136" s="1073"/>
      <c r="AW136" s="178"/>
      <c r="AX136" s="190"/>
      <c r="AY136" s="1094"/>
      <c r="AZ136" s="1094"/>
      <c r="BA136" s="1073" t="s">
        <v>794</v>
      </c>
      <c r="BB136" s="1073"/>
      <c r="BC136" s="1073"/>
      <c r="BD136" s="1073"/>
      <c r="BE136" s="1073"/>
      <c r="BF136" s="1073"/>
      <c r="BG136" s="1073"/>
      <c r="BH136" s="1073"/>
      <c r="BI136" s="1073"/>
      <c r="BJ136" s="1073"/>
      <c r="BK136" s="1073"/>
      <c r="BL136" s="1073"/>
      <c r="BM136" s="1073"/>
      <c r="BN136" s="1073"/>
      <c r="BO136" s="1073"/>
      <c r="BP136" s="1073"/>
      <c r="BQ136" s="1073"/>
      <c r="BR136" s="1073"/>
      <c r="BS136" s="1073"/>
      <c r="BT136" s="1073"/>
      <c r="BU136" s="1073"/>
      <c r="BV136" s="1073"/>
      <c r="BW136" s="1073"/>
      <c r="BX136" s="1073"/>
      <c r="BY136" s="1073"/>
      <c r="BZ136" s="1073"/>
      <c r="CA136" s="1073"/>
      <c r="CB136" s="1073"/>
      <c r="CC136" s="1073"/>
      <c r="CD136" s="1073"/>
      <c r="CE136" s="1073"/>
      <c r="CF136" s="1073"/>
      <c r="CG136" s="1073"/>
      <c r="CH136" s="1073"/>
      <c r="CI136" s="1073"/>
      <c r="CJ136" s="1073"/>
      <c r="CK136" s="1073"/>
      <c r="CL136" s="1073"/>
      <c r="CM136" s="1073"/>
      <c r="CN136" s="1073"/>
      <c r="CO136" s="1073"/>
      <c r="CP136" s="1073"/>
      <c r="CQ136" s="1073"/>
      <c r="CS136" s="178"/>
      <c r="CT136" s="190"/>
      <c r="CU136" s="1094"/>
      <c r="CV136" s="1094"/>
      <c r="CW136" s="1073" t="s">
        <v>794</v>
      </c>
      <c r="CX136" s="1073"/>
      <c r="CY136" s="1073"/>
      <c r="CZ136" s="1073"/>
      <c r="DA136" s="1073"/>
      <c r="DB136" s="1073"/>
      <c r="DC136" s="1073"/>
      <c r="DD136" s="1073"/>
      <c r="DE136" s="1073"/>
      <c r="DF136" s="1073"/>
      <c r="DG136" s="1073"/>
      <c r="DH136" s="1073"/>
      <c r="DI136" s="1073"/>
      <c r="DJ136" s="1073"/>
      <c r="DK136" s="1073"/>
      <c r="DL136" s="1073"/>
      <c r="DM136" s="1073"/>
      <c r="DN136" s="1073"/>
      <c r="DO136" s="1073"/>
      <c r="DP136" s="1073"/>
      <c r="DQ136" s="1073"/>
      <c r="DR136" s="1073"/>
      <c r="DS136" s="1073"/>
      <c r="DT136" s="1073"/>
      <c r="DU136" s="1073"/>
      <c r="DV136" s="1073"/>
      <c r="DW136" s="1073"/>
      <c r="DX136" s="1073"/>
      <c r="DY136" s="1073"/>
      <c r="DZ136" s="1073"/>
      <c r="EA136" s="1073"/>
      <c r="EB136" s="1073"/>
      <c r="EC136" s="1073"/>
      <c r="ED136" s="1073"/>
      <c r="EE136" s="1073"/>
      <c r="EF136" s="1073"/>
      <c r="EG136" s="1073"/>
      <c r="EH136" s="1073"/>
      <c r="EI136" s="1073"/>
      <c r="EJ136" s="1073"/>
      <c r="EK136" s="1073"/>
      <c r="EL136" s="1073"/>
      <c r="EM136" s="1073"/>
    </row>
    <row r="137" spans="1:143" ht="18.75" customHeight="1">
      <c r="A137" s="178"/>
      <c r="B137" s="1106">
        <f>I$13</f>
        <v>0</v>
      </c>
      <c r="C137" s="1107"/>
      <c r="D137" s="1107"/>
      <c r="E137" s="1107"/>
      <c r="F137" s="1107"/>
      <c r="G137" s="195" t="s">
        <v>586</v>
      </c>
      <c r="H137" s="1107">
        <f>C$64</f>
        <v>0</v>
      </c>
      <c r="I137" s="1107"/>
      <c r="J137" s="1107"/>
      <c r="K137" s="1107"/>
      <c r="L137" s="1107"/>
      <c r="M137" s="1107"/>
      <c r="N137" s="1107"/>
      <c r="O137" s="1107"/>
      <c r="P137" s="1107"/>
      <c r="Q137" s="1107"/>
      <c r="R137" s="1107"/>
      <c r="S137" s="1107"/>
      <c r="T137" s="1107"/>
      <c r="U137" s="1107"/>
      <c r="V137" s="1107"/>
      <c r="W137" s="1107"/>
      <c r="X137" s="1107"/>
      <c r="Y137" s="1107"/>
      <c r="Z137" s="1107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219" t="s">
        <v>587</v>
      </c>
      <c r="AO137" s="1070" t="s">
        <v>712</v>
      </c>
      <c r="AP137" s="1070"/>
      <c r="AQ137" s="1070"/>
      <c r="AR137" s="1070"/>
      <c r="AS137" s="1070"/>
      <c r="AT137" s="1070"/>
      <c r="AU137" s="1070"/>
      <c r="AW137" s="178"/>
      <c r="AX137" s="1106">
        <f>BE$13</f>
        <v>0</v>
      </c>
      <c r="AY137" s="1107"/>
      <c r="AZ137" s="1107"/>
      <c r="BA137" s="1107"/>
      <c r="BB137" s="1107"/>
      <c r="BC137" s="195" t="s">
        <v>586</v>
      </c>
      <c r="BD137" s="1107">
        <f>AY$64</f>
        <v>0</v>
      </c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  <c r="BX137" s="1107"/>
      <c r="BY137" s="1107"/>
      <c r="BZ137" s="1107"/>
      <c r="CA137" s="1107"/>
      <c r="CB137" s="1107"/>
      <c r="CC137" s="1107"/>
      <c r="CD137" s="1107"/>
      <c r="CE137" s="1107"/>
      <c r="CF137" s="1107"/>
      <c r="CG137" s="1107"/>
      <c r="CH137" s="1107"/>
      <c r="CI137" s="1107"/>
      <c r="CJ137" s="219" t="s">
        <v>587</v>
      </c>
      <c r="CK137" s="1070" t="s">
        <v>712</v>
      </c>
      <c r="CL137" s="1070"/>
      <c r="CM137" s="1070"/>
      <c r="CN137" s="1070"/>
      <c r="CO137" s="1070"/>
      <c r="CP137" s="1070"/>
      <c r="CQ137" s="1070"/>
      <c r="CS137" s="178"/>
      <c r="CT137" s="1106">
        <f>DA$13</f>
        <v>0</v>
      </c>
      <c r="CU137" s="1107"/>
      <c r="CV137" s="1107"/>
      <c r="CW137" s="1107"/>
      <c r="CX137" s="1107"/>
      <c r="CY137" s="195" t="s">
        <v>586</v>
      </c>
      <c r="CZ137" s="1107">
        <f>CU$64</f>
        <v>0</v>
      </c>
      <c r="DA137" s="1107"/>
      <c r="DB137" s="1107"/>
      <c r="DC137" s="1107"/>
      <c r="DD137" s="1107"/>
      <c r="DE137" s="1107"/>
      <c r="DF137" s="1107"/>
      <c r="DG137" s="1107"/>
      <c r="DH137" s="1107"/>
      <c r="DI137" s="1107"/>
      <c r="DJ137" s="1107"/>
      <c r="DK137" s="1107"/>
      <c r="DL137" s="1107"/>
      <c r="DM137" s="1107"/>
      <c r="DN137" s="1107"/>
      <c r="DO137" s="1107"/>
      <c r="DP137" s="1107"/>
      <c r="DQ137" s="1107"/>
      <c r="DR137" s="1107"/>
      <c r="DS137" s="1107"/>
      <c r="DT137" s="1107"/>
      <c r="DU137" s="1107"/>
      <c r="DV137" s="1107"/>
      <c r="DW137" s="1107"/>
      <c r="DX137" s="1107"/>
      <c r="DY137" s="1107"/>
      <c r="DZ137" s="1107"/>
      <c r="EA137" s="1107"/>
      <c r="EB137" s="1107"/>
      <c r="EC137" s="1107"/>
      <c r="ED137" s="1107"/>
      <c r="EE137" s="1107"/>
      <c r="EF137" s="219" t="s">
        <v>587</v>
      </c>
      <c r="EG137" s="1070" t="s">
        <v>712</v>
      </c>
      <c r="EH137" s="1070"/>
      <c r="EI137" s="1070"/>
      <c r="EJ137" s="1070"/>
      <c r="EK137" s="1070"/>
      <c r="EL137" s="1070"/>
      <c r="EM137" s="1070"/>
    </row>
    <row r="138" spans="1:143" ht="18.75">
      <c r="A138" s="178"/>
      <c r="B138" s="1098"/>
      <c r="C138" s="1098"/>
      <c r="D138" s="1098"/>
      <c r="E138" s="1098"/>
      <c r="F138" s="1098"/>
      <c r="G138" s="1098"/>
      <c r="H138" s="1098"/>
      <c r="I138" s="1098"/>
      <c r="J138" s="1098"/>
      <c r="K138" s="1098"/>
      <c r="L138" s="1098"/>
      <c r="M138" s="1098"/>
      <c r="N138" s="1098"/>
      <c r="O138" s="1098"/>
      <c r="P138" s="1098"/>
      <c r="Q138" s="1098"/>
      <c r="R138" s="1098"/>
      <c r="S138" s="1098"/>
      <c r="T138" s="1098"/>
      <c r="U138" s="1098"/>
      <c r="V138" s="1098"/>
      <c r="W138" s="1098"/>
      <c r="X138" s="1098"/>
      <c r="Y138" s="1098"/>
      <c r="Z138" s="1098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W138" s="17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  <c r="BX138" s="1098"/>
      <c r="BY138" s="1098"/>
      <c r="BZ138" s="1098"/>
      <c r="CA138" s="1098"/>
      <c r="CB138" s="1098"/>
      <c r="CC138" s="1098"/>
      <c r="CD138" s="1098"/>
      <c r="CE138" s="1098"/>
      <c r="CF138" s="1098"/>
      <c r="CG138" s="1098"/>
      <c r="CH138" s="1098"/>
      <c r="CI138" s="1098"/>
      <c r="CJ138" s="1098"/>
      <c r="CK138" s="1098"/>
      <c r="CL138" s="1098"/>
      <c r="CM138" s="1098"/>
      <c r="CN138" s="1098"/>
      <c r="CO138" s="1098"/>
      <c r="CP138" s="1098"/>
      <c r="CQ138" s="1098"/>
      <c r="CS138" s="178"/>
      <c r="CT138" s="1098"/>
      <c r="CU138" s="1098"/>
      <c r="CV138" s="1098"/>
      <c r="CW138" s="1098"/>
      <c r="CX138" s="1098"/>
      <c r="CY138" s="1098"/>
      <c r="CZ138" s="1098"/>
      <c r="DA138" s="1098"/>
      <c r="DB138" s="1098"/>
      <c r="DC138" s="1098"/>
      <c r="DD138" s="1098"/>
      <c r="DE138" s="1098"/>
      <c r="DF138" s="1098"/>
      <c r="DG138" s="1098"/>
      <c r="DH138" s="1098"/>
      <c r="DI138" s="1098"/>
      <c r="DJ138" s="1098"/>
      <c r="DK138" s="1098"/>
      <c r="DL138" s="1098"/>
      <c r="DM138" s="1098"/>
      <c r="DN138" s="1098"/>
      <c r="DO138" s="1098"/>
      <c r="DP138" s="1098"/>
      <c r="DQ138" s="1098"/>
      <c r="DR138" s="1098"/>
      <c r="DS138" s="1098"/>
      <c r="DT138" s="1098"/>
      <c r="DU138" s="1098"/>
      <c r="DV138" s="1098"/>
      <c r="DW138" s="1098"/>
      <c r="DX138" s="1098"/>
      <c r="DY138" s="1098"/>
      <c r="DZ138" s="1098"/>
      <c r="EA138" s="1098"/>
      <c r="EB138" s="1098"/>
      <c r="EC138" s="1098"/>
      <c r="ED138" s="1098"/>
      <c r="EE138" s="1098"/>
      <c r="EF138" s="1098"/>
      <c r="EG138" s="1098"/>
      <c r="EH138" s="1098"/>
      <c r="EI138" s="1098"/>
      <c r="EJ138" s="1098"/>
      <c r="EK138" s="1098"/>
      <c r="EL138" s="1098"/>
      <c r="EM138" s="1098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99" t="s">
        <v>795</v>
      </c>
      <c r="C140" s="1099"/>
      <c r="D140" s="1099"/>
      <c r="E140" s="1099"/>
      <c r="F140" s="1099"/>
      <c r="G140" s="1099"/>
      <c r="H140" s="1099"/>
      <c r="I140" s="1099"/>
      <c r="J140" s="1099"/>
      <c r="K140" s="1099"/>
      <c r="L140" s="1099"/>
      <c r="M140" s="1099"/>
      <c r="N140" s="1099"/>
      <c r="O140" s="1099"/>
      <c r="P140" s="1099"/>
      <c r="Q140" s="1099"/>
      <c r="R140" s="1099"/>
      <c r="S140" s="1099"/>
      <c r="T140" s="1099"/>
      <c r="U140" s="1099"/>
      <c r="V140" s="1099"/>
      <c r="W140" s="1099"/>
      <c r="X140" s="1099"/>
      <c r="Y140" s="1099" t="s">
        <v>796</v>
      </c>
      <c r="Z140" s="1099"/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W140" s="178"/>
      <c r="AX140" s="1099" t="s">
        <v>795</v>
      </c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099"/>
      <c r="BL140" s="1099"/>
      <c r="BM140" s="1099"/>
      <c r="BN140" s="1099"/>
      <c r="BO140" s="1099"/>
      <c r="BP140" s="1099"/>
      <c r="BQ140" s="1099"/>
      <c r="BR140" s="1099"/>
      <c r="BS140" s="1099"/>
      <c r="BT140" s="1099"/>
      <c r="BU140" s="1099" t="s">
        <v>796</v>
      </c>
      <c r="BV140" s="1099"/>
      <c r="BW140" s="1099"/>
      <c r="BX140" s="1099"/>
      <c r="BY140" s="1099"/>
      <c r="BZ140" s="1099"/>
      <c r="CA140" s="1099"/>
      <c r="CB140" s="1099"/>
      <c r="CC140" s="1099"/>
      <c r="CD140" s="1099"/>
      <c r="CE140" s="1099"/>
      <c r="CF140" s="1099"/>
      <c r="CG140" s="1099"/>
      <c r="CH140" s="1099"/>
      <c r="CI140" s="1099"/>
      <c r="CJ140" s="1099"/>
      <c r="CK140" s="1099"/>
      <c r="CL140" s="1099"/>
      <c r="CM140" s="1099"/>
      <c r="CN140" s="1099"/>
      <c r="CO140" s="1099"/>
      <c r="CP140" s="1099"/>
      <c r="CQ140" s="1099"/>
      <c r="CS140" s="178"/>
      <c r="CT140" s="1099" t="s">
        <v>795</v>
      </c>
      <c r="CU140" s="1099"/>
      <c r="CV140" s="1099"/>
      <c r="CW140" s="1099"/>
      <c r="CX140" s="1099"/>
      <c r="CY140" s="1099"/>
      <c r="CZ140" s="1099"/>
      <c r="DA140" s="1099"/>
      <c r="DB140" s="1099"/>
      <c r="DC140" s="1099"/>
      <c r="DD140" s="1099"/>
      <c r="DE140" s="1099"/>
      <c r="DF140" s="1099"/>
      <c r="DG140" s="1099"/>
      <c r="DH140" s="1099"/>
      <c r="DI140" s="1099"/>
      <c r="DJ140" s="1099"/>
      <c r="DK140" s="1099"/>
      <c r="DL140" s="1099"/>
      <c r="DM140" s="1099"/>
      <c r="DN140" s="1099"/>
      <c r="DO140" s="1099"/>
      <c r="DP140" s="1099"/>
      <c r="DQ140" s="1099" t="s">
        <v>796</v>
      </c>
      <c r="DR140" s="1099"/>
      <c r="DS140" s="1099"/>
      <c r="DT140" s="1099"/>
      <c r="DU140" s="1099"/>
      <c r="DV140" s="1099"/>
      <c r="DW140" s="1099"/>
      <c r="DX140" s="1099"/>
      <c r="DY140" s="1099"/>
      <c r="DZ140" s="1099"/>
      <c r="EA140" s="1099"/>
      <c r="EB140" s="1099"/>
      <c r="EC140" s="1099"/>
      <c r="ED140" s="1099"/>
      <c r="EE140" s="1099"/>
      <c r="EF140" s="1099"/>
      <c r="EG140" s="1099"/>
      <c r="EH140" s="1099"/>
      <c r="EI140" s="1099"/>
      <c r="EJ140" s="1099"/>
      <c r="EK140" s="1099"/>
      <c r="EL140" s="1099"/>
      <c r="EM140" s="1099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100" t="s">
        <v>151</v>
      </c>
      <c r="B142" s="1100"/>
      <c r="C142" s="1100"/>
      <c r="D142" s="1100"/>
      <c r="E142" s="1100"/>
      <c r="F142" s="1100"/>
      <c r="G142" s="1100"/>
      <c r="H142" s="1100"/>
      <c r="I142" s="1100"/>
      <c r="J142" s="1100"/>
      <c r="K142" s="1100"/>
      <c r="L142" s="1100"/>
      <c r="M142" s="1100"/>
      <c r="N142" s="1100"/>
      <c r="O142" s="1100"/>
      <c r="P142" s="1100"/>
      <c r="Q142" s="1100"/>
      <c r="R142" s="1100"/>
      <c r="S142" s="1100"/>
      <c r="T142" s="1100"/>
      <c r="U142" s="1100"/>
      <c r="V142" s="1100"/>
      <c r="W142" s="1100"/>
      <c r="AU142" s="201"/>
      <c r="AW142" s="1100" t="s">
        <v>151</v>
      </c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100" t="s">
        <v>151</v>
      </c>
      <c r="CT142" s="1100"/>
      <c r="CU142" s="1100"/>
      <c r="CV142" s="1100"/>
      <c r="CW142" s="1100"/>
      <c r="CX142" s="1100"/>
      <c r="CY142" s="1100"/>
      <c r="CZ142" s="1100"/>
      <c r="DA142" s="1100"/>
      <c r="DB142" s="1100"/>
      <c r="DC142" s="1100"/>
      <c r="DD142" s="1100"/>
      <c r="DE142" s="1100"/>
      <c r="DF142" s="1100"/>
      <c r="DG142" s="1100"/>
      <c r="DH142" s="1100"/>
      <c r="DI142" s="1100"/>
      <c r="DJ142" s="1100"/>
      <c r="DK142" s="1100"/>
      <c r="DL142" s="1100"/>
      <c r="DM142" s="1100"/>
      <c r="DN142" s="1100"/>
      <c r="DO142" s="1100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57"/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86">
        <f>I$9</f>
        <v>0</v>
      </c>
      <c r="P143" s="1086"/>
      <c r="Q143" s="1086"/>
      <c r="R143" s="1086"/>
      <c r="S143" s="1086"/>
      <c r="T143" s="1086"/>
      <c r="U143" s="1086"/>
      <c r="V143" s="1086"/>
      <c r="W143" s="1086"/>
      <c r="Y143" s="1084"/>
      <c r="Z143" s="1084"/>
      <c r="AA143" s="1084"/>
      <c r="AB143" s="1084"/>
      <c r="AC143" s="1084"/>
      <c r="AD143" s="1084"/>
      <c r="AE143" s="1084"/>
      <c r="AF143" s="1084"/>
      <c r="AG143" s="1084"/>
      <c r="AH143" s="1084"/>
      <c r="AI143" s="1084"/>
      <c r="AJ143" s="1084"/>
      <c r="AK143" s="1084"/>
      <c r="AL143" s="1085">
        <f>I$16</f>
        <v>0</v>
      </c>
      <c r="AM143" s="1085"/>
      <c r="AN143" s="1085"/>
      <c r="AO143" s="1085"/>
      <c r="AP143" s="1085"/>
      <c r="AQ143" s="1085"/>
      <c r="AR143" s="1085"/>
      <c r="AS143" s="1085"/>
      <c r="AT143" s="1085"/>
      <c r="AU143" s="211"/>
      <c r="AW143" s="1057"/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86">
        <f>BE$9</f>
        <v>0</v>
      </c>
      <c r="BL143" s="1086"/>
      <c r="BM143" s="1086"/>
      <c r="BN143" s="1086"/>
      <c r="BO143" s="1086"/>
      <c r="BP143" s="1086"/>
      <c r="BQ143" s="1086"/>
      <c r="BR143" s="1086"/>
      <c r="BS143" s="1086"/>
      <c r="BT143" s="234"/>
      <c r="BU143" s="1084"/>
      <c r="BV143" s="1084"/>
      <c r="BW143" s="1084"/>
      <c r="BX143" s="1084"/>
      <c r="BY143" s="1084"/>
      <c r="BZ143" s="1084"/>
      <c r="CA143" s="1084"/>
      <c r="CB143" s="1084"/>
      <c r="CC143" s="1084"/>
      <c r="CD143" s="1084"/>
      <c r="CE143" s="1084"/>
      <c r="CF143" s="1084"/>
      <c r="CG143" s="1084"/>
      <c r="CH143" s="1085">
        <f>BE$16</f>
        <v>0</v>
      </c>
      <c r="CI143" s="1085"/>
      <c r="CJ143" s="1085"/>
      <c r="CK143" s="1085"/>
      <c r="CL143" s="1085"/>
      <c r="CM143" s="1085"/>
      <c r="CN143" s="1085"/>
      <c r="CO143" s="1085"/>
      <c r="CP143" s="1085"/>
      <c r="CQ143" s="211"/>
      <c r="CS143" s="1057"/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86">
        <f>DA$9</f>
        <v>0</v>
      </c>
      <c r="DH143" s="1086"/>
      <c r="DI143" s="1086"/>
      <c r="DJ143" s="1086"/>
      <c r="DK143" s="1086"/>
      <c r="DL143" s="1086"/>
      <c r="DM143" s="1086"/>
      <c r="DN143" s="1086"/>
      <c r="DO143" s="1086"/>
      <c r="DP143" s="234"/>
      <c r="DQ143" s="1084"/>
      <c r="DR143" s="1084"/>
      <c r="DS143" s="1084"/>
      <c r="DT143" s="1084"/>
      <c r="DU143" s="1084"/>
      <c r="DV143" s="1084"/>
      <c r="DW143" s="1084"/>
      <c r="DX143" s="1084"/>
      <c r="DY143" s="1084"/>
      <c r="DZ143" s="1084"/>
      <c r="EA143" s="1084"/>
      <c r="EB143" s="1084"/>
      <c r="EC143" s="1084"/>
      <c r="ED143" s="1085">
        <f>DA$16</f>
        <v>0</v>
      </c>
      <c r="EE143" s="1085"/>
      <c r="EF143" s="1085"/>
      <c r="EG143" s="1085"/>
      <c r="EH143" s="1085"/>
      <c r="EI143" s="1085"/>
      <c r="EJ143" s="1085"/>
      <c r="EK143" s="1085"/>
      <c r="EL143" s="1085"/>
      <c r="EM143" s="211"/>
    </row>
    <row r="144" spans="1:143" ht="16.5">
      <c r="A144" s="1059" t="s">
        <v>5</v>
      </c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  <c r="N144" s="1059"/>
      <c r="O144" s="1060" t="s">
        <v>688</v>
      </c>
      <c r="P144" s="1060"/>
      <c r="Q144" s="1060"/>
      <c r="R144" s="1060"/>
      <c r="S144" s="1060"/>
      <c r="T144" s="1060"/>
      <c r="U144" s="1060"/>
      <c r="V144" s="1060"/>
      <c r="W144" s="202"/>
      <c r="Y144" s="1059" t="s">
        <v>5</v>
      </c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59" t="s">
        <v>688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2"/>
      <c r="AW144" s="1059" t="s">
        <v>5</v>
      </c>
      <c r="AX144" s="1059"/>
      <c r="AY144" s="1059"/>
      <c r="AZ144" s="1059"/>
      <c r="BA144" s="1059"/>
      <c r="BB144" s="1059"/>
      <c r="BC144" s="1059"/>
      <c r="BD144" s="1059"/>
      <c r="BE144" s="1059"/>
      <c r="BF144" s="1059"/>
      <c r="BG144" s="1059"/>
      <c r="BH144" s="1059"/>
      <c r="BI144" s="1059"/>
      <c r="BJ144" s="1059"/>
      <c r="BK144" s="1060" t="s">
        <v>688</v>
      </c>
      <c r="BL144" s="1060"/>
      <c r="BM144" s="1060"/>
      <c r="BN144" s="1060"/>
      <c r="BO144" s="1060"/>
      <c r="BP144" s="1060"/>
      <c r="BQ144" s="1060"/>
      <c r="BR144" s="1060"/>
      <c r="BS144" s="202"/>
      <c r="BT144" s="234"/>
      <c r="BU144" s="1059" t="s">
        <v>5</v>
      </c>
      <c r="BV144" s="1059"/>
      <c r="BW144" s="1059"/>
      <c r="BX144" s="1059"/>
      <c r="BY144" s="1059"/>
      <c r="BZ144" s="1059"/>
      <c r="CA144" s="1059"/>
      <c r="CB144" s="1059"/>
      <c r="CC144" s="1059"/>
      <c r="CD144" s="1059"/>
      <c r="CE144" s="1059"/>
      <c r="CF144" s="1059"/>
      <c r="CG144" s="1059"/>
      <c r="CH144" s="1059" t="s">
        <v>688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2"/>
      <c r="CS144" s="1059" t="s">
        <v>5</v>
      </c>
      <c r="CT144" s="1059"/>
      <c r="CU144" s="1059"/>
      <c r="CV144" s="1059"/>
      <c r="CW144" s="1059"/>
      <c r="CX144" s="1059"/>
      <c r="CY144" s="1059"/>
      <c r="CZ144" s="1059"/>
      <c r="DA144" s="1059"/>
      <c r="DB144" s="1059"/>
      <c r="DC144" s="1059"/>
      <c r="DD144" s="1059"/>
      <c r="DE144" s="1059"/>
      <c r="DF144" s="1059"/>
      <c r="DG144" s="1060" t="s">
        <v>688</v>
      </c>
      <c r="DH144" s="1060"/>
      <c r="DI144" s="1060"/>
      <c r="DJ144" s="1060"/>
      <c r="DK144" s="1060"/>
      <c r="DL144" s="1060"/>
      <c r="DM144" s="1060"/>
      <c r="DN144" s="1060"/>
      <c r="DO144" s="202"/>
      <c r="DP144" s="234"/>
      <c r="DQ144" s="1059" t="s">
        <v>5</v>
      </c>
      <c r="DR144" s="1059"/>
      <c r="DS144" s="1059"/>
      <c r="DT144" s="1059"/>
      <c r="DU144" s="1059"/>
      <c r="DV144" s="1059"/>
      <c r="DW144" s="1059"/>
      <c r="DX144" s="1059"/>
      <c r="DY144" s="1059"/>
      <c r="DZ144" s="1059"/>
      <c r="EA144" s="1059"/>
      <c r="EB144" s="1059"/>
      <c r="EC144" s="1059"/>
      <c r="ED144" s="1059" t="s">
        <v>688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2"/>
    </row>
    <row r="145" spans="1:143" ht="16.5">
      <c r="A145" s="1061"/>
      <c r="B145" s="1061"/>
      <c r="C145" s="1061"/>
      <c r="D145" s="1061"/>
      <c r="E145" s="1061"/>
      <c r="F145" s="1061"/>
      <c r="G145" s="1061"/>
      <c r="H145" s="1061"/>
      <c r="I145" s="1061"/>
      <c r="J145" s="1061"/>
      <c r="K145" s="1061"/>
      <c r="L145" s="1061"/>
      <c r="M145" s="1061"/>
      <c r="N145" s="1061"/>
      <c r="O145" s="1061"/>
      <c r="P145" s="1061"/>
      <c r="Q145" s="1061"/>
      <c r="R145" s="1061"/>
      <c r="S145" s="1061"/>
      <c r="T145" s="1061"/>
      <c r="U145" s="1061"/>
      <c r="V145" s="1061"/>
      <c r="W145" s="1061"/>
      <c r="Y145" s="1101"/>
      <c r="Z145" s="1101"/>
      <c r="AA145" s="1101"/>
      <c r="AB145" s="1101"/>
      <c r="AC145" s="1101"/>
      <c r="AD145" s="1101"/>
      <c r="AE145" s="1101"/>
      <c r="AF145" s="1101"/>
      <c r="AG145" s="1101"/>
      <c r="AH145" s="1101"/>
      <c r="AI145" s="1101"/>
      <c r="AJ145" s="1101"/>
      <c r="AK145" s="1101"/>
      <c r="AL145" s="1101"/>
      <c r="AM145" s="1101"/>
      <c r="AN145" s="1101"/>
      <c r="AO145" s="1101"/>
      <c r="AP145" s="1101"/>
      <c r="AQ145" s="1101"/>
      <c r="AR145" s="1101"/>
      <c r="AS145" s="1101"/>
      <c r="AT145" s="1101"/>
      <c r="AU145" s="1101"/>
      <c r="AW145" s="1061"/>
      <c r="AX145" s="1061"/>
      <c r="AY145" s="1061"/>
      <c r="AZ145" s="1061"/>
      <c r="BA145" s="1061"/>
      <c r="BB145" s="1061"/>
      <c r="BC145" s="1061"/>
      <c r="BD145" s="1061"/>
      <c r="BE145" s="1061"/>
      <c r="BF145" s="1061"/>
      <c r="BG145" s="1061"/>
      <c r="BH145" s="1061"/>
      <c r="BI145" s="1061"/>
      <c r="BJ145" s="1061"/>
      <c r="BK145" s="1061"/>
      <c r="BL145" s="1061"/>
      <c r="BM145" s="1061"/>
      <c r="BN145" s="1061"/>
      <c r="BO145" s="1061"/>
      <c r="BP145" s="1061"/>
      <c r="BQ145" s="1061"/>
      <c r="BR145" s="1061"/>
      <c r="BS145" s="1061"/>
      <c r="BT145" s="234"/>
      <c r="BU145" s="1101"/>
      <c r="BV145" s="1101"/>
      <c r="BW145" s="1101"/>
      <c r="BX145" s="1101"/>
      <c r="BY145" s="1101"/>
      <c r="BZ145" s="1101"/>
      <c r="CA145" s="1101"/>
      <c r="CB145" s="1101"/>
      <c r="CC145" s="1101"/>
      <c r="CD145" s="1101"/>
      <c r="CE145" s="1101"/>
      <c r="CF145" s="1101"/>
      <c r="CG145" s="1101"/>
      <c r="CH145" s="1101"/>
      <c r="CI145" s="1101"/>
      <c r="CJ145" s="1101"/>
      <c r="CK145" s="1101"/>
      <c r="CL145" s="1101"/>
      <c r="CM145" s="1101"/>
      <c r="CN145" s="1101"/>
      <c r="CO145" s="1101"/>
      <c r="CP145" s="1101"/>
      <c r="CQ145" s="1101"/>
      <c r="CS145" s="1061"/>
      <c r="CT145" s="1061"/>
      <c r="CU145" s="1061"/>
      <c r="CV145" s="1061"/>
      <c r="CW145" s="1061"/>
      <c r="CX145" s="1061"/>
      <c r="CY145" s="1061"/>
      <c r="CZ145" s="1061"/>
      <c r="DA145" s="1061"/>
      <c r="DB145" s="1061"/>
      <c r="DC145" s="1061"/>
      <c r="DD145" s="1061"/>
      <c r="DE145" s="1061"/>
      <c r="DF145" s="1061"/>
      <c r="DG145" s="1061"/>
      <c r="DH145" s="1061"/>
      <c r="DI145" s="1061"/>
      <c r="DJ145" s="1061"/>
      <c r="DK145" s="1061"/>
      <c r="DL145" s="1061"/>
      <c r="DM145" s="1061"/>
      <c r="DN145" s="1061"/>
      <c r="DO145" s="1061"/>
      <c r="DP145" s="234"/>
      <c r="DQ145" s="1101"/>
      <c r="DR145" s="1101"/>
      <c r="DS145" s="1101"/>
      <c r="DT145" s="1101"/>
      <c r="DU145" s="1101"/>
      <c r="DV145" s="1101"/>
      <c r="DW145" s="1101"/>
      <c r="DX145" s="1101"/>
      <c r="DY145" s="1101"/>
      <c r="DZ145" s="1101"/>
      <c r="EA145" s="1101"/>
      <c r="EB145" s="1101"/>
      <c r="EC145" s="1101"/>
      <c r="ED145" s="1101"/>
      <c r="EE145" s="1101"/>
      <c r="EF145" s="1101"/>
      <c r="EG145" s="1101"/>
      <c r="EH145" s="1101"/>
      <c r="EI145" s="1101"/>
      <c r="EJ145" s="1101"/>
      <c r="EK145" s="1101"/>
      <c r="EL145" s="1101"/>
      <c r="EM145" s="1101"/>
    </row>
    <row r="146" spans="1:143" ht="16.5" customHeight="1">
      <c r="A146" s="1081" t="s">
        <v>978</v>
      </c>
      <c r="B146" s="1082"/>
      <c r="C146" s="1082"/>
      <c r="D146" s="1082"/>
      <c r="E146" s="1082"/>
      <c r="F146" s="1082"/>
      <c r="G146" s="1082"/>
      <c r="H146" s="1082"/>
      <c r="I146" s="1082"/>
      <c r="J146" s="1082"/>
      <c r="K146" s="1082"/>
      <c r="L146" s="1082"/>
      <c r="M146" s="1082"/>
      <c r="N146" s="1082"/>
      <c r="O146" s="1082"/>
      <c r="P146" s="1082"/>
      <c r="Q146" s="1082"/>
      <c r="R146" s="1082"/>
      <c r="S146" s="1082"/>
      <c r="T146" s="1082"/>
      <c r="U146" s="1082"/>
      <c r="V146" s="1082"/>
      <c r="W146" s="1082"/>
      <c r="Y146" s="1081" t="s">
        <v>978</v>
      </c>
      <c r="Z146" s="1082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W146" s="1081" t="s">
        <v>978</v>
      </c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I146" s="1082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234"/>
      <c r="BU146" s="1081" t="s">
        <v>978</v>
      </c>
      <c r="BV146" s="1082"/>
      <c r="BW146" s="1082"/>
      <c r="BX146" s="1082"/>
      <c r="BY146" s="1082"/>
      <c r="BZ146" s="1082"/>
      <c r="CA146" s="1082"/>
      <c r="CB146" s="1082"/>
      <c r="CC146" s="1082"/>
      <c r="CD146" s="1082"/>
      <c r="CE146" s="1082"/>
      <c r="CF146" s="1082"/>
      <c r="CG146" s="1082"/>
      <c r="CH146" s="1082"/>
      <c r="CI146" s="1082"/>
      <c r="CJ146" s="1082"/>
      <c r="CK146" s="1082"/>
      <c r="CL146" s="1082"/>
      <c r="CM146" s="1082"/>
      <c r="CN146" s="1082"/>
      <c r="CO146" s="1082"/>
      <c r="CP146" s="1082"/>
      <c r="CQ146" s="1082"/>
      <c r="CS146" s="1081" t="s">
        <v>978</v>
      </c>
      <c r="CT146" s="1082"/>
      <c r="CU146" s="1082"/>
      <c r="CV146" s="1082"/>
      <c r="CW146" s="1082"/>
      <c r="CX146" s="1082"/>
      <c r="CY146" s="1082"/>
      <c r="CZ146" s="1082"/>
      <c r="DA146" s="1082"/>
      <c r="DB146" s="1082"/>
      <c r="DC146" s="1082"/>
      <c r="DD146" s="1082"/>
      <c r="DE146" s="1082"/>
      <c r="DF146" s="1082"/>
      <c r="DG146" s="1082"/>
      <c r="DH146" s="1082"/>
      <c r="DI146" s="1082"/>
      <c r="DJ146" s="1082"/>
      <c r="DK146" s="1082"/>
      <c r="DL146" s="1082"/>
      <c r="DM146" s="1082"/>
      <c r="DN146" s="1082"/>
      <c r="DO146" s="1082"/>
      <c r="DP146" s="234"/>
      <c r="DQ146" s="1081" t="s">
        <v>978</v>
      </c>
      <c r="DR146" s="1082"/>
      <c r="DS146" s="1082"/>
      <c r="DT146" s="1082"/>
      <c r="DU146" s="1082"/>
      <c r="DV146" s="1082"/>
      <c r="DW146" s="1082"/>
      <c r="DX146" s="1082"/>
      <c r="DY146" s="1082"/>
      <c r="DZ146" s="1082"/>
      <c r="EA146" s="1082"/>
      <c r="EB146" s="1082"/>
      <c r="EC146" s="1082"/>
      <c r="ED146" s="1082"/>
      <c r="EE146" s="1082"/>
      <c r="EF146" s="1082"/>
      <c r="EG146" s="1082"/>
      <c r="EH146" s="1082"/>
      <c r="EI146" s="1082"/>
      <c r="EJ146" s="1082"/>
      <c r="EK146" s="1082"/>
      <c r="EL146" s="1082"/>
      <c r="EM146" s="1082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3"/>
      <c r="W147" s="1083"/>
      <c r="X147" s="1083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3"/>
      <c r="BS147" s="1083"/>
      <c r="BT147" s="1083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3"/>
      <c r="DO147" s="1083"/>
      <c r="DP147" s="1083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7" t="s">
        <v>844</v>
      </c>
      <c r="X149" s="1087"/>
      <c r="Y149" s="1087"/>
      <c r="Z149" s="1087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7" t="s">
        <v>844</v>
      </c>
      <c r="BT149" s="1087"/>
      <c r="BU149" s="1087"/>
      <c r="BV149" s="1087"/>
      <c r="BW149" s="1087"/>
      <c r="BX149" s="1087"/>
      <c r="BY149" s="1087"/>
      <c r="BZ149" s="1087"/>
      <c r="CA149" s="1087"/>
      <c r="CB149" s="1087"/>
      <c r="CC149" s="1087"/>
      <c r="CD149" s="1087"/>
      <c r="CE149" s="1087"/>
      <c r="CF149" s="1087"/>
      <c r="CG149" s="1087"/>
      <c r="CH149" s="1087"/>
      <c r="CI149" s="1087"/>
      <c r="CJ149" s="1087"/>
      <c r="CK149" s="1087"/>
      <c r="CL149" s="1087"/>
      <c r="CM149" s="1087"/>
      <c r="CN149" s="1087"/>
      <c r="CO149" s="1087"/>
      <c r="CP149" s="1087"/>
      <c r="CQ149" s="1087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7" t="s">
        <v>844</v>
      </c>
      <c r="DP149" s="1087"/>
      <c r="DQ149" s="1087"/>
      <c r="DR149" s="1087"/>
      <c r="DS149" s="1087"/>
      <c r="DT149" s="1087"/>
      <c r="DU149" s="1087"/>
      <c r="DV149" s="1087"/>
      <c r="DW149" s="1087"/>
      <c r="DX149" s="1087"/>
      <c r="DY149" s="1087"/>
      <c r="DZ149" s="1087"/>
      <c r="EA149" s="1087"/>
      <c r="EB149" s="1087"/>
      <c r="EC149" s="1087"/>
      <c r="ED149" s="1087"/>
      <c r="EE149" s="1087"/>
      <c r="EF149" s="1087"/>
      <c r="EG149" s="1087"/>
      <c r="EH149" s="1087"/>
      <c r="EI149" s="1087"/>
      <c r="EJ149" s="1087"/>
      <c r="EK149" s="1087"/>
      <c r="EL149" s="1087"/>
      <c r="EM149" s="1087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9" t="s">
        <v>551</v>
      </c>
      <c r="X150" s="1089"/>
      <c r="Y150" s="1089"/>
      <c r="Z150" s="1090">
        <f>$AF$33</f>
        <v>0</v>
      </c>
      <c r="AA150" s="1090"/>
      <c r="AB150" s="215" t="s">
        <v>524</v>
      </c>
      <c r="AC150" s="1090">
        <f>$AI$33</f>
        <v>0</v>
      </c>
      <c r="AD150" s="1090"/>
      <c r="AE150" s="1090"/>
      <c r="AF150" s="1090"/>
      <c r="AG150" s="1090"/>
      <c r="AH150" s="1090"/>
      <c r="AI150" s="1090"/>
      <c r="AJ150" s="1090">
        <f>$AP$33</f>
        <v>0</v>
      </c>
      <c r="AK150" s="1090"/>
      <c r="AL150" s="1090"/>
      <c r="AM150" s="1090"/>
      <c r="AN150" s="1091" t="s">
        <v>375</v>
      </c>
      <c r="AO150" s="1091"/>
      <c r="AP150" s="1092" t="s">
        <v>680</v>
      </c>
      <c r="AQ150" s="1092"/>
      <c r="AR150" s="1093">
        <f>$AB$29</f>
        <v>0</v>
      </c>
      <c r="AS150" s="1093"/>
      <c r="AT150" s="1093"/>
      <c r="AU150" s="1093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9" t="s">
        <v>551</v>
      </c>
      <c r="BT150" s="1089"/>
      <c r="BU150" s="1089"/>
      <c r="BV150" s="1090">
        <f>$AF$33</f>
        <v>0</v>
      </c>
      <c r="BW150" s="1090"/>
      <c r="BX150" s="215" t="s">
        <v>524</v>
      </c>
      <c r="BY150" s="1090">
        <f>$AI$33</f>
        <v>0</v>
      </c>
      <c r="BZ150" s="1090"/>
      <c r="CA150" s="1090"/>
      <c r="CB150" s="1090"/>
      <c r="CC150" s="1090"/>
      <c r="CD150" s="1090"/>
      <c r="CE150" s="1090"/>
      <c r="CF150" s="1090">
        <f>$AP$33</f>
        <v>0</v>
      </c>
      <c r="CG150" s="1090"/>
      <c r="CH150" s="1090"/>
      <c r="CI150" s="1090"/>
      <c r="CJ150" s="1091" t="s">
        <v>375</v>
      </c>
      <c r="CK150" s="1091"/>
      <c r="CL150" s="1092" t="s">
        <v>680</v>
      </c>
      <c r="CM150" s="1092"/>
      <c r="CN150" s="1093">
        <f>$AB$29</f>
        <v>0</v>
      </c>
      <c r="CO150" s="1093"/>
      <c r="CP150" s="1093"/>
      <c r="CQ150" s="1093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9" t="s">
        <v>551</v>
      </c>
      <c r="DP150" s="1089"/>
      <c r="DQ150" s="1089"/>
      <c r="DR150" s="1090">
        <f>$AF$33</f>
        <v>0</v>
      </c>
      <c r="DS150" s="1090"/>
      <c r="DT150" s="215" t="s">
        <v>524</v>
      </c>
      <c r="DU150" s="1090">
        <f>$AI$33</f>
        <v>0</v>
      </c>
      <c r="DV150" s="1090"/>
      <c r="DW150" s="1090"/>
      <c r="DX150" s="1090"/>
      <c r="DY150" s="1090"/>
      <c r="DZ150" s="1090"/>
      <c r="EA150" s="1090"/>
      <c r="EB150" s="1090">
        <f>$AP$33</f>
        <v>0</v>
      </c>
      <c r="EC150" s="1090"/>
      <c r="ED150" s="1090"/>
      <c r="EE150" s="1090"/>
      <c r="EF150" s="1091" t="s">
        <v>375</v>
      </c>
      <c r="EG150" s="1091"/>
      <c r="EH150" s="1092" t="s">
        <v>680</v>
      </c>
      <c r="EI150" s="1092"/>
      <c r="EJ150" s="1093">
        <f>$AB$29</f>
        <v>0</v>
      </c>
      <c r="EK150" s="1093"/>
      <c r="EL150" s="1093"/>
      <c r="EM150" s="1093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3"/>
      <c r="AI152" s="1083"/>
      <c r="AJ152" s="1083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3"/>
      <c r="CE152" s="1083"/>
      <c r="CF152" s="1083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3"/>
      <c r="EA152" s="1083"/>
      <c r="EB152" s="1083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68" t="s">
        <v>715</v>
      </c>
      <c r="C155" s="1068"/>
      <c r="D155" s="1068"/>
      <c r="E155" s="1068"/>
      <c r="F155" s="1068"/>
      <c r="G155" s="1068"/>
      <c r="H155" s="1068"/>
      <c r="I155" s="1068"/>
      <c r="J155" s="1068"/>
      <c r="K155" s="1068"/>
      <c r="L155" s="1068"/>
      <c r="M155" s="1068"/>
      <c r="N155" s="1068"/>
      <c r="O155" s="1068"/>
      <c r="P155" s="1068"/>
      <c r="Q155" s="1068"/>
      <c r="R155" s="1068"/>
      <c r="S155" s="1068"/>
      <c r="T155" s="1068"/>
      <c r="U155" s="1068"/>
      <c r="V155" s="1068"/>
      <c r="W155" s="1068"/>
      <c r="X155" s="1068"/>
      <c r="Y155" s="1068"/>
      <c r="Z155" s="1068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068"/>
      <c r="AO155" s="1068"/>
      <c r="AP155" s="1068"/>
      <c r="AQ155" s="1068"/>
      <c r="AR155" s="1068"/>
      <c r="AS155" s="1068"/>
      <c r="AT155" s="1068"/>
      <c r="AU155" s="1068"/>
      <c r="AW155" s="178"/>
      <c r="AX155" s="1068" t="s">
        <v>715</v>
      </c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  <c r="BX155" s="1068"/>
      <c r="BY155" s="1068"/>
      <c r="BZ155" s="1068"/>
      <c r="CA155" s="1068"/>
      <c r="CB155" s="1068"/>
      <c r="CC155" s="1068"/>
      <c r="CD155" s="1068"/>
      <c r="CE155" s="1068"/>
      <c r="CF155" s="1068"/>
      <c r="CG155" s="1068"/>
      <c r="CH155" s="1068"/>
      <c r="CI155" s="1068"/>
      <c r="CJ155" s="1068"/>
      <c r="CK155" s="1068"/>
      <c r="CL155" s="1068"/>
      <c r="CM155" s="1068"/>
      <c r="CN155" s="1068"/>
      <c r="CO155" s="1068"/>
      <c r="CP155" s="1068"/>
      <c r="CQ155" s="1068"/>
      <c r="CS155" s="178"/>
      <c r="CT155" s="1068" t="s">
        <v>715</v>
      </c>
      <c r="CU155" s="1068"/>
      <c r="CV155" s="1068"/>
      <c r="CW155" s="1068"/>
      <c r="CX155" s="1068"/>
      <c r="CY155" s="1068"/>
      <c r="CZ155" s="1068"/>
      <c r="DA155" s="1068"/>
      <c r="DB155" s="1068"/>
      <c r="DC155" s="1068"/>
      <c r="DD155" s="1068"/>
      <c r="DE155" s="1068"/>
      <c r="DF155" s="1068"/>
      <c r="DG155" s="1068"/>
      <c r="DH155" s="1068"/>
      <c r="DI155" s="1068"/>
      <c r="DJ155" s="1068"/>
      <c r="DK155" s="1068"/>
      <c r="DL155" s="1068"/>
      <c r="DM155" s="1068"/>
      <c r="DN155" s="1068"/>
      <c r="DO155" s="1068"/>
      <c r="DP155" s="1068"/>
      <c r="DQ155" s="1068"/>
      <c r="DR155" s="1068"/>
      <c r="DS155" s="1068"/>
      <c r="DT155" s="1068"/>
      <c r="DU155" s="1068"/>
      <c r="DV155" s="1068"/>
      <c r="DW155" s="1068"/>
      <c r="DX155" s="1068"/>
      <c r="DY155" s="1068"/>
      <c r="DZ155" s="1068"/>
      <c r="EA155" s="1068"/>
      <c r="EB155" s="1068"/>
      <c r="EC155" s="1068"/>
      <c r="ED155" s="1068"/>
      <c r="EE155" s="1068"/>
      <c r="EF155" s="1068"/>
      <c r="EG155" s="1068"/>
      <c r="EH155" s="1068"/>
      <c r="EI155" s="1068"/>
      <c r="EJ155" s="1068"/>
      <c r="EK155" s="1068"/>
      <c r="EL155" s="1068"/>
      <c r="EM155" s="1068"/>
    </row>
    <row r="156" spans="1:143" ht="16.5" customHeight="1">
      <c r="A156" s="178"/>
      <c r="B156" s="1068" t="s">
        <v>716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716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716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69">
        <f>I$16</f>
        <v>0</v>
      </c>
      <c r="H158" s="1069"/>
      <c r="I158" s="1069"/>
      <c r="J158" s="1069"/>
      <c r="K158" s="1069"/>
      <c r="L158" s="1069"/>
      <c r="M158" s="1069"/>
      <c r="N158" s="1069"/>
      <c r="O158" s="1069"/>
      <c r="P158" s="1069"/>
      <c r="Q158" s="1069"/>
      <c r="R158" s="1069"/>
      <c r="S158" s="1069"/>
      <c r="T158" s="1069"/>
      <c r="U158" s="1069"/>
      <c r="V158" s="1069"/>
      <c r="W158" s="1069"/>
      <c r="X158" s="1069"/>
      <c r="Y158" s="1069"/>
      <c r="Z158" s="1069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069"/>
      <c r="AO158" s="1069"/>
      <c r="AP158" s="1069"/>
      <c r="AQ158" s="1069"/>
      <c r="AR158" s="1069"/>
      <c r="AS158" s="1069"/>
      <c r="AT158" s="1069"/>
      <c r="AU158" s="1069"/>
      <c r="AW158" s="178"/>
      <c r="AX158" s="184"/>
      <c r="AY158" s="184"/>
      <c r="AZ158" s="184"/>
      <c r="BA158" s="185" t="s">
        <v>717</v>
      </c>
      <c r="BB158" s="185"/>
      <c r="BC158" s="1069">
        <f>BE$16</f>
        <v>0</v>
      </c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  <c r="BX158" s="1069"/>
      <c r="BY158" s="1069"/>
      <c r="BZ158" s="1069"/>
      <c r="CA158" s="1069"/>
      <c r="CB158" s="1069"/>
      <c r="CC158" s="1069"/>
      <c r="CD158" s="1069"/>
      <c r="CE158" s="1069"/>
      <c r="CF158" s="1069"/>
      <c r="CG158" s="1069"/>
      <c r="CH158" s="1069"/>
      <c r="CI158" s="1069"/>
      <c r="CJ158" s="1069"/>
      <c r="CK158" s="1069"/>
      <c r="CL158" s="1069"/>
      <c r="CM158" s="1069"/>
      <c r="CN158" s="1069"/>
      <c r="CO158" s="1069"/>
      <c r="CP158" s="1069"/>
      <c r="CQ158" s="1069"/>
      <c r="CS158" s="178"/>
      <c r="CT158" s="184"/>
      <c r="CU158" s="184"/>
      <c r="CV158" s="184"/>
      <c r="CW158" s="185" t="s">
        <v>717</v>
      </c>
      <c r="CX158" s="185"/>
      <c r="CY158" s="1069">
        <f>DA$16</f>
        <v>0</v>
      </c>
      <c r="CZ158" s="1069"/>
      <c r="DA158" s="1069"/>
      <c r="DB158" s="1069"/>
      <c r="DC158" s="1069"/>
      <c r="DD158" s="1069"/>
      <c r="DE158" s="1069"/>
      <c r="DF158" s="1069"/>
      <c r="DG158" s="1069"/>
      <c r="DH158" s="1069"/>
      <c r="DI158" s="1069"/>
      <c r="DJ158" s="1069"/>
      <c r="DK158" s="1069"/>
      <c r="DL158" s="1069"/>
      <c r="DM158" s="1069"/>
      <c r="DN158" s="1069"/>
      <c r="DO158" s="1069"/>
      <c r="DP158" s="1069"/>
      <c r="DQ158" s="1069"/>
      <c r="DR158" s="1069"/>
      <c r="DS158" s="1069"/>
      <c r="DT158" s="1069"/>
      <c r="DU158" s="1069"/>
      <c r="DV158" s="1069"/>
      <c r="DW158" s="1069"/>
      <c r="DX158" s="1069"/>
      <c r="DY158" s="1069"/>
      <c r="DZ158" s="1069"/>
      <c r="EA158" s="1069"/>
      <c r="EB158" s="1069"/>
      <c r="EC158" s="1069"/>
      <c r="ED158" s="1069"/>
      <c r="EE158" s="1069"/>
      <c r="EF158" s="1069"/>
      <c r="EG158" s="1069"/>
      <c r="EH158" s="1069"/>
      <c r="EI158" s="1069"/>
      <c r="EJ158" s="1069"/>
      <c r="EK158" s="1069"/>
      <c r="EL158" s="1069"/>
      <c r="EM158" s="1069"/>
    </row>
    <row r="159" spans="1:143" ht="18.75" customHeight="1">
      <c r="A159" s="178"/>
      <c r="B159" s="1070" t="s">
        <v>718</v>
      </c>
      <c r="C159" s="1070"/>
      <c r="D159" s="1070"/>
      <c r="E159" s="1070"/>
      <c r="F159" s="1070"/>
      <c r="G159" s="1070"/>
      <c r="H159" s="1070"/>
      <c r="I159" s="1070"/>
      <c r="J159" s="1070"/>
      <c r="K159" s="1070"/>
      <c r="L159" s="1070"/>
      <c r="M159" s="1070"/>
      <c r="N159" s="1070"/>
      <c r="O159" s="1070"/>
      <c r="P159" s="1070"/>
      <c r="Q159" s="1070"/>
      <c r="R159" s="1070"/>
      <c r="S159" s="1070"/>
      <c r="T159" s="1070"/>
      <c r="U159" s="1070"/>
      <c r="V159" s="1070"/>
      <c r="W159" s="1071">
        <f>I$21</f>
        <v>0</v>
      </c>
      <c r="X159" s="1071"/>
      <c r="Y159" s="1071"/>
      <c r="Z159" s="1071"/>
      <c r="AA159" s="1071"/>
      <c r="AB159" s="1071"/>
      <c r="AC159" s="1071"/>
      <c r="AD159" s="1071"/>
      <c r="AE159" s="1071"/>
      <c r="AF159" s="1071"/>
      <c r="AG159" s="1071"/>
      <c r="AH159" s="1071"/>
      <c r="AI159" s="1071"/>
      <c r="AJ159" s="1071"/>
      <c r="AK159" s="1071"/>
      <c r="AL159" s="1071"/>
      <c r="AM159" s="1071"/>
      <c r="AN159" s="1071"/>
      <c r="AO159" s="1071"/>
      <c r="AP159" s="1071"/>
      <c r="AQ159" s="1071"/>
      <c r="AR159" s="1071"/>
      <c r="AS159" s="1071"/>
      <c r="AT159" s="1071"/>
      <c r="AU159" s="1071"/>
      <c r="AW159" s="178"/>
      <c r="AX159" s="1070" t="s">
        <v>718</v>
      </c>
      <c r="AY159" s="1070"/>
      <c r="AZ159" s="1070"/>
      <c r="BA159" s="1070"/>
      <c r="BB159" s="1070"/>
      <c r="BC159" s="1070"/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1">
        <f>BE$21</f>
        <v>0</v>
      </c>
      <c r="BT159" s="1071"/>
      <c r="BU159" s="1071"/>
      <c r="BV159" s="1071"/>
      <c r="BW159" s="1071"/>
      <c r="BX159" s="1071"/>
      <c r="BY159" s="1071"/>
      <c r="BZ159" s="1071"/>
      <c r="CA159" s="1071"/>
      <c r="CB159" s="1071"/>
      <c r="CC159" s="1071"/>
      <c r="CD159" s="1071"/>
      <c r="CE159" s="1071"/>
      <c r="CF159" s="1071"/>
      <c r="CG159" s="1071"/>
      <c r="CH159" s="1071"/>
      <c r="CI159" s="1071"/>
      <c r="CJ159" s="1071"/>
      <c r="CK159" s="1071"/>
      <c r="CL159" s="1071"/>
      <c r="CM159" s="1071"/>
      <c r="CN159" s="1071"/>
      <c r="CO159" s="1071"/>
      <c r="CP159" s="1071"/>
      <c r="CQ159" s="1071"/>
      <c r="CS159" s="178"/>
      <c r="CT159" s="1070" t="s">
        <v>718</v>
      </c>
      <c r="CU159" s="1070"/>
      <c r="CV159" s="1070"/>
      <c r="CW159" s="1070"/>
      <c r="CX159" s="1070"/>
      <c r="CY159" s="1070"/>
      <c r="CZ159" s="1070"/>
      <c r="DA159" s="1070"/>
      <c r="DB159" s="1070"/>
      <c r="DC159" s="1070"/>
      <c r="DD159" s="1070"/>
      <c r="DE159" s="1070"/>
      <c r="DF159" s="1070"/>
      <c r="DG159" s="1070"/>
      <c r="DH159" s="1070"/>
      <c r="DI159" s="1070"/>
      <c r="DJ159" s="1070"/>
      <c r="DK159" s="1070"/>
      <c r="DL159" s="1070"/>
      <c r="DM159" s="1070"/>
      <c r="DN159" s="1070"/>
      <c r="DO159" s="1071">
        <f>DA$21</f>
        <v>0</v>
      </c>
      <c r="DP159" s="1071"/>
      <c r="DQ159" s="1071"/>
      <c r="DR159" s="1071"/>
      <c r="DS159" s="1071"/>
      <c r="DT159" s="1071"/>
      <c r="DU159" s="1071"/>
      <c r="DV159" s="1071"/>
      <c r="DW159" s="1071"/>
      <c r="DX159" s="1071"/>
      <c r="DY159" s="1071"/>
      <c r="DZ159" s="1071"/>
      <c r="EA159" s="1071"/>
      <c r="EB159" s="1071"/>
      <c r="EC159" s="1071"/>
      <c r="ED159" s="1071"/>
      <c r="EE159" s="1071"/>
      <c r="EF159" s="1071"/>
      <c r="EG159" s="1071"/>
      <c r="EH159" s="1071"/>
      <c r="EI159" s="1071"/>
      <c r="EJ159" s="1071"/>
      <c r="EK159" s="1071"/>
      <c r="EL159" s="1071"/>
      <c r="EM159" s="1071"/>
    </row>
    <row r="160" spans="1:143" ht="18.75" customHeight="1">
      <c r="A160" s="178"/>
      <c r="B160" s="1070" t="s">
        <v>798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0"/>
      <c r="X160" s="1070"/>
      <c r="Y160" s="1070"/>
      <c r="Z160" s="1070"/>
      <c r="AA160" s="1070"/>
      <c r="AB160" s="1070"/>
      <c r="AC160" s="1070"/>
      <c r="AD160" s="1070"/>
      <c r="AE160" s="1070"/>
      <c r="AF160" s="1070"/>
      <c r="AG160" s="1070"/>
      <c r="AH160" s="1071">
        <f>I$17</f>
        <v>0</v>
      </c>
      <c r="AI160" s="1071"/>
      <c r="AJ160" s="1071"/>
      <c r="AK160" s="1071"/>
      <c r="AL160" s="1071"/>
      <c r="AM160" s="1071"/>
      <c r="AN160" s="1170" t="s">
        <v>680</v>
      </c>
      <c r="AO160" s="1170"/>
      <c r="AP160" s="1130">
        <f>I$18</f>
        <v>0</v>
      </c>
      <c r="AQ160" s="1130"/>
      <c r="AR160" s="1130"/>
      <c r="AS160" s="1130"/>
      <c r="AT160" s="1130"/>
      <c r="AU160" s="1130"/>
      <c r="AW160" s="178"/>
      <c r="AX160" s="1070" t="s">
        <v>798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  <c r="BX160" s="1070"/>
      <c r="BY160" s="1070"/>
      <c r="BZ160" s="1070"/>
      <c r="CA160" s="1070"/>
      <c r="CB160" s="1070"/>
      <c r="CC160" s="1070"/>
      <c r="CD160" s="1071">
        <f>BE$17</f>
        <v>0</v>
      </c>
      <c r="CE160" s="1071"/>
      <c r="CF160" s="1071"/>
      <c r="CG160" s="1071"/>
      <c r="CH160" s="1071"/>
      <c r="CI160" s="1071"/>
      <c r="CJ160" s="1170" t="s">
        <v>680</v>
      </c>
      <c r="CK160" s="1170"/>
      <c r="CL160" s="1130">
        <f>BE$18</f>
        <v>0</v>
      </c>
      <c r="CM160" s="1130"/>
      <c r="CN160" s="1130"/>
      <c r="CO160" s="1130"/>
      <c r="CP160" s="1130"/>
      <c r="CQ160" s="1130"/>
      <c r="CS160" s="178"/>
      <c r="CT160" s="1070" t="s">
        <v>798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0"/>
      <c r="DP160" s="1070"/>
      <c r="DQ160" s="1070"/>
      <c r="DR160" s="1070"/>
      <c r="DS160" s="1070"/>
      <c r="DT160" s="1070"/>
      <c r="DU160" s="1070"/>
      <c r="DV160" s="1070"/>
      <c r="DW160" s="1070"/>
      <c r="DX160" s="1070"/>
      <c r="DY160" s="1070"/>
      <c r="DZ160" s="1071">
        <f>DA$17</f>
        <v>0</v>
      </c>
      <c r="EA160" s="1071"/>
      <c r="EB160" s="1071"/>
      <c r="EC160" s="1071"/>
      <c r="ED160" s="1071"/>
      <c r="EE160" s="1071"/>
      <c r="EF160" s="1170" t="s">
        <v>680</v>
      </c>
      <c r="EG160" s="1170"/>
      <c r="EH160" s="1130">
        <f>DA$18</f>
        <v>0</v>
      </c>
      <c r="EI160" s="1130"/>
      <c r="EJ160" s="1130"/>
      <c r="EK160" s="1130"/>
      <c r="EL160" s="1130"/>
      <c r="EM160" s="1130"/>
    </row>
    <row r="161" spans="1:143" ht="18.75" customHeight="1">
      <c r="A161" s="178"/>
      <c r="B161" s="1072" t="s">
        <v>720</v>
      </c>
      <c r="C161" s="1072"/>
      <c r="D161" s="1072"/>
      <c r="E161" s="1072"/>
      <c r="F161" s="1075">
        <f>I$19</f>
        <v>0</v>
      </c>
      <c r="G161" s="1075"/>
      <c r="H161" s="1075"/>
      <c r="I161" s="1075"/>
      <c r="J161" s="1075"/>
      <c r="K161" s="1075"/>
      <c r="L161" s="1075"/>
      <c r="M161" s="1075"/>
      <c r="N161" s="1075"/>
      <c r="O161" s="1075"/>
      <c r="P161" s="1075"/>
      <c r="Q161" s="1075"/>
      <c r="R161" s="1075"/>
      <c r="S161" s="1075"/>
      <c r="T161" s="1075"/>
      <c r="U161" s="1075"/>
      <c r="V161" s="1075"/>
      <c r="W161" s="1075"/>
      <c r="X161" s="1075"/>
      <c r="Y161" s="1075"/>
      <c r="Z161" s="1075"/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075"/>
      <c r="AO161" s="1075"/>
      <c r="AP161" s="1075"/>
      <c r="AQ161" s="1075"/>
      <c r="AR161" s="1075"/>
      <c r="AS161" s="1075"/>
      <c r="AT161" s="1075"/>
      <c r="AU161" s="1075"/>
      <c r="AW161" s="178"/>
      <c r="AX161" s="1072" t="s">
        <v>720</v>
      </c>
      <c r="AY161" s="1072"/>
      <c r="AZ161" s="1072"/>
      <c r="BA161" s="1072"/>
      <c r="BB161" s="1075">
        <f>BE$19</f>
        <v>0</v>
      </c>
      <c r="BC161" s="1075"/>
      <c r="BD161" s="1075"/>
      <c r="BE161" s="1075"/>
      <c r="BF161" s="1075"/>
      <c r="BG161" s="1075"/>
      <c r="BH161" s="1075"/>
      <c r="BI161" s="1075"/>
      <c r="BJ161" s="1075"/>
      <c r="BK161" s="1075"/>
      <c r="BL161" s="1075"/>
      <c r="BM161" s="1075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  <c r="BX161" s="1075"/>
      <c r="BY161" s="1075"/>
      <c r="BZ161" s="1075"/>
      <c r="CA161" s="1075"/>
      <c r="CB161" s="1075"/>
      <c r="CC161" s="1075"/>
      <c r="CD161" s="1075"/>
      <c r="CE161" s="1075"/>
      <c r="CF161" s="1075"/>
      <c r="CG161" s="1075"/>
      <c r="CH161" s="1075"/>
      <c r="CI161" s="1075"/>
      <c r="CJ161" s="1075"/>
      <c r="CK161" s="1075"/>
      <c r="CL161" s="1075"/>
      <c r="CM161" s="1075"/>
      <c r="CN161" s="1075"/>
      <c r="CO161" s="1075"/>
      <c r="CP161" s="1075"/>
      <c r="CQ161" s="1075"/>
      <c r="CS161" s="178"/>
      <c r="CT161" s="1072" t="s">
        <v>720</v>
      </c>
      <c r="CU161" s="1072"/>
      <c r="CV161" s="1072"/>
      <c r="CW161" s="1072"/>
      <c r="CX161" s="1075">
        <f>DA$19</f>
        <v>0</v>
      </c>
      <c r="CY161" s="1075"/>
      <c r="CZ161" s="1075"/>
      <c r="DA161" s="1075"/>
      <c r="DB161" s="1075"/>
      <c r="DC161" s="1075"/>
      <c r="DD161" s="1075"/>
      <c r="DE161" s="1075"/>
      <c r="DF161" s="1075"/>
      <c r="DG161" s="1075"/>
      <c r="DH161" s="1075"/>
      <c r="DI161" s="1075"/>
      <c r="DJ161" s="1075"/>
      <c r="DK161" s="1075"/>
      <c r="DL161" s="1075"/>
      <c r="DM161" s="1075"/>
      <c r="DN161" s="1075"/>
      <c r="DO161" s="1075"/>
      <c r="DP161" s="1075"/>
      <c r="DQ161" s="1075"/>
      <c r="DR161" s="1075"/>
      <c r="DS161" s="1075"/>
      <c r="DT161" s="1075"/>
      <c r="DU161" s="1075"/>
      <c r="DV161" s="1075"/>
      <c r="DW161" s="1075"/>
      <c r="DX161" s="1075"/>
      <c r="DY161" s="1075"/>
      <c r="DZ161" s="1075"/>
      <c r="EA161" s="1075"/>
      <c r="EB161" s="1075"/>
      <c r="EC161" s="1075"/>
      <c r="ED161" s="1075"/>
      <c r="EE161" s="1075"/>
      <c r="EF161" s="1075"/>
      <c r="EG161" s="1075"/>
      <c r="EH161" s="1075"/>
      <c r="EI161" s="1075"/>
      <c r="EJ161" s="1075"/>
      <c r="EK161" s="1075"/>
      <c r="EL161" s="1075"/>
      <c r="EM161" s="1075"/>
    </row>
    <row r="162" spans="1:143" ht="18.75" customHeight="1">
      <c r="A162" s="178"/>
      <c r="B162" s="1072" t="s">
        <v>799</v>
      </c>
      <c r="C162" s="1072"/>
      <c r="D162" s="1072"/>
      <c r="E162" s="1072"/>
      <c r="F162" s="1072"/>
      <c r="G162" s="1072"/>
      <c r="H162" s="1072"/>
      <c r="I162" s="1072"/>
      <c r="J162" s="1072"/>
      <c r="K162" s="1072"/>
      <c r="L162" s="1072"/>
      <c r="M162" s="1072"/>
      <c r="N162" s="1072"/>
      <c r="O162" s="1072"/>
      <c r="P162" s="1072"/>
      <c r="Q162" s="1072"/>
      <c r="R162" s="1072"/>
      <c r="S162" s="1072"/>
      <c r="T162" s="1072"/>
      <c r="U162" s="1072"/>
      <c r="V162" s="1072"/>
      <c r="W162" s="1072"/>
      <c r="X162" s="1072"/>
      <c r="Y162" s="1072"/>
      <c r="Z162" s="1072"/>
      <c r="AA162" s="1072"/>
      <c r="AB162" s="1072"/>
      <c r="AC162" s="1072"/>
      <c r="AD162" s="1072"/>
      <c r="AE162" s="1072"/>
      <c r="AF162" s="1072"/>
      <c r="AG162" s="1072"/>
      <c r="AH162" s="1072"/>
      <c r="AI162" s="1072"/>
      <c r="AJ162" s="1072"/>
      <c r="AK162" s="1072"/>
      <c r="AL162" s="1072"/>
      <c r="AM162" s="1072"/>
      <c r="AN162" s="1072"/>
      <c r="AO162" s="1072"/>
      <c r="AP162" s="1072"/>
      <c r="AQ162" s="1072"/>
      <c r="AR162" s="1072"/>
      <c r="AS162" s="1072"/>
      <c r="AT162" s="1072"/>
      <c r="AU162" s="1072"/>
      <c r="AW162" s="178"/>
      <c r="AX162" s="1072" t="s">
        <v>799</v>
      </c>
      <c r="AY162" s="1072"/>
      <c r="AZ162" s="1072"/>
      <c r="BA162" s="1072"/>
      <c r="BB162" s="1072"/>
      <c r="BC162" s="1072"/>
      <c r="BD162" s="1072"/>
      <c r="BE162" s="1072"/>
      <c r="BF162" s="1072"/>
      <c r="BG162" s="1072"/>
      <c r="BH162" s="1072"/>
      <c r="BI162" s="1072"/>
      <c r="BJ162" s="1072"/>
      <c r="BK162" s="1072"/>
      <c r="BL162" s="1072"/>
      <c r="BM162" s="1072"/>
      <c r="BN162" s="1072"/>
      <c r="BO162" s="1072"/>
      <c r="BP162" s="1072"/>
      <c r="BQ162" s="1072"/>
      <c r="BR162" s="1072"/>
      <c r="BS162" s="1072"/>
      <c r="BT162" s="1072"/>
      <c r="BU162" s="1072"/>
      <c r="BV162" s="1072"/>
      <c r="BW162" s="1072"/>
      <c r="BX162" s="1072"/>
      <c r="BY162" s="1072"/>
      <c r="BZ162" s="1072"/>
      <c r="CA162" s="1072"/>
      <c r="CB162" s="1072"/>
      <c r="CC162" s="1072"/>
      <c r="CD162" s="1072"/>
      <c r="CE162" s="1072"/>
      <c r="CF162" s="1072"/>
      <c r="CG162" s="1072"/>
      <c r="CH162" s="1072"/>
      <c r="CI162" s="1072"/>
      <c r="CJ162" s="1072"/>
      <c r="CK162" s="1072"/>
      <c r="CL162" s="1072"/>
      <c r="CM162" s="1072"/>
      <c r="CN162" s="1072"/>
      <c r="CO162" s="1072"/>
      <c r="CP162" s="1072"/>
      <c r="CQ162" s="1072"/>
      <c r="CS162" s="178"/>
      <c r="CT162" s="1072" t="s">
        <v>799</v>
      </c>
      <c r="CU162" s="1072"/>
      <c r="CV162" s="1072"/>
      <c r="CW162" s="1072"/>
      <c r="CX162" s="1072"/>
      <c r="CY162" s="1072"/>
      <c r="CZ162" s="1072"/>
      <c r="DA162" s="1072"/>
      <c r="DB162" s="1072"/>
      <c r="DC162" s="1072"/>
      <c r="DD162" s="1072"/>
      <c r="DE162" s="1072"/>
      <c r="DF162" s="1072"/>
      <c r="DG162" s="1072"/>
      <c r="DH162" s="1072"/>
      <c r="DI162" s="1072"/>
      <c r="DJ162" s="1072"/>
      <c r="DK162" s="1072"/>
      <c r="DL162" s="1072"/>
      <c r="DM162" s="1072"/>
      <c r="DN162" s="1072"/>
      <c r="DO162" s="1072"/>
      <c r="DP162" s="1072"/>
      <c r="DQ162" s="1072"/>
      <c r="DR162" s="1072"/>
      <c r="DS162" s="1072"/>
      <c r="DT162" s="1072"/>
      <c r="DU162" s="1072"/>
      <c r="DV162" s="1072"/>
      <c r="DW162" s="1072"/>
      <c r="DX162" s="1072"/>
      <c r="DY162" s="1072"/>
      <c r="DZ162" s="1072"/>
      <c r="EA162" s="1072"/>
      <c r="EB162" s="1072"/>
      <c r="EC162" s="1072"/>
      <c r="ED162" s="1072"/>
      <c r="EE162" s="1072"/>
      <c r="EF162" s="1072"/>
      <c r="EG162" s="1072"/>
      <c r="EH162" s="1072"/>
      <c r="EI162" s="1072"/>
      <c r="EJ162" s="1072"/>
      <c r="EK162" s="1072"/>
      <c r="EL162" s="1072"/>
      <c r="EM162" s="1072"/>
    </row>
    <row r="163" spans="1:143" ht="18.75" customHeight="1">
      <c r="A163" s="178"/>
      <c r="B163" s="1072" t="s">
        <v>800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5" t="e">
        <f>I$6</f>
        <v>#VALUE!</v>
      </c>
      <c r="S163" s="1075"/>
      <c r="T163" s="1075"/>
      <c r="U163" s="1075"/>
      <c r="V163" s="1075"/>
      <c r="W163" s="1075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2" t="s">
        <v>800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5" t="e">
        <f>BE$6</f>
        <v>#VALUE!</v>
      </c>
      <c r="BO163" s="1075"/>
      <c r="BP163" s="1075"/>
      <c r="BQ163" s="1075"/>
      <c r="BR163" s="1075"/>
      <c r="BS163" s="1075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2" t="s">
        <v>800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5" t="e">
        <f>DA$6</f>
        <v>#VALUE!</v>
      </c>
      <c r="DK163" s="1075"/>
      <c r="DL163" s="1075"/>
      <c r="DM163" s="1075"/>
      <c r="DN163" s="1075"/>
      <c r="DO163" s="1075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77" t="s">
        <v>801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W165" s="178"/>
      <c r="AX165" s="1077" t="s">
        <v>801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801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>
      <c r="A166" s="178"/>
      <c r="B166" s="1072" t="s">
        <v>800</v>
      </c>
      <c r="C166" s="1072"/>
      <c r="D166" s="1072"/>
      <c r="E166" s="1072"/>
      <c r="F166" s="1072"/>
      <c r="G166" s="1072"/>
      <c r="H166" s="1072"/>
      <c r="I166" s="1072"/>
      <c r="J166" s="1072"/>
      <c r="K166" s="1072"/>
      <c r="L166" s="1072"/>
      <c r="M166" s="1072"/>
      <c r="N166" s="1072"/>
      <c r="O166" s="1072"/>
      <c r="P166" s="1072"/>
      <c r="Q166" s="1072"/>
      <c r="R166" s="1075" t="e">
        <f>I$6</f>
        <v>#VALUE!</v>
      </c>
      <c r="S166" s="1075"/>
      <c r="T166" s="1075"/>
      <c r="U166" s="1075"/>
      <c r="V166" s="1075"/>
      <c r="W166" s="1075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2" t="s">
        <v>800</v>
      </c>
      <c r="AY166" s="1072"/>
      <c r="AZ166" s="1072"/>
      <c r="BA166" s="1072"/>
      <c r="BB166" s="1072"/>
      <c r="BC166" s="1072"/>
      <c r="BD166" s="1072"/>
      <c r="BE166" s="1072"/>
      <c r="BF166" s="1072"/>
      <c r="BG166" s="1072"/>
      <c r="BH166" s="1072"/>
      <c r="BI166" s="1072"/>
      <c r="BJ166" s="1072"/>
      <c r="BK166" s="1072"/>
      <c r="BL166" s="1072"/>
      <c r="BM166" s="1072"/>
      <c r="BN166" s="1075" t="e">
        <f>BE$6</f>
        <v>#VALUE!</v>
      </c>
      <c r="BO166" s="1075"/>
      <c r="BP166" s="1075"/>
      <c r="BQ166" s="1075"/>
      <c r="BR166" s="1075"/>
      <c r="BS166" s="1075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2" t="s">
        <v>800</v>
      </c>
      <c r="CU166" s="1072"/>
      <c r="CV166" s="1072"/>
      <c r="CW166" s="1072"/>
      <c r="CX166" s="1072"/>
      <c r="CY166" s="1072"/>
      <c r="CZ166" s="1072"/>
      <c r="DA166" s="1072"/>
      <c r="DB166" s="1072"/>
      <c r="DC166" s="1072"/>
      <c r="DD166" s="1072"/>
      <c r="DE166" s="1072"/>
      <c r="DF166" s="1072"/>
      <c r="DG166" s="1072"/>
      <c r="DH166" s="1072"/>
      <c r="DI166" s="1072"/>
      <c r="DJ166" s="1075" t="e">
        <f>DA$6</f>
        <v>#VALUE!</v>
      </c>
      <c r="DK166" s="1075"/>
      <c r="DL166" s="1075"/>
      <c r="DM166" s="1075"/>
      <c r="DN166" s="1075"/>
      <c r="DO166" s="1075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77" t="s">
        <v>939</v>
      </c>
      <c r="C168" s="1077"/>
      <c r="D168" s="1077"/>
      <c r="E168" s="1077"/>
      <c r="F168" s="1077"/>
      <c r="G168" s="1077"/>
      <c r="H168" s="1077"/>
      <c r="I168" s="1077"/>
      <c r="J168" s="1077"/>
      <c r="K168" s="1077"/>
      <c r="L168" s="1077"/>
      <c r="M168" s="1077"/>
      <c r="N168" s="1077"/>
      <c r="O168" s="1077"/>
      <c r="P168" s="1077"/>
      <c r="Q168" s="1077"/>
      <c r="R168" s="1077"/>
      <c r="S168" s="1077"/>
      <c r="T168" s="1077"/>
      <c r="U168" s="1077"/>
      <c r="V168" s="1077"/>
      <c r="W168" s="1077"/>
      <c r="X168" s="1077"/>
      <c r="Y168" s="1077"/>
      <c r="Z168" s="1077"/>
      <c r="AA168" s="1077"/>
      <c r="AB168" s="1077"/>
      <c r="AC168" s="1077"/>
      <c r="AD168" s="1077"/>
      <c r="AE168" s="1077"/>
      <c r="AF168" s="1077"/>
      <c r="AG168" s="1077"/>
      <c r="AH168" s="1077"/>
      <c r="AI168" s="1077"/>
      <c r="AJ168" s="1077"/>
      <c r="AK168" s="1077"/>
      <c r="AL168" s="1077"/>
      <c r="AM168" s="1077"/>
      <c r="AN168" s="1077"/>
      <c r="AO168" s="1077"/>
      <c r="AP168" s="1077"/>
      <c r="AQ168" s="1077"/>
      <c r="AR168" s="1077"/>
      <c r="AS168" s="1077"/>
      <c r="AT168" s="1077"/>
      <c r="AU168" s="1077"/>
      <c r="AW168" s="178"/>
      <c r="AX168" s="1077" t="s">
        <v>939</v>
      </c>
      <c r="AY168" s="1077"/>
      <c r="AZ168" s="1077"/>
      <c r="BA168" s="1077"/>
      <c r="BB168" s="1077"/>
      <c r="BC168" s="1077"/>
      <c r="BD168" s="1077"/>
      <c r="BE168" s="1077"/>
      <c r="BF168" s="1077"/>
      <c r="BG168" s="1077"/>
      <c r="BH168" s="1077"/>
      <c r="BI168" s="1077"/>
      <c r="BJ168" s="1077"/>
      <c r="BK168" s="1077"/>
      <c r="BL168" s="1077"/>
      <c r="BM168" s="107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  <c r="BX168" s="1077"/>
      <c r="BY168" s="1077"/>
      <c r="BZ168" s="1077"/>
      <c r="CA168" s="1077"/>
      <c r="CB168" s="1077"/>
      <c r="CC168" s="1077"/>
      <c r="CD168" s="1077"/>
      <c r="CE168" s="1077"/>
      <c r="CF168" s="1077"/>
      <c r="CG168" s="1077"/>
      <c r="CH168" s="1077"/>
      <c r="CI168" s="1077"/>
      <c r="CJ168" s="1077"/>
      <c r="CK168" s="1077"/>
      <c r="CL168" s="1077"/>
      <c r="CM168" s="1077"/>
      <c r="CN168" s="1077"/>
      <c r="CO168" s="1077"/>
      <c r="CP168" s="1077"/>
      <c r="CQ168" s="1077"/>
      <c r="CS168" s="178"/>
      <c r="CT168" s="1077" t="s">
        <v>939</v>
      </c>
      <c r="CU168" s="1077"/>
      <c r="CV168" s="1077"/>
      <c r="CW168" s="1077"/>
      <c r="CX168" s="1077"/>
      <c r="CY168" s="1077"/>
      <c r="CZ168" s="1077"/>
      <c r="DA168" s="1077"/>
      <c r="DB168" s="1077"/>
      <c r="DC168" s="1077"/>
      <c r="DD168" s="1077"/>
      <c r="DE168" s="1077"/>
      <c r="DF168" s="1077"/>
      <c r="DG168" s="1077"/>
      <c r="DH168" s="1077"/>
      <c r="DI168" s="1077"/>
      <c r="DJ168" s="1077"/>
      <c r="DK168" s="1077"/>
      <c r="DL168" s="1077"/>
      <c r="DM168" s="1077"/>
      <c r="DN168" s="1077"/>
      <c r="DO168" s="1077"/>
      <c r="DP168" s="1077"/>
      <c r="DQ168" s="1077"/>
      <c r="DR168" s="1077"/>
      <c r="DS168" s="1077"/>
      <c r="DT168" s="1077"/>
      <c r="DU168" s="1077"/>
      <c r="DV168" s="1077"/>
      <c r="DW168" s="1077"/>
      <c r="DX168" s="1077"/>
      <c r="DY168" s="1077"/>
      <c r="DZ168" s="1077"/>
      <c r="EA168" s="1077"/>
      <c r="EB168" s="1077"/>
      <c r="EC168" s="1077"/>
      <c r="ED168" s="1077"/>
      <c r="EE168" s="1077"/>
      <c r="EF168" s="1077"/>
      <c r="EG168" s="1077"/>
      <c r="EH168" s="1077"/>
      <c r="EI168" s="1077"/>
      <c r="EJ168" s="1077"/>
      <c r="EK168" s="1077"/>
      <c r="EL168" s="1077"/>
      <c r="EM168" s="1077"/>
    </row>
    <row r="169" spans="1:143" s="234" customFormat="1" ht="76.5" customHeight="1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50" t="s">
        <v>373</v>
      </c>
      <c r="J180" s="950"/>
      <c r="K180" s="950"/>
      <c r="L180" s="1063"/>
      <c r="M180" s="1063"/>
      <c r="N180" s="1063"/>
      <c r="O180" s="1063"/>
      <c r="P180" s="1021" t="s">
        <v>179</v>
      </c>
      <c r="Q180" s="1021"/>
      <c r="R180" s="1044"/>
      <c r="S180" s="1044"/>
      <c r="T180" s="1044"/>
      <c r="U180" s="1044"/>
      <c r="V180" s="1044"/>
      <c r="W180" s="950">
        <v>20</v>
      </c>
      <c r="X180" s="950"/>
      <c r="Y180" s="950"/>
      <c r="Z180" s="1045"/>
      <c r="AA180" s="1045"/>
      <c r="AB180" s="950" t="s">
        <v>374</v>
      </c>
      <c r="AC180" s="950"/>
      <c r="AD180" s="950"/>
      <c r="AE180" s="1021" t="s">
        <v>179</v>
      </c>
      <c r="AF180" s="1021"/>
      <c r="AG180" s="1044"/>
      <c r="AH180" s="1044"/>
      <c r="AI180" s="1044"/>
      <c r="AJ180" s="1044"/>
      <c r="AK180" s="1044"/>
      <c r="AL180" s="950">
        <v>20</v>
      </c>
      <c r="AM180" s="950"/>
      <c r="AN180" s="950"/>
      <c r="AO180" s="1045"/>
      <c r="AP180" s="1045"/>
      <c r="AQ180" s="1039" t="s">
        <v>375</v>
      </c>
      <c r="AR180" s="1039"/>
      <c r="AS180" s="1039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50" t="s">
        <v>373</v>
      </c>
      <c r="BF180" s="950"/>
      <c r="BG180" s="950"/>
      <c r="BH180" s="1063"/>
      <c r="BI180" s="1063"/>
      <c r="BJ180" s="1063"/>
      <c r="BK180" s="1063"/>
      <c r="BL180" s="1021" t="s">
        <v>179</v>
      </c>
      <c r="BM180" s="1021"/>
      <c r="BN180" s="1044"/>
      <c r="BO180" s="1044"/>
      <c r="BP180" s="1044"/>
      <c r="BQ180" s="1044"/>
      <c r="BR180" s="1044"/>
      <c r="BS180" s="950">
        <v>20</v>
      </c>
      <c r="BT180" s="950"/>
      <c r="BU180" s="950"/>
      <c r="BV180" s="1045"/>
      <c r="BW180" s="1045"/>
      <c r="BX180" s="950" t="s">
        <v>374</v>
      </c>
      <c r="BY180" s="950"/>
      <c r="BZ180" s="950"/>
      <c r="CA180" s="1021" t="s">
        <v>179</v>
      </c>
      <c r="CB180" s="1021"/>
      <c r="CC180" s="1044"/>
      <c r="CD180" s="1044"/>
      <c r="CE180" s="1044"/>
      <c r="CF180" s="1044"/>
      <c r="CG180" s="1044"/>
      <c r="CH180" s="950">
        <v>20</v>
      </c>
      <c r="CI180" s="950"/>
      <c r="CJ180" s="950"/>
      <c r="CK180" s="1045"/>
      <c r="CL180" s="1045"/>
      <c r="CM180" s="1039" t="s">
        <v>375</v>
      </c>
      <c r="CN180" s="1039"/>
      <c r="CO180" s="1039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50" t="s">
        <v>373</v>
      </c>
      <c r="DB180" s="950"/>
      <c r="DC180" s="950"/>
      <c r="DD180" s="1063"/>
      <c r="DE180" s="1063"/>
      <c r="DF180" s="1063"/>
      <c r="DG180" s="1063"/>
      <c r="DH180" s="1021" t="s">
        <v>179</v>
      </c>
      <c r="DI180" s="1021"/>
      <c r="DJ180" s="1044"/>
      <c r="DK180" s="1044"/>
      <c r="DL180" s="1044"/>
      <c r="DM180" s="1044"/>
      <c r="DN180" s="1044"/>
      <c r="DO180" s="950">
        <v>20</v>
      </c>
      <c r="DP180" s="950"/>
      <c r="DQ180" s="950"/>
      <c r="DR180" s="1045"/>
      <c r="DS180" s="1045"/>
      <c r="DT180" s="950" t="s">
        <v>374</v>
      </c>
      <c r="DU180" s="950"/>
      <c r="DV180" s="950"/>
      <c r="DW180" s="1021" t="s">
        <v>179</v>
      </c>
      <c r="DX180" s="1021"/>
      <c r="DY180" s="1044"/>
      <c r="DZ180" s="1044"/>
      <c r="EA180" s="1044"/>
      <c r="EB180" s="1044"/>
      <c r="EC180" s="1044"/>
      <c r="ED180" s="950">
        <v>20</v>
      </c>
      <c r="EE180" s="950"/>
      <c r="EF180" s="950"/>
      <c r="EG180" s="1045"/>
      <c r="EH180" s="1045"/>
      <c r="EI180" s="1039" t="s">
        <v>375</v>
      </c>
      <c r="EJ180" s="1039"/>
      <c r="EK180" s="1039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4"/>
      <c r="Q181" s="960"/>
      <c r="R181" s="960"/>
      <c r="S181" s="960"/>
      <c r="T181" s="960"/>
      <c r="U181" s="960"/>
      <c r="V181" s="960"/>
      <c r="W181" s="960"/>
      <c r="X181" s="960"/>
      <c r="Y181" s="960"/>
      <c r="Z181" s="960"/>
      <c r="AA181" s="960"/>
      <c r="AB181" s="960"/>
      <c r="AC181" s="960"/>
      <c r="AD181" s="960"/>
      <c r="AE181" s="960"/>
      <c r="AF181" s="960"/>
      <c r="AG181" s="960"/>
      <c r="AH181" s="960"/>
      <c r="AI181" s="960"/>
      <c r="AJ181" s="960"/>
      <c r="AK181" s="960"/>
      <c r="AL181" s="960"/>
      <c r="AM181" s="960"/>
      <c r="AN181" s="960"/>
      <c r="AO181" s="960"/>
      <c r="AP181" s="960"/>
      <c r="AQ181" s="960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4"/>
      <c r="BM181" s="960"/>
      <c r="BN181" s="960"/>
      <c r="BO181" s="960"/>
      <c r="BP181" s="960"/>
      <c r="BQ181" s="960"/>
      <c r="BR181" s="960"/>
      <c r="BS181" s="960"/>
      <c r="BT181" s="960"/>
      <c r="BU181" s="960"/>
      <c r="BV181" s="960"/>
      <c r="BW181" s="960"/>
      <c r="BX181" s="960"/>
      <c r="BY181" s="960"/>
      <c r="BZ181" s="960"/>
      <c r="CA181" s="960"/>
      <c r="CB181" s="960"/>
      <c r="CC181" s="960"/>
      <c r="CD181" s="960"/>
      <c r="CE181" s="960"/>
      <c r="CF181" s="960"/>
      <c r="CG181" s="960"/>
      <c r="CH181" s="960"/>
      <c r="CI181" s="960"/>
      <c r="CJ181" s="960"/>
      <c r="CK181" s="960"/>
      <c r="CL181" s="960"/>
      <c r="CM181" s="960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4"/>
      <c r="DI181" s="960"/>
      <c r="DJ181" s="960"/>
      <c r="DK181" s="960"/>
      <c r="DL181" s="960"/>
      <c r="DM181" s="960"/>
      <c r="DN181" s="960"/>
      <c r="DO181" s="960"/>
      <c r="DP181" s="960"/>
      <c r="DQ181" s="960"/>
      <c r="DR181" s="960"/>
      <c r="DS181" s="960"/>
      <c r="DT181" s="960"/>
      <c r="DU181" s="960"/>
      <c r="DV181" s="960"/>
      <c r="DW181" s="960"/>
      <c r="DX181" s="960"/>
      <c r="DY181" s="960"/>
      <c r="DZ181" s="960"/>
      <c r="EA181" s="960"/>
      <c r="EB181" s="960"/>
      <c r="EC181" s="960"/>
      <c r="ED181" s="960"/>
      <c r="EE181" s="960"/>
      <c r="EF181" s="960"/>
      <c r="EG181" s="960"/>
      <c r="EH181" s="960"/>
      <c r="EI181" s="960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5"/>
      <c r="V182" s="1065"/>
      <c r="W182" s="1065"/>
      <c r="X182" s="1065"/>
      <c r="Y182" s="1065"/>
      <c r="Z182" s="1065"/>
      <c r="AA182" s="1065"/>
      <c r="AB182" s="1065"/>
      <c r="AC182" s="1066">
        <f>I$9</f>
        <v>0</v>
      </c>
      <c r="AD182" s="1067"/>
      <c r="AE182" s="1067"/>
      <c r="AF182" s="1067"/>
      <c r="AG182" s="1067"/>
      <c r="AH182" s="1067"/>
      <c r="AI182" s="1067"/>
      <c r="AJ182" s="1067"/>
      <c r="AK182" s="1067"/>
      <c r="AL182" s="1067"/>
      <c r="AM182" s="1067"/>
      <c r="AN182" s="1067"/>
      <c r="AO182" s="1067"/>
      <c r="AP182" s="1067"/>
      <c r="AQ182" s="106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5"/>
      <c r="BR182" s="1065"/>
      <c r="BS182" s="1065"/>
      <c r="BT182" s="1065"/>
      <c r="BU182" s="1065"/>
      <c r="BV182" s="1065"/>
      <c r="BW182" s="1065"/>
      <c r="BX182" s="1065"/>
      <c r="BY182" s="1066">
        <f>BE$9</f>
        <v>0</v>
      </c>
      <c r="BZ182" s="1067"/>
      <c r="CA182" s="1067"/>
      <c r="CB182" s="1067"/>
      <c r="CC182" s="1067"/>
      <c r="CD182" s="1067"/>
      <c r="CE182" s="1067"/>
      <c r="CF182" s="1067"/>
      <c r="CG182" s="1067"/>
      <c r="CH182" s="1067"/>
      <c r="CI182" s="1067"/>
      <c r="CJ182" s="1067"/>
      <c r="CK182" s="1067"/>
      <c r="CL182" s="1067"/>
      <c r="CM182" s="106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5"/>
      <c r="DN182" s="1065"/>
      <c r="DO182" s="1065"/>
      <c r="DP182" s="1065"/>
      <c r="DQ182" s="1065"/>
      <c r="DR182" s="1065"/>
      <c r="DS182" s="1065"/>
      <c r="DT182" s="1065"/>
      <c r="DU182" s="1066">
        <f>DA$9</f>
        <v>0</v>
      </c>
      <c r="DV182" s="1067"/>
      <c r="DW182" s="1067"/>
      <c r="DX182" s="1067"/>
      <c r="DY182" s="1067"/>
      <c r="DZ182" s="1067"/>
      <c r="EA182" s="1067"/>
      <c r="EB182" s="1067"/>
      <c r="EC182" s="1067"/>
      <c r="ED182" s="1067"/>
      <c r="EE182" s="1067"/>
      <c r="EF182" s="1067"/>
      <c r="EG182" s="1067"/>
      <c r="EH182" s="1067"/>
      <c r="EI182" s="1067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19" t="s">
        <v>5</v>
      </c>
      <c r="V183" s="1019"/>
      <c r="W183" s="1019"/>
      <c r="X183" s="1019"/>
      <c r="Y183" s="1019"/>
      <c r="Z183" s="1019"/>
      <c r="AA183" s="1019"/>
      <c r="AB183" s="1019"/>
      <c r="AC183" s="1019" t="s">
        <v>6</v>
      </c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19" t="s">
        <v>5</v>
      </c>
      <c r="BR183" s="1019"/>
      <c r="BS183" s="1019"/>
      <c r="BT183" s="1019"/>
      <c r="BU183" s="1019"/>
      <c r="BV183" s="1019"/>
      <c r="BW183" s="1019"/>
      <c r="BX183" s="1019"/>
      <c r="BY183" s="1019" t="s">
        <v>6</v>
      </c>
      <c r="BZ183" s="1019"/>
      <c r="CA183" s="1019"/>
      <c r="CB183" s="1019"/>
      <c r="CC183" s="1019"/>
      <c r="CD183" s="1019"/>
      <c r="CE183" s="1019"/>
      <c r="CF183" s="1019"/>
      <c r="CG183" s="1019"/>
      <c r="CH183" s="1019"/>
      <c r="CI183" s="1019"/>
      <c r="CJ183" s="1019"/>
      <c r="CK183" s="1019"/>
      <c r="CL183" s="1019"/>
      <c r="CM183" s="1019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19" t="s">
        <v>5</v>
      </c>
      <c r="DN183" s="1019"/>
      <c r="DO183" s="1019"/>
      <c r="DP183" s="1019"/>
      <c r="DQ183" s="1019"/>
      <c r="DR183" s="1019"/>
      <c r="DS183" s="1019"/>
      <c r="DT183" s="1019"/>
      <c r="DU183" s="1019" t="s">
        <v>6</v>
      </c>
      <c r="DV183" s="1019"/>
      <c r="DW183" s="1019"/>
      <c r="DX183" s="1019"/>
      <c r="DY183" s="1019"/>
      <c r="DZ183" s="1019"/>
      <c r="EA183" s="1019"/>
      <c r="EB183" s="1019"/>
      <c r="EC183" s="1019"/>
      <c r="ED183" s="1019"/>
      <c r="EE183" s="1019"/>
      <c r="EF183" s="1019"/>
      <c r="EG183" s="1019"/>
      <c r="EH183" s="1019"/>
      <c r="EI183" s="1019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9"/>
      <c r="V184" s="949"/>
      <c r="W184" s="949"/>
      <c r="X184" s="949"/>
      <c r="Y184" s="949"/>
      <c r="Z184" s="949"/>
      <c r="AA184" s="949"/>
      <c r="AB184" s="949"/>
      <c r="AC184" s="949"/>
      <c r="AD184" s="949"/>
      <c r="AE184" s="949"/>
      <c r="AF184" s="949"/>
      <c r="AG184" s="949"/>
      <c r="AH184" s="949"/>
      <c r="AI184" s="949"/>
      <c r="AJ184" s="949"/>
      <c r="AK184" s="949"/>
      <c r="AL184" s="949"/>
      <c r="AM184" s="949"/>
      <c r="AN184" s="949"/>
      <c r="AO184" s="949"/>
      <c r="AP184" s="949"/>
      <c r="AQ184" s="949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9"/>
      <c r="BR184" s="949"/>
      <c r="BS184" s="949"/>
      <c r="BT184" s="949"/>
      <c r="BU184" s="949"/>
      <c r="BV184" s="949"/>
      <c r="BW184" s="949"/>
      <c r="BX184" s="949"/>
      <c r="BY184" s="949"/>
      <c r="BZ184" s="949"/>
      <c r="CA184" s="949"/>
      <c r="CB184" s="949"/>
      <c r="CC184" s="949"/>
      <c r="CD184" s="949"/>
      <c r="CE184" s="949"/>
      <c r="CF184" s="949"/>
      <c r="CG184" s="949"/>
      <c r="CH184" s="949"/>
      <c r="CI184" s="949"/>
      <c r="CJ184" s="949"/>
      <c r="CK184" s="949"/>
      <c r="CL184" s="949"/>
      <c r="CM184" s="949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9"/>
      <c r="DN184" s="949"/>
      <c r="DO184" s="949"/>
      <c r="DP184" s="949"/>
      <c r="DQ184" s="949"/>
      <c r="DR184" s="949"/>
      <c r="DS184" s="949"/>
      <c r="DT184" s="949"/>
      <c r="DU184" s="949"/>
      <c r="DV184" s="949"/>
      <c r="DW184" s="949"/>
      <c r="DX184" s="949"/>
      <c r="DY184" s="949"/>
      <c r="DZ184" s="949"/>
      <c r="EA184" s="949"/>
      <c r="EB184" s="949"/>
      <c r="EC184" s="949"/>
      <c r="ED184" s="949"/>
      <c r="EE184" s="949"/>
      <c r="EF184" s="949"/>
      <c r="EG184" s="949"/>
      <c r="EH184" s="949"/>
      <c r="EI184" s="949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19" t="s">
        <v>5</v>
      </c>
      <c r="V185" s="1019"/>
      <c r="W185" s="1019"/>
      <c r="X185" s="1019"/>
      <c r="Y185" s="1019"/>
      <c r="Z185" s="1019"/>
      <c r="AA185" s="1019"/>
      <c r="AB185" s="1019"/>
      <c r="AC185" s="1019" t="s">
        <v>6</v>
      </c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19" t="s">
        <v>5</v>
      </c>
      <c r="BR185" s="1019"/>
      <c r="BS185" s="1019"/>
      <c r="BT185" s="1019"/>
      <c r="BU185" s="1019"/>
      <c r="BV185" s="1019"/>
      <c r="BW185" s="1019"/>
      <c r="BX185" s="1019"/>
      <c r="BY185" s="1019" t="s">
        <v>6</v>
      </c>
      <c r="BZ185" s="1019"/>
      <c r="CA185" s="1019"/>
      <c r="CB185" s="1019"/>
      <c r="CC185" s="1019"/>
      <c r="CD185" s="1019"/>
      <c r="CE185" s="1019"/>
      <c r="CF185" s="1019"/>
      <c r="CG185" s="1019"/>
      <c r="CH185" s="1019"/>
      <c r="CI185" s="1019"/>
      <c r="CJ185" s="1019"/>
      <c r="CK185" s="1019"/>
      <c r="CL185" s="1019"/>
      <c r="CM185" s="1019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19" t="s">
        <v>5</v>
      </c>
      <c r="DN185" s="1019"/>
      <c r="DO185" s="1019"/>
      <c r="DP185" s="1019"/>
      <c r="DQ185" s="1019"/>
      <c r="DR185" s="1019"/>
      <c r="DS185" s="1019"/>
      <c r="DT185" s="1019"/>
      <c r="DU185" s="1019" t="s">
        <v>6</v>
      </c>
      <c r="DV185" s="1019"/>
      <c r="DW185" s="1019"/>
      <c r="DX185" s="1019"/>
      <c r="DY185" s="1019"/>
      <c r="DZ185" s="1019"/>
      <c r="EA185" s="1019"/>
      <c r="EB185" s="1019"/>
      <c r="EC185" s="1019"/>
      <c r="ED185" s="1019"/>
      <c r="EE185" s="1019"/>
      <c r="EF185" s="1019"/>
      <c r="EG185" s="1019"/>
      <c r="EH185" s="1019"/>
      <c r="EI185" s="1019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6"/>
      <c r="AB187" s="1046"/>
      <c r="AC187" s="1046"/>
      <c r="AD187" s="1046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7" t="s">
        <v>182</v>
      </c>
      <c r="AR187" s="1048"/>
      <c r="AS187" s="1048"/>
      <c r="AT187" s="1048"/>
      <c r="AU187" s="1049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6"/>
      <c r="BX187" s="1046"/>
      <c r="BY187" s="1046"/>
      <c r="BZ187" s="1046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7" t="s">
        <v>182</v>
      </c>
      <c r="CN187" s="1048"/>
      <c r="CO187" s="1048"/>
      <c r="CP187" s="1048"/>
      <c r="CQ187" s="1049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6"/>
      <c r="DT187" s="1046"/>
      <c r="DU187" s="1046"/>
      <c r="DV187" s="1046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7" t="s">
        <v>182</v>
      </c>
      <c r="EJ187" s="1048"/>
      <c r="EK187" s="1048"/>
      <c r="EL187" s="1048"/>
      <c r="EM187" s="1049"/>
    </row>
    <row r="188" spans="1:143">
      <c r="A188" s="87"/>
      <c r="B188" s="88"/>
      <c r="C188" s="88"/>
      <c r="D188" s="88"/>
      <c r="E188" s="1054"/>
      <c r="F188" s="1054"/>
      <c r="G188" s="1054"/>
      <c r="H188" s="1054"/>
      <c r="I188" s="1054"/>
      <c r="J188" s="1054"/>
      <c r="K188" s="1054"/>
      <c r="L188" s="1054"/>
      <c r="M188" s="1054"/>
      <c r="N188" s="1054"/>
      <c r="O188" s="1054"/>
      <c r="P188" s="1054"/>
      <c r="Q188" s="1054"/>
      <c r="R188" s="1054"/>
      <c r="S188" s="1054"/>
      <c r="T188" s="1054"/>
      <c r="U188" s="1054"/>
      <c r="V188" s="1054"/>
      <c r="W188" s="1054"/>
      <c r="X188" s="1054"/>
      <c r="Y188" s="1054"/>
      <c r="Z188" s="1054"/>
      <c r="AA188" s="1054"/>
      <c r="AB188" s="1054"/>
      <c r="AC188" s="1054"/>
      <c r="AD188" s="1054"/>
      <c r="AE188" s="1054"/>
      <c r="AF188" s="1054"/>
      <c r="AG188" s="1054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50" t="s">
        <v>380</v>
      </c>
      <c r="AR188" s="999"/>
      <c r="AS188" s="999"/>
      <c r="AT188" s="999"/>
      <c r="AU188" s="1000"/>
      <c r="AV188" s="234"/>
      <c r="AW188" s="87"/>
      <c r="AX188" s="88"/>
      <c r="AY188" s="88"/>
      <c r="AZ188" s="88"/>
      <c r="BA188" s="1054"/>
      <c r="BB188" s="1054"/>
      <c r="BC188" s="1054"/>
      <c r="BD188" s="1054"/>
      <c r="BE188" s="1054"/>
      <c r="BF188" s="1054"/>
      <c r="BG188" s="1054"/>
      <c r="BH188" s="1054"/>
      <c r="BI188" s="1054"/>
      <c r="BJ188" s="1054"/>
      <c r="BK188" s="1054"/>
      <c r="BL188" s="1054"/>
      <c r="BM188" s="1054"/>
      <c r="BN188" s="1054"/>
      <c r="BO188" s="1054"/>
      <c r="BP188" s="1054"/>
      <c r="BQ188" s="1054"/>
      <c r="BR188" s="1054"/>
      <c r="BS188" s="1054"/>
      <c r="BT188" s="1054"/>
      <c r="BU188" s="1054"/>
      <c r="BV188" s="1054"/>
      <c r="BW188" s="1054"/>
      <c r="BX188" s="1054"/>
      <c r="BY188" s="1054"/>
      <c r="BZ188" s="1054"/>
      <c r="CA188" s="1054"/>
      <c r="CB188" s="1054"/>
      <c r="CC188" s="1054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50" t="s">
        <v>380</v>
      </c>
      <c r="CN188" s="999"/>
      <c r="CO188" s="999"/>
      <c r="CP188" s="999"/>
      <c r="CQ188" s="1000"/>
      <c r="CR188" s="234"/>
      <c r="CS188" s="87"/>
      <c r="CT188" s="88"/>
      <c r="CU188" s="88"/>
      <c r="CV188" s="88"/>
      <c r="CW188" s="1054"/>
      <c r="CX188" s="1054"/>
      <c r="CY188" s="1054"/>
      <c r="CZ188" s="1054"/>
      <c r="DA188" s="1054"/>
      <c r="DB188" s="1054"/>
      <c r="DC188" s="1054"/>
      <c r="DD188" s="1054"/>
      <c r="DE188" s="1054"/>
      <c r="DF188" s="1054"/>
      <c r="DG188" s="1054"/>
      <c r="DH188" s="1054"/>
      <c r="DI188" s="1054"/>
      <c r="DJ188" s="1054"/>
      <c r="DK188" s="1054"/>
      <c r="DL188" s="1054"/>
      <c r="DM188" s="1054"/>
      <c r="DN188" s="1054"/>
      <c r="DO188" s="1054"/>
      <c r="DP188" s="1054"/>
      <c r="DQ188" s="1054"/>
      <c r="DR188" s="1054"/>
      <c r="DS188" s="1054"/>
      <c r="DT188" s="1054"/>
      <c r="DU188" s="1054"/>
      <c r="DV188" s="1054"/>
      <c r="DW188" s="1054"/>
      <c r="DX188" s="1054"/>
      <c r="DY188" s="1054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50" t="s">
        <v>380</v>
      </c>
      <c r="EJ188" s="999"/>
      <c r="EK188" s="999"/>
      <c r="EL188" s="999"/>
      <c r="EM188" s="1000"/>
    </row>
    <row r="189" spans="1:143">
      <c r="A189" s="129"/>
      <c r="B189" s="129"/>
      <c r="C189" s="129"/>
      <c r="D189" s="129"/>
      <c r="E189" s="129"/>
      <c r="F189" s="130" t="s">
        <v>381</v>
      </c>
      <c r="G189" s="1001"/>
      <c r="H189" s="1001"/>
      <c r="I189" s="1001"/>
      <c r="J189" s="1001"/>
      <c r="K189" s="1001"/>
      <c r="L189" s="1001"/>
      <c r="M189" s="1001"/>
      <c r="N189" s="1001"/>
      <c r="O189" s="1001"/>
      <c r="P189" s="1001"/>
      <c r="Q189" s="1001"/>
      <c r="R189" s="1001"/>
      <c r="S189" s="1001"/>
      <c r="T189" s="1001"/>
      <c r="U189" s="1055">
        <v>20</v>
      </c>
      <c r="V189" s="1055"/>
      <c r="W189" s="1056"/>
      <c r="X189" s="1056"/>
      <c r="Y189" s="105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0"/>
      <c r="AR189" s="1052"/>
      <c r="AS189" s="1052"/>
      <c r="AT189" s="1052"/>
      <c r="AU189" s="1053"/>
      <c r="AV189" s="234"/>
      <c r="AW189" s="129"/>
      <c r="AX189" s="129"/>
      <c r="AY189" s="129"/>
      <c r="AZ189" s="129"/>
      <c r="BA189" s="129"/>
      <c r="BB189" s="130" t="s">
        <v>381</v>
      </c>
      <c r="BC189" s="1001"/>
      <c r="BD189" s="1001"/>
      <c r="BE189" s="1001"/>
      <c r="BF189" s="1001"/>
      <c r="BG189" s="1001"/>
      <c r="BH189" s="1001"/>
      <c r="BI189" s="1001"/>
      <c r="BJ189" s="1001"/>
      <c r="BK189" s="1001"/>
      <c r="BL189" s="1001"/>
      <c r="BM189" s="1001"/>
      <c r="BN189" s="1001"/>
      <c r="BO189" s="1001"/>
      <c r="BP189" s="1001"/>
      <c r="BQ189" s="1055">
        <v>20</v>
      </c>
      <c r="BR189" s="1055"/>
      <c r="BS189" s="1056"/>
      <c r="BT189" s="1056"/>
      <c r="BU189" s="105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1"/>
      <c r="CN189" s="1052"/>
      <c r="CO189" s="1052"/>
      <c r="CP189" s="1052"/>
      <c r="CQ189" s="1053"/>
      <c r="CR189" s="234"/>
      <c r="CS189" s="129"/>
      <c r="CT189" s="129"/>
      <c r="CU189" s="129"/>
      <c r="CV189" s="129"/>
      <c r="CW189" s="129"/>
      <c r="CX189" s="130" t="s">
        <v>381</v>
      </c>
      <c r="CY189" s="1001"/>
      <c r="CZ189" s="1001"/>
      <c r="DA189" s="1001"/>
      <c r="DB189" s="1001"/>
      <c r="DC189" s="1001"/>
      <c r="DD189" s="1001"/>
      <c r="DE189" s="1001"/>
      <c r="DF189" s="1001"/>
      <c r="DG189" s="1001"/>
      <c r="DH189" s="1001"/>
      <c r="DI189" s="1001"/>
      <c r="DJ189" s="1001"/>
      <c r="DK189" s="1001"/>
      <c r="DL189" s="1001"/>
      <c r="DM189" s="1055">
        <v>20</v>
      </c>
      <c r="DN189" s="1055"/>
      <c r="DO189" s="1056"/>
      <c r="DP189" s="1056"/>
      <c r="DQ189" s="105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1"/>
      <c r="EJ189" s="1052"/>
      <c r="EK189" s="1052"/>
      <c r="EL189" s="1052"/>
      <c r="EM189" s="1053"/>
    </row>
    <row r="190" spans="1:143">
      <c r="A190" s="129" t="s">
        <v>186</v>
      </c>
      <c r="B190" s="129"/>
      <c r="C190" s="129"/>
      <c r="D190" s="129"/>
      <c r="E190" s="1054"/>
      <c r="F190" s="1054"/>
      <c r="G190" s="1054"/>
      <c r="H190" s="1054"/>
      <c r="I190" s="1054"/>
      <c r="J190" s="1054"/>
      <c r="K190" s="1054"/>
      <c r="L190" s="1054"/>
      <c r="M190" s="1054"/>
      <c r="N190" s="1054"/>
      <c r="O190" s="1054"/>
      <c r="P190" s="1054"/>
      <c r="Q190" s="1054"/>
      <c r="R190" s="1054"/>
      <c r="S190" s="1054"/>
      <c r="T190" s="1054"/>
      <c r="U190" s="1054"/>
      <c r="V190" s="1054"/>
      <c r="W190" s="1054"/>
      <c r="X190" s="1054"/>
      <c r="Y190" s="1054"/>
      <c r="Z190" s="1054"/>
      <c r="AA190" s="1054"/>
      <c r="AB190" s="1054"/>
      <c r="AC190" s="1054"/>
      <c r="AD190" s="1054"/>
      <c r="AE190" s="1054"/>
      <c r="AF190" s="1054"/>
      <c r="AG190" s="1054"/>
      <c r="AH190" s="1054"/>
      <c r="AI190" s="1054"/>
      <c r="AJ190" s="1054"/>
      <c r="AK190" s="317"/>
      <c r="AL190" s="317"/>
      <c r="AM190" s="318"/>
      <c r="AN190" s="318"/>
      <c r="AO190" s="130" t="s">
        <v>187</v>
      </c>
      <c r="AP190" s="129"/>
      <c r="AQ190" s="1012"/>
      <c r="AR190" s="1013"/>
      <c r="AS190" s="1013"/>
      <c r="AT190" s="1013"/>
      <c r="AU190" s="1014"/>
      <c r="AV190" s="234"/>
      <c r="AW190" s="129" t="s">
        <v>186</v>
      </c>
      <c r="AX190" s="129"/>
      <c r="AY190" s="129"/>
      <c r="AZ190" s="129"/>
      <c r="BA190" s="1054"/>
      <c r="BB190" s="1054"/>
      <c r="BC190" s="1054"/>
      <c r="BD190" s="1054"/>
      <c r="BE190" s="1054"/>
      <c r="BF190" s="1054"/>
      <c r="BG190" s="1054"/>
      <c r="BH190" s="1054"/>
      <c r="BI190" s="1054"/>
      <c r="BJ190" s="1054"/>
      <c r="BK190" s="1054"/>
      <c r="BL190" s="1054"/>
      <c r="BM190" s="1054"/>
      <c r="BN190" s="1054"/>
      <c r="BO190" s="1054"/>
      <c r="BP190" s="1054"/>
      <c r="BQ190" s="1054"/>
      <c r="BR190" s="1054"/>
      <c r="BS190" s="1054"/>
      <c r="BT190" s="1054"/>
      <c r="BU190" s="1054"/>
      <c r="BV190" s="1054"/>
      <c r="BW190" s="1054"/>
      <c r="BX190" s="1054"/>
      <c r="BY190" s="1054"/>
      <c r="BZ190" s="1054"/>
      <c r="CA190" s="1054"/>
      <c r="CB190" s="1054"/>
      <c r="CC190" s="1054"/>
      <c r="CD190" s="1054"/>
      <c r="CE190" s="1054"/>
      <c r="CF190" s="1054"/>
      <c r="CG190" s="317"/>
      <c r="CH190" s="317"/>
      <c r="CI190" s="318"/>
      <c r="CJ190" s="318"/>
      <c r="CK190" s="130" t="s">
        <v>187</v>
      </c>
      <c r="CL190" s="129"/>
      <c r="CM190" s="1012"/>
      <c r="CN190" s="1013"/>
      <c r="CO190" s="1013"/>
      <c r="CP190" s="1013"/>
      <c r="CQ190" s="1014"/>
      <c r="CR190" s="234"/>
      <c r="CS190" s="129" t="s">
        <v>186</v>
      </c>
      <c r="CT190" s="129"/>
      <c r="CU190" s="129"/>
      <c r="CV190" s="129"/>
      <c r="CW190" s="1054"/>
      <c r="CX190" s="1054"/>
      <c r="CY190" s="1054"/>
      <c r="CZ190" s="1054"/>
      <c r="DA190" s="1054"/>
      <c r="DB190" s="1054"/>
      <c r="DC190" s="1054"/>
      <c r="DD190" s="1054"/>
      <c r="DE190" s="1054"/>
      <c r="DF190" s="1054"/>
      <c r="DG190" s="1054"/>
      <c r="DH190" s="1054"/>
      <c r="DI190" s="1054"/>
      <c r="DJ190" s="1054"/>
      <c r="DK190" s="1054"/>
      <c r="DL190" s="1054"/>
      <c r="DM190" s="1054"/>
      <c r="DN190" s="1054"/>
      <c r="DO190" s="1054"/>
      <c r="DP190" s="1054"/>
      <c r="DQ190" s="1054"/>
      <c r="DR190" s="1054"/>
      <c r="DS190" s="1054"/>
      <c r="DT190" s="1054"/>
      <c r="DU190" s="1054"/>
      <c r="DV190" s="1054"/>
      <c r="DW190" s="1054"/>
      <c r="DX190" s="1054"/>
      <c r="DY190" s="1054"/>
      <c r="DZ190" s="1054"/>
      <c r="EA190" s="1054"/>
      <c r="EB190" s="1054"/>
      <c r="EC190" s="317"/>
      <c r="ED190" s="317"/>
      <c r="EE190" s="318"/>
      <c r="EF190" s="318"/>
      <c r="EG190" s="130" t="s">
        <v>187</v>
      </c>
      <c r="EH190" s="129"/>
      <c r="EI190" s="1012"/>
      <c r="EJ190" s="1013"/>
      <c r="EK190" s="1013"/>
      <c r="EL190" s="1013"/>
      <c r="EM190" s="1014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4"/>
      <c r="AR191" s="1035"/>
      <c r="AS191" s="1035"/>
      <c r="AT191" s="1035"/>
      <c r="AU191" s="1036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4"/>
      <c r="CN191" s="1035"/>
      <c r="CO191" s="1035"/>
      <c r="CP191" s="1035"/>
      <c r="CQ191" s="1036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4"/>
      <c r="EJ191" s="1035"/>
      <c r="EK191" s="1035"/>
      <c r="EL191" s="1035"/>
      <c r="EM191" s="1036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5"/>
      <c r="Z192" s="996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7"/>
      <c r="AM192" s="129"/>
      <c r="AN192" s="129"/>
      <c r="AO192" s="130" t="s">
        <v>189</v>
      </c>
      <c r="AP192" s="129"/>
      <c r="AQ192" s="1037"/>
      <c r="AR192" s="942"/>
      <c r="AS192" s="942"/>
      <c r="AT192" s="942"/>
      <c r="AU192" s="1038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5"/>
      <c r="BV192" s="996"/>
      <c r="BW192" s="996"/>
      <c r="BX192" s="996"/>
      <c r="BY192" s="996"/>
      <c r="BZ192" s="996"/>
      <c r="CA192" s="996"/>
      <c r="CB192" s="996"/>
      <c r="CC192" s="996"/>
      <c r="CD192" s="996"/>
      <c r="CE192" s="996"/>
      <c r="CF192" s="996"/>
      <c r="CG192" s="996"/>
      <c r="CH192" s="997"/>
      <c r="CI192" s="129"/>
      <c r="CJ192" s="129"/>
      <c r="CK192" s="130" t="s">
        <v>189</v>
      </c>
      <c r="CL192" s="129"/>
      <c r="CM192" s="1037"/>
      <c r="CN192" s="942"/>
      <c r="CO192" s="942"/>
      <c r="CP192" s="942"/>
      <c r="CQ192" s="1038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5"/>
      <c r="DR192" s="996"/>
      <c r="DS192" s="996"/>
      <c r="DT192" s="996"/>
      <c r="DU192" s="996"/>
      <c r="DV192" s="996"/>
      <c r="DW192" s="996"/>
      <c r="DX192" s="996"/>
      <c r="DY192" s="996"/>
      <c r="DZ192" s="996"/>
      <c r="EA192" s="996"/>
      <c r="EB192" s="996"/>
      <c r="EC192" s="996"/>
      <c r="ED192" s="997"/>
      <c r="EE192" s="129"/>
      <c r="EF192" s="129"/>
      <c r="EG192" s="130" t="s">
        <v>189</v>
      </c>
      <c r="EH192" s="129"/>
      <c r="EI192" s="1037"/>
      <c r="EJ192" s="942"/>
      <c r="EK192" s="942"/>
      <c r="EL192" s="942"/>
      <c r="EM192" s="1038"/>
    </row>
    <row r="193" spans="1:143">
      <c r="A193" s="1039" t="s">
        <v>190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949"/>
      <c r="L193" s="949"/>
      <c r="M193" s="949"/>
      <c r="N193" s="949"/>
      <c r="O193" s="949"/>
      <c r="P193" s="949"/>
      <c r="Q193" s="949"/>
      <c r="R193" s="949"/>
      <c r="S193" s="949"/>
      <c r="T193" s="949"/>
      <c r="U193" s="949"/>
      <c r="V193" s="949"/>
      <c r="W193" s="949"/>
      <c r="X193" s="949"/>
      <c r="Y193" s="949"/>
      <c r="Z193" s="949"/>
      <c r="AA193" s="949"/>
      <c r="AB193" s="949"/>
      <c r="AC193" s="949"/>
      <c r="AD193" s="949"/>
      <c r="AE193" s="949"/>
      <c r="AF193" s="949"/>
      <c r="AG193" s="949"/>
      <c r="AH193" s="949"/>
      <c r="AI193" s="949"/>
      <c r="AJ193" s="949"/>
      <c r="AK193" s="949"/>
      <c r="AL193" s="90"/>
      <c r="AM193" s="80"/>
      <c r="AN193" s="80"/>
      <c r="AO193" s="80"/>
      <c r="AP193" s="80"/>
      <c r="AQ193" s="1016"/>
      <c r="AR193" s="1017"/>
      <c r="AS193" s="1017"/>
      <c r="AT193" s="1017"/>
      <c r="AU193" s="1018"/>
      <c r="AV193" s="234"/>
      <c r="AW193" s="1039" t="s">
        <v>190</v>
      </c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949"/>
      <c r="BH193" s="949"/>
      <c r="BI193" s="949"/>
      <c r="BJ193" s="949"/>
      <c r="BK193" s="949"/>
      <c r="BL193" s="949"/>
      <c r="BM193" s="949"/>
      <c r="BN193" s="949"/>
      <c r="BO193" s="949"/>
      <c r="BP193" s="949"/>
      <c r="BQ193" s="949"/>
      <c r="BR193" s="949"/>
      <c r="BS193" s="949"/>
      <c r="BT193" s="949"/>
      <c r="BU193" s="949"/>
      <c r="BV193" s="949"/>
      <c r="BW193" s="949"/>
      <c r="BX193" s="949"/>
      <c r="BY193" s="949"/>
      <c r="BZ193" s="949"/>
      <c r="CA193" s="949"/>
      <c r="CB193" s="949"/>
      <c r="CC193" s="949"/>
      <c r="CD193" s="949"/>
      <c r="CE193" s="949"/>
      <c r="CF193" s="949"/>
      <c r="CG193" s="949"/>
      <c r="CH193" s="90"/>
      <c r="CI193" s="80"/>
      <c r="CJ193" s="80"/>
      <c r="CK193" s="80"/>
      <c r="CL193" s="80"/>
      <c r="CM193" s="1016"/>
      <c r="CN193" s="1017"/>
      <c r="CO193" s="1017"/>
      <c r="CP193" s="1017"/>
      <c r="CQ193" s="1018"/>
      <c r="CR193" s="234"/>
      <c r="CS193" s="1039" t="s">
        <v>190</v>
      </c>
      <c r="CT193" s="1039"/>
      <c r="CU193" s="1039"/>
      <c r="CV193" s="1039"/>
      <c r="CW193" s="1039"/>
      <c r="CX193" s="1039"/>
      <c r="CY193" s="1039"/>
      <c r="CZ193" s="1039"/>
      <c r="DA193" s="1039"/>
      <c r="DB193" s="1039"/>
      <c r="DC193" s="949"/>
      <c r="DD193" s="949"/>
      <c r="DE193" s="949"/>
      <c r="DF193" s="949"/>
      <c r="DG193" s="949"/>
      <c r="DH193" s="949"/>
      <c r="DI193" s="949"/>
      <c r="DJ193" s="949"/>
      <c r="DK193" s="949"/>
      <c r="DL193" s="949"/>
      <c r="DM193" s="949"/>
      <c r="DN193" s="949"/>
      <c r="DO193" s="949"/>
      <c r="DP193" s="949"/>
      <c r="DQ193" s="949"/>
      <c r="DR193" s="949"/>
      <c r="DS193" s="949"/>
      <c r="DT193" s="949"/>
      <c r="DU193" s="949"/>
      <c r="DV193" s="949"/>
      <c r="DW193" s="949"/>
      <c r="DX193" s="949"/>
      <c r="DY193" s="949"/>
      <c r="DZ193" s="949"/>
      <c r="EA193" s="949"/>
      <c r="EB193" s="949"/>
      <c r="EC193" s="949"/>
      <c r="ED193" s="90"/>
      <c r="EE193" s="80"/>
      <c r="EF193" s="80"/>
      <c r="EG193" s="80"/>
      <c r="EH193" s="80"/>
      <c r="EI193" s="1016"/>
      <c r="EJ193" s="1017"/>
      <c r="EK193" s="1017"/>
      <c r="EL193" s="1017"/>
      <c r="EM193" s="1018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40" t="s">
        <v>285</v>
      </c>
      <c r="AR194" s="1006"/>
      <c r="AS194" s="1006"/>
      <c r="AT194" s="1006"/>
      <c r="AU194" s="1007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40" t="s">
        <v>285</v>
      </c>
      <c r="CN194" s="1006"/>
      <c r="CO194" s="1006"/>
      <c r="CP194" s="1006"/>
      <c r="CQ194" s="1007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40" t="s">
        <v>285</v>
      </c>
      <c r="EJ194" s="1006"/>
      <c r="EK194" s="1006"/>
      <c r="EL194" s="1006"/>
      <c r="EM194" s="1007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67" t="s">
        <v>384</v>
      </c>
      <c r="B196" s="968"/>
      <c r="C196" s="968"/>
      <c r="D196" s="968"/>
      <c r="E196" s="968"/>
      <c r="F196" s="968"/>
      <c r="G196" s="968"/>
      <c r="H196" s="968"/>
      <c r="I196" s="969"/>
      <c r="J196" s="80"/>
      <c r="K196" s="80"/>
      <c r="L196" s="80"/>
      <c r="M196" s="967" t="s">
        <v>385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967" t="s">
        <v>384</v>
      </c>
      <c r="AX196" s="968"/>
      <c r="AY196" s="968"/>
      <c r="AZ196" s="968"/>
      <c r="BA196" s="968"/>
      <c r="BB196" s="968"/>
      <c r="BC196" s="968"/>
      <c r="BD196" s="968"/>
      <c r="BE196" s="969"/>
      <c r="BF196" s="80"/>
      <c r="BG196" s="80"/>
      <c r="BH196" s="80"/>
      <c r="BI196" s="967" t="s">
        <v>385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8"/>
      <c r="CB196" s="968"/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967" t="s">
        <v>384</v>
      </c>
      <c r="CT196" s="968"/>
      <c r="CU196" s="968"/>
      <c r="CV196" s="968"/>
      <c r="CW196" s="968"/>
      <c r="CX196" s="968"/>
      <c r="CY196" s="968"/>
      <c r="CZ196" s="968"/>
      <c r="DA196" s="969"/>
      <c r="DB196" s="80"/>
      <c r="DC196" s="80"/>
      <c r="DD196" s="80"/>
      <c r="DE196" s="967" t="s">
        <v>385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8"/>
      <c r="DX196" s="968"/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>
      <c r="A197" s="1041" t="s">
        <v>230</v>
      </c>
      <c r="B197" s="1041"/>
      <c r="C197" s="1041"/>
      <c r="D197" s="1041"/>
      <c r="E197" s="1041" t="s">
        <v>231</v>
      </c>
      <c r="F197" s="1041"/>
      <c r="G197" s="1041"/>
      <c r="H197" s="1041"/>
      <c r="I197" s="1041"/>
      <c r="J197" s="80"/>
      <c r="K197" s="94"/>
      <c r="L197" s="95"/>
      <c r="M197" s="967" t="s">
        <v>386</v>
      </c>
      <c r="N197" s="968"/>
      <c r="O197" s="968"/>
      <c r="P197" s="968"/>
      <c r="Q197" s="968"/>
      <c r="R197" s="968"/>
      <c r="S197" s="968"/>
      <c r="T197" s="968"/>
      <c r="U197" s="968"/>
      <c r="V197" s="968"/>
      <c r="W197" s="968"/>
      <c r="X197" s="968"/>
      <c r="Y197" s="968"/>
      <c r="Z197" s="968"/>
      <c r="AA197" s="968"/>
      <c r="AB197" s="968"/>
      <c r="AC197" s="968"/>
      <c r="AD197" s="968"/>
      <c r="AE197" s="969"/>
      <c r="AF197" s="967" t="s">
        <v>387</v>
      </c>
      <c r="AG197" s="968"/>
      <c r="AH197" s="968"/>
      <c r="AI197" s="968"/>
      <c r="AJ197" s="968"/>
      <c r="AK197" s="968"/>
      <c r="AL197" s="968"/>
      <c r="AM197" s="968"/>
      <c r="AN197" s="968"/>
      <c r="AO197" s="968"/>
      <c r="AP197" s="968"/>
      <c r="AQ197" s="968"/>
      <c r="AR197" s="968"/>
      <c r="AS197" s="968"/>
      <c r="AT197" s="968"/>
      <c r="AU197" s="969"/>
      <c r="AV197" s="234"/>
      <c r="AW197" s="1041" t="s">
        <v>230</v>
      </c>
      <c r="AX197" s="1041"/>
      <c r="AY197" s="1041"/>
      <c r="AZ197" s="1041"/>
      <c r="BA197" s="1041" t="s">
        <v>231</v>
      </c>
      <c r="BB197" s="1041"/>
      <c r="BC197" s="1041"/>
      <c r="BD197" s="1041"/>
      <c r="BE197" s="1041"/>
      <c r="BF197" s="80"/>
      <c r="BG197" s="94"/>
      <c r="BH197" s="95"/>
      <c r="BI197" s="967" t="s">
        <v>386</v>
      </c>
      <c r="BJ197" s="968"/>
      <c r="BK197" s="968"/>
      <c r="BL197" s="968"/>
      <c r="BM197" s="968"/>
      <c r="BN197" s="968"/>
      <c r="BO197" s="968"/>
      <c r="BP197" s="968"/>
      <c r="BQ197" s="968"/>
      <c r="BR197" s="968"/>
      <c r="BS197" s="968"/>
      <c r="BT197" s="968"/>
      <c r="BU197" s="968"/>
      <c r="BV197" s="968"/>
      <c r="BW197" s="968"/>
      <c r="BX197" s="968"/>
      <c r="BY197" s="968"/>
      <c r="BZ197" s="968"/>
      <c r="CA197" s="969"/>
      <c r="CB197" s="967" t="s">
        <v>387</v>
      </c>
      <c r="CC197" s="968"/>
      <c r="CD197" s="968"/>
      <c r="CE197" s="968"/>
      <c r="CF197" s="968"/>
      <c r="CG197" s="968"/>
      <c r="CH197" s="968"/>
      <c r="CI197" s="968"/>
      <c r="CJ197" s="968"/>
      <c r="CK197" s="968"/>
      <c r="CL197" s="968"/>
      <c r="CM197" s="968"/>
      <c r="CN197" s="968"/>
      <c r="CO197" s="968"/>
      <c r="CP197" s="968"/>
      <c r="CQ197" s="969"/>
      <c r="CR197" s="234"/>
      <c r="CS197" s="1041" t="s">
        <v>230</v>
      </c>
      <c r="CT197" s="1041"/>
      <c r="CU197" s="1041"/>
      <c r="CV197" s="1041"/>
      <c r="CW197" s="1041" t="s">
        <v>231</v>
      </c>
      <c r="CX197" s="1041"/>
      <c r="CY197" s="1041"/>
      <c r="CZ197" s="1041"/>
      <c r="DA197" s="1041"/>
      <c r="DB197" s="80"/>
      <c r="DC197" s="94"/>
      <c r="DD197" s="95"/>
      <c r="DE197" s="967" t="s">
        <v>386</v>
      </c>
      <c r="DF197" s="968"/>
      <c r="DG197" s="968"/>
      <c r="DH197" s="968"/>
      <c r="DI197" s="968"/>
      <c r="DJ197" s="968"/>
      <c r="DK197" s="968"/>
      <c r="DL197" s="968"/>
      <c r="DM197" s="968"/>
      <c r="DN197" s="968"/>
      <c r="DO197" s="968"/>
      <c r="DP197" s="968"/>
      <c r="DQ197" s="968"/>
      <c r="DR197" s="968"/>
      <c r="DS197" s="968"/>
      <c r="DT197" s="968"/>
      <c r="DU197" s="968"/>
      <c r="DV197" s="968"/>
      <c r="DW197" s="969"/>
      <c r="DX197" s="967" t="s">
        <v>387</v>
      </c>
      <c r="DY197" s="968"/>
      <c r="DZ197" s="968"/>
      <c r="EA197" s="968"/>
      <c r="EB197" s="968"/>
      <c r="EC197" s="968"/>
      <c r="ED197" s="968"/>
      <c r="EE197" s="968"/>
      <c r="EF197" s="968"/>
      <c r="EG197" s="968"/>
      <c r="EH197" s="968"/>
      <c r="EI197" s="968"/>
      <c r="EJ197" s="968"/>
      <c r="EK197" s="968"/>
      <c r="EL197" s="968"/>
      <c r="EM197" s="969"/>
    </row>
    <row r="198" spans="1:143">
      <c r="A198" s="966"/>
      <c r="B198" s="966"/>
      <c r="C198" s="966"/>
      <c r="D198" s="966"/>
      <c r="E198" s="966"/>
      <c r="F198" s="966"/>
      <c r="G198" s="966"/>
      <c r="H198" s="966"/>
      <c r="I198" s="966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966"/>
      <c r="AX198" s="966"/>
      <c r="AY198" s="966"/>
      <c r="AZ198" s="966"/>
      <c r="BA198" s="966"/>
      <c r="BB198" s="966"/>
      <c r="BC198" s="966"/>
      <c r="BD198" s="966"/>
      <c r="BE198" s="966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966"/>
      <c r="CT198" s="966"/>
      <c r="CU198" s="966"/>
      <c r="CV198" s="966"/>
      <c r="CW198" s="966"/>
      <c r="CX198" s="966"/>
      <c r="CY198" s="966"/>
      <c r="CZ198" s="966"/>
      <c r="DA198" s="966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5"/>
      <c r="N199" s="986"/>
      <c r="O199" s="986"/>
      <c r="P199" s="986"/>
      <c r="Q199" s="986"/>
      <c r="R199" s="986"/>
      <c r="S199" s="986"/>
      <c r="T199" s="986"/>
      <c r="U199" s="986"/>
      <c r="V199" s="986"/>
      <c r="W199" s="986"/>
      <c r="X199" s="986"/>
      <c r="Y199" s="986"/>
      <c r="Z199" s="986"/>
      <c r="AA199" s="986"/>
      <c r="AB199" s="986"/>
      <c r="AC199" s="986"/>
      <c r="AD199" s="986"/>
      <c r="AE199" s="987"/>
      <c r="AF199" s="985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7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5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  <c r="BT199" s="986"/>
      <c r="BU199" s="986"/>
      <c r="BV199" s="986"/>
      <c r="BW199" s="986"/>
      <c r="BX199" s="986"/>
      <c r="BY199" s="986"/>
      <c r="BZ199" s="986"/>
      <c r="CA199" s="987"/>
      <c r="CB199" s="985"/>
      <c r="CC199" s="986"/>
      <c r="CD199" s="986"/>
      <c r="CE199" s="986"/>
      <c r="CF199" s="986"/>
      <c r="CG199" s="986"/>
      <c r="CH199" s="986"/>
      <c r="CI199" s="986"/>
      <c r="CJ199" s="986"/>
      <c r="CK199" s="986"/>
      <c r="CL199" s="986"/>
      <c r="CM199" s="986"/>
      <c r="CN199" s="986"/>
      <c r="CO199" s="986"/>
      <c r="CP199" s="986"/>
      <c r="CQ199" s="987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5"/>
      <c r="DF199" s="986"/>
      <c r="DG199" s="986"/>
      <c r="DH199" s="986"/>
      <c r="DI199" s="986"/>
      <c r="DJ199" s="986"/>
      <c r="DK199" s="986"/>
      <c r="DL199" s="986"/>
      <c r="DM199" s="986"/>
      <c r="DN199" s="986"/>
      <c r="DO199" s="986"/>
      <c r="DP199" s="986"/>
      <c r="DQ199" s="986"/>
      <c r="DR199" s="986"/>
      <c r="DS199" s="986"/>
      <c r="DT199" s="986"/>
      <c r="DU199" s="986"/>
      <c r="DV199" s="986"/>
      <c r="DW199" s="987"/>
      <c r="DX199" s="985"/>
      <c r="DY199" s="986"/>
      <c r="DZ199" s="986"/>
      <c r="EA199" s="986"/>
      <c r="EB199" s="986"/>
      <c r="EC199" s="986"/>
      <c r="ED199" s="986"/>
      <c r="EE199" s="986"/>
      <c r="EF199" s="986"/>
      <c r="EG199" s="986"/>
      <c r="EH199" s="986"/>
      <c r="EI199" s="986"/>
      <c r="EJ199" s="986"/>
      <c r="EK199" s="986"/>
      <c r="EL199" s="986"/>
      <c r="EM199" s="987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72" t="s">
        <v>43</v>
      </c>
      <c r="B201" s="973"/>
      <c r="C201" s="974"/>
      <c r="D201" s="972" t="s">
        <v>141</v>
      </c>
      <c r="E201" s="973"/>
      <c r="F201" s="973"/>
      <c r="G201" s="973"/>
      <c r="H201" s="973"/>
      <c r="I201" s="973"/>
      <c r="J201" s="973"/>
      <c r="K201" s="973"/>
      <c r="L201" s="973"/>
      <c r="M201" s="973"/>
      <c r="N201" s="973"/>
      <c r="O201" s="973"/>
      <c r="P201" s="973"/>
      <c r="Q201" s="974"/>
      <c r="R201" s="967" t="s">
        <v>388</v>
      </c>
      <c r="S201" s="968"/>
      <c r="T201" s="968"/>
      <c r="U201" s="968"/>
      <c r="V201" s="968"/>
      <c r="W201" s="968"/>
      <c r="X201" s="968"/>
      <c r="Y201" s="968"/>
      <c r="Z201" s="968"/>
      <c r="AA201" s="968"/>
      <c r="AB201" s="968"/>
      <c r="AC201" s="968"/>
      <c r="AD201" s="968"/>
      <c r="AE201" s="969"/>
      <c r="AF201" s="972" t="s">
        <v>198</v>
      </c>
      <c r="AG201" s="973"/>
      <c r="AH201" s="973"/>
      <c r="AI201" s="973"/>
      <c r="AJ201" s="973"/>
      <c r="AK201" s="973"/>
      <c r="AL201" s="974"/>
      <c r="AM201" s="972" t="s">
        <v>389</v>
      </c>
      <c r="AN201" s="973"/>
      <c r="AO201" s="973"/>
      <c r="AP201" s="973"/>
      <c r="AQ201" s="973"/>
      <c r="AR201" s="973"/>
      <c r="AS201" s="973"/>
      <c r="AT201" s="973"/>
      <c r="AU201" s="974"/>
      <c r="AV201" s="234"/>
      <c r="AW201" s="972" t="s">
        <v>43</v>
      </c>
      <c r="AX201" s="973"/>
      <c r="AY201" s="974"/>
      <c r="AZ201" s="972" t="s">
        <v>141</v>
      </c>
      <c r="BA201" s="973"/>
      <c r="BB201" s="973"/>
      <c r="BC201" s="973"/>
      <c r="BD201" s="973"/>
      <c r="BE201" s="973"/>
      <c r="BF201" s="973"/>
      <c r="BG201" s="973"/>
      <c r="BH201" s="973"/>
      <c r="BI201" s="973"/>
      <c r="BJ201" s="973"/>
      <c r="BK201" s="973"/>
      <c r="BL201" s="973"/>
      <c r="BM201" s="974"/>
      <c r="BN201" s="967" t="s">
        <v>388</v>
      </c>
      <c r="BO201" s="968"/>
      <c r="BP201" s="968"/>
      <c r="BQ201" s="968"/>
      <c r="BR201" s="968"/>
      <c r="BS201" s="968"/>
      <c r="BT201" s="968"/>
      <c r="BU201" s="968"/>
      <c r="BV201" s="968"/>
      <c r="BW201" s="968"/>
      <c r="BX201" s="968"/>
      <c r="BY201" s="968"/>
      <c r="BZ201" s="968"/>
      <c r="CA201" s="969"/>
      <c r="CB201" s="972" t="s">
        <v>198</v>
      </c>
      <c r="CC201" s="973"/>
      <c r="CD201" s="973"/>
      <c r="CE201" s="973"/>
      <c r="CF201" s="973"/>
      <c r="CG201" s="973"/>
      <c r="CH201" s="974"/>
      <c r="CI201" s="972" t="s">
        <v>389</v>
      </c>
      <c r="CJ201" s="973"/>
      <c r="CK201" s="973"/>
      <c r="CL201" s="973"/>
      <c r="CM201" s="973"/>
      <c r="CN201" s="973"/>
      <c r="CO201" s="973"/>
      <c r="CP201" s="973"/>
      <c r="CQ201" s="974"/>
      <c r="CR201" s="234"/>
      <c r="CS201" s="972" t="s">
        <v>43</v>
      </c>
      <c r="CT201" s="973"/>
      <c r="CU201" s="974"/>
      <c r="CV201" s="972" t="s">
        <v>141</v>
      </c>
      <c r="CW201" s="973"/>
      <c r="CX201" s="973"/>
      <c r="CY201" s="973"/>
      <c r="CZ201" s="973"/>
      <c r="DA201" s="973"/>
      <c r="DB201" s="973"/>
      <c r="DC201" s="973"/>
      <c r="DD201" s="973"/>
      <c r="DE201" s="973"/>
      <c r="DF201" s="973"/>
      <c r="DG201" s="973"/>
      <c r="DH201" s="973"/>
      <c r="DI201" s="974"/>
      <c r="DJ201" s="967" t="s">
        <v>388</v>
      </c>
      <c r="DK201" s="968"/>
      <c r="DL201" s="968"/>
      <c r="DM201" s="968"/>
      <c r="DN201" s="968"/>
      <c r="DO201" s="968"/>
      <c r="DP201" s="968"/>
      <c r="DQ201" s="968"/>
      <c r="DR201" s="968"/>
      <c r="DS201" s="968"/>
      <c r="DT201" s="968"/>
      <c r="DU201" s="968"/>
      <c r="DV201" s="968"/>
      <c r="DW201" s="969"/>
      <c r="DX201" s="972" t="s">
        <v>198</v>
      </c>
      <c r="DY201" s="973"/>
      <c r="DZ201" s="973"/>
      <c r="EA201" s="973"/>
      <c r="EB201" s="973"/>
      <c r="EC201" s="973"/>
      <c r="ED201" s="974"/>
      <c r="EE201" s="972" t="s">
        <v>389</v>
      </c>
      <c r="EF201" s="973"/>
      <c r="EG201" s="973"/>
      <c r="EH201" s="973"/>
      <c r="EI201" s="973"/>
      <c r="EJ201" s="973"/>
      <c r="EK201" s="973"/>
      <c r="EL201" s="973"/>
      <c r="EM201" s="974"/>
    </row>
    <row r="202" spans="1:143">
      <c r="A202" s="975"/>
      <c r="B202" s="976"/>
      <c r="C202" s="977"/>
      <c r="D202" s="975"/>
      <c r="E202" s="976"/>
      <c r="F202" s="976"/>
      <c r="G202" s="976"/>
      <c r="H202" s="976"/>
      <c r="I202" s="976"/>
      <c r="J202" s="976"/>
      <c r="K202" s="976"/>
      <c r="L202" s="976"/>
      <c r="M202" s="976"/>
      <c r="N202" s="976"/>
      <c r="O202" s="976"/>
      <c r="P202" s="976"/>
      <c r="Q202" s="977"/>
      <c r="R202" s="988"/>
      <c r="S202" s="989"/>
      <c r="T202" s="989"/>
      <c r="U202" s="989"/>
      <c r="V202" s="989"/>
      <c r="W202" s="989"/>
      <c r="X202" s="990"/>
      <c r="Y202" s="988"/>
      <c r="Z202" s="989"/>
      <c r="AA202" s="989"/>
      <c r="AB202" s="989"/>
      <c r="AC202" s="989"/>
      <c r="AD202" s="989"/>
      <c r="AE202" s="990"/>
      <c r="AF202" s="975"/>
      <c r="AG202" s="976"/>
      <c r="AH202" s="976"/>
      <c r="AI202" s="976"/>
      <c r="AJ202" s="976"/>
      <c r="AK202" s="976"/>
      <c r="AL202" s="977"/>
      <c r="AM202" s="975"/>
      <c r="AN202" s="976"/>
      <c r="AO202" s="976"/>
      <c r="AP202" s="976"/>
      <c r="AQ202" s="976"/>
      <c r="AR202" s="976"/>
      <c r="AS202" s="976"/>
      <c r="AT202" s="976"/>
      <c r="AU202" s="977"/>
      <c r="AV202" s="234"/>
      <c r="AW202" s="975"/>
      <c r="AX202" s="976"/>
      <c r="AY202" s="977"/>
      <c r="AZ202" s="975"/>
      <c r="BA202" s="976"/>
      <c r="BB202" s="976"/>
      <c r="BC202" s="976"/>
      <c r="BD202" s="976"/>
      <c r="BE202" s="976"/>
      <c r="BF202" s="976"/>
      <c r="BG202" s="976"/>
      <c r="BH202" s="976"/>
      <c r="BI202" s="976"/>
      <c r="BJ202" s="976"/>
      <c r="BK202" s="976"/>
      <c r="BL202" s="976"/>
      <c r="BM202" s="977"/>
      <c r="BN202" s="988"/>
      <c r="BO202" s="989"/>
      <c r="BP202" s="989"/>
      <c r="BQ202" s="989"/>
      <c r="BR202" s="989"/>
      <c r="BS202" s="989"/>
      <c r="BT202" s="990"/>
      <c r="BU202" s="988"/>
      <c r="BV202" s="989"/>
      <c r="BW202" s="989"/>
      <c r="BX202" s="989"/>
      <c r="BY202" s="989"/>
      <c r="BZ202" s="989"/>
      <c r="CA202" s="990"/>
      <c r="CB202" s="975"/>
      <c r="CC202" s="976"/>
      <c r="CD202" s="976"/>
      <c r="CE202" s="976"/>
      <c r="CF202" s="976"/>
      <c r="CG202" s="976"/>
      <c r="CH202" s="977"/>
      <c r="CI202" s="975"/>
      <c r="CJ202" s="976"/>
      <c r="CK202" s="976"/>
      <c r="CL202" s="976"/>
      <c r="CM202" s="976"/>
      <c r="CN202" s="976"/>
      <c r="CO202" s="976"/>
      <c r="CP202" s="976"/>
      <c r="CQ202" s="977"/>
      <c r="CR202" s="234"/>
      <c r="CS202" s="975"/>
      <c r="CT202" s="976"/>
      <c r="CU202" s="977"/>
      <c r="CV202" s="975"/>
      <c r="CW202" s="976"/>
      <c r="CX202" s="976"/>
      <c r="CY202" s="976"/>
      <c r="CZ202" s="976"/>
      <c r="DA202" s="976"/>
      <c r="DB202" s="976"/>
      <c r="DC202" s="976"/>
      <c r="DD202" s="976"/>
      <c r="DE202" s="976"/>
      <c r="DF202" s="976"/>
      <c r="DG202" s="976"/>
      <c r="DH202" s="976"/>
      <c r="DI202" s="977"/>
      <c r="DJ202" s="988"/>
      <c r="DK202" s="989"/>
      <c r="DL202" s="989"/>
      <c r="DM202" s="989"/>
      <c r="DN202" s="989"/>
      <c r="DO202" s="989"/>
      <c r="DP202" s="990"/>
      <c r="DQ202" s="988"/>
      <c r="DR202" s="989"/>
      <c r="DS202" s="989"/>
      <c r="DT202" s="989"/>
      <c r="DU202" s="989"/>
      <c r="DV202" s="989"/>
      <c r="DW202" s="990"/>
      <c r="DX202" s="975"/>
      <c r="DY202" s="976"/>
      <c r="DZ202" s="976"/>
      <c r="EA202" s="976"/>
      <c r="EB202" s="976"/>
      <c r="EC202" s="976"/>
      <c r="ED202" s="977"/>
      <c r="EE202" s="975"/>
      <c r="EF202" s="976"/>
      <c r="EG202" s="976"/>
      <c r="EH202" s="976"/>
      <c r="EI202" s="976"/>
      <c r="EJ202" s="976"/>
      <c r="EK202" s="976"/>
      <c r="EL202" s="976"/>
      <c r="EM202" s="977"/>
    </row>
    <row r="203" spans="1:143">
      <c r="A203" s="1148" t="s">
        <v>399</v>
      </c>
      <c r="B203" s="1149"/>
      <c r="C203" s="1149"/>
      <c r="D203" s="1150" t="s">
        <v>400</v>
      </c>
      <c r="E203" s="1151"/>
      <c r="F203" s="1151"/>
      <c r="G203" s="1151"/>
      <c r="H203" s="1151"/>
      <c r="I203" s="1151"/>
      <c r="J203" s="1151"/>
      <c r="K203" s="1151"/>
      <c r="L203" s="1151"/>
      <c r="M203" s="1151"/>
      <c r="N203" s="1151"/>
      <c r="O203" s="1151"/>
      <c r="P203" s="1151"/>
      <c r="Q203" s="1152"/>
      <c r="R203" s="1150" t="s">
        <v>401</v>
      </c>
      <c r="S203" s="1151"/>
      <c r="T203" s="1151"/>
      <c r="U203" s="1151"/>
      <c r="V203" s="1151"/>
      <c r="W203" s="1151"/>
      <c r="X203" s="1152"/>
      <c r="Y203" s="1150" t="s">
        <v>402</v>
      </c>
      <c r="Z203" s="1151"/>
      <c r="AA203" s="1151"/>
      <c r="AB203" s="1151"/>
      <c r="AC203" s="1151"/>
      <c r="AD203" s="1151"/>
      <c r="AE203" s="1152"/>
      <c r="AF203" s="1150" t="s">
        <v>403</v>
      </c>
      <c r="AG203" s="1151"/>
      <c r="AH203" s="1151"/>
      <c r="AI203" s="1151"/>
      <c r="AJ203" s="1151"/>
      <c r="AK203" s="1151"/>
      <c r="AL203" s="1152"/>
      <c r="AM203" s="1150" t="s">
        <v>404</v>
      </c>
      <c r="AN203" s="1151"/>
      <c r="AO203" s="1151"/>
      <c r="AP203" s="1151"/>
      <c r="AQ203" s="1151"/>
      <c r="AR203" s="1151"/>
      <c r="AS203" s="1151"/>
      <c r="AT203" s="1151"/>
      <c r="AU203" s="1152"/>
      <c r="AV203" s="578"/>
      <c r="AW203" s="1148" t="s">
        <v>399</v>
      </c>
      <c r="AX203" s="1149"/>
      <c r="AY203" s="1149"/>
      <c r="AZ203" s="1150" t="s">
        <v>400</v>
      </c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2"/>
      <c r="BN203" s="1150" t="s">
        <v>401</v>
      </c>
      <c r="BO203" s="1151"/>
      <c r="BP203" s="1151"/>
      <c r="BQ203" s="1151"/>
      <c r="BR203" s="1151"/>
      <c r="BS203" s="1151"/>
      <c r="BT203" s="1152"/>
      <c r="BU203" s="1150" t="s">
        <v>402</v>
      </c>
      <c r="BV203" s="1151"/>
      <c r="BW203" s="1151"/>
      <c r="BX203" s="1151"/>
      <c r="BY203" s="1151"/>
      <c r="BZ203" s="1151"/>
      <c r="CA203" s="1152"/>
      <c r="CB203" s="1150" t="s">
        <v>403</v>
      </c>
      <c r="CC203" s="1151"/>
      <c r="CD203" s="1151"/>
      <c r="CE203" s="1151"/>
      <c r="CF203" s="1151"/>
      <c r="CG203" s="1151"/>
      <c r="CH203" s="1152"/>
      <c r="CI203" s="1150" t="s">
        <v>404</v>
      </c>
      <c r="CJ203" s="1151"/>
      <c r="CK203" s="1151"/>
      <c r="CL203" s="1151"/>
      <c r="CM203" s="1151"/>
      <c r="CN203" s="1151"/>
      <c r="CO203" s="1151"/>
      <c r="CP203" s="1151"/>
      <c r="CQ203" s="1152"/>
      <c r="CR203" s="578"/>
      <c r="CS203" s="1148" t="s">
        <v>399</v>
      </c>
      <c r="CT203" s="1149"/>
      <c r="CU203" s="1149"/>
      <c r="CV203" s="1150" t="s">
        <v>400</v>
      </c>
      <c r="CW203" s="1151"/>
      <c r="CX203" s="1151"/>
      <c r="CY203" s="1151"/>
      <c r="CZ203" s="1151"/>
      <c r="DA203" s="1151"/>
      <c r="DB203" s="1151"/>
      <c r="DC203" s="1151"/>
      <c r="DD203" s="1151"/>
      <c r="DE203" s="1151"/>
      <c r="DF203" s="1151"/>
      <c r="DG203" s="1151"/>
      <c r="DH203" s="1151"/>
      <c r="DI203" s="1152"/>
      <c r="DJ203" s="1150" t="s">
        <v>401</v>
      </c>
      <c r="DK203" s="1151"/>
      <c r="DL203" s="1151"/>
      <c r="DM203" s="1151"/>
      <c r="DN203" s="1151"/>
      <c r="DO203" s="1151"/>
      <c r="DP203" s="1152"/>
      <c r="DQ203" s="1150" t="s">
        <v>402</v>
      </c>
      <c r="DR203" s="1151"/>
      <c r="DS203" s="1151"/>
      <c r="DT203" s="1151"/>
      <c r="DU203" s="1151"/>
      <c r="DV203" s="1151"/>
      <c r="DW203" s="1152"/>
      <c r="DX203" s="1150" t="s">
        <v>403</v>
      </c>
      <c r="DY203" s="1151"/>
      <c r="DZ203" s="1151"/>
      <c r="EA203" s="1151"/>
      <c r="EB203" s="1151"/>
      <c r="EC203" s="1151"/>
      <c r="ED203" s="1152"/>
      <c r="EE203" s="1150" t="s">
        <v>404</v>
      </c>
      <c r="EF203" s="1151"/>
      <c r="EG203" s="1151"/>
      <c r="EH203" s="1151"/>
      <c r="EI203" s="1151"/>
      <c r="EJ203" s="1151"/>
      <c r="EK203" s="1151"/>
      <c r="EL203" s="1151"/>
      <c r="EM203" s="1152"/>
    </row>
    <row r="204" spans="1:143">
      <c r="A204" s="952" t="s">
        <v>399</v>
      </c>
      <c r="B204" s="952"/>
      <c r="C204" s="952"/>
      <c r="D204" s="953">
        <f>I$16</f>
        <v>0</v>
      </c>
      <c r="E204" s="954"/>
      <c r="F204" s="954"/>
      <c r="G204" s="954"/>
      <c r="H204" s="954"/>
      <c r="I204" s="954"/>
      <c r="J204" s="954"/>
      <c r="K204" s="954"/>
      <c r="L204" s="954"/>
      <c r="M204" s="954"/>
      <c r="N204" s="954"/>
      <c r="O204" s="954"/>
      <c r="P204" s="954"/>
      <c r="Q204" s="955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2">
        <f>I$13</f>
        <v>0</v>
      </c>
      <c r="AG204" s="963"/>
      <c r="AH204" s="963"/>
      <c r="AI204" s="963"/>
      <c r="AJ204" s="963"/>
      <c r="AK204" s="963"/>
      <c r="AL204" s="964"/>
      <c r="AM204" s="1028"/>
      <c r="AN204" s="1029"/>
      <c r="AO204" s="1029"/>
      <c r="AP204" s="1029"/>
      <c r="AQ204" s="1029"/>
      <c r="AR204" s="1029"/>
      <c r="AS204" s="1029"/>
      <c r="AT204" s="1029"/>
      <c r="AU204" s="1030"/>
      <c r="AV204" s="234"/>
      <c r="AW204" s="952" t="s">
        <v>399</v>
      </c>
      <c r="AX204" s="952"/>
      <c r="AY204" s="952"/>
      <c r="AZ204" s="953">
        <f>BE$16</f>
        <v>0</v>
      </c>
      <c r="BA204" s="954"/>
      <c r="BB204" s="954"/>
      <c r="BC204" s="954"/>
      <c r="BD204" s="954"/>
      <c r="BE204" s="954"/>
      <c r="BF204" s="954"/>
      <c r="BG204" s="954"/>
      <c r="BH204" s="954"/>
      <c r="BI204" s="954"/>
      <c r="BJ204" s="954"/>
      <c r="BK204" s="954"/>
      <c r="BL204" s="954"/>
      <c r="BM204" s="955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2">
        <f>BE$13</f>
        <v>0</v>
      </c>
      <c r="CC204" s="963"/>
      <c r="CD204" s="963"/>
      <c r="CE204" s="963"/>
      <c r="CF204" s="963"/>
      <c r="CG204" s="963"/>
      <c r="CH204" s="964"/>
      <c r="CI204" s="1028"/>
      <c r="CJ204" s="1029"/>
      <c r="CK204" s="1029"/>
      <c r="CL204" s="1029"/>
      <c r="CM204" s="1029"/>
      <c r="CN204" s="1029"/>
      <c r="CO204" s="1029"/>
      <c r="CP204" s="1029"/>
      <c r="CQ204" s="1030"/>
      <c r="CR204" s="234"/>
      <c r="CS204" s="952" t="s">
        <v>399</v>
      </c>
      <c r="CT204" s="952"/>
      <c r="CU204" s="952"/>
      <c r="CV204" s="953">
        <f>DA$16</f>
        <v>0</v>
      </c>
      <c r="CW204" s="954"/>
      <c r="CX204" s="954"/>
      <c r="CY204" s="954"/>
      <c r="CZ204" s="954"/>
      <c r="DA204" s="954"/>
      <c r="DB204" s="954"/>
      <c r="DC204" s="954"/>
      <c r="DD204" s="954"/>
      <c r="DE204" s="954"/>
      <c r="DF204" s="954"/>
      <c r="DG204" s="954"/>
      <c r="DH204" s="954"/>
      <c r="DI204" s="955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2">
        <f>DA$13</f>
        <v>0</v>
      </c>
      <c r="DY204" s="963"/>
      <c r="DZ204" s="963"/>
      <c r="EA204" s="963"/>
      <c r="EB204" s="963"/>
      <c r="EC204" s="963"/>
      <c r="ED204" s="964"/>
      <c r="EE204" s="1028"/>
      <c r="EF204" s="1029"/>
      <c r="EG204" s="1029"/>
      <c r="EH204" s="1029"/>
      <c r="EI204" s="1029"/>
      <c r="EJ204" s="1029"/>
      <c r="EK204" s="1029"/>
      <c r="EL204" s="1029"/>
      <c r="EM204" s="1030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2">
        <f>SUM(AF204:AL204)</f>
        <v>0</v>
      </c>
      <c r="AG205" s="963"/>
      <c r="AH205" s="963"/>
      <c r="AI205" s="963"/>
      <c r="AJ205" s="963"/>
      <c r="AK205" s="963"/>
      <c r="AL205" s="964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2">
        <f>SUM(CB204:CH204)</f>
        <v>0</v>
      </c>
      <c r="CC205" s="963"/>
      <c r="CD205" s="963"/>
      <c r="CE205" s="963"/>
      <c r="CF205" s="963"/>
      <c r="CG205" s="963"/>
      <c r="CH205" s="964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2">
        <f>SUM(DX204:ED204)</f>
        <v>0</v>
      </c>
      <c r="DY205" s="963"/>
      <c r="DZ205" s="963"/>
      <c r="EA205" s="963"/>
      <c r="EB205" s="963"/>
      <c r="EC205" s="963"/>
      <c r="ED205" s="964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6"/>
      <c r="Q207" s="957"/>
      <c r="R207" s="957"/>
      <c r="S207" s="957"/>
      <c r="T207" s="957"/>
      <c r="U207" s="957"/>
      <c r="V207" s="957"/>
      <c r="W207" s="957"/>
      <c r="X207" s="957"/>
      <c r="Y207" s="957"/>
      <c r="Z207" s="957"/>
      <c r="AA207" s="957"/>
      <c r="AB207" s="957"/>
      <c r="AC207" s="957"/>
      <c r="AD207" s="957"/>
      <c r="AE207" s="957"/>
      <c r="AF207" s="957"/>
      <c r="AG207" s="957"/>
      <c r="AH207" s="957"/>
      <c r="AI207" s="957"/>
      <c r="AJ207" s="957"/>
      <c r="AK207" s="957"/>
      <c r="AL207" s="95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6"/>
      <c r="BM207" s="957"/>
      <c r="BN207" s="957"/>
      <c r="BO207" s="957"/>
      <c r="BP207" s="957"/>
      <c r="BQ207" s="957"/>
      <c r="BR207" s="957"/>
      <c r="BS207" s="957"/>
      <c r="BT207" s="957"/>
      <c r="BU207" s="957"/>
      <c r="BV207" s="957"/>
      <c r="BW207" s="957"/>
      <c r="BX207" s="957"/>
      <c r="BY207" s="957"/>
      <c r="BZ207" s="957"/>
      <c r="CA207" s="957"/>
      <c r="CB207" s="957"/>
      <c r="CC207" s="957"/>
      <c r="CD207" s="957"/>
      <c r="CE207" s="957"/>
      <c r="CF207" s="957"/>
      <c r="CG207" s="957"/>
      <c r="CH207" s="95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6"/>
      <c r="DI207" s="957"/>
      <c r="DJ207" s="957"/>
      <c r="DK207" s="957"/>
      <c r="DL207" s="957"/>
      <c r="DM207" s="957"/>
      <c r="DN207" s="957"/>
      <c r="DO207" s="957"/>
      <c r="DP207" s="957"/>
      <c r="DQ207" s="957"/>
      <c r="DR207" s="957"/>
      <c r="DS207" s="957"/>
      <c r="DT207" s="957"/>
      <c r="DU207" s="957"/>
      <c r="DV207" s="957"/>
      <c r="DW207" s="957"/>
      <c r="DX207" s="957"/>
      <c r="DY207" s="957"/>
      <c r="DZ207" s="957"/>
      <c r="EA207" s="957"/>
      <c r="EB207" s="957"/>
      <c r="EC207" s="957"/>
      <c r="ED207" s="95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6"/>
      <c r="Q209" s="957"/>
      <c r="R209" s="957"/>
      <c r="S209" s="957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7"/>
      <c r="AL209" s="95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6"/>
      <c r="BM209" s="957"/>
      <c r="BN209" s="957"/>
      <c r="BO209" s="957"/>
      <c r="BP209" s="957"/>
      <c r="BQ209" s="957"/>
      <c r="BR209" s="957"/>
      <c r="BS209" s="957"/>
      <c r="BT209" s="957"/>
      <c r="BU209" s="957"/>
      <c r="BV209" s="957"/>
      <c r="BW209" s="957"/>
      <c r="BX209" s="957"/>
      <c r="BY209" s="957"/>
      <c r="BZ209" s="957"/>
      <c r="CA209" s="957"/>
      <c r="CB209" s="957"/>
      <c r="CC209" s="957"/>
      <c r="CD209" s="957"/>
      <c r="CE209" s="957"/>
      <c r="CF209" s="957"/>
      <c r="CG209" s="957"/>
      <c r="CH209" s="95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6"/>
      <c r="DI209" s="957"/>
      <c r="DJ209" s="957"/>
      <c r="DK209" s="957"/>
      <c r="DL209" s="957"/>
      <c r="DM209" s="957"/>
      <c r="DN209" s="957"/>
      <c r="DO209" s="957"/>
      <c r="DP209" s="957"/>
      <c r="DQ209" s="957"/>
      <c r="DR209" s="957"/>
      <c r="DS209" s="957"/>
      <c r="DT209" s="957"/>
      <c r="DU209" s="957"/>
      <c r="DV209" s="957"/>
      <c r="DW209" s="957"/>
      <c r="DX209" s="957"/>
      <c r="DY209" s="957"/>
      <c r="DZ209" s="957"/>
      <c r="EA209" s="957"/>
      <c r="EB209" s="957"/>
      <c r="EC209" s="957"/>
      <c r="ED209" s="95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6"/>
      <c r="Q211" s="957"/>
      <c r="R211" s="957"/>
      <c r="S211" s="957"/>
      <c r="T211" s="957"/>
      <c r="U211" s="957"/>
      <c r="V211" s="957"/>
      <c r="W211" s="957"/>
      <c r="X211" s="957"/>
      <c r="Y211" s="957"/>
      <c r="Z211" s="957"/>
      <c r="AA211" s="957"/>
      <c r="AB211" s="957"/>
      <c r="AC211" s="957"/>
      <c r="AD211" s="957"/>
      <c r="AE211" s="957"/>
      <c r="AF211" s="957"/>
      <c r="AG211" s="957"/>
      <c r="AH211" s="957"/>
      <c r="AI211" s="957"/>
      <c r="AJ211" s="957"/>
      <c r="AK211" s="957"/>
      <c r="AL211" s="95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6"/>
      <c r="BM211" s="957"/>
      <c r="BN211" s="957"/>
      <c r="BO211" s="957"/>
      <c r="BP211" s="957"/>
      <c r="BQ211" s="957"/>
      <c r="BR211" s="957"/>
      <c r="BS211" s="957"/>
      <c r="BT211" s="957"/>
      <c r="BU211" s="957"/>
      <c r="BV211" s="957"/>
      <c r="BW211" s="957"/>
      <c r="BX211" s="957"/>
      <c r="BY211" s="957"/>
      <c r="BZ211" s="957"/>
      <c r="CA211" s="957"/>
      <c r="CB211" s="957"/>
      <c r="CC211" s="957"/>
      <c r="CD211" s="957"/>
      <c r="CE211" s="957"/>
      <c r="CF211" s="957"/>
      <c r="CG211" s="957"/>
      <c r="CH211" s="95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6"/>
      <c r="DI211" s="957"/>
      <c r="DJ211" s="957"/>
      <c r="DK211" s="957"/>
      <c r="DL211" s="957"/>
      <c r="DM211" s="957"/>
      <c r="DN211" s="957"/>
      <c r="DO211" s="957"/>
      <c r="DP211" s="957"/>
      <c r="DQ211" s="957"/>
      <c r="DR211" s="957"/>
      <c r="DS211" s="957"/>
      <c r="DT211" s="957"/>
      <c r="DU211" s="957"/>
      <c r="DV211" s="957"/>
      <c r="DW211" s="957"/>
      <c r="DX211" s="957"/>
      <c r="DY211" s="957"/>
      <c r="DZ211" s="957"/>
      <c r="EA211" s="957"/>
      <c r="EB211" s="957"/>
      <c r="EC211" s="957"/>
      <c r="ED211" s="95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9"/>
      <c r="F213" s="949"/>
      <c r="G213" s="949"/>
      <c r="H213" s="321"/>
      <c r="I213" s="949"/>
      <c r="J213" s="949"/>
      <c r="K213" s="949"/>
      <c r="L213" s="949"/>
      <c r="M213" s="949"/>
      <c r="N213" s="949"/>
      <c r="O213" s="949"/>
      <c r="P213" s="949"/>
      <c r="Q213" s="949"/>
      <c r="R213" s="949"/>
      <c r="S213" s="949"/>
      <c r="T213" s="949"/>
      <c r="U213" s="949"/>
      <c r="V213" s="949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9"/>
      <c r="BB213" s="949"/>
      <c r="BC213" s="949"/>
      <c r="BD213" s="321"/>
      <c r="BE213" s="949"/>
      <c r="BF213" s="949"/>
      <c r="BG213" s="949"/>
      <c r="BH213" s="949"/>
      <c r="BI213" s="949"/>
      <c r="BJ213" s="949"/>
      <c r="BK213" s="949"/>
      <c r="BL213" s="949"/>
      <c r="BM213" s="949"/>
      <c r="BN213" s="949"/>
      <c r="BO213" s="949"/>
      <c r="BP213" s="949"/>
      <c r="BQ213" s="949"/>
      <c r="BR213" s="949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9"/>
      <c r="CX213" s="949"/>
      <c r="CY213" s="949"/>
      <c r="CZ213" s="321"/>
      <c r="DA213" s="949"/>
      <c r="DB213" s="949"/>
      <c r="DC213" s="949"/>
      <c r="DD213" s="949"/>
      <c r="DE213" s="949"/>
      <c r="DF213" s="949"/>
      <c r="DG213" s="949"/>
      <c r="DH213" s="949"/>
      <c r="DI213" s="949"/>
      <c r="DJ213" s="949"/>
      <c r="DK213" s="949"/>
      <c r="DL213" s="949"/>
      <c r="DM213" s="949"/>
      <c r="DN213" s="949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47" t="s">
        <v>5</v>
      </c>
      <c r="F214" s="947"/>
      <c r="G214" s="947"/>
      <c r="H214" s="234"/>
      <c r="I214" s="947" t="s">
        <v>6</v>
      </c>
      <c r="J214" s="947"/>
      <c r="K214" s="947"/>
      <c r="L214" s="947"/>
      <c r="M214" s="947"/>
      <c r="N214" s="947"/>
      <c r="O214" s="947"/>
      <c r="P214" s="947"/>
      <c r="Q214" s="947"/>
      <c r="R214" s="947"/>
      <c r="S214" s="947"/>
      <c r="T214" s="947"/>
      <c r="U214" s="947"/>
      <c r="V214" s="947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7" t="s">
        <v>5</v>
      </c>
      <c r="BB214" s="947"/>
      <c r="BC214" s="947"/>
      <c r="BD214" s="234"/>
      <c r="BE214" s="947" t="s">
        <v>6</v>
      </c>
      <c r="BF214" s="947"/>
      <c r="BG214" s="947"/>
      <c r="BH214" s="947"/>
      <c r="BI214" s="947"/>
      <c r="BJ214" s="947"/>
      <c r="BK214" s="947"/>
      <c r="BL214" s="947"/>
      <c r="BM214" s="947"/>
      <c r="BN214" s="947"/>
      <c r="BO214" s="947"/>
      <c r="BP214" s="947"/>
      <c r="BQ214" s="947"/>
      <c r="BR214" s="947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7" t="s">
        <v>5</v>
      </c>
      <c r="CX214" s="947"/>
      <c r="CY214" s="947"/>
      <c r="CZ214" s="234"/>
      <c r="DA214" s="947" t="s">
        <v>6</v>
      </c>
      <c r="DB214" s="947"/>
      <c r="DC214" s="947"/>
      <c r="DD214" s="947"/>
      <c r="DE214" s="947"/>
      <c r="DF214" s="947"/>
      <c r="DG214" s="947"/>
      <c r="DH214" s="947"/>
      <c r="DI214" s="947"/>
      <c r="DJ214" s="947"/>
      <c r="DK214" s="947"/>
      <c r="DL214" s="947"/>
      <c r="DM214" s="947"/>
      <c r="DN214" s="947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943" t="s">
        <v>179</v>
      </c>
      <c r="D215" s="943"/>
      <c r="E215" s="942"/>
      <c r="F215" s="942"/>
      <c r="G215" s="942"/>
      <c r="H215" s="941"/>
      <c r="I215" s="941"/>
      <c r="J215" s="946"/>
      <c r="K215" s="946"/>
      <c r="L215" s="946"/>
      <c r="M215" s="944" t="s">
        <v>180</v>
      </c>
      <c r="N215" s="944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3" t="s">
        <v>179</v>
      </c>
      <c r="AZ215" s="943"/>
      <c r="BA215" s="942"/>
      <c r="BB215" s="942"/>
      <c r="BC215" s="942"/>
      <c r="BD215" s="941"/>
      <c r="BE215" s="941"/>
      <c r="BF215" s="946"/>
      <c r="BG215" s="946"/>
      <c r="BH215" s="946"/>
      <c r="BI215" s="944" t="s">
        <v>180</v>
      </c>
      <c r="BJ215" s="944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3" t="s">
        <v>179</v>
      </c>
      <c r="CV215" s="943"/>
      <c r="CW215" s="942"/>
      <c r="CX215" s="942"/>
      <c r="CY215" s="942"/>
      <c r="CZ215" s="941"/>
      <c r="DA215" s="941"/>
      <c r="DB215" s="946"/>
      <c r="DC215" s="946"/>
      <c r="DD215" s="946"/>
      <c r="DE215" s="944" t="s">
        <v>180</v>
      </c>
      <c r="DF215" s="944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27" t="s">
        <v>140</v>
      </c>
      <c r="F217" s="1027"/>
      <c r="G217" s="1027"/>
      <c r="H217" s="1027"/>
      <c r="I217" s="1027"/>
      <c r="J217" s="81"/>
      <c r="K217" s="81"/>
      <c r="L217" s="960"/>
      <c r="M217" s="960"/>
      <c r="N217" s="960"/>
      <c r="O217" s="960"/>
      <c r="P217" s="960"/>
      <c r="Q217" s="960"/>
      <c r="R217" s="960"/>
      <c r="S217" s="960"/>
      <c r="T217" s="960"/>
      <c r="U217" s="960"/>
      <c r="V217" s="1023">
        <f>I$9</f>
        <v>0</v>
      </c>
      <c r="W217" s="959"/>
      <c r="X217" s="959"/>
      <c r="Y217" s="959"/>
      <c r="Z217" s="959"/>
      <c r="AA217" s="959"/>
      <c r="AB217" s="959"/>
      <c r="AC217" s="959"/>
      <c r="AD217" s="959"/>
      <c r="AE217" s="959"/>
      <c r="AF217" s="959"/>
      <c r="AG217" s="959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7" t="s">
        <v>140</v>
      </c>
      <c r="BB217" s="1027"/>
      <c r="BC217" s="1027"/>
      <c r="BD217" s="1027"/>
      <c r="BE217" s="1027"/>
      <c r="BF217" s="81"/>
      <c r="BG217" s="81"/>
      <c r="BH217" s="960"/>
      <c r="BI217" s="960"/>
      <c r="BJ217" s="960"/>
      <c r="BK217" s="960"/>
      <c r="BL217" s="960"/>
      <c r="BM217" s="960"/>
      <c r="BN217" s="960"/>
      <c r="BO217" s="960"/>
      <c r="BP217" s="960"/>
      <c r="BQ217" s="960"/>
      <c r="BR217" s="1023">
        <f>BE$9</f>
        <v>0</v>
      </c>
      <c r="BS217" s="959"/>
      <c r="BT217" s="959"/>
      <c r="BU217" s="959"/>
      <c r="BV217" s="959"/>
      <c r="BW217" s="959"/>
      <c r="BX217" s="959"/>
      <c r="BY217" s="959"/>
      <c r="BZ217" s="959"/>
      <c r="CA217" s="959"/>
      <c r="CB217" s="959"/>
      <c r="CC217" s="959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7" t="s">
        <v>140</v>
      </c>
      <c r="CX217" s="1027"/>
      <c r="CY217" s="1027"/>
      <c r="CZ217" s="1027"/>
      <c r="DA217" s="1027"/>
      <c r="DB217" s="81"/>
      <c r="DC217" s="81"/>
      <c r="DD217" s="960"/>
      <c r="DE217" s="960"/>
      <c r="DF217" s="960"/>
      <c r="DG217" s="960"/>
      <c r="DH217" s="960"/>
      <c r="DI217" s="960"/>
      <c r="DJ217" s="960"/>
      <c r="DK217" s="960"/>
      <c r="DL217" s="960"/>
      <c r="DM217" s="960"/>
      <c r="DN217" s="1023">
        <f>DA$9</f>
        <v>0</v>
      </c>
      <c r="DO217" s="959"/>
      <c r="DP217" s="959"/>
      <c r="DQ217" s="959"/>
      <c r="DR217" s="959"/>
      <c r="DS217" s="959"/>
      <c r="DT217" s="959"/>
      <c r="DU217" s="959"/>
      <c r="DV217" s="959"/>
      <c r="DW217" s="959"/>
      <c r="DX217" s="959"/>
      <c r="DY217" s="959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47"/>
      <c r="F218" s="947"/>
      <c r="G218" s="947"/>
      <c r="H218" s="947"/>
      <c r="I218" s="947"/>
      <c r="J218" s="81"/>
      <c r="K218" s="81"/>
      <c r="L218" s="947" t="s">
        <v>5</v>
      </c>
      <c r="M218" s="947"/>
      <c r="N218" s="947"/>
      <c r="O218" s="947"/>
      <c r="P218" s="947"/>
      <c r="Q218" s="947"/>
      <c r="R218" s="947"/>
      <c r="S218" s="947"/>
      <c r="T218" s="947"/>
      <c r="U218" s="947"/>
      <c r="V218" s="947"/>
      <c r="W218" s="947"/>
      <c r="X218" s="947"/>
      <c r="Y218" s="947"/>
      <c r="Z218" s="947"/>
      <c r="AA218" s="947"/>
      <c r="AB218" s="947"/>
      <c r="AC218" s="947"/>
      <c r="AD218" s="947"/>
      <c r="AE218" s="947"/>
      <c r="AF218" s="947"/>
      <c r="AG218" s="947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7"/>
      <c r="BB218" s="947"/>
      <c r="BC218" s="947"/>
      <c r="BD218" s="947"/>
      <c r="BE218" s="947"/>
      <c r="BF218" s="81"/>
      <c r="BG218" s="81"/>
      <c r="BH218" s="947" t="s">
        <v>5</v>
      </c>
      <c r="BI218" s="947"/>
      <c r="BJ218" s="947"/>
      <c r="BK218" s="947"/>
      <c r="BL218" s="947"/>
      <c r="BM218" s="947"/>
      <c r="BN218" s="947"/>
      <c r="BO218" s="947"/>
      <c r="BP218" s="947"/>
      <c r="BQ218" s="947"/>
      <c r="BR218" s="947"/>
      <c r="BS218" s="947"/>
      <c r="BT218" s="947"/>
      <c r="BU218" s="947"/>
      <c r="BV218" s="947"/>
      <c r="BW218" s="947"/>
      <c r="BX218" s="947"/>
      <c r="BY218" s="947"/>
      <c r="BZ218" s="947"/>
      <c r="CA218" s="947"/>
      <c r="CB218" s="947"/>
      <c r="CC218" s="947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7"/>
      <c r="CX218" s="947"/>
      <c r="CY218" s="947"/>
      <c r="CZ218" s="947"/>
      <c r="DA218" s="947"/>
      <c r="DB218" s="81"/>
      <c r="DC218" s="81"/>
      <c r="DD218" s="947" t="s">
        <v>5</v>
      </c>
      <c r="DE218" s="947"/>
      <c r="DF218" s="947"/>
      <c r="DG218" s="947"/>
      <c r="DH218" s="947"/>
      <c r="DI218" s="947"/>
      <c r="DJ218" s="947"/>
      <c r="DK218" s="947"/>
      <c r="DL218" s="947"/>
      <c r="DM218" s="947"/>
      <c r="DN218" s="947"/>
      <c r="DO218" s="947"/>
      <c r="DP218" s="947"/>
      <c r="DQ218" s="947"/>
      <c r="DR218" s="947"/>
      <c r="DS218" s="947"/>
      <c r="DT218" s="947"/>
      <c r="DU218" s="947"/>
      <c r="DV218" s="947"/>
      <c r="DW218" s="947"/>
      <c r="DX218" s="947"/>
      <c r="DY218" s="947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943" t="s">
        <v>179</v>
      </c>
      <c r="D219" s="943"/>
      <c r="E219" s="942"/>
      <c r="F219" s="942"/>
      <c r="G219" s="942"/>
      <c r="H219" s="941"/>
      <c r="I219" s="941"/>
      <c r="J219" s="946"/>
      <c r="K219" s="946"/>
      <c r="L219" s="946"/>
      <c r="M219" s="944" t="s">
        <v>180</v>
      </c>
      <c r="N219" s="944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3" t="s">
        <v>179</v>
      </c>
      <c r="AZ219" s="943"/>
      <c r="BA219" s="942"/>
      <c r="BB219" s="942"/>
      <c r="BC219" s="942"/>
      <c r="BD219" s="941"/>
      <c r="BE219" s="941"/>
      <c r="BF219" s="946"/>
      <c r="BG219" s="946"/>
      <c r="BH219" s="946"/>
      <c r="BI219" s="944" t="s">
        <v>180</v>
      </c>
      <c r="BJ219" s="944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3" t="s">
        <v>179</v>
      </c>
      <c r="CV219" s="943"/>
      <c r="CW219" s="942"/>
      <c r="CX219" s="942"/>
      <c r="CY219" s="942"/>
      <c r="CZ219" s="941"/>
      <c r="DA219" s="941"/>
      <c r="DB219" s="946"/>
      <c r="DC219" s="946"/>
      <c r="DD219" s="946"/>
      <c r="DE219" s="944" t="s">
        <v>180</v>
      </c>
      <c r="DF219" s="944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9"/>
      <c r="F221" s="949"/>
      <c r="G221" s="949"/>
      <c r="H221" s="949"/>
      <c r="I221" s="81"/>
      <c r="J221" s="81"/>
      <c r="K221" s="949"/>
      <c r="L221" s="949"/>
      <c r="M221" s="949"/>
      <c r="N221" s="949"/>
      <c r="O221" s="949"/>
      <c r="P221" s="949"/>
      <c r="Q221" s="949"/>
      <c r="R221" s="949"/>
      <c r="S221" s="949"/>
      <c r="T221" s="949"/>
      <c r="U221" s="949"/>
      <c r="V221" s="949"/>
      <c r="W221" s="949"/>
      <c r="X221" s="949"/>
      <c r="Y221" s="949"/>
      <c r="Z221" s="949"/>
      <c r="AA221" s="949"/>
      <c r="AB221" s="949"/>
      <c r="AC221" s="949"/>
      <c r="AD221" s="949"/>
      <c r="AE221" s="949"/>
      <c r="AF221" s="949"/>
      <c r="AG221" s="949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9"/>
      <c r="BB221" s="949"/>
      <c r="BC221" s="949"/>
      <c r="BD221" s="949"/>
      <c r="BE221" s="81"/>
      <c r="BF221" s="81"/>
      <c r="BG221" s="949"/>
      <c r="BH221" s="949"/>
      <c r="BI221" s="949"/>
      <c r="BJ221" s="949"/>
      <c r="BK221" s="949"/>
      <c r="BL221" s="949"/>
      <c r="BM221" s="949"/>
      <c r="BN221" s="949"/>
      <c r="BO221" s="949"/>
      <c r="BP221" s="949"/>
      <c r="BQ221" s="949"/>
      <c r="BR221" s="949"/>
      <c r="BS221" s="949"/>
      <c r="BT221" s="949"/>
      <c r="BU221" s="949"/>
      <c r="BV221" s="949"/>
      <c r="BW221" s="949"/>
      <c r="BX221" s="949"/>
      <c r="BY221" s="949"/>
      <c r="BZ221" s="949"/>
      <c r="CA221" s="949"/>
      <c r="CB221" s="949"/>
      <c r="CC221" s="949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9"/>
      <c r="CX221" s="949"/>
      <c r="CY221" s="949"/>
      <c r="CZ221" s="949"/>
      <c r="DA221" s="81"/>
      <c r="DB221" s="81"/>
      <c r="DC221" s="949"/>
      <c r="DD221" s="949"/>
      <c r="DE221" s="949"/>
      <c r="DF221" s="949"/>
      <c r="DG221" s="949"/>
      <c r="DH221" s="949"/>
      <c r="DI221" s="949"/>
      <c r="DJ221" s="949"/>
      <c r="DK221" s="949"/>
      <c r="DL221" s="949"/>
      <c r="DM221" s="949"/>
      <c r="DN221" s="949"/>
      <c r="DO221" s="949"/>
      <c r="DP221" s="949"/>
      <c r="DQ221" s="949"/>
      <c r="DR221" s="949"/>
      <c r="DS221" s="949"/>
      <c r="DT221" s="949"/>
      <c r="DU221" s="949"/>
      <c r="DV221" s="949"/>
      <c r="DW221" s="949"/>
      <c r="DX221" s="949"/>
      <c r="DY221" s="949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47"/>
      <c r="F222" s="947"/>
      <c r="G222" s="947"/>
      <c r="H222" s="947"/>
      <c r="I222" s="81"/>
      <c r="J222" s="81"/>
      <c r="K222" s="947" t="s">
        <v>5</v>
      </c>
      <c r="L222" s="947"/>
      <c r="M222" s="947"/>
      <c r="N222" s="947"/>
      <c r="O222" s="947"/>
      <c r="P222" s="947"/>
      <c r="Q222" s="947"/>
      <c r="R222" s="947"/>
      <c r="S222" s="947"/>
      <c r="T222" s="947"/>
      <c r="U222" s="947"/>
      <c r="V222" s="947"/>
      <c r="W222" s="947"/>
      <c r="X222" s="947"/>
      <c r="Y222" s="947"/>
      <c r="Z222" s="947"/>
      <c r="AA222" s="947"/>
      <c r="AB222" s="947"/>
      <c r="AC222" s="947"/>
      <c r="AD222" s="947"/>
      <c r="AE222" s="947"/>
      <c r="AF222" s="947"/>
      <c r="AG222" s="947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7"/>
      <c r="BB222" s="947"/>
      <c r="BC222" s="947"/>
      <c r="BD222" s="947"/>
      <c r="BE222" s="81"/>
      <c r="BF222" s="81"/>
      <c r="BG222" s="947" t="s">
        <v>5</v>
      </c>
      <c r="BH222" s="947"/>
      <c r="BI222" s="947"/>
      <c r="BJ222" s="947"/>
      <c r="BK222" s="947"/>
      <c r="BL222" s="947"/>
      <c r="BM222" s="947"/>
      <c r="BN222" s="947"/>
      <c r="BO222" s="947"/>
      <c r="BP222" s="947"/>
      <c r="BQ222" s="947"/>
      <c r="BR222" s="947"/>
      <c r="BS222" s="947"/>
      <c r="BT222" s="947"/>
      <c r="BU222" s="947"/>
      <c r="BV222" s="947"/>
      <c r="BW222" s="947"/>
      <c r="BX222" s="947"/>
      <c r="BY222" s="947"/>
      <c r="BZ222" s="947"/>
      <c r="CA222" s="947"/>
      <c r="CB222" s="947"/>
      <c r="CC222" s="947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7"/>
      <c r="CX222" s="947"/>
      <c r="CY222" s="947"/>
      <c r="CZ222" s="947"/>
      <c r="DA222" s="81"/>
      <c r="DB222" s="81"/>
      <c r="DC222" s="947" t="s">
        <v>5</v>
      </c>
      <c r="DD222" s="947"/>
      <c r="DE222" s="947"/>
      <c r="DF222" s="947"/>
      <c r="DG222" s="947"/>
      <c r="DH222" s="947"/>
      <c r="DI222" s="947"/>
      <c r="DJ222" s="947"/>
      <c r="DK222" s="947"/>
      <c r="DL222" s="947"/>
      <c r="DM222" s="947"/>
      <c r="DN222" s="947"/>
      <c r="DO222" s="947"/>
      <c r="DP222" s="947"/>
      <c r="DQ222" s="947"/>
      <c r="DR222" s="947"/>
      <c r="DS222" s="947"/>
      <c r="DT222" s="947"/>
      <c r="DU222" s="947"/>
      <c r="DV222" s="947"/>
      <c r="DW222" s="947"/>
      <c r="DX222" s="947"/>
      <c r="DY222" s="947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9"/>
      <c r="F223" s="949"/>
      <c r="G223" s="949"/>
      <c r="H223" s="949"/>
      <c r="I223" s="106"/>
      <c r="J223" s="106"/>
      <c r="K223" s="949"/>
      <c r="L223" s="949"/>
      <c r="M223" s="949"/>
      <c r="N223" s="949"/>
      <c r="O223" s="949"/>
      <c r="P223" s="949"/>
      <c r="Q223" s="949"/>
      <c r="R223" s="949"/>
      <c r="S223" s="949"/>
      <c r="T223" s="949"/>
      <c r="U223" s="949"/>
      <c r="V223" s="949"/>
      <c r="W223" s="949"/>
      <c r="X223" s="949"/>
      <c r="Y223" s="949"/>
      <c r="Z223" s="949"/>
      <c r="AA223" s="949"/>
      <c r="AB223" s="949"/>
      <c r="AC223" s="949"/>
      <c r="AD223" s="949"/>
      <c r="AE223" s="949"/>
      <c r="AF223" s="949"/>
      <c r="AG223" s="949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9"/>
      <c r="BB223" s="949"/>
      <c r="BC223" s="949"/>
      <c r="BD223" s="949"/>
      <c r="BE223" s="106"/>
      <c r="BF223" s="106"/>
      <c r="BG223" s="949"/>
      <c r="BH223" s="949"/>
      <c r="BI223" s="949"/>
      <c r="BJ223" s="949"/>
      <c r="BK223" s="949"/>
      <c r="BL223" s="949"/>
      <c r="BM223" s="949"/>
      <c r="BN223" s="949"/>
      <c r="BO223" s="949"/>
      <c r="BP223" s="949"/>
      <c r="BQ223" s="949"/>
      <c r="BR223" s="949"/>
      <c r="BS223" s="949"/>
      <c r="BT223" s="949"/>
      <c r="BU223" s="949"/>
      <c r="BV223" s="949"/>
      <c r="BW223" s="949"/>
      <c r="BX223" s="949"/>
      <c r="BY223" s="949"/>
      <c r="BZ223" s="949"/>
      <c r="CA223" s="949"/>
      <c r="CB223" s="949"/>
      <c r="CC223" s="949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9"/>
      <c r="CX223" s="949"/>
      <c r="CY223" s="949"/>
      <c r="CZ223" s="949"/>
      <c r="DA223" s="106"/>
      <c r="DB223" s="106"/>
      <c r="DC223" s="949"/>
      <c r="DD223" s="949"/>
      <c r="DE223" s="949"/>
      <c r="DF223" s="949"/>
      <c r="DG223" s="949"/>
      <c r="DH223" s="949"/>
      <c r="DI223" s="949"/>
      <c r="DJ223" s="949"/>
      <c r="DK223" s="949"/>
      <c r="DL223" s="949"/>
      <c r="DM223" s="949"/>
      <c r="DN223" s="949"/>
      <c r="DO223" s="949"/>
      <c r="DP223" s="949"/>
      <c r="DQ223" s="949"/>
      <c r="DR223" s="949"/>
      <c r="DS223" s="949"/>
      <c r="DT223" s="949"/>
      <c r="DU223" s="949"/>
      <c r="DV223" s="949"/>
      <c r="DW223" s="949"/>
      <c r="DX223" s="949"/>
      <c r="DY223" s="949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47"/>
      <c r="F224" s="947"/>
      <c r="G224" s="947"/>
      <c r="H224" s="947"/>
      <c r="I224" s="81"/>
      <c r="J224" s="81"/>
      <c r="K224" s="947" t="s">
        <v>5</v>
      </c>
      <c r="L224" s="947"/>
      <c r="M224" s="947"/>
      <c r="N224" s="947"/>
      <c r="O224" s="947"/>
      <c r="P224" s="947"/>
      <c r="Q224" s="947"/>
      <c r="R224" s="947"/>
      <c r="S224" s="947"/>
      <c r="T224" s="947"/>
      <c r="U224" s="947"/>
      <c r="V224" s="947"/>
      <c r="W224" s="947"/>
      <c r="X224" s="947"/>
      <c r="Y224" s="947"/>
      <c r="Z224" s="947"/>
      <c r="AA224" s="947"/>
      <c r="AB224" s="947"/>
      <c r="AC224" s="947"/>
      <c r="AD224" s="947"/>
      <c r="AE224" s="947"/>
      <c r="AF224" s="947"/>
      <c r="AG224" s="947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7"/>
      <c r="BB224" s="947"/>
      <c r="BC224" s="947"/>
      <c r="BD224" s="947"/>
      <c r="BE224" s="81"/>
      <c r="BF224" s="81"/>
      <c r="BG224" s="947" t="s">
        <v>5</v>
      </c>
      <c r="BH224" s="947"/>
      <c r="BI224" s="947"/>
      <c r="BJ224" s="947"/>
      <c r="BK224" s="947"/>
      <c r="BL224" s="947"/>
      <c r="BM224" s="947"/>
      <c r="BN224" s="947"/>
      <c r="BO224" s="947"/>
      <c r="BP224" s="947"/>
      <c r="BQ224" s="947"/>
      <c r="BR224" s="947"/>
      <c r="BS224" s="947"/>
      <c r="BT224" s="947"/>
      <c r="BU224" s="947"/>
      <c r="BV224" s="947"/>
      <c r="BW224" s="947"/>
      <c r="BX224" s="947"/>
      <c r="BY224" s="947"/>
      <c r="BZ224" s="947"/>
      <c r="CA224" s="947"/>
      <c r="CB224" s="947"/>
      <c r="CC224" s="947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7"/>
      <c r="CX224" s="947"/>
      <c r="CY224" s="947"/>
      <c r="CZ224" s="947"/>
      <c r="DA224" s="81"/>
      <c r="DB224" s="81"/>
      <c r="DC224" s="947" t="s">
        <v>5</v>
      </c>
      <c r="DD224" s="947"/>
      <c r="DE224" s="947"/>
      <c r="DF224" s="947"/>
      <c r="DG224" s="947"/>
      <c r="DH224" s="947"/>
      <c r="DI224" s="947"/>
      <c r="DJ224" s="947"/>
      <c r="DK224" s="947"/>
      <c r="DL224" s="947"/>
      <c r="DM224" s="947"/>
      <c r="DN224" s="947"/>
      <c r="DO224" s="947"/>
      <c r="DP224" s="947"/>
      <c r="DQ224" s="947"/>
      <c r="DR224" s="947"/>
      <c r="DS224" s="947"/>
      <c r="DT224" s="947"/>
      <c r="DU224" s="947"/>
      <c r="DV224" s="947"/>
      <c r="DW224" s="947"/>
      <c r="DX224" s="947"/>
      <c r="DY224" s="947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943" t="s">
        <v>179</v>
      </c>
      <c r="D225" s="943"/>
      <c r="E225" s="942"/>
      <c r="F225" s="942"/>
      <c r="G225" s="942"/>
      <c r="H225" s="941"/>
      <c r="I225" s="941"/>
      <c r="J225" s="946"/>
      <c r="K225" s="946"/>
      <c r="L225" s="946"/>
      <c r="M225" s="944" t="s">
        <v>180</v>
      </c>
      <c r="N225" s="944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3" t="s">
        <v>179</v>
      </c>
      <c r="AZ225" s="943"/>
      <c r="BA225" s="942"/>
      <c r="BB225" s="942"/>
      <c r="BC225" s="942"/>
      <c r="BD225" s="941"/>
      <c r="BE225" s="941"/>
      <c r="BF225" s="946"/>
      <c r="BG225" s="946"/>
      <c r="BH225" s="946"/>
      <c r="BI225" s="944" t="s">
        <v>180</v>
      </c>
      <c r="BJ225" s="944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3" t="s">
        <v>179</v>
      </c>
      <c r="CV225" s="943"/>
      <c r="CW225" s="942"/>
      <c r="CX225" s="942"/>
      <c r="CY225" s="942"/>
      <c r="CZ225" s="941"/>
      <c r="DA225" s="941"/>
      <c r="DB225" s="946"/>
      <c r="DC225" s="946"/>
      <c r="DD225" s="946"/>
      <c r="DE225" s="944" t="s">
        <v>180</v>
      </c>
      <c r="DF225" s="944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5"/>
    </row>
  </sheetData>
  <sheetProtection password="C09F" sheet="1" objects="1" scenarios="1"/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3" t="s">
        <v>997</v>
      </c>
      <c r="B2" s="1183"/>
      <c r="C2" s="1183"/>
      <c r="D2" s="1183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4" t="s">
        <v>998</v>
      </c>
      <c r="B5" s="1186" t="s">
        <v>288</v>
      </c>
      <c r="C5" s="1188" t="s">
        <v>999</v>
      </c>
      <c r="D5" s="1189"/>
    </row>
    <row r="6" spans="1:5" ht="24">
      <c r="A6" s="1185"/>
      <c r="B6" s="1187"/>
      <c r="C6" s="589" t="s">
        <v>1000</v>
      </c>
      <c r="D6" s="589" t="s">
        <v>1001</v>
      </c>
    </row>
    <row r="7" spans="1:5" ht="51">
      <c r="A7" s="590" t="s">
        <v>1002</v>
      </c>
      <c r="B7" s="591" t="s">
        <v>339</v>
      </c>
      <c r="C7" s="592">
        <f ca="1">C8+C9+C10+C11</f>
        <v>0</v>
      </c>
      <c r="D7" s="593">
        <f ca="1">D8+D9+D10+D11</f>
        <v>0</v>
      </c>
    </row>
    <row r="8" spans="1:5" ht="25.5">
      <c r="A8" s="594" t="s">
        <v>1003</v>
      </c>
      <c r="B8" s="591" t="s">
        <v>293</v>
      </c>
      <c r="C8" s="605">
        <f ca="1">SUMIF('В авансовый отчет'!$A$80:$A$93,"9.1",'В авансовый отчет'!$G$80:$G$93)</f>
        <v>0</v>
      </c>
      <c r="D8" s="595">
        <f ca="1">SUMIF('В авансовый отчет'!$A$80:$A$93,"9.1",'В авансовый отчет'!$I$80:$I$93)</f>
        <v>0</v>
      </c>
    </row>
    <row r="9" spans="1:5" ht="38.25">
      <c r="A9" s="594" t="s">
        <v>1004</v>
      </c>
      <c r="B9" s="591" t="s">
        <v>294</v>
      </c>
      <c r="C9" s="605">
        <f ca="1">SUMIF('В авансовый отчет'!$A$80:$A$93,"9.2",'В авансовый отчет'!$G$80:$G$93)</f>
        <v>0</v>
      </c>
      <c r="D9" s="595">
        <f ca="1">SUMIF('В авансовый отчет'!$A$80:$A$93,"9.2",'В авансовый отчет'!$I$80:$I$93)</f>
        <v>0</v>
      </c>
    </row>
    <row r="10" spans="1:5" ht="38.25">
      <c r="A10" s="594" t="s">
        <v>1005</v>
      </c>
      <c r="B10" s="591" t="s">
        <v>295</v>
      </c>
      <c r="C10" s="605">
        <f ca="1">SUMIF('В авансовый отчет'!$A$80:$A$93,"9.3",'В авансовый отчет'!$G$80:$G$93)</f>
        <v>0</v>
      </c>
      <c r="D10" s="595">
        <f ca="1">SUMIF('В авансовый отчет'!$A$80:$A$93,"9.3",'В авансовый отчет'!$I$80:$I$93)</f>
        <v>0</v>
      </c>
    </row>
    <row r="11" spans="1:5" ht="25.5">
      <c r="A11" s="594" t="s">
        <v>1006</v>
      </c>
      <c r="B11" s="591" t="s">
        <v>301</v>
      </c>
      <c r="C11" s="592">
        <f ca="1">SUM(C13:C14)</f>
        <v>0</v>
      </c>
      <c r="D11" s="593">
        <f ca="1">SUM(D13,D14)</f>
        <v>0</v>
      </c>
    </row>
    <row r="12" spans="1:5">
      <c r="A12" s="596" t="s">
        <v>263</v>
      </c>
      <c r="B12" s="597"/>
      <c r="C12" s="598"/>
      <c r="D12" s="599"/>
    </row>
    <row r="13" spans="1:5" ht="25.5">
      <c r="A13" s="600" t="s">
        <v>1007</v>
      </c>
      <c r="B13" s="601" t="s">
        <v>1008</v>
      </c>
      <c r="C13" s="605">
        <f ca="1">SUMIF('В авансовый отчет'!$A$80:$A$93,"9.4.1",'В авансовый отчет'!$G$80:$G$93)</f>
        <v>0</v>
      </c>
      <c r="D13" s="595">
        <f ca="1">SUMIF('В авансовый отчет'!$A$80:$A$93,"9.4.1",'В авансовый отчет'!$I$80:$I$93)</f>
        <v>0</v>
      </c>
    </row>
    <row r="14" spans="1:5">
      <c r="A14" s="602" t="s">
        <v>1009</v>
      </c>
      <c r="B14" s="603" t="s">
        <v>1010</v>
      </c>
      <c r="C14" s="605">
        <f ca="1">SUMIF('В авансовый отчет'!$A$80:$A$93,"9.4.2",'В авансовый отчет'!$G$80:$G$93)</f>
        <v>0</v>
      </c>
      <c r="D14" s="595">
        <f ca="1">SUMIF('В авансовый отчет'!$A$80:$A$93,"9.4.2",'В авансовый отчет'!$I$80:$I$93)</f>
        <v>0</v>
      </c>
    </row>
    <row r="16" spans="1:5">
      <c r="E16" s="495"/>
    </row>
  </sheetData>
  <sheetProtection password="C09F" sheet="1" objects="1" scenarios="1"/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topLeftCell="A52" zoomScaleNormal="100" zoomScaleSheetLayoutView="85" workbookViewId="0">
      <selection activeCell="DE76" sqref="DE76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67" t="s">
        <v>175</v>
      </c>
      <c r="BD1" s="1267"/>
      <c r="BE1" s="1267"/>
      <c r="BF1" s="1267"/>
      <c r="BG1" s="1267"/>
      <c r="BH1" s="1267"/>
      <c r="BI1" s="1267"/>
      <c r="BJ1" s="1267"/>
      <c r="BK1" s="1267"/>
      <c r="BL1" s="1267"/>
      <c r="BM1" s="1267"/>
      <c r="BN1" s="1267"/>
      <c r="BO1" s="1267"/>
      <c r="BP1" s="1267"/>
      <c r="BQ1" s="1267"/>
      <c r="BR1" s="1267"/>
      <c r="BS1" s="1267"/>
      <c r="BT1" s="1267"/>
      <c r="BU1" s="1267"/>
      <c r="BV1" s="1267"/>
      <c r="BW1" s="1267"/>
      <c r="BX1" s="1267"/>
      <c r="BY1" s="1267"/>
      <c r="BZ1" s="1267"/>
      <c r="CA1" s="1267"/>
      <c r="CB1" s="1267"/>
      <c r="CC1" s="1267"/>
      <c r="CD1" s="1267"/>
      <c r="CE1" s="1267"/>
      <c r="CF1" s="1267"/>
      <c r="CG1" s="1267"/>
      <c r="CH1" s="1267"/>
      <c r="CI1" s="1267"/>
      <c r="CJ1" s="1267"/>
      <c r="CK1" s="1267"/>
      <c r="CL1" s="1267"/>
      <c r="CM1" s="1267"/>
      <c r="CN1" s="1267"/>
      <c r="CO1" s="1267"/>
      <c r="CP1" s="1267"/>
      <c r="CQ1" s="1267"/>
      <c r="CR1" s="1267"/>
      <c r="CS1" s="1267"/>
      <c r="CT1" s="1267"/>
      <c r="CU1" s="1267"/>
      <c r="CV1" s="1267"/>
      <c r="CW1" s="1267"/>
      <c r="CX1" s="1267"/>
      <c r="CY1" s="1267"/>
      <c r="CZ1" s="1267"/>
      <c r="DA1" s="1267"/>
      <c r="DB1" s="1267"/>
      <c r="DC1" s="1267"/>
      <c r="DD1" s="1267"/>
      <c r="DF1" s="570" t="str">
        <f>IF(LOWER(LEFT($AI$11,3))="янв","01","")</f>
        <v/>
      </c>
    </row>
    <row r="2" spans="1:110" ht="15.75">
      <c r="BC2" s="1266" t="s">
        <v>176</v>
      </c>
      <c r="BD2" s="1266"/>
      <c r="BE2" s="1266"/>
      <c r="BF2" s="1266"/>
      <c r="BG2" s="1266"/>
      <c r="BH2" s="1266"/>
      <c r="BI2" s="1266"/>
      <c r="BJ2" s="1266"/>
      <c r="BK2" s="1266"/>
      <c r="BL2" s="1266"/>
      <c r="BM2" s="1266"/>
      <c r="BN2" s="1266"/>
      <c r="BO2" s="1266"/>
      <c r="BP2" s="1312"/>
      <c r="BQ2" s="1312"/>
      <c r="BR2" s="1312"/>
      <c r="BS2" s="1312"/>
      <c r="BT2" s="1312"/>
      <c r="BU2" s="1312"/>
      <c r="BV2" s="1312"/>
      <c r="BW2" s="1312"/>
      <c r="BX2" s="1312"/>
      <c r="BY2" s="1312"/>
      <c r="BZ2" s="1312"/>
      <c r="CA2" s="1312"/>
      <c r="CB2" s="1312"/>
      <c r="CC2" s="1312"/>
      <c r="CD2" s="1312"/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2"/>
      <c r="CU2" s="1312"/>
      <c r="CV2" s="1312"/>
      <c r="CW2" s="1312"/>
      <c r="CX2" s="1312"/>
      <c r="CY2" s="1312"/>
      <c r="CZ2" s="1312"/>
      <c r="DA2" s="1312"/>
      <c r="DB2" s="1312"/>
      <c r="DC2" s="1312"/>
      <c r="DD2" s="1312"/>
      <c r="DF2" s="570" t="str">
        <f>IF(LOWER(LEFT($AI$11,3))="фев","02","")</f>
        <v/>
      </c>
    </row>
    <row r="3" spans="1:110" ht="15.75">
      <c r="BC3" s="1312"/>
      <c r="BD3" s="1312"/>
      <c r="BE3" s="1312"/>
      <c r="BF3" s="1312"/>
      <c r="BG3" s="1312"/>
      <c r="BH3" s="1312"/>
      <c r="BI3" s="1312"/>
      <c r="BJ3" s="1312"/>
      <c r="BK3" s="1312"/>
      <c r="BL3" s="1312"/>
      <c r="BM3" s="1312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  <c r="BX3" s="1312"/>
      <c r="BY3" s="1312"/>
      <c r="BZ3" s="1312"/>
      <c r="CA3" s="1312"/>
      <c r="CB3" s="1312"/>
      <c r="CC3" s="1312"/>
      <c r="CD3" s="1312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2"/>
      <c r="CU3" s="1312"/>
      <c r="CV3" s="1312"/>
      <c r="CW3" s="1312"/>
      <c r="CX3" s="1312"/>
      <c r="CY3" s="1312"/>
      <c r="CZ3" s="1312"/>
      <c r="DA3" s="1312"/>
      <c r="DB3" s="1312"/>
      <c r="DC3" s="1312"/>
      <c r="DD3" s="1312"/>
      <c r="DF3" s="570" t="str">
        <f>IF(LOWER(LEFT($AI$11,3))="мар","03","")</f>
        <v/>
      </c>
    </row>
    <row r="4" spans="1:110" ht="15.75">
      <c r="BC4" s="1313" t="s">
        <v>177</v>
      </c>
      <c r="BD4" s="1313"/>
      <c r="BE4" s="1313"/>
      <c r="BF4" s="1313"/>
      <c r="BG4" s="1313"/>
      <c r="BH4" s="1313"/>
      <c r="BI4" s="1313"/>
      <c r="BJ4" s="1313"/>
      <c r="BK4" s="1313"/>
      <c r="BL4" s="1313"/>
      <c r="BM4" s="1313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  <c r="BX4" s="1313"/>
      <c r="BY4" s="1313"/>
      <c r="BZ4" s="1313"/>
      <c r="CA4" s="1313"/>
      <c r="CB4" s="1313"/>
      <c r="CC4" s="1313"/>
      <c r="CD4" s="1313"/>
      <c r="CE4" s="1313"/>
      <c r="CF4" s="1313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3"/>
      <c r="CU4" s="1313"/>
      <c r="CV4" s="1313"/>
      <c r="CW4" s="1313"/>
      <c r="CX4" s="1313"/>
      <c r="CY4" s="1313"/>
      <c r="CZ4" s="1313"/>
      <c r="DA4" s="1313"/>
      <c r="DB4" s="1313"/>
      <c r="DC4" s="1313"/>
      <c r="DD4" s="1313"/>
      <c r="DF4" s="570" t="str">
        <f>IF(LOWER(LEFT($AI$11,3))="апр","04","")</f>
        <v/>
      </c>
    </row>
    <row r="5" spans="1:110" ht="15.75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336" t="str">
        <f ca="1">'Настройки УИК'!I26</f>
        <v/>
      </c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37"/>
      <c r="CU5" s="1337"/>
      <c r="CV5" s="1337"/>
      <c r="CW5" s="1337"/>
      <c r="CX5" s="1337"/>
      <c r="CY5" s="1337"/>
      <c r="CZ5" s="1337"/>
      <c r="DA5" s="1337"/>
      <c r="DB5" s="1337"/>
      <c r="DC5" s="1337"/>
      <c r="DD5" s="1337"/>
      <c r="DF5" s="570" t="str">
        <f>IF(LOWER(LEFT($AI$11,3))="мая","05","")</f>
        <v/>
      </c>
    </row>
    <row r="6" spans="1:110" ht="15.75">
      <c r="BC6" s="1" t="s">
        <v>178</v>
      </c>
      <c r="BP6" s="1192" t="s">
        <v>5</v>
      </c>
      <c r="BQ6" s="1192"/>
      <c r="BR6" s="1192"/>
      <c r="BS6" s="1192"/>
      <c r="BT6" s="1192"/>
      <c r="BU6" s="1192"/>
      <c r="BV6" s="1192"/>
      <c r="BW6" s="1192"/>
      <c r="BX6" s="1192"/>
      <c r="BY6" s="1192"/>
      <c r="BZ6" s="1192"/>
      <c r="CA6" s="1192"/>
      <c r="CB6" s="1192"/>
      <c r="CC6" s="1192"/>
      <c r="CD6" s="2"/>
      <c r="CE6" s="1244" t="s">
        <v>6</v>
      </c>
      <c r="CF6" s="1244"/>
      <c r="CG6" s="1244"/>
      <c r="CH6" s="1244"/>
      <c r="CI6" s="1244"/>
      <c r="CJ6" s="1244"/>
      <c r="CK6" s="1244"/>
      <c r="CL6" s="1244"/>
      <c r="CM6" s="1244"/>
      <c r="CN6" s="1244"/>
      <c r="CO6" s="1244"/>
      <c r="CP6" s="1244"/>
      <c r="CQ6" s="1244"/>
      <c r="CR6" s="1244"/>
      <c r="CS6" s="1244"/>
      <c r="CT6" s="1244"/>
      <c r="CU6" s="1244"/>
      <c r="CV6" s="1244"/>
      <c r="CW6" s="1244"/>
      <c r="CX6" s="1244"/>
      <c r="CY6" s="1244"/>
      <c r="CZ6" s="1244"/>
      <c r="DA6" s="1244"/>
      <c r="DB6" s="1244"/>
      <c r="DC6" s="1244"/>
      <c r="DD6" s="1244"/>
      <c r="DF6" s="570" t="str">
        <f>IF(LOWER(LEFT($AI$11,3))="июн","06","")</f>
        <v/>
      </c>
    </row>
    <row r="7" spans="1:110" ht="15.75">
      <c r="BD7" s="3" t="s">
        <v>179</v>
      </c>
      <c r="BE7" s="1221"/>
      <c r="BF7" s="1221"/>
      <c r="BG7" s="1221"/>
      <c r="BH7" s="1221"/>
      <c r="BI7" s="1" t="s">
        <v>179</v>
      </c>
      <c r="BL7" s="1221"/>
      <c r="BM7" s="1221"/>
      <c r="BN7" s="1221"/>
      <c r="BO7" s="1221"/>
      <c r="BP7" s="1221"/>
      <c r="BQ7" s="1221"/>
      <c r="BR7" s="1221"/>
      <c r="BS7" s="1221"/>
      <c r="BT7" s="1221"/>
      <c r="BU7" s="1221"/>
      <c r="BV7" s="1221"/>
      <c r="BW7" s="1221"/>
      <c r="BX7" s="1221"/>
      <c r="BY7" s="1221"/>
      <c r="BZ7" s="1221"/>
      <c r="CA7" s="1221"/>
      <c r="CB7" s="1221"/>
      <c r="CC7" s="1221"/>
      <c r="CD7" s="1234">
        <v>20</v>
      </c>
      <c r="CE7" s="1234"/>
      <c r="CF7" s="1234"/>
      <c r="CG7" s="1234"/>
      <c r="CH7" s="1239"/>
      <c r="CI7" s="1239"/>
      <c r="CJ7" s="1239"/>
      <c r="CK7" s="1239"/>
      <c r="CL7" s="1" t="s">
        <v>180</v>
      </c>
      <c r="DF7" s="570" t="str">
        <f>IF(LOWER(LEFT($AI$11,3))="июл","07","")</f>
        <v/>
      </c>
    </row>
    <row r="8" spans="1:110" s="4" customFormat="1" ht="15.75">
      <c r="DE8" s="345"/>
      <c r="DF8" s="570" t="str">
        <f>IF(LOWER(LEFT($AI$11,3))="авг","08","")</f>
        <v/>
      </c>
    </row>
    <row r="9" spans="1:110" s="4" customFormat="1" ht="16.5" thickBot="1">
      <c r="BB9" s="5" t="s">
        <v>181</v>
      </c>
      <c r="BC9" s="1338"/>
      <c r="BD9" s="1338"/>
      <c r="BE9" s="1338"/>
      <c r="BF9" s="1338"/>
      <c r="BG9" s="1338"/>
      <c r="BH9" s="1338"/>
      <c r="BI9" s="1338"/>
      <c r="BJ9" s="1338"/>
      <c r="BK9" s="1338"/>
      <c r="CO9" s="1339" t="s">
        <v>182</v>
      </c>
      <c r="CP9" s="1340"/>
      <c r="CQ9" s="1340"/>
      <c r="CR9" s="1340"/>
      <c r="CS9" s="1340"/>
      <c r="CT9" s="1340"/>
      <c r="CU9" s="1340"/>
      <c r="CV9" s="1340"/>
      <c r="CW9" s="1340"/>
      <c r="CX9" s="1340"/>
      <c r="CY9" s="1340"/>
      <c r="CZ9" s="1340"/>
      <c r="DA9" s="1340"/>
      <c r="DB9" s="1340"/>
      <c r="DC9" s="1340"/>
      <c r="DD9" s="1341"/>
      <c r="DE9" s="345"/>
      <c r="DF9" s="570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2" t="s">
        <v>184</v>
      </c>
      <c r="CP10" s="1343"/>
      <c r="CQ10" s="1343"/>
      <c r="CR10" s="1343"/>
      <c r="CS10" s="1343"/>
      <c r="CT10" s="1343"/>
      <c r="CU10" s="1343"/>
      <c r="CV10" s="1343"/>
      <c r="CW10" s="1343"/>
      <c r="CX10" s="1343"/>
      <c r="CY10" s="1343"/>
      <c r="CZ10" s="1343"/>
      <c r="DA10" s="1343"/>
      <c r="DB10" s="1343"/>
      <c r="DC10" s="1343"/>
      <c r="DD10" s="1344"/>
      <c r="DF10" s="570" t="str">
        <f>IF(LOWER(LEFT($AI$11,3))="окт","10","")</f>
        <v/>
      </c>
    </row>
    <row r="11" spans="1:110" ht="15.75">
      <c r="Z11" s="3" t="s">
        <v>185</v>
      </c>
      <c r="AA11" s="1001"/>
      <c r="AB11" s="1001"/>
      <c r="AC11" s="1001"/>
      <c r="AD11" s="1001"/>
      <c r="AE11" s="1001"/>
      <c r="AF11" s="1" t="s">
        <v>179</v>
      </c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1"/>
      <c r="AV11" s="1001"/>
      <c r="AW11" s="1001"/>
      <c r="AX11" s="1001"/>
      <c r="AY11" s="1001"/>
      <c r="AZ11" s="1001"/>
      <c r="BA11" s="1233" t="s">
        <v>905</v>
      </c>
      <c r="BB11" s="1234"/>
      <c r="BC11" s="1234"/>
      <c r="BD11" s="1234"/>
      <c r="BE11" s="1004"/>
      <c r="BF11" s="1004"/>
      <c r="BG11" s="1004"/>
      <c r="BH11" s="1004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4"/>
      <c r="CP11" s="1315"/>
      <c r="CQ11" s="1315"/>
      <c r="CR11" s="1315"/>
      <c r="CS11" s="1315"/>
      <c r="CT11" s="1315"/>
      <c r="CU11" s="1315"/>
      <c r="CV11" s="1315"/>
      <c r="CW11" s="1315"/>
      <c r="CX11" s="1315"/>
      <c r="CY11" s="1315"/>
      <c r="CZ11" s="1315"/>
      <c r="DA11" s="1315"/>
      <c r="DB11" s="1315"/>
      <c r="DC11" s="1315"/>
      <c r="DD11" s="1316"/>
      <c r="DF11" s="570" t="str">
        <f>IF(LOWER(LEFT($AI$11,3))="ноя","11","")</f>
        <v/>
      </c>
    </row>
    <row r="12" spans="1:110" ht="23.25" customHeight="1">
      <c r="A12" s="1" t="s">
        <v>186</v>
      </c>
      <c r="U12" s="1322">
        <f>'Настройки ТИК'!$B$4</f>
        <v>0</v>
      </c>
      <c r="V12" s="1322"/>
      <c r="W12" s="1322"/>
      <c r="X12" s="1322"/>
      <c r="Y12" s="1322"/>
      <c r="Z12" s="1322"/>
      <c r="AA12" s="1322"/>
      <c r="AB12" s="1322"/>
      <c r="AC12" s="1322"/>
      <c r="AD12" s="1322"/>
      <c r="AE12" s="1322"/>
      <c r="AF12" s="1322"/>
      <c r="AG12" s="1322"/>
      <c r="AH12" s="1322"/>
      <c r="AI12" s="1322"/>
      <c r="AJ12" s="1322"/>
      <c r="AK12" s="1322"/>
      <c r="AL12" s="1322"/>
      <c r="AM12" s="1322"/>
      <c r="AN12" s="1322"/>
      <c r="AO12" s="1322"/>
      <c r="AP12" s="1322"/>
      <c r="AQ12" s="1322"/>
      <c r="AR12" s="1322"/>
      <c r="AS12" s="1322"/>
      <c r="AT12" s="1322"/>
      <c r="AU12" s="1322"/>
      <c r="AV12" s="1322"/>
      <c r="AW12" s="1322"/>
      <c r="AX12" s="1322"/>
      <c r="AY12" s="1322"/>
      <c r="AZ12" s="1322"/>
      <c r="BA12" s="1322"/>
      <c r="BB12" s="1322"/>
      <c r="BC12" s="1322"/>
      <c r="BD12" s="1322"/>
      <c r="BE12" s="1322"/>
      <c r="BF12" s="1322"/>
      <c r="BG12" s="1322"/>
      <c r="BH12" s="1322"/>
      <c r="BI12" s="1322"/>
      <c r="BJ12" s="1322"/>
      <c r="BK12" s="1322"/>
      <c r="BL12" s="1322"/>
      <c r="BM12" s="1322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  <c r="BX12" s="1322"/>
      <c r="BY12" s="1322"/>
      <c r="BZ12" s="1322"/>
      <c r="CA12" s="1322"/>
      <c r="CB12" s="1322"/>
      <c r="CM12" s="3" t="s">
        <v>187</v>
      </c>
      <c r="CO12" s="1314"/>
      <c r="CP12" s="1315"/>
      <c r="CQ12" s="1315"/>
      <c r="CR12" s="1315"/>
      <c r="CS12" s="1315"/>
      <c r="CT12" s="1315"/>
      <c r="CU12" s="1315"/>
      <c r="CV12" s="1315"/>
      <c r="CW12" s="1315"/>
      <c r="CX12" s="1315"/>
      <c r="CY12" s="1315"/>
      <c r="CZ12" s="1315"/>
      <c r="DA12" s="1315"/>
      <c r="DB12" s="1315"/>
      <c r="DC12" s="1315"/>
      <c r="DD12" s="1316"/>
      <c r="DF12" s="570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3"/>
      <c r="CP13" s="1324"/>
      <c r="CQ13" s="1324"/>
      <c r="CR13" s="1324"/>
      <c r="CS13" s="1324"/>
      <c r="CT13" s="1324"/>
      <c r="CU13" s="1324"/>
      <c r="CV13" s="1324"/>
      <c r="CW13" s="1324"/>
      <c r="CX13" s="1324"/>
      <c r="CY13" s="1324"/>
      <c r="CZ13" s="1324"/>
      <c r="DA13" s="1324"/>
      <c r="DB13" s="1324"/>
      <c r="DC13" s="1324"/>
      <c r="DD13" s="1325"/>
      <c r="DF13" s="570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328"/>
      <c r="BD14" s="1329"/>
      <c r="BE14" s="1329"/>
      <c r="BF14" s="1329"/>
      <c r="BG14" s="1329"/>
      <c r="BH14" s="1329"/>
      <c r="BI14" s="1329"/>
      <c r="BJ14" s="1329"/>
      <c r="BK14" s="1329"/>
      <c r="BL14" s="1329"/>
      <c r="BM14" s="1329"/>
      <c r="BN14" s="1329"/>
      <c r="BO14" s="1329"/>
      <c r="BP14" s="1329"/>
      <c r="BQ14" s="1329"/>
      <c r="BR14" s="1329"/>
      <c r="BS14" s="1329"/>
      <c r="BT14" s="1329"/>
      <c r="BU14" s="1329"/>
      <c r="BV14" s="1329"/>
      <c r="BW14" s="1329"/>
      <c r="BX14" s="1329"/>
      <c r="BY14" s="1329"/>
      <c r="BZ14" s="1329"/>
      <c r="CA14" s="1329"/>
      <c r="CB14" s="1330"/>
      <c r="CM14" s="3" t="s">
        <v>189</v>
      </c>
      <c r="CO14" s="1326"/>
      <c r="CP14" s="1221"/>
      <c r="CQ14" s="1221"/>
      <c r="CR14" s="1221"/>
      <c r="CS14" s="1221"/>
      <c r="CT14" s="1221"/>
      <c r="CU14" s="1221"/>
      <c r="CV14" s="1221"/>
      <c r="CW14" s="1221"/>
      <c r="CX14" s="1221"/>
      <c r="CY14" s="1221"/>
      <c r="CZ14" s="1221"/>
      <c r="DA14" s="1221"/>
      <c r="DB14" s="1221"/>
      <c r="DC14" s="1221"/>
      <c r="DD14" s="1327"/>
      <c r="DF14" s="570" t="str">
        <f>"20"&amp;$BE$11&amp;"-"&amp;IF($DF$13="",$AI$11,$DF$13)&amp;"-"&amp;$AA$11</f>
        <v>20--</v>
      </c>
    </row>
    <row r="15" spans="1:110" ht="15.75">
      <c r="A15" s="1" t="s">
        <v>190</v>
      </c>
      <c r="Y15" s="1331"/>
      <c r="Z15" s="1331"/>
      <c r="AA15" s="1331"/>
      <c r="AB15" s="1331"/>
      <c r="AC15" s="1331"/>
      <c r="AD15" s="1331"/>
      <c r="AE15" s="1331"/>
      <c r="AF15" s="1331"/>
      <c r="AG15" s="1331"/>
      <c r="AH15" s="1331"/>
      <c r="AI15" s="1331"/>
      <c r="AJ15" s="1331"/>
      <c r="AK15" s="1331"/>
      <c r="AL15" s="1331"/>
      <c r="AM15" s="1331"/>
      <c r="AN15" s="1331"/>
      <c r="AO15" s="1331"/>
      <c r="AP15" s="1331"/>
      <c r="AQ15" s="1331"/>
      <c r="AR15" s="1331"/>
      <c r="AS15" s="1331"/>
      <c r="AT15" s="1331"/>
      <c r="AU15" s="1331"/>
      <c r="AV15" s="1331"/>
      <c r="AW15" s="1331"/>
      <c r="AX15" s="1331"/>
      <c r="AY15" s="1331"/>
      <c r="AZ15" s="1331"/>
      <c r="BA15" s="1331"/>
      <c r="BB15" s="1331"/>
      <c r="BC15" s="1331"/>
      <c r="BD15" s="1331"/>
      <c r="BE15" s="1331"/>
      <c r="BF15" s="1331"/>
      <c r="BG15" s="1331"/>
      <c r="BH15" s="1331"/>
      <c r="BI15" s="1331"/>
      <c r="BJ15" s="1331"/>
      <c r="BK15" s="1331"/>
      <c r="BL15" s="1331"/>
      <c r="BM15" s="1331"/>
      <c r="BN15" s="1331"/>
      <c r="BO15" s="1331"/>
      <c r="BP15" s="1331"/>
      <c r="BQ15" s="1331"/>
      <c r="BR15" s="1331"/>
      <c r="BS15" s="1331"/>
      <c r="BT15" s="1331"/>
      <c r="BU15" s="1331"/>
      <c r="BV15" s="1331"/>
      <c r="BW15" s="1331"/>
      <c r="BX15" s="1331"/>
      <c r="BY15" s="1331"/>
      <c r="BZ15" s="1331"/>
      <c r="CA15" s="1331"/>
      <c r="CB15" s="1331"/>
      <c r="CM15" s="3"/>
      <c r="CO15" s="1314"/>
      <c r="CP15" s="1315"/>
      <c r="CQ15" s="1315"/>
      <c r="CR15" s="1315"/>
      <c r="CS15" s="1315"/>
      <c r="CT15" s="1315"/>
      <c r="CU15" s="1315"/>
      <c r="CV15" s="1315"/>
      <c r="CW15" s="1315"/>
      <c r="CX15" s="1315"/>
      <c r="CY15" s="1315"/>
      <c r="CZ15" s="1315"/>
      <c r="DA15" s="1315"/>
      <c r="DB15" s="1315"/>
      <c r="DC15" s="1315"/>
      <c r="DD15" s="1316"/>
    </row>
    <row r="16" spans="1:110" ht="15.75" customHeight="1">
      <c r="A16" s="1" t="s">
        <v>191</v>
      </c>
      <c r="U16" s="1320">
        <f>'Настройки УИК'!$I$43</f>
        <v>0</v>
      </c>
      <c r="V16" s="1321"/>
      <c r="W16" s="1321"/>
      <c r="X16" s="1321"/>
      <c r="Y16" s="1321"/>
      <c r="Z16" s="1321"/>
      <c r="AA16" s="1321"/>
      <c r="AB16" s="1321"/>
      <c r="AC16" s="1321"/>
      <c r="AD16" s="1321"/>
      <c r="AE16" s="1321"/>
      <c r="AF16" s="1321"/>
      <c r="AG16" s="1321"/>
      <c r="AH16" s="1321"/>
      <c r="AI16" s="1321"/>
      <c r="AJ16" s="1321"/>
      <c r="AK16" s="1321"/>
      <c r="AL16" s="1321"/>
      <c r="AM16" s="1321"/>
      <c r="AN16" s="1321"/>
      <c r="AO16" s="1321"/>
      <c r="AP16" s="1321"/>
      <c r="AQ16" s="1321"/>
      <c r="AR16" s="1321"/>
      <c r="AS16" s="1321"/>
      <c r="AT16" s="1321"/>
      <c r="AU16" s="1321"/>
      <c r="AV16" s="1321"/>
      <c r="AW16" s="1321"/>
      <c r="AX16" s="1321"/>
      <c r="AY16" s="1321"/>
      <c r="AZ16" s="1321"/>
      <c r="BA16" s="1321"/>
      <c r="BB16" s="1321"/>
      <c r="BC16" s="1321"/>
      <c r="BD16" s="1321"/>
      <c r="BE16" s="1321"/>
      <c r="BF16" s="1321"/>
      <c r="BG16" s="1321"/>
      <c r="BH16" s="1321"/>
      <c r="BI16" s="1321"/>
      <c r="BJ16" s="1321"/>
      <c r="BK16" s="1321"/>
      <c r="BL16" s="1321"/>
      <c r="BM16" s="1321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  <c r="BX16" s="1321"/>
      <c r="BY16" s="1321"/>
      <c r="BZ16" s="1321"/>
      <c r="CA16" s="1321"/>
      <c r="CB16" s="1321"/>
      <c r="CM16" s="3"/>
      <c r="CO16" s="1314"/>
      <c r="CP16" s="1315"/>
      <c r="CQ16" s="1315"/>
      <c r="CR16" s="1315"/>
      <c r="CS16" s="1315"/>
      <c r="CT16" s="1315"/>
      <c r="CU16" s="1315"/>
      <c r="CV16" s="1315"/>
      <c r="CW16" s="1315"/>
      <c r="CX16" s="1315"/>
      <c r="CY16" s="1315"/>
      <c r="CZ16" s="1315"/>
      <c r="DA16" s="1315"/>
      <c r="DB16" s="1315"/>
      <c r="DC16" s="1315"/>
      <c r="DD16" s="1316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4"/>
      <c r="CP17" s="1315"/>
      <c r="CQ17" s="1315"/>
      <c r="CR17" s="1315"/>
      <c r="CS17" s="1315"/>
      <c r="CT17" s="1315"/>
      <c r="CU17" s="1315"/>
      <c r="CV17" s="1315"/>
      <c r="CW17" s="1315"/>
      <c r="CX17" s="1315"/>
      <c r="CY17" s="1315"/>
      <c r="CZ17" s="1315"/>
      <c r="DA17" s="1315"/>
      <c r="DB17" s="1315"/>
      <c r="DC17" s="1315"/>
      <c r="DD17" s="1316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4"/>
      <c r="CP18" s="1315"/>
      <c r="CQ18" s="1315"/>
      <c r="CR18" s="1315"/>
      <c r="CS18" s="1315"/>
      <c r="CT18" s="1315"/>
      <c r="CU18" s="1315"/>
      <c r="CV18" s="1315"/>
      <c r="CW18" s="1315"/>
      <c r="CX18" s="1315"/>
      <c r="CY18" s="1315"/>
      <c r="CZ18" s="1315"/>
      <c r="DA18" s="1315"/>
      <c r="DB18" s="1315"/>
      <c r="DC18" s="1315"/>
      <c r="DD18" s="1316"/>
    </row>
    <row r="19" spans="1:108" ht="16.5" thickBot="1">
      <c r="N19" s="9"/>
      <c r="O19" s="9"/>
      <c r="P19" s="9"/>
      <c r="Q19" s="9"/>
      <c r="R19" s="9"/>
      <c r="S19" s="1332"/>
      <c r="T19" s="1332"/>
      <c r="U19" s="1332"/>
      <c r="V19" s="1332"/>
      <c r="W19" s="1332"/>
      <c r="X19" s="1332"/>
      <c r="Y19" s="1332"/>
      <c r="Z19" s="1332"/>
      <c r="AA19" s="1332"/>
      <c r="AB19" s="1332"/>
      <c r="AC19" s="1332"/>
      <c r="AD19" s="1332"/>
      <c r="AE19" s="1332"/>
      <c r="AF19" s="1332"/>
      <c r="AG19" s="1332"/>
      <c r="AH19" s="1332"/>
      <c r="AI19" s="1332"/>
      <c r="AJ19" s="1332"/>
      <c r="AK19" s="1332"/>
      <c r="AL19" s="1332"/>
      <c r="AM19" s="1332"/>
      <c r="AN19" s="1332"/>
      <c r="AO19" s="1332"/>
      <c r="AP19" s="1332"/>
      <c r="AQ19" s="1332"/>
      <c r="AR19" s="1332"/>
      <c r="AS19" s="1332"/>
      <c r="AT19" s="1332"/>
      <c r="AU19" s="1332"/>
      <c r="AV19" s="1332"/>
      <c r="AW19" s="1332"/>
      <c r="AX19" s="1332"/>
      <c r="AY19" s="1332"/>
      <c r="AZ19" s="1332"/>
      <c r="BA19" s="1332"/>
      <c r="BB19" s="1332"/>
      <c r="CM19" s="3" t="s">
        <v>194</v>
      </c>
      <c r="CO19" s="1317"/>
      <c r="CP19" s="1318"/>
      <c r="CQ19" s="1318"/>
      <c r="CR19" s="1318"/>
      <c r="CS19" s="1318"/>
      <c r="CT19" s="1318"/>
      <c r="CU19" s="1318"/>
      <c r="CV19" s="1318"/>
      <c r="CW19" s="1318"/>
      <c r="CX19" s="1318"/>
      <c r="CY19" s="1318"/>
      <c r="CZ19" s="1318"/>
      <c r="DA19" s="1318"/>
      <c r="DB19" s="1318"/>
      <c r="DC19" s="1318"/>
      <c r="DD19" s="1319"/>
    </row>
    <row r="20" spans="1:108">
      <c r="N20" s="9"/>
      <c r="O20" s="9"/>
      <c r="P20" s="9"/>
      <c r="Q20" s="9"/>
      <c r="R20" s="9"/>
      <c r="S20" s="1192" t="s">
        <v>195</v>
      </c>
      <c r="T20" s="1192"/>
      <c r="U20" s="1192"/>
      <c r="V20" s="1192"/>
      <c r="W20" s="1192"/>
      <c r="X20" s="1192"/>
      <c r="Y20" s="1192"/>
      <c r="Z20" s="1192"/>
      <c r="AA20" s="1192"/>
      <c r="AB20" s="1192"/>
      <c r="AC20" s="1192"/>
      <c r="AD20" s="1192"/>
      <c r="AE20" s="1192"/>
      <c r="AF20" s="1192"/>
      <c r="AG20" s="1192"/>
      <c r="AH20" s="1192"/>
      <c r="AI20" s="1192"/>
      <c r="AJ20" s="1192"/>
      <c r="AK20" s="1192"/>
      <c r="AL20" s="1192"/>
      <c r="AM20" s="1192"/>
      <c r="AN20" s="1192"/>
      <c r="AO20" s="1192"/>
      <c r="AP20" s="1192"/>
      <c r="AQ20" s="1192"/>
      <c r="AR20" s="1192"/>
      <c r="AS20" s="1192"/>
      <c r="AT20" s="1192"/>
      <c r="AU20" s="1192"/>
      <c r="AV20" s="1192"/>
      <c r="AW20" s="1192"/>
      <c r="AX20" s="1192"/>
      <c r="AY20" s="1192"/>
      <c r="AZ20" s="1192"/>
      <c r="BA20" s="1192"/>
      <c r="BB20" s="1192"/>
    </row>
    <row r="21" spans="1:108">
      <c r="A21" s="1" t="s">
        <v>45</v>
      </c>
      <c r="L21" s="1301" t="s">
        <v>140</v>
      </c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U21" s="1" t="s">
        <v>196</v>
      </c>
      <c r="BM21" s="1301" t="s">
        <v>419</v>
      </c>
      <c r="BN21" s="1301"/>
      <c r="BO21" s="1301"/>
      <c r="BP21" s="1301"/>
      <c r="BQ21" s="1301"/>
      <c r="BR21" s="1301"/>
      <c r="BS21" s="1301"/>
      <c r="BT21" s="1301"/>
      <c r="BU21" s="1301"/>
      <c r="BV21" s="1301"/>
      <c r="BW21" s="1301"/>
      <c r="BX21" s="1301"/>
      <c r="BY21" s="1301"/>
      <c r="BZ21" s="1301"/>
      <c r="CA21" s="1301"/>
      <c r="CB21" s="1301"/>
      <c r="CC21" s="1301"/>
      <c r="CD21" s="1301"/>
      <c r="CE21" s="1301"/>
      <c r="CF21" s="1301"/>
      <c r="CG21" s="1301"/>
      <c r="CH21" s="1301"/>
      <c r="CI21" s="1301"/>
      <c r="CJ21" s="1301"/>
      <c r="CK21" s="1301"/>
      <c r="CL21" s="1301"/>
      <c r="CM21" s="1301"/>
      <c r="CN21" s="1301"/>
      <c r="CO21" s="1301"/>
      <c r="CP21" s="1301"/>
      <c r="CQ21" s="1301"/>
      <c r="CR21" s="1301"/>
      <c r="CS21" s="1301"/>
      <c r="CT21" s="1301"/>
      <c r="CU21" s="1301"/>
      <c r="CV21" s="1301"/>
      <c r="CW21" s="1301"/>
      <c r="CX21" s="1301"/>
      <c r="CY21" s="1301"/>
      <c r="CZ21" s="1301"/>
      <c r="DA21" s="1301"/>
    </row>
    <row r="22" spans="1:108" ht="9" customHeight="1"/>
    <row r="23" spans="1:108" ht="15" customHeight="1">
      <c r="A23" s="1345" t="s">
        <v>197</v>
      </c>
      <c r="B23" s="1345"/>
      <c r="C23" s="1345"/>
      <c r="D23" s="1345"/>
      <c r="E23" s="1345"/>
      <c r="F23" s="1345"/>
      <c r="G23" s="1345"/>
      <c r="H23" s="1345"/>
      <c r="I23" s="1345"/>
      <c r="J23" s="1345"/>
      <c r="K23" s="1345"/>
      <c r="L23" s="1345"/>
      <c r="M23" s="1345"/>
      <c r="N23" s="1345"/>
      <c r="O23" s="1345"/>
      <c r="P23" s="1345"/>
      <c r="Q23" s="1345"/>
      <c r="R23" s="1345"/>
      <c r="S23" s="1345"/>
      <c r="T23" s="1345"/>
      <c r="U23" s="1346"/>
      <c r="V23" s="1284" t="s">
        <v>198</v>
      </c>
      <c r="W23" s="1284"/>
      <c r="X23" s="1284"/>
      <c r="Y23" s="1284"/>
      <c r="Z23" s="1284"/>
      <c r="AA23" s="1284"/>
      <c r="AB23" s="1284"/>
      <c r="AC23" s="1284"/>
      <c r="AD23" s="1284"/>
      <c r="AE23" s="1284"/>
      <c r="AF23" s="1284"/>
      <c r="AG23" s="1284"/>
      <c r="AH23" s="1284"/>
      <c r="AI23" s="1284"/>
      <c r="AJ23" s="1284"/>
      <c r="AK23" s="1284"/>
      <c r="AL23" s="1284"/>
      <c r="AM23" s="1284"/>
      <c r="AN23" s="1284"/>
      <c r="AO23" s="1284"/>
      <c r="AP23" s="1284"/>
      <c r="AQ23" s="1284"/>
      <c r="AR23" s="10"/>
      <c r="AS23" s="1349" t="s">
        <v>199</v>
      </c>
      <c r="AT23" s="1350"/>
      <c r="AU23" s="1350"/>
      <c r="AV23" s="1350"/>
      <c r="AW23" s="1350"/>
      <c r="AX23" s="1350"/>
      <c r="AY23" s="1350"/>
      <c r="AZ23" s="1350"/>
      <c r="BA23" s="1350"/>
      <c r="BB23" s="1350"/>
      <c r="BC23" s="1350"/>
      <c r="BD23" s="1350"/>
      <c r="BE23" s="1350"/>
      <c r="BF23" s="1350"/>
      <c r="BG23" s="1350"/>
      <c r="BH23" s="1350"/>
      <c r="BI23" s="1350"/>
      <c r="BJ23" s="1350"/>
      <c r="BK23" s="1350"/>
      <c r="BL23" s="1350"/>
      <c r="BM23" s="1350"/>
      <c r="BN23" s="1350"/>
      <c r="BO23" s="1350"/>
      <c r="BP23" s="1350"/>
      <c r="BQ23" s="1350"/>
      <c r="BR23" s="1350"/>
      <c r="BS23" s="1350"/>
      <c r="BT23" s="1350"/>
      <c r="BU23" s="1350"/>
      <c r="BV23" s="1350"/>
      <c r="BW23" s="1350"/>
      <c r="BX23" s="1350"/>
      <c r="BY23" s="1350"/>
      <c r="BZ23" s="1350"/>
      <c r="CA23" s="1350"/>
      <c r="CB23" s="1350"/>
      <c r="CC23" s="1350"/>
      <c r="CD23" s="1350"/>
      <c r="CE23" s="1350"/>
      <c r="CF23" s="1350"/>
      <c r="CG23" s="1350"/>
      <c r="CH23" s="1350"/>
      <c r="CI23" s="1350"/>
      <c r="CJ23" s="1350"/>
      <c r="CK23" s="1350"/>
      <c r="CL23" s="1350"/>
      <c r="CM23" s="1350"/>
      <c r="CN23" s="1351"/>
      <c r="CO23" s="1305" t="s">
        <v>200</v>
      </c>
      <c r="CP23" s="1306"/>
      <c r="CQ23" s="1306"/>
      <c r="CR23" s="1306"/>
      <c r="CS23" s="1306"/>
      <c r="CT23" s="1306"/>
      <c r="CU23" s="1306"/>
      <c r="CV23" s="1306"/>
      <c r="CW23" s="1306"/>
      <c r="CX23" s="1306"/>
      <c r="CY23" s="1306"/>
      <c r="CZ23" s="1306"/>
      <c r="DA23" s="1306"/>
      <c r="DB23" s="1306"/>
      <c r="DC23" s="1306"/>
      <c r="DD23" s="1306"/>
    </row>
    <row r="24" spans="1:108" ht="15" customHeight="1" thickBot="1">
      <c r="A24" s="1347"/>
      <c r="B24" s="1347"/>
      <c r="C24" s="1347"/>
      <c r="D24" s="1347"/>
      <c r="E24" s="1347"/>
      <c r="F24" s="1347"/>
      <c r="G24" s="1347"/>
      <c r="H24" s="1347"/>
      <c r="I24" s="1347"/>
      <c r="J24" s="1347"/>
      <c r="K24" s="1347"/>
      <c r="L24" s="1347"/>
      <c r="M24" s="1347"/>
      <c r="N24" s="1347"/>
      <c r="O24" s="1347"/>
      <c r="P24" s="1347"/>
      <c r="Q24" s="1347"/>
      <c r="R24" s="1347"/>
      <c r="S24" s="1347"/>
      <c r="T24" s="1347"/>
      <c r="U24" s="1348"/>
      <c r="V24" s="1302" t="s">
        <v>201</v>
      </c>
      <c r="W24" s="1302"/>
      <c r="X24" s="1302"/>
      <c r="Y24" s="1302"/>
      <c r="Z24" s="1302"/>
      <c r="AA24" s="1302"/>
      <c r="AB24" s="1302"/>
      <c r="AC24" s="1302"/>
      <c r="AD24" s="1302"/>
      <c r="AE24" s="1302"/>
      <c r="AF24" s="1302"/>
      <c r="AG24" s="1302" t="s">
        <v>202</v>
      </c>
      <c r="AH24" s="1302"/>
      <c r="AI24" s="1302"/>
      <c r="AJ24" s="1302"/>
      <c r="AK24" s="1302"/>
      <c r="AL24" s="1302"/>
      <c r="AM24" s="1302"/>
      <c r="AN24" s="1302"/>
      <c r="AO24" s="1302"/>
      <c r="AP24" s="1302"/>
      <c r="AQ24" s="1302"/>
      <c r="AR24" s="11"/>
      <c r="AS24" s="1256" t="s">
        <v>203</v>
      </c>
      <c r="AT24" s="1256"/>
      <c r="AU24" s="1256"/>
      <c r="AV24" s="1256"/>
      <c r="AW24" s="1256"/>
      <c r="AX24" s="1256"/>
      <c r="AY24" s="1256"/>
      <c r="AZ24" s="1256"/>
      <c r="BA24" s="1256"/>
      <c r="BB24" s="1256"/>
      <c r="BC24" s="1256"/>
      <c r="BD24" s="1256"/>
      <c r="BE24" s="1256"/>
      <c r="BF24" s="1256"/>
      <c r="BG24" s="1256"/>
      <c r="BH24" s="1256"/>
      <c r="BI24" s="1256"/>
      <c r="BJ24" s="1256"/>
      <c r="BK24" s="1256"/>
      <c r="BL24" s="1256"/>
      <c r="BM24" s="1256"/>
      <c r="BN24" s="1256"/>
      <c r="BO24" s="1256"/>
      <c r="BP24" s="1256"/>
      <c r="BQ24" s="1256" t="s">
        <v>204</v>
      </c>
      <c r="BR24" s="1256"/>
      <c r="BS24" s="1256"/>
      <c r="BT24" s="1256"/>
      <c r="BU24" s="1256"/>
      <c r="BV24" s="1256"/>
      <c r="BW24" s="1256"/>
      <c r="BX24" s="1256"/>
      <c r="BY24" s="1256"/>
      <c r="BZ24" s="1256"/>
      <c r="CA24" s="1256"/>
      <c r="CB24" s="1256"/>
      <c r="CC24" s="1256"/>
      <c r="CD24" s="1256"/>
      <c r="CE24" s="1256"/>
      <c r="CF24" s="1256"/>
      <c r="CG24" s="1256"/>
      <c r="CH24" s="1256"/>
      <c r="CI24" s="1256"/>
      <c r="CJ24" s="1256"/>
      <c r="CK24" s="1256"/>
      <c r="CL24" s="1256"/>
      <c r="CM24" s="1256"/>
      <c r="CN24" s="1256"/>
      <c r="CO24" s="1307"/>
      <c r="CP24" s="1308"/>
      <c r="CQ24" s="1308"/>
      <c r="CR24" s="1308"/>
      <c r="CS24" s="1308"/>
      <c r="CT24" s="1308"/>
      <c r="CU24" s="1308"/>
      <c r="CV24" s="1308"/>
      <c r="CW24" s="1308"/>
      <c r="CX24" s="1308"/>
      <c r="CY24" s="1308"/>
      <c r="CZ24" s="1308"/>
      <c r="DA24" s="1308"/>
      <c r="DB24" s="1308"/>
      <c r="DC24" s="1308"/>
      <c r="DD24" s="1308"/>
    </row>
    <row r="25" spans="1:108" ht="15.75" thickBot="1">
      <c r="A25" s="1352" t="s">
        <v>205</v>
      </c>
      <c r="B25" s="1352"/>
      <c r="C25" s="1352"/>
      <c r="D25" s="1352"/>
      <c r="E25" s="1352"/>
      <c r="F25" s="1352"/>
      <c r="G25" s="1352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2"/>
      <c r="U25" s="1353"/>
      <c r="V25" s="1354"/>
      <c r="W25" s="1290"/>
      <c r="X25" s="1290"/>
      <c r="Y25" s="1290"/>
      <c r="Z25" s="1290"/>
      <c r="AA25" s="1290"/>
      <c r="AB25" s="1290"/>
      <c r="AC25" s="1290"/>
      <c r="AD25" s="1290"/>
      <c r="AE25" s="1290"/>
      <c r="AF25" s="1355"/>
      <c r="AG25" s="1289"/>
      <c r="AH25" s="1290"/>
      <c r="AI25" s="1290"/>
      <c r="AJ25" s="1290"/>
      <c r="AK25" s="1290"/>
      <c r="AL25" s="1290"/>
      <c r="AM25" s="1290"/>
      <c r="AN25" s="1290"/>
      <c r="AO25" s="1290"/>
      <c r="AP25" s="1290"/>
      <c r="AQ25" s="1291"/>
      <c r="AS25" s="1294" t="s">
        <v>399</v>
      </c>
      <c r="AT25" s="1295"/>
      <c r="AU25" s="1295"/>
      <c r="AV25" s="1295"/>
      <c r="AW25" s="1295"/>
      <c r="AX25" s="1295"/>
      <c r="AY25" s="1295"/>
      <c r="AZ25" s="1295"/>
      <c r="BA25" s="1295"/>
      <c r="BB25" s="1295"/>
      <c r="BC25" s="1295"/>
      <c r="BD25" s="1295"/>
      <c r="BE25" s="1295"/>
      <c r="BF25" s="1295"/>
      <c r="BG25" s="1295"/>
      <c r="BH25" s="1295"/>
      <c r="BI25" s="1295"/>
      <c r="BJ25" s="1295"/>
      <c r="BK25" s="1295"/>
      <c r="BL25" s="1295"/>
      <c r="BM25" s="1295"/>
      <c r="BN25" s="1295"/>
      <c r="BO25" s="1295"/>
      <c r="BP25" s="1295"/>
      <c r="BQ25" s="1294" t="s">
        <v>400</v>
      </c>
      <c r="BR25" s="1295"/>
      <c r="BS25" s="1295"/>
      <c r="BT25" s="1295"/>
      <c r="BU25" s="1295"/>
      <c r="BV25" s="1295"/>
      <c r="BW25" s="1295"/>
      <c r="BX25" s="1295"/>
      <c r="BY25" s="1295"/>
      <c r="BZ25" s="1295"/>
      <c r="CA25" s="1295"/>
      <c r="CB25" s="1295"/>
      <c r="CC25" s="1295"/>
      <c r="CD25" s="1295"/>
      <c r="CE25" s="1295"/>
      <c r="CF25" s="1295"/>
      <c r="CG25" s="1295"/>
      <c r="CH25" s="1295"/>
      <c r="CI25" s="1295"/>
      <c r="CJ25" s="1295"/>
      <c r="CK25" s="1295"/>
      <c r="CL25" s="1295"/>
      <c r="CM25" s="1295"/>
      <c r="CN25" s="1295"/>
      <c r="CO25" s="1294" t="s">
        <v>401</v>
      </c>
      <c r="CP25" s="1295"/>
      <c r="CQ25" s="1295"/>
      <c r="CR25" s="1295"/>
      <c r="CS25" s="1295"/>
      <c r="CT25" s="1295"/>
      <c r="CU25" s="1295"/>
      <c r="CV25" s="1295"/>
      <c r="CW25" s="1295"/>
      <c r="CX25" s="1295"/>
      <c r="CY25" s="1295"/>
      <c r="CZ25" s="1295"/>
      <c r="DA25" s="1295"/>
      <c r="DB25" s="1295"/>
      <c r="DC25" s="1295"/>
      <c r="DD25" s="1304"/>
    </row>
    <row r="26" spans="1:108" ht="13.5" customHeight="1">
      <c r="A26" s="1296" t="s">
        <v>206</v>
      </c>
      <c r="B26" s="1297"/>
      <c r="C26" s="1297"/>
      <c r="D26" s="1297"/>
      <c r="E26" s="1297"/>
      <c r="F26" s="1297"/>
      <c r="G26" s="1297"/>
      <c r="H26" s="1297"/>
      <c r="I26" s="1297"/>
      <c r="J26" s="1297"/>
      <c r="K26" s="1297"/>
      <c r="L26" s="1297"/>
      <c r="M26" s="1297"/>
      <c r="N26" s="1297"/>
      <c r="O26" s="1297"/>
      <c r="P26" s="1297"/>
      <c r="Q26" s="1297"/>
      <c r="R26" s="1297"/>
      <c r="S26" s="1297"/>
      <c r="T26" s="1297"/>
      <c r="U26" s="1298"/>
      <c r="V26" s="1356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357"/>
      <c r="AG26" s="1292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93"/>
      <c r="AS26" s="1299"/>
      <c r="AT26" s="1300"/>
      <c r="AU26" s="1300"/>
      <c r="AV26" s="1300"/>
      <c r="AW26" s="1300"/>
      <c r="AX26" s="1300"/>
      <c r="AY26" s="1300"/>
      <c r="AZ26" s="1300"/>
      <c r="BA26" s="1300"/>
      <c r="BB26" s="1300"/>
      <c r="BC26" s="1300"/>
      <c r="BD26" s="1300"/>
      <c r="BE26" s="1300"/>
      <c r="BF26" s="1300"/>
      <c r="BG26" s="1300"/>
      <c r="BH26" s="1300"/>
      <c r="BI26" s="1300"/>
      <c r="BJ26" s="1300"/>
      <c r="BK26" s="1300"/>
      <c r="BL26" s="1300"/>
      <c r="BM26" s="1300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  <c r="BX26" s="1300"/>
      <c r="BY26" s="1300"/>
      <c r="BZ26" s="1300"/>
      <c r="CA26" s="1300"/>
      <c r="CB26" s="1300"/>
      <c r="CC26" s="1300"/>
      <c r="CD26" s="1300"/>
      <c r="CE26" s="1300"/>
      <c r="CF26" s="1300"/>
      <c r="CG26" s="1300"/>
      <c r="CH26" s="1300"/>
      <c r="CI26" s="1300"/>
      <c r="CJ26" s="1300"/>
      <c r="CK26" s="1300"/>
      <c r="CL26" s="1300"/>
      <c r="CM26" s="1300"/>
      <c r="CN26" s="1300"/>
      <c r="CO26" s="1300"/>
      <c r="CP26" s="1300"/>
      <c r="CQ26" s="1300"/>
      <c r="CR26" s="1300"/>
      <c r="CS26" s="1300"/>
      <c r="CT26" s="1300"/>
      <c r="CU26" s="1300"/>
      <c r="CV26" s="1300"/>
      <c r="CW26" s="1300"/>
      <c r="CX26" s="1300"/>
      <c r="CY26" s="1300"/>
      <c r="CZ26" s="1300"/>
      <c r="DA26" s="1300"/>
      <c r="DB26" s="1300"/>
      <c r="DC26" s="1300"/>
      <c r="DD26" s="1303"/>
    </row>
    <row r="27" spans="1:108" ht="13.5" customHeight="1">
      <c r="A27" s="1309" t="s">
        <v>207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1"/>
      <c r="V27" s="1283"/>
      <c r="W27" s="1284"/>
      <c r="X27" s="1284"/>
      <c r="Y27" s="1284"/>
      <c r="Z27" s="1284"/>
      <c r="AA27" s="1284"/>
      <c r="AB27" s="1284"/>
      <c r="AC27" s="1284"/>
      <c r="AD27" s="1284"/>
      <c r="AE27" s="1284"/>
      <c r="AF27" s="1284"/>
      <c r="AG27" s="1284"/>
      <c r="AH27" s="1284"/>
      <c r="AI27" s="1284"/>
      <c r="AJ27" s="1284"/>
      <c r="AK27" s="1284"/>
      <c r="AL27" s="1284"/>
      <c r="AM27" s="1284"/>
      <c r="AN27" s="1284"/>
      <c r="AO27" s="1284"/>
      <c r="AP27" s="1284"/>
      <c r="AQ27" s="1285"/>
      <c r="AS27" s="1269"/>
      <c r="AT27" s="1190"/>
      <c r="AU27" s="1190"/>
      <c r="AV27" s="1190"/>
      <c r="AW27" s="1190"/>
      <c r="AX27" s="1190"/>
      <c r="AY27" s="1190"/>
      <c r="AZ27" s="1190"/>
      <c r="BA27" s="1190"/>
      <c r="BB27" s="1190"/>
      <c r="BC27" s="1190"/>
      <c r="BD27" s="1190"/>
      <c r="BE27" s="1190"/>
      <c r="BF27" s="1190"/>
      <c r="BG27" s="1190"/>
      <c r="BH27" s="1190"/>
      <c r="BI27" s="1190"/>
      <c r="BJ27" s="1190"/>
      <c r="BK27" s="1190"/>
      <c r="BL27" s="1190"/>
      <c r="BM27" s="1190"/>
      <c r="BN27" s="1190"/>
      <c r="BO27" s="1190"/>
      <c r="BP27" s="1190"/>
      <c r="BQ27" s="1190"/>
      <c r="BR27" s="1190"/>
      <c r="BS27" s="1190"/>
      <c r="BT27" s="1190"/>
      <c r="BU27" s="1190"/>
      <c r="BV27" s="1190"/>
      <c r="BW27" s="1190"/>
      <c r="BX27" s="1190"/>
      <c r="BY27" s="1190"/>
      <c r="BZ27" s="1190"/>
      <c r="CA27" s="1190"/>
      <c r="CB27" s="1190"/>
      <c r="CC27" s="1190"/>
      <c r="CD27" s="1190"/>
      <c r="CE27" s="1190"/>
      <c r="CF27" s="1190"/>
      <c r="CG27" s="1190"/>
      <c r="CH27" s="1190"/>
      <c r="CI27" s="1190"/>
      <c r="CJ27" s="1190"/>
      <c r="CK27" s="1190"/>
      <c r="CL27" s="1190"/>
      <c r="CM27" s="1190"/>
      <c r="CN27" s="1190"/>
      <c r="CO27" s="1190"/>
      <c r="CP27" s="1190"/>
      <c r="CQ27" s="1190"/>
      <c r="CR27" s="1190"/>
      <c r="CS27" s="1190"/>
      <c r="CT27" s="1190"/>
      <c r="CU27" s="1190"/>
      <c r="CV27" s="1190"/>
      <c r="CW27" s="1190"/>
      <c r="CX27" s="1190"/>
      <c r="CY27" s="1190"/>
      <c r="CZ27" s="1190"/>
      <c r="DA27" s="1190"/>
      <c r="DB27" s="1190"/>
      <c r="DC27" s="1190"/>
      <c r="DD27" s="1268"/>
    </row>
    <row r="28" spans="1:108" ht="13.5" customHeight="1">
      <c r="A28" s="1280" t="s">
        <v>208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2"/>
      <c r="V28" s="1271">
        <f ca="1">SUMIF('Фактические расходы'!$A$13:$A$32,"Всего расходов",'Фактические расходы'!$J$13:$J$32)</f>
        <v>0</v>
      </c>
      <c r="W28" s="1272"/>
      <c r="X28" s="1272"/>
      <c r="Y28" s="1272"/>
      <c r="Z28" s="1272"/>
      <c r="AA28" s="1272"/>
      <c r="AB28" s="1272"/>
      <c r="AC28" s="1272"/>
      <c r="AD28" s="1272"/>
      <c r="AE28" s="1272"/>
      <c r="AF28" s="1273"/>
      <c r="AG28" s="1284"/>
      <c r="AH28" s="1284"/>
      <c r="AI28" s="1284"/>
      <c r="AJ28" s="1284"/>
      <c r="AK28" s="1284"/>
      <c r="AL28" s="1284"/>
      <c r="AM28" s="1284"/>
      <c r="AN28" s="1284"/>
      <c r="AO28" s="1284"/>
      <c r="AP28" s="1284"/>
      <c r="AQ28" s="1285"/>
      <c r="AS28" s="1269"/>
      <c r="AT28" s="1190"/>
      <c r="AU28" s="1190"/>
      <c r="AV28" s="1190"/>
      <c r="AW28" s="1190"/>
      <c r="AX28" s="1190"/>
      <c r="AY28" s="1190"/>
      <c r="AZ28" s="1190"/>
      <c r="BA28" s="1190"/>
      <c r="BB28" s="1190"/>
      <c r="BC28" s="1190"/>
      <c r="BD28" s="1190"/>
      <c r="BE28" s="1190"/>
      <c r="BF28" s="1190"/>
      <c r="BG28" s="1190"/>
      <c r="BH28" s="1190"/>
      <c r="BI28" s="1190"/>
      <c r="BJ28" s="1190"/>
      <c r="BK28" s="1190"/>
      <c r="BL28" s="1190"/>
      <c r="BM28" s="1190"/>
      <c r="BN28" s="1190"/>
      <c r="BO28" s="1190"/>
      <c r="BP28" s="1190"/>
      <c r="BQ28" s="1190"/>
      <c r="BR28" s="1190"/>
      <c r="BS28" s="1190"/>
      <c r="BT28" s="1190"/>
      <c r="BU28" s="1190"/>
      <c r="BV28" s="1190"/>
      <c r="BW28" s="1190"/>
      <c r="BX28" s="1190"/>
      <c r="BY28" s="1190"/>
      <c r="BZ28" s="1190"/>
      <c r="CA28" s="1190"/>
      <c r="CB28" s="1190"/>
      <c r="CC28" s="1190"/>
      <c r="CD28" s="1190"/>
      <c r="CE28" s="1190"/>
      <c r="CF28" s="1190"/>
      <c r="CG28" s="1190"/>
      <c r="CH28" s="1190"/>
      <c r="CI28" s="1190"/>
      <c r="CJ28" s="1190"/>
      <c r="CK28" s="1190"/>
      <c r="CL28" s="1190"/>
      <c r="CM28" s="1190"/>
      <c r="CN28" s="1190"/>
      <c r="CO28" s="1190"/>
      <c r="CP28" s="1190"/>
      <c r="CQ28" s="1190"/>
      <c r="CR28" s="1190"/>
      <c r="CS28" s="1190"/>
      <c r="CT28" s="1190"/>
      <c r="CU28" s="1190"/>
      <c r="CV28" s="1190"/>
      <c r="CW28" s="1190"/>
      <c r="CX28" s="1190"/>
      <c r="CY28" s="1190"/>
      <c r="CZ28" s="1190"/>
      <c r="DA28" s="1190"/>
      <c r="DB28" s="1190"/>
      <c r="DC28" s="1190"/>
      <c r="DD28" s="1268"/>
    </row>
    <row r="29" spans="1:108" ht="13.5" customHeight="1">
      <c r="A29" s="1277"/>
      <c r="B29" s="1278"/>
      <c r="C29" s="1278"/>
      <c r="D29" s="1278"/>
      <c r="E29" s="1278"/>
      <c r="F29" s="1278"/>
      <c r="G29" s="1278"/>
      <c r="H29" s="1278"/>
      <c r="I29" s="1278"/>
      <c r="J29" s="1278"/>
      <c r="K29" s="1278"/>
      <c r="L29" s="1278"/>
      <c r="M29" s="1278"/>
      <c r="N29" s="1278"/>
      <c r="O29" s="1278"/>
      <c r="P29" s="1278"/>
      <c r="Q29" s="1278"/>
      <c r="R29" s="1278"/>
      <c r="S29" s="1278"/>
      <c r="T29" s="1278"/>
      <c r="U29" s="1279"/>
      <c r="V29" s="1283"/>
      <c r="W29" s="1284"/>
      <c r="X29" s="1284"/>
      <c r="Y29" s="1284"/>
      <c r="Z29" s="1284"/>
      <c r="AA29" s="1284"/>
      <c r="AB29" s="1284"/>
      <c r="AC29" s="1284"/>
      <c r="AD29" s="1284"/>
      <c r="AE29" s="1284"/>
      <c r="AF29" s="1284"/>
      <c r="AG29" s="1284"/>
      <c r="AH29" s="1284"/>
      <c r="AI29" s="1284"/>
      <c r="AJ29" s="1284"/>
      <c r="AK29" s="1284"/>
      <c r="AL29" s="1284"/>
      <c r="AM29" s="1284"/>
      <c r="AN29" s="1284"/>
      <c r="AO29" s="1284"/>
      <c r="AP29" s="1284"/>
      <c r="AQ29" s="1285"/>
      <c r="AS29" s="1269"/>
      <c r="AT29" s="1190"/>
      <c r="AU29" s="1190"/>
      <c r="AV29" s="1190"/>
      <c r="AW29" s="1190"/>
      <c r="AX29" s="1190"/>
      <c r="AY29" s="1190"/>
      <c r="AZ29" s="1190"/>
      <c r="BA29" s="1190"/>
      <c r="BB29" s="1190"/>
      <c r="BC29" s="1190"/>
      <c r="BD29" s="1190"/>
      <c r="BE29" s="1190"/>
      <c r="BF29" s="1190"/>
      <c r="BG29" s="1190"/>
      <c r="BH29" s="1190"/>
      <c r="BI29" s="1190"/>
      <c r="BJ29" s="1190"/>
      <c r="BK29" s="1190"/>
      <c r="BL29" s="1190"/>
      <c r="BM29" s="1190"/>
      <c r="BN29" s="1190"/>
      <c r="BO29" s="1190"/>
      <c r="BP29" s="1190"/>
      <c r="BQ29" s="1190"/>
      <c r="BR29" s="1190"/>
      <c r="BS29" s="1190"/>
      <c r="BT29" s="1190"/>
      <c r="BU29" s="1190"/>
      <c r="BV29" s="1190"/>
      <c r="BW29" s="1190"/>
      <c r="BX29" s="1190"/>
      <c r="BY29" s="1190"/>
      <c r="BZ29" s="1190"/>
      <c r="CA29" s="1190"/>
      <c r="CB29" s="1190"/>
      <c r="CC29" s="1190"/>
      <c r="CD29" s="1190"/>
      <c r="CE29" s="1190"/>
      <c r="CF29" s="1190"/>
      <c r="CG29" s="1190"/>
      <c r="CH29" s="1190"/>
      <c r="CI29" s="1190"/>
      <c r="CJ29" s="1190"/>
      <c r="CK29" s="1190"/>
      <c r="CL29" s="1190"/>
      <c r="CM29" s="1190"/>
      <c r="CN29" s="1190"/>
      <c r="CO29" s="1190"/>
      <c r="CP29" s="1190"/>
      <c r="CQ29" s="1190"/>
      <c r="CR29" s="1190"/>
      <c r="CS29" s="1190"/>
      <c r="CT29" s="1190"/>
      <c r="CU29" s="1190"/>
      <c r="CV29" s="1190"/>
      <c r="CW29" s="1190"/>
      <c r="CX29" s="1190"/>
      <c r="CY29" s="1190"/>
      <c r="CZ29" s="1190"/>
      <c r="DA29" s="1190"/>
      <c r="DB29" s="1190"/>
      <c r="DC29" s="1190"/>
      <c r="DD29" s="1268"/>
    </row>
    <row r="30" spans="1:108" ht="13.5" customHeight="1">
      <c r="A30" s="1277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  <c r="L30" s="1278"/>
      <c r="M30" s="1278"/>
      <c r="N30" s="1278"/>
      <c r="O30" s="1278"/>
      <c r="P30" s="1278"/>
      <c r="Q30" s="1278"/>
      <c r="R30" s="1278"/>
      <c r="S30" s="1278"/>
      <c r="T30" s="1278"/>
      <c r="U30" s="1279"/>
      <c r="V30" s="1283"/>
      <c r="W30" s="1284"/>
      <c r="X30" s="1284"/>
      <c r="Y30" s="1284"/>
      <c r="Z30" s="1284"/>
      <c r="AA30" s="1284"/>
      <c r="AB30" s="1284"/>
      <c r="AC30" s="1284"/>
      <c r="AD30" s="1284"/>
      <c r="AE30" s="1284"/>
      <c r="AF30" s="1284"/>
      <c r="AG30" s="1284"/>
      <c r="AH30" s="1284"/>
      <c r="AI30" s="1284"/>
      <c r="AJ30" s="1284"/>
      <c r="AK30" s="1284"/>
      <c r="AL30" s="1284"/>
      <c r="AM30" s="1284"/>
      <c r="AN30" s="1284"/>
      <c r="AO30" s="1284"/>
      <c r="AP30" s="1284"/>
      <c r="AQ30" s="1285"/>
      <c r="AS30" s="1269"/>
      <c r="AT30" s="1190"/>
      <c r="AU30" s="1190"/>
      <c r="AV30" s="1190"/>
      <c r="AW30" s="1190"/>
      <c r="AX30" s="1190"/>
      <c r="AY30" s="1190"/>
      <c r="AZ30" s="1190"/>
      <c r="BA30" s="1190"/>
      <c r="BB30" s="1190"/>
      <c r="BC30" s="1190"/>
      <c r="BD30" s="1190"/>
      <c r="BE30" s="1190"/>
      <c r="BF30" s="1190"/>
      <c r="BG30" s="1190"/>
      <c r="BH30" s="1190"/>
      <c r="BI30" s="1190"/>
      <c r="BJ30" s="1190"/>
      <c r="BK30" s="1190"/>
      <c r="BL30" s="1190"/>
      <c r="BM30" s="1190"/>
      <c r="BN30" s="1190"/>
      <c r="BO30" s="1190"/>
      <c r="BP30" s="1190"/>
      <c r="BQ30" s="1190"/>
      <c r="BR30" s="1190"/>
      <c r="BS30" s="1190"/>
      <c r="BT30" s="1190"/>
      <c r="BU30" s="1190"/>
      <c r="BV30" s="1190"/>
      <c r="BW30" s="1190"/>
      <c r="BX30" s="1190"/>
      <c r="BY30" s="1190"/>
      <c r="BZ30" s="1190"/>
      <c r="CA30" s="1190"/>
      <c r="CB30" s="1190"/>
      <c r="CC30" s="1190"/>
      <c r="CD30" s="1190"/>
      <c r="CE30" s="1190"/>
      <c r="CF30" s="1190"/>
      <c r="CG30" s="1190"/>
      <c r="CH30" s="1190"/>
      <c r="CI30" s="1190"/>
      <c r="CJ30" s="1190"/>
      <c r="CK30" s="1190"/>
      <c r="CL30" s="1190"/>
      <c r="CM30" s="1190"/>
      <c r="CN30" s="1190"/>
      <c r="CO30" s="1190"/>
      <c r="CP30" s="1190"/>
      <c r="CQ30" s="1190"/>
      <c r="CR30" s="1190"/>
      <c r="CS30" s="1190"/>
      <c r="CT30" s="1190"/>
      <c r="CU30" s="1190"/>
      <c r="CV30" s="1190"/>
      <c r="CW30" s="1190"/>
      <c r="CX30" s="1190"/>
      <c r="CY30" s="1190"/>
      <c r="CZ30" s="1190"/>
      <c r="DA30" s="1190"/>
      <c r="DB30" s="1190"/>
      <c r="DC30" s="1190"/>
      <c r="DD30" s="1268"/>
    </row>
    <row r="31" spans="1:108" ht="13.5" customHeight="1">
      <c r="A31" s="1277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9"/>
      <c r="V31" s="1283"/>
      <c r="W31" s="1284"/>
      <c r="X31" s="1284"/>
      <c r="Y31" s="1284"/>
      <c r="Z31" s="1284"/>
      <c r="AA31" s="1284"/>
      <c r="AB31" s="1284"/>
      <c r="AC31" s="1284"/>
      <c r="AD31" s="1284"/>
      <c r="AE31" s="1284"/>
      <c r="AF31" s="1284"/>
      <c r="AG31" s="1284"/>
      <c r="AH31" s="1284"/>
      <c r="AI31" s="1284"/>
      <c r="AJ31" s="1284"/>
      <c r="AK31" s="1284"/>
      <c r="AL31" s="1284"/>
      <c r="AM31" s="1284"/>
      <c r="AN31" s="1284"/>
      <c r="AO31" s="1284"/>
      <c r="AP31" s="1284"/>
      <c r="AQ31" s="1285"/>
      <c r="AS31" s="1269"/>
      <c r="AT31" s="1190"/>
      <c r="AU31" s="1190"/>
      <c r="AV31" s="1190"/>
      <c r="AW31" s="1190"/>
      <c r="AX31" s="1190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0"/>
      <c r="BJ31" s="1190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0"/>
      <c r="BV31" s="1190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0"/>
      <c r="CH31" s="1190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0"/>
      <c r="CT31" s="1190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268"/>
    </row>
    <row r="32" spans="1:108" ht="13.5" customHeight="1">
      <c r="A32" s="1277"/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9"/>
      <c r="V32" s="1283"/>
      <c r="W32" s="1284"/>
      <c r="X32" s="1284"/>
      <c r="Y32" s="1284"/>
      <c r="Z32" s="1284"/>
      <c r="AA32" s="1284"/>
      <c r="AB32" s="1284"/>
      <c r="AC32" s="1284"/>
      <c r="AD32" s="1284"/>
      <c r="AE32" s="1284"/>
      <c r="AF32" s="1284"/>
      <c r="AG32" s="1284"/>
      <c r="AH32" s="1284"/>
      <c r="AI32" s="1284"/>
      <c r="AJ32" s="1284"/>
      <c r="AK32" s="1284"/>
      <c r="AL32" s="1284"/>
      <c r="AM32" s="1284"/>
      <c r="AN32" s="1284"/>
      <c r="AO32" s="1284"/>
      <c r="AP32" s="1284"/>
      <c r="AQ32" s="1285"/>
      <c r="AS32" s="1269"/>
      <c r="AT32" s="1190"/>
      <c r="AU32" s="1190"/>
      <c r="AV32" s="1190"/>
      <c r="AW32" s="1190"/>
      <c r="AX32" s="1190"/>
      <c r="AY32" s="1190"/>
      <c r="AZ32" s="1190"/>
      <c r="BA32" s="1190"/>
      <c r="BB32" s="1190"/>
      <c r="BC32" s="1190"/>
      <c r="BD32" s="1190"/>
      <c r="BE32" s="1190"/>
      <c r="BF32" s="1190"/>
      <c r="BG32" s="1190"/>
      <c r="BH32" s="1190"/>
      <c r="BI32" s="1190"/>
      <c r="BJ32" s="1190"/>
      <c r="BK32" s="1190"/>
      <c r="BL32" s="1190"/>
      <c r="BM32" s="1190"/>
      <c r="BN32" s="1190"/>
      <c r="BO32" s="1190"/>
      <c r="BP32" s="1190"/>
      <c r="BQ32" s="1190"/>
      <c r="BR32" s="1190"/>
      <c r="BS32" s="1190"/>
      <c r="BT32" s="1190"/>
      <c r="BU32" s="1190"/>
      <c r="BV32" s="1190"/>
      <c r="BW32" s="1190"/>
      <c r="BX32" s="1190"/>
      <c r="BY32" s="1190"/>
      <c r="BZ32" s="1190"/>
      <c r="CA32" s="1190"/>
      <c r="CB32" s="1190"/>
      <c r="CC32" s="1190"/>
      <c r="CD32" s="1190"/>
      <c r="CE32" s="1190"/>
      <c r="CF32" s="1190"/>
      <c r="CG32" s="1190"/>
      <c r="CH32" s="1190"/>
      <c r="CI32" s="1190"/>
      <c r="CJ32" s="1190"/>
      <c r="CK32" s="1190"/>
      <c r="CL32" s="1190"/>
      <c r="CM32" s="1190"/>
      <c r="CN32" s="1190"/>
      <c r="CO32" s="1190"/>
      <c r="CP32" s="1190"/>
      <c r="CQ32" s="1190"/>
      <c r="CR32" s="1190"/>
      <c r="CS32" s="1190"/>
      <c r="CT32" s="1190"/>
      <c r="CU32" s="1190"/>
      <c r="CV32" s="1190"/>
      <c r="CW32" s="1190"/>
      <c r="CX32" s="1190"/>
      <c r="CY32" s="1190"/>
      <c r="CZ32" s="1190"/>
      <c r="DA32" s="1190"/>
      <c r="DB32" s="1190"/>
      <c r="DC32" s="1190"/>
      <c r="DD32" s="1268"/>
    </row>
    <row r="33" spans="1:108" ht="13.5" customHeight="1">
      <c r="A33" s="1274" t="s">
        <v>209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6"/>
      <c r="V33" s="1283"/>
      <c r="W33" s="1284"/>
      <c r="X33" s="1284"/>
      <c r="Y33" s="1284"/>
      <c r="Z33" s="1284"/>
      <c r="AA33" s="1284"/>
      <c r="AB33" s="1284"/>
      <c r="AC33" s="1284"/>
      <c r="AD33" s="1284"/>
      <c r="AE33" s="1284"/>
      <c r="AF33" s="1284"/>
      <c r="AG33" s="1284"/>
      <c r="AH33" s="1284"/>
      <c r="AI33" s="1284"/>
      <c r="AJ33" s="1284"/>
      <c r="AK33" s="1284"/>
      <c r="AL33" s="1284"/>
      <c r="AM33" s="1284"/>
      <c r="AN33" s="1284"/>
      <c r="AO33" s="1284"/>
      <c r="AP33" s="1284"/>
      <c r="AQ33" s="1285"/>
      <c r="AS33" s="1269"/>
      <c r="AT33" s="1190"/>
      <c r="AU33" s="1190"/>
      <c r="AV33" s="1190"/>
      <c r="AW33" s="1190"/>
      <c r="AX33" s="1190"/>
      <c r="AY33" s="1190"/>
      <c r="AZ33" s="1190"/>
      <c r="BA33" s="1190"/>
      <c r="BB33" s="1190"/>
      <c r="BC33" s="1190"/>
      <c r="BD33" s="1190"/>
      <c r="BE33" s="1190"/>
      <c r="BF33" s="1190"/>
      <c r="BG33" s="1190"/>
      <c r="BH33" s="1190"/>
      <c r="BI33" s="1190"/>
      <c r="BJ33" s="1190"/>
      <c r="BK33" s="1190"/>
      <c r="BL33" s="1190"/>
      <c r="BM33" s="1190"/>
      <c r="BN33" s="1190"/>
      <c r="BO33" s="1190"/>
      <c r="BP33" s="1190"/>
      <c r="BQ33" s="1190"/>
      <c r="BR33" s="1190"/>
      <c r="BS33" s="1190"/>
      <c r="BT33" s="1190"/>
      <c r="BU33" s="1190"/>
      <c r="BV33" s="1190"/>
      <c r="BW33" s="1190"/>
      <c r="BX33" s="1190"/>
      <c r="BY33" s="1190"/>
      <c r="BZ33" s="1190"/>
      <c r="CA33" s="1190"/>
      <c r="CB33" s="1190"/>
      <c r="CC33" s="1190"/>
      <c r="CD33" s="1190"/>
      <c r="CE33" s="1190"/>
      <c r="CF33" s="1190"/>
      <c r="CG33" s="1190"/>
      <c r="CH33" s="1190"/>
      <c r="CI33" s="1190"/>
      <c r="CJ33" s="1190"/>
      <c r="CK33" s="1190"/>
      <c r="CL33" s="1190"/>
      <c r="CM33" s="1190"/>
      <c r="CN33" s="1190"/>
      <c r="CO33" s="1190"/>
      <c r="CP33" s="1190"/>
      <c r="CQ33" s="1190"/>
      <c r="CR33" s="1190"/>
      <c r="CS33" s="1190"/>
      <c r="CT33" s="1190"/>
      <c r="CU33" s="1190"/>
      <c r="CV33" s="1190"/>
      <c r="CW33" s="1190"/>
      <c r="CX33" s="1190"/>
      <c r="CY33" s="1190"/>
      <c r="CZ33" s="1190"/>
      <c r="DA33" s="1190"/>
      <c r="DB33" s="1190"/>
      <c r="DC33" s="1190"/>
      <c r="DD33" s="1268"/>
    </row>
    <row r="34" spans="1:108" ht="13.5" customHeight="1">
      <c r="A34" s="1280" t="s">
        <v>210</v>
      </c>
      <c r="B34" s="1281"/>
      <c r="C34" s="1281"/>
      <c r="D34" s="1281"/>
      <c r="E34" s="1281"/>
      <c r="F34" s="1281"/>
      <c r="G34" s="1281"/>
      <c r="H34" s="1281"/>
      <c r="I34" s="1281"/>
      <c r="J34" s="1281"/>
      <c r="K34" s="1281"/>
      <c r="L34" s="1281"/>
      <c r="M34" s="1281"/>
      <c r="N34" s="1281"/>
      <c r="O34" s="1281"/>
      <c r="P34" s="1281"/>
      <c r="Q34" s="1281"/>
      <c r="R34" s="1281"/>
      <c r="S34" s="1281"/>
      <c r="T34" s="1281"/>
      <c r="U34" s="1282"/>
      <c r="V34" s="1271">
        <f>SUMIF('Фактические расходы'!$A$13:$A$32,"Всего расходов",'Фактические расходы'!$K$13:$K$32)</f>
        <v>0</v>
      </c>
      <c r="W34" s="1272"/>
      <c r="X34" s="1272"/>
      <c r="Y34" s="1272"/>
      <c r="Z34" s="1272"/>
      <c r="AA34" s="1272"/>
      <c r="AB34" s="1272"/>
      <c r="AC34" s="1272"/>
      <c r="AD34" s="1272"/>
      <c r="AE34" s="1272"/>
      <c r="AF34" s="1273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5"/>
      <c r="AS34" s="1269"/>
      <c r="AT34" s="1190"/>
      <c r="AU34" s="1190"/>
      <c r="AV34" s="1190"/>
      <c r="AW34" s="1190"/>
      <c r="AX34" s="1190"/>
      <c r="AY34" s="1190"/>
      <c r="AZ34" s="1190"/>
      <c r="BA34" s="1190"/>
      <c r="BB34" s="1190"/>
      <c r="BC34" s="1190"/>
      <c r="BD34" s="1190"/>
      <c r="BE34" s="1190"/>
      <c r="BF34" s="1190"/>
      <c r="BG34" s="1190"/>
      <c r="BH34" s="1190"/>
      <c r="BI34" s="1190"/>
      <c r="BJ34" s="1190"/>
      <c r="BK34" s="1190"/>
      <c r="BL34" s="1190"/>
      <c r="BM34" s="1190"/>
      <c r="BN34" s="1190"/>
      <c r="BO34" s="1190"/>
      <c r="BP34" s="1190"/>
      <c r="BQ34" s="1190"/>
      <c r="BR34" s="1190"/>
      <c r="BS34" s="1190"/>
      <c r="BT34" s="1190"/>
      <c r="BU34" s="1190"/>
      <c r="BV34" s="1190"/>
      <c r="BW34" s="1190"/>
      <c r="BX34" s="1190"/>
      <c r="BY34" s="1190"/>
      <c r="BZ34" s="1190"/>
      <c r="CA34" s="1190"/>
      <c r="CB34" s="1190"/>
      <c r="CC34" s="1190"/>
      <c r="CD34" s="1190"/>
      <c r="CE34" s="1190"/>
      <c r="CF34" s="1190"/>
      <c r="CG34" s="1190"/>
      <c r="CH34" s="1190"/>
      <c r="CI34" s="1190"/>
      <c r="CJ34" s="1190"/>
      <c r="CK34" s="1190"/>
      <c r="CL34" s="1190"/>
      <c r="CM34" s="1190"/>
      <c r="CN34" s="1190"/>
      <c r="CO34" s="1190"/>
      <c r="CP34" s="1190"/>
      <c r="CQ34" s="1190"/>
      <c r="CR34" s="1190"/>
      <c r="CS34" s="1190"/>
      <c r="CT34" s="1190"/>
      <c r="CU34" s="1190"/>
      <c r="CV34" s="1190"/>
      <c r="CW34" s="1190"/>
      <c r="CX34" s="1190"/>
      <c r="CY34" s="1190"/>
      <c r="CZ34" s="1190"/>
      <c r="DA34" s="1190"/>
      <c r="DB34" s="1190"/>
      <c r="DC34" s="1190"/>
      <c r="DD34" s="1268"/>
    </row>
    <row r="35" spans="1:108" ht="13.5" customHeight="1">
      <c r="A35" s="1280" t="s">
        <v>211</v>
      </c>
      <c r="B35" s="1281"/>
      <c r="C35" s="1281"/>
      <c r="D35" s="1281"/>
      <c r="E35" s="1281"/>
      <c r="F35" s="1281"/>
      <c r="G35" s="1281"/>
      <c r="H35" s="1281"/>
      <c r="I35" s="1281"/>
      <c r="J35" s="1281"/>
      <c r="K35" s="1281"/>
      <c r="L35" s="1281"/>
      <c r="M35" s="1281"/>
      <c r="N35" s="1281"/>
      <c r="O35" s="1281"/>
      <c r="P35" s="1281"/>
      <c r="Q35" s="1281"/>
      <c r="R35" s="1281"/>
      <c r="S35" s="1281"/>
      <c r="T35" s="1281"/>
      <c r="U35" s="1282"/>
      <c r="V35" s="1271">
        <f ca="1">V28-V34</f>
        <v>0</v>
      </c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3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5"/>
      <c r="AS35" s="1269"/>
      <c r="AT35" s="1190"/>
      <c r="AU35" s="1190"/>
      <c r="AV35" s="1190"/>
      <c r="AW35" s="1190"/>
      <c r="AX35" s="1190"/>
      <c r="AY35" s="1190"/>
      <c r="AZ35" s="1190"/>
      <c r="BA35" s="1190"/>
      <c r="BB35" s="1190"/>
      <c r="BC35" s="1190"/>
      <c r="BD35" s="1190"/>
      <c r="BE35" s="1190"/>
      <c r="BF35" s="1190"/>
      <c r="BG35" s="1190"/>
      <c r="BH35" s="1190"/>
      <c r="BI35" s="1190"/>
      <c r="BJ35" s="1190"/>
      <c r="BK35" s="1190"/>
      <c r="BL35" s="1190"/>
      <c r="BM35" s="1190"/>
      <c r="BN35" s="1190"/>
      <c r="BO35" s="1190"/>
      <c r="BP35" s="1190"/>
      <c r="BQ35" s="1190"/>
      <c r="BR35" s="1190"/>
      <c r="BS35" s="1190"/>
      <c r="BT35" s="1190"/>
      <c r="BU35" s="1190"/>
      <c r="BV35" s="1190"/>
      <c r="BW35" s="1190"/>
      <c r="BX35" s="1190"/>
      <c r="BY35" s="1190"/>
      <c r="BZ35" s="1190"/>
      <c r="CA35" s="1190"/>
      <c r="CB35" s="1190"/>
      <c r="CC35" s="1190"/>
      <c r="CD35" s="1190"/>
      <c r="CE35" s="1190"/>
      <c r="CF35" s="1190"/>
      <c r="CG35" s="1190"/>
      <c r="CH35" s="1190"/>
      <c r="CI35" s="1190"/>
      <c r="CJ35" s="1190"/>
      <c r="CK35" s="1190"/>
      <c r="CL35" s="1190"/>
      <c r="CM35" s="1190"/>
      <c r="CN35" s="1190"/>
      <c r="CO35" s="1190"/>
      <c r="CP35" s="1190"/>
      <c r="CQ35" s="1190"/>
      <c r="CR35" s="1190"/>
      <c r="CS35" s="1190"/>
      <c r="CT35" s="1190"/>
      <c r="CU35" s="1190"/>
      <c r="CV35" s="1190"/>
      <c r="CW35" s="1190"/>
      <c r="CX35" s="1190"/>
      <c r="CY35" s="1190"/>
      <c r="CZ35" s="1190"/>
      <c r="DA35" s="1190"/>
      <c r="DB35" s="1190"/>
      <c r="DC35" s="1190"/>
      <c r="DD35" s="1268"/>
    </row>
    <row r="36" spans="1:108" ht="13.5" customHeight="1" thickBot="1">
      <c r="A36" s="1265" t="s">
        <v>212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  <c r="L36" s="1265"/>
      <c r="M36" s="1265"/>
      <c r="N36" s="1265"/>
      <c r="O36" s="1265"/>
      <c r="P36" s="1265"/>
      <c r="Q36" s="1265"/>
      <c r="R36" s="1265"/>
      <c r="S36" s="1265"/>
      <c r="T36" s="1265"/>
      <c r="U36" s="1265"/>
      <c r="V36" s="1286"/>
      <c r="W36" s="1287"/>
      <c r="X36" s="1287"/>
      <c r="Y36" s="1287"/>
      <c r="Z36" s="1287"/>
      <c r="AA36" s="1287"/>
      <c r="AB36" s="1287"/>
      <c r="AC36" s="1287"/>
      <c r="AD36" s="1287"/>
      <c r="AE36" s="1287"/>
      <c r="AF36" s="1287"/>
      <c r="AG36" s="1287"/>
      <c r="AH36" s="1287"/>
      <c r="AI36" s="1287"/>
      <c r="AJ36" s="1287"/>
      <c r="AK36" s="1287"/>
      <c r="AL36" s="1287"/>
      <c r="AM36" s="1287"/>
      <c r="AN36" s="1287"/>
      <c r="AO36" s="1287"/>
      <c r="AP36" s="1287"/>
      <c r="AQ36" s="1288"/>
      <c r="AR36" s="12"/>
      <c r="AS36" s="1261"/>
      <c r="AT36" s="1262"/>
      <c r="AU36" s="1262"/>
      <c r="AV36" s="1262"/>
      <c r="AW36" s="1262"/>
      <c r="AX36" s="1262"/>
      <c r="AY36" s="1262"/>
      <c r="AZ36" s="1262"/>
      <c r="BA36" s="1262"/>
      <c r="BB36" s="1262"/>
      <c r="BC36" s="1262"/>
      <c r="BD36" s="1262"/>
      <c r="BE36" s="1262"/>
      <c r="BF36" s="1262"/>
      <c r="BG36" s="1262"/>
      <c r="BH36" s="1262"/>
      <c r="BI36" s="1262"/>
      <c r="BJ36" s="1262"/>
      <c r="BK36" s="1262"/>
      <c r="BL36" s="1262"/>
      <c r="BM36" s="1262"/>
      <c r="BN36" s="1262"/>
      <c r="BO36" s="1262"/>
      <c r="BP36" s="1262"/>
      <c r="BQ36" s="1262"/>
      <c r="BR36" s="1262"/>
      <c r="BS36" s="1262"/>
      <c r="BT36" s="1262"/>
      <c r="BU36" s="1262"/>
      <c r="BV36" s="1262"/>
      <c r="BW36" s="1262"/>
      <c r="BX36" s="1262"/>
      <c r="BY36" s="1262"/>
      <c r="BZ36" s="1262"/>
      <c r="CA36" s="1262"/>
      <c r="CB36" s="1262"/>
      <c r="CC36" s="1262"/>
      <c r="CD36" s="1262"/>
      <c r="CE36" s="1262"/>
      <c r="CF36" s="1262"/>
      <c r="CG36" s="1262"/>
      <c r="CH36" s="1262"/>
      <c r="CI36" s="1262"/>
      <c r="CJ36" s="1262"/>
      <c r="CK36" s="1262"/>
      <c r="CL36" s="1262"/>
      <c r="CM36" s="1262"/>
      <c r="CN36" s="1262"/>
      <c r="CO36" s="1190"/>
      <c r="CP36" s="1190"/>
      <c r="CQ36" s="1190"/>
      <c r="CR36" s="1190"/>
      <c r="CS36" s="1190"/>
      <c r="CT36" s="1190"/>
      <c r="CU36" s="1190"/>
      <c r="CV36" s="1190"/>
      <c r="CW36" s="1190"/>
      <c r="CX36" s="1190"/>
      <c r="CY36" s="1190"/>
      <c r="CZ36" s="1190"/>
      <c r="DA36" s="1190"/>
      <c r="DB36" s="1190"/>
      <c r="DC36" s="1190"/>
      <c r="DD36" s="1268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1"/>
      <c r="CP37" s="1262"/>
      <c r="CQ37" s="1262"/>
      <c r="CR37" s="1262"/>
      <c r="CS37" s="1262"/>
      <c r="CT37" s="1262"/>
      <c r="CU37" s="1262"/>
      <c r="CV37" s="1262"/>
      <c r="CW37" s="1262"/>
      <c r="CX37" s="1262"/>
      <c r="CY37" s="1262"/>
      <c r="CZ37" s="1262"/>
      <c r="DA37" s="1262"/>
      <c r="DB37" s="1262"/>
      <c r="DC37" s="1262"/>
      <c r="DD37" s="1270"/>
    </row>
    <row r="38" spans="1:108" ht="15.75" thickBot="1">
      <c r="A38" s="1266" t="s">
        <v>214</v>
      </c>
      <c r="B38" s="1266"/>
      <c r="C38" s="1266"/>
      <c r="D38" s="1266"/>
      <c r="E38" s="1266"/>
      <c r="F38" s="1266"/>
      <c r="G38" s="1266"/>
      <c r="H38" s="1266"/>
      <c r="I38" s="1266"/>
      <c r="J38" s="1266"/>
      <c r="K38" s="1266"/>
      <c r="L38" s="1243"/>
      <c r="M38" s="1243"/>
      <c r="N38" s="1243"/>
      <c r="O38" s="1243"/>
      <c r="P38" s="1243"/>
      <c r="Q38" s="1267" t="s">
        <v>215</v>
      </c>
      <c r="R38" s="1267"/>
      <c r="S38" s="1267"/>
      <c r="T38" s="1267"/>
      <c r="U38" s="1267"/>
      <c r="V38" s="1267"/>
      <c r="W38" s="1267"/>
      <c r="X38" s="1267"/>
      <c r="Y38" s="1267"/>
      <c r="Z38" s="1267"/>
      <c r="AA38" s="1267"/>
      <c r="AB38" s="1267"/>
      <c r="AC38" s="1267"/>
      <c r="AD38" s="1267"/>
      <c r="AE38" s="1243"/>
      <c r="AF38" s="1243"/>
      <c r="AG38" s="1243"/>
      <c r="AH38" s="1243"/>
      <c r="AI38" s="1243"/>
      <c r="AJ38" s="1266" t="s">
        <v>216</v>
      </c>
      <c r="AK38" s="1266"/>
      <c r="AL38" s="1266"/>
      <c r="AM38" s="1266"/>
      <c r="AN38" s="1266"/>
      <c r="AO38" s="1266"/>
      <c r="AP38" s="1266"/>
      <c r="AQ38" s="1266"/>
    </row>
    <row r="39" spans="1:108" ht="13.5" customHeight="1" thickBot="1">
      <c r="A39" s="1263" t="s">
        <v>217</v>
      </c>
      <c r="B39" s="1263"/>
      <c r="C39" s="1263"/>
      <c r="D39" s="1263"/>
      <c r="E39" s="1263"/>
      <c r="F39" s="1263"/>
      <c r="G39" s="1263"/>
      <c r="H39" s="1263"/>
      <c r="I39" s="1263"/>
      <c r="J39" s="1263"/>
      <c r="K39" s="1263"/>
      <c r="L39" s="1263"/>
      <c r="M39" s="1263"/>
      <c r="N39" s="1263"/>
      <c r="O39" s="1263"/>
      <c r="P39" s="1263"/>
      <c r="Q39" s="1263"/>
      <c r="R39" s="1263"/>
      <c r="S39" s="1263"/>
      <c r="T39" s="1263"/>
      <c r="U39" s="1263"/>
      <c r="V39" s="1263"/>
      <c r="W39" s="1263"/>
      <c r="X39" s="1263"/>
      <c r="Y39" s="1263"/>
      <c r="Z39" s="1263"/>
      <c r="AA39" s="1263"/>
      <c r="AB39" s="1263"/>
      <c r="AC39" s="1263"/>
      <c r="AD39" s="1263"/>
      <c r="AE39" s="1263"/>
      <c r="AF39" s="1263"/>
      <c r="AG39" s="1263"/>
      <c r="AH39" s="1263"/>
      <c r="AI39" s="1263"/>
      <c r="AJ39" s="1263"/>
      <c r="AK39" s="1263"/>
      <c r="AL39" s="1263"/>
      <c r="AM39" s="1263"/>
      <c r="AN39" s="1263"/>
      <c r="AO39" s="1263"/>
      <c r="AP39" s="1263"/>
      <c r="AY39" s="1264" t="s">
        <v>218</v>
      </c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0" t="s">
        <v>219</v>
      </c>
      <c r="BN39" s="1260"/>
      <c r="BO39" s="1260"/>
      <c r="BP39" s="1260"/>
      <c r="BQ39" s="1260"/>
      <c r="BR39" s="1260"/>
      <c r="BS39" s="1260"/>
      <c r="BT39" s="1260"/>
      <c r="BU39" s="1260"/>
      <c r="BV39" s="1260"/>
      <c r="BW39" s="1260"/>
      <c r="BX39" s="1260"/>
      <c r="BY39" s="1260"/>
      <c r="BZ39" s="1260"/>
      <c r="CA39" s="1260"/>
      <c r="CB39" s="1260"/>
      <c r="CC39" s="1260"/>
      <c r="CD39" s="1260"/>
      <c r="CE39" s="1260"/>
      <c r="CF39" s="1260"/>
      <c r="CG39" s="1260"/>
      <c r="CH39" s="1260"/>
      <c r="CI39" s="1260"/>
      <c r="CJ39" s="1260"/>
      <c r="CK39" s="1260"/>
      <c r="CL39" s="1260"/>
      <c r="CM39" s="1260"/>
      <c r="CO39" s="1236"/>
      <c r="CP39" s="1237"/>
      <c r="CQ39" s="1237"/>
      <c r="CR39" s="1237"/>
      <c r="CS39" s="1237"/>
      <c r="CT39" s="1237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8"/>
    </row>
    <row r="40" spans="1:108" ht="9.75" customHeight="1">
      <c r="A40" s="1263"/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</row>
    <row r="41" spans="1:108" ht="6" customHeight="1"/>
    <row r="42" spans="1:108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43"/>
      <c r="BX42" s="1243"/>
      <c r="BY42" s="1243"/>
      <c r="BZ42" s="1243"/>
      <c r="CA42" s="1243"/>
      <c r="CB42" s="1243"/>
      <c r="CC42" s="1243"/>
      <c r="CD42" s="1243"/>
      <c r="CE42" s="1243"/>
      <c r="CF42" s="1243"/>
      <c r="CG42" s="1243"/>
      <c r="CH42" s="1243"/>
      <c r="CI42" s="1243"/>
      <c r="CJ42" s="1243"/>
      <c r="CK42" s="1243"/>
      <c r="CL42" s="1243"/>
      <c r="CM42" s="1243"/>
      <c r="CN42" s="1243"/>
      <c r="CO42" s="1243"/>
      <c r="CP42" s="1243"/>
      <c r="CQ42" s="1243"/>
      <c r="CR42" s="1243"/>
      <c r="CS42" s="1243"/>
      <c r="CT42" s="1243"/>
      <c r="CU42" s="1243"/>
      <c r="CV42" s="1243"/>
      <c r="CW42" s="1243"/>
      <c r="CX42" s="1243"/>
      <c r="CY42" s="1243"/>
      <c r="CZ42" s="1243"/>
    </row>
    <row r="43" spans="1:108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43"/>
      <c r="AB43" s="1243"/>
      <c r="AC43" s="1243"/>
      <c r="AD43" s="1243"/>
      <c r="AE43" s="1243"/>
      <c r="AF43" s="1243"/>
      <c r="AG43" s="1243"/>
      <c r="AH43" s="1243"/>
      <c r="AI43" s="1243"/>
      <c r="AJ43" s="1243"/>
      <c r="AK43" s="1243"/>
      <c r="AL43" s="1243"/>
      <c r="AM43" s="1243"/>
      <c r="AN43" s="1243"/>
      <c r="AO43" s="1243"/>
      <c r="AP43" s="1243"/>
      <c r="AQ43" s="1243"/>
      <c r="AR43" s="1243"/>
      <c r="AY43" s="1" t="s">
        <v>222</v>
      </c>
      <c r="BH43" s="1192" t="s">
        <v>5</v>
      </c>
      <c r="BI43" s="1192"/>
      <c r="BJ43" s="1192"/>
      <c r="BK43" s="1192"/>
      <c r="BL43" s="1192"/>
      <c r="BM43" s="1192"/>
      <c r="BN43" s="1192"/>
      <c r="BO43" s="1192"/>
      <c r="BP43" s="1192"/>
      <c r="BQ43" s="1192"/>
      <c r="BR43" s="1192"/>
      <c r="BS43" s="1192"/>
      <c r="BT43" s="1192"/>
      <c r="BU43" s="1192"/>
      <c r="BV43" s="2"/>
      <c r="BW43" s="1244" t="s">
        <v>6</v>
      </c>
      <c r="BX43" s="1244"/>
      <c r="BY43" s="1244"/>
      <c r="BZ43" s="1244"/>
      <c r="CA43" s="1244"/>
      <c r="CB43" s="1244"/>
      <c r="CC43" s="1244"/>
      <c r="CD43" s="1244"/>
      <c r="CE43" s="1244"/>
      <c r="CF43" s="1244"/>
      <c r="CG43" s="1244"/>
      <c r="CH43" s="1244"/>
      <c r="CI43" s="1244"/>
      <c r="CJ43" s="1244"/>
      <c r="CK43" s="1244"/>
      <c r="CL43" s="1244"/>
      <c r="CM43" s="1244"/>
      <c r="CN43" s="1244"/>
      <c r="CO43" s="1244"/>
      <c r="CP43" s="1244"/>
      <c r="CQ43" s="1244"/>
      <c r="CR43" s="1244"/>
      <c r="CS43" s="1244"/>
      <c r="CT43" s="1244"/>
      <c r="CU43" s="1244"/>
      <c r="CV43" s="1244"/>
      <c r="CW43" s="1244"/>
      <c r="CX43" s="1244"/>
      <c r="CY43" s="1244"/>
      <c r="CZ43" s="1244"/>
    </row>
    <row r="44" spans="1:108">
      <c r="A44" s="1" t="s">
        <v>223</v>
      </c>
      <c r="N44" s="1192" t="s">
        <v>5</v>
      </c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2"/>
      <c r="AA44" s="1192" t="s">
        <v>6</v>
      </c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</row>
    <row r="45" spans="1:108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43"/>
      <c r="BY45" s="1243"/>
      <c r="BZ45" s="1243"/>
      <c r="CA45" s="1243"/>
      <c r="CB45" s="1243"/>
      <c r="CC45" s="1243"/>
      <c r="CD45" s="1243"/>
      <c r="CE45" s="1243"/>
      <c r="CF45" s="1243"/>
      <c r="CG45" s="1243"/>
      <c r="CH45" s="1243"/>
      <c r="CI45" s="1243"/>
      <c r="CJ45" s="1243"/>
      <c r="CK45" s="1243"/>
      <c r="CL45" s="1243"/>
      <c r="CM45" s="1243"/>
      <c r="CN45" s="1243"/>
      <c r="CO45" s="1243"/>
      <c r="CP45" s="1243"/>
      <c r="CQ45" s="1243"/>
      <c r="CR45" s="1243"/>
      <c r="CS45" s="1243"/>
      <c r="CT45" s="1243"/>
      <c r="CU45" s="1243"/>
      <c r="CV45" s="1243"/>
      <c r="CW45" s="1243"/>
      <c r="CX45" s="1243"/>
      <c r="CY45" s="1243"/>
      <c r="CZ45" s="1243"/>
    </row>
    <row r="46" spans="1:108" ht="12.75" customHeight="1">
      <c r="BI46" s="1255" t="s">
        <v>5</v>
      </c>
      <c r="BJ46" s="1255"/>
      <c r="BK46" s="1255"/>
      <c r="BL46" s="1255"/>
      <c r="BM46" s="1255"/>
      <c r="BN46" s="1255"/>
      <c r="BO46" s="1255"/>
      <c r="BP46" s="1255"/>
      <c r="BQ46" s="1255"/>
      <c r="BR46" s="1255"/>
      <c r="BS46" s="1255"/>
      <c r="BT46" s="1255"/>
      <c r="BU46" s="1255"/>
      <c r="BV46" s="1255"/>
      <c r="BX46" s="1244" t="s">
        <v>6</v>
      </c>
      <c r="BY46" s="1244"/>
      <c r="BZ46" s="1244"/>
      <c r="CA46" s="1244"/>
      <c r="CB46" s="1244"/>
      <c r="CC46" s="1244"/>
      <c r="CD46" s="1244"/>
      <c r="CE46" s="1244"/>
      <c r="CF46" s="1244"/>
      <c r="CG46" s="1244"/>
      <c r="CH46" s="1244"/>
      <c r="CI46" s="1244"/>
      <c r="CJ46" s="1244"/>
      <c r="CK46" s="1244"/>
      <c r="CL46" s="1244"/>
      <c r="CM46" s="1244"/>
      <c r="CN46" s="1244"/>
      <c r="CO46" s="1244"/>
      <c r="CP46" s="1244"/>
      <c r="CQ46" s="1244"/>
      <c r="CR46" s="1244"/>
      <c r="CS46" s="1244"/>
      <c r="CT46" s="1244"/>
      <c r="CU46" s="1244"/>
      <c r="CV46" s="1244"/>
      <c r="CW46" s="1244"/>
      <c r="CX46" s="1244"/>
      <c r="CY46" s="1244"/>
      <c r="CZ46" s="1244"/>
    </row>
    <row r="47" spans="1:108" ht="16.5" customHeight="1">
      <c r="A47" s="1254" t="s">
        <v>225</v>
      </c>
      <c r="B47" s="1254"/>
      <c r="C47" s="1254"/>
      <c r="D47" s="1254"/>
      <c r="E47" s="1254"/>
      <c r="F47" s="1254"/>
      <c r="G47" s="1254"/>
      <c r="H47" s="1254"/>
      <c r="I47" s="1254"/>
      <c r="J47" s="1254"/>
      <c r="K47" s="1254"/>
      <c r="L47" s="1254"/>
      <c r="M47" s="1254"/>
      <c r="N47" s="1254"/>
      <c r="O47" s="1254"/>
      <c r="P47" s="1254"/>
      <c r="Q47" s="1254"/>
      <c r="R47" s="1254"/>
      <c r="S47" s="1254"/>
      <c r="T47" s="1254"/>
      <c r="U47" s="1254"/>
      <c r="V47" s="1254"/>
      <c r="W47" s="1254"/>
      <c r="X47" s="1254"/>
      <c r="Y47" s="1254"/>
      <c r="Z47" s="1254"/>
      <c r="AA47" s="1254"/>
      <c r="AB47" s="1254"/>
      <c r="AC47" s="1254"/>
      <c r="AD47" s="1254"/>
      <c r="AE47" s="1254"/>
      <c r="AF47" s="1254"/>
      <c r="AG47" s="1254"/>
      <c r="AH47" s="1254"/>
      <c r="AI47" s="1254"/>
      <c r="AJ47" s="1254"/>
      <c r="AK47" s="1254"/>
      <c r="AL47" s="1254"/>
      <c r="AM47" s="1254"/>
      <c r="AN47" s="1254"/>
      <c r="AO47" s="1254"/>
      <c r="AP47" s="1254"/>
      <c r="AQ47" s="1254"/>
      <c r="AR47" s="1254"/>
      <c r="AS47" s="1254"/>
      <c r="AT47" s="1254"/>
      <c r="AU47" s="1254"/>
      <c r="AV47" s="1254"/>
      <c r="AW47" s="1254"/>
      <c r="AX47" s="1254"/>
      <c r="AY47" s="1254"/>
      <c r="AZ47" s="1254"/>
      <c r="BA47" s="1254"/>
      <c r="BB47" s="1254"/>
      <c r="BC47" s="1254"/>
      <c r="BD47" s="1254"/>
      <c r="BE47" s="1254"/>
      <c r="BF47" s="1254"/>
      <c r="BG47" s="1254"/>
      <c r="BH47" s="1254"/>
      <c r="BI47" s="1254"/>
      <c r="BJ47" s="1254"/>
      <c r="BK47" s="1254"/>
      <c r="BL47" s="1254"/>
      <c r="BM47" s="1254"/>
      <c r="BN47" s="1254"/>
      <c r="BO47" s="1254"/>
      <c r="BP47" s="1254"/>
      <c r="BQ47" s="1254"/>
      <c r="BR47" s="1254"/>
      <c r="BS47" s="1254"/>
      <c r="BT47" s="1254"/>
      <c r="BU47" s="1254"/>
      <c r="BV47" s="1254"/>
      <c r="BW47" s="1254"/>
      <c r="BX47" s="1254"/>
      <c r="BY47" s="1254"/>
      <c r="BZ47" s="1254"/>
      <c r="CA47" s="1254"/>
      <c r="CB47" s="1254"/>
      <c r="CC47" s="1254"/>
      <c r="CD47" s="1254"/>
      <c r="CE47" s="1254"/>
      <c r="CF47" s="1254"/>
      <c r="CG47" s="1254"/>
      <c r="CH47" s="1254"/>
      <c r="CI47" s="1254"/>
      <c r="CJ47" s="1254"/>
      <c r="CK47" s="1254"/>
      <c r="CL47" s="1254"/>
      <c r="CM47" s="1254"/>
      <c r="CN47" s="1254"/>
      <c r="CO47" s="1254"/>
      <c r="CP47" s="1254"/>
      <c r="CQ47" s="1254"/>
      <c r="CR47" s="1254"/>
      <c r="CS47" s="1254"/>
      <c r="CT47" s="1254"/>
      <c r="CU47" s="1254"/>
      <c r="CV47" s="1254"/>
      <c r="CW47" s="1254"/>
      <c r="CX47" s="1254"/>
      <c r="CY47" s="1254"/>
      <c r="CZ47" s="1254"/>
      <c r="DA47" s="1254"/>
      <c r="DB47" s="1254"/>
      <c r="DC47" s="1254"/>
      <c r="DD47" s="1254"/>
    </row>
    <row r="48" spans="1:108" ht="12" customHeight="1">
      <c r="A48" s="1257" t="s">
        <v>226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8" t="s">
        <v>227</v>
      </c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  <c r="BA48" s="1259"/>
      <c r="BB48" s="1257"/>
      <c r="BC48" s="1258" t="s">
        <v>228</v>
      </c>
      <c r="BD48" s="1259"/>
      <c r="BE48" s="1259"/>
      <c r="BF48" s="1259"/>
      <c r="BG48" s="1259"/>
      <c r="BH48" s="1259"/>
      <c r="BI48" s="1259"/>
      <c r="BJ48" s="1259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59"/>
      <c r="BV48" s="1259"/>
      <c r="BW48" s="1259"/>
      <c r="BX48" s="1259"/>
      <c r="BY48" s="1259"/>
      <c r="BZ48" s="1259"/>
      <c r="CA48" s="1259"/>
      <c r="CB48" s="1257"/>
      <c r="CC48" s="1258" t="s">
        <v>229</v>
      </c>
      <c r="CD48" s="1259"/>
      <c r="CE48" s="1259"/>
      <c r="CF48" s="1259"/>
      <c r="CG48" s="1259"/>
      <c r="CH48" s="1259"/>
      <c r="CI48" s="1259"/>
      <c r="CJ48" s="1259"/>
      <c r="CK48" s="1259"/>
      <c r="CL48" s="1259"/>
      <c r="CM48" s="1259"/>
      <c r="CN48" s="1259"/>
      <c r="CO48" s="1259"/>
      <c r="CP48" s="1259"/>
      <c r="CQ48" s="1259"/>
      <c r="CR48" s="1259"/>
      <c r="CS48" s="1259"/>
      <c r="CT48" s="1259"/>
      <c r="CU48" s="1259"/>
      <c r="CV48" s="1259"/>
      <c r="CW48" s="1259"/>
      <c r="CX48" s="1259"/>
      <c r="CY48" s="1259"/>
      <c r="CZ48" s="1259"/>
      <c r="DA48" s="1259"/>
      <c r="DB48" s="1259"/>
      <c r="DC48" s="1259"/>
      <c r="DD48" s="1259"/>
    </row>
    <row r="49" spans="1:109" ht="12" customHeight="1">
      <c r="A49" s="1257"/>
      <c r="B49" s="1256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 t="s">
        <v>201</v>
      </c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 t="s">
        <v>202</v>
      </c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 t="s">
        <v>201</v>
      </c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 t="s">
        <v>202</v>
      </c>
      <c r="BR49" s="1256"/>
      <c r="BS49" s="1256"/>
      <c r="BT49" s="1256"/>
      <c r="BU49" s="1256"/>
      <c r="BV49" s="1256"/>
      <c r="BW49" s="1256"/>
      <c r="BX49" s="1256"/>
      <c r="BY49" s="1256"/>
      <c r="BZ49" s="1256"/>
      <c r="CA49" s="1256"/>
      <c r="CB49" s="1256"/>
      <c r="CC49" s="1256" t="s">
        <v>230</v>
      </c>
      <c r="CD49" s="1256"/>
      <c r="CE49" s="1256"/>
      <c r="CF49" s="1256"/>
      <c r="CG49" s="1256"/>
      <c r="CH49" s="1256"/>
      <c r="CI49" s="1256"/>
      <c r="CJ49" s="1256"/>
      <c r="CK49" s="1256"/>
      <c r="CL49" s="1256"/>
      <c r="CM49" s="1256"/>
      <c r="CN49" s="1256"/>
      <c r="CO49" s="1256" t="s">
        <v>231</v>
      </c>
      <c r="CP49" s="1256"/>
      <c r="CQ49" s="1256"/>
      <c r="CR49" s="1256"/>
      <c r="CS49" s="1256"/>
      <c r="CT49" s="1256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8"/>
    </row>
    <row r="50" spans="1:109">
      <c r="A50" s="1214" t="s">
        <v>399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6" t="s">
        <v>400</v>
      </c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6" t="s">
        <v>401</v>
      </c>
      <c r="AT50" s="1215"/>
      <c r="AU50" s="1215"/>
      <c r="AV50" s="1215"/>
      <c r="AW50" s="1215"/>
      <c r="AX50" s="1215"/>
      <c r="AY50" s="1215"/>
      <c r="AZ50" s="1215"/>
      <c r="BA50" s="1215"/>
      <c r="BB50" s="1215"/>
      <c r="BC50" s="1216" t="s">
        <v>402</v>
      </c>
      <c r="BD50" s="1215"/>
      <c r="BE50" s="1215"/>
      <c r="BF50" s="1215"/>
      <c r="BG50" s="1215"/>
      <c r="BH50" s="1215"/>
      <c r="BI50" s="1215"/>
      <c r="BJ50" s="1215"/>
      <c r="BK50" s="1215"/>
      <c r="BL50" s="1215"/>
      <c r="BM50" s="1215"/>
      <c r="BN50" s="1215"/>
      <c r="BO50" s="1215"/>
      <c r="BP50" s="1215"/>
      <c r="BQ50" s="1216" t="s">
        <v>403</v>
      </c>
      <c r="BR50" s="1215"/>
      <c r="BS50" s="1215"/>
      <c r="BT50" s="1215"/>
      <c r="BU50" s="1215"/>
      <c r="BV50" s="1215"/>
      <c r="BW50" s="1215"/>
      <c r="BX50" s="1215"/>
      <c r="BY50" s="1215"/>
      <c r="BZ50" s="1215"/>
      <c r="CA50" s="1215"/>
      <c r="CB50" s="1215"/>
      <c r="CC50" s="1216" t="s">
        <v>404</v>
      </c>
      <c r="CD50" s="1215"/>
      <c r="CE50" s="1215"/>
      <c r="CF50" s="1215"/>
      <c r="CG50" s="1215"/>
      <c r="CH50" s="1215"/>
      <c r="CI50" s="1215"/>
      <c r="CJ50" s="1215"/>
      <c r="CK50" s="1215"/>
      <c r="CL50" s="1215"/>
      <c r="CM50" s="1215"/>
      <c r="CN50" s="1215"/>
      <c r="CO50" s="1216" t="s">
        <v>405</v>
      </c>
      <c r="CP50" s="1215"/>
      <c r="CQ50" s="1215"/>
      <c r="CR50" s="1215"/>
      <c r="CS50" s="1215"/>
      <c r="CT50" s="1215"/>
      <c r="CU50" s="1215"/>
      <c r="CV50" s="1215"/>
      <c r="CW50" s="1215"/>
      <c r="CX50" s="1215"/>
      <c r="CY50" s="1215"/>
      <c r="CZ50" s="1215"/>
      <c r="DA50" s="1215"/>
      <c r="DB50" s="1215"/>
      <c r="DC50" s="1215"/>
      <c r="DD50" s="1217"/>
    </row>
    <row r="51" spans="1:109">
      <c r="A51" s="1252"/>
      <c r="B51" s="1207"/>
      <c r="C51" s="1207"/>
      <c r="D51" s="1207"/>
      <c r="E51" s="1207"/>
      <c r="F51" s="1207"/>
      <c r="G51" s="1207"/>
      <c r="H51" s="1207"/>
      <c r="I51" s="1207"/>
      <c r="J51" s="1207"/>
      <c r="K51" s="1207"/>
      <c r="L51" s="1207"/>
      <c r="M51" s="1207"/>
      <c r="N51" s="1207"/>
      <c r="O51" s="1207"/>
      <c r="P51" s="1207"/>
      <c r="Q51" s="1207"/>
      <c r="R51" s="1207"/>
      <c r="S51" s="1207"/>
      <c r="T51" s="1207"/>
      <c r="U51" s="1207"/>
      <c r="V51" s="1207"/>
      <c r="W51" s="1207"/>
      <c r="X51" s="1207"/>
      <c r="Y51" s="1207"/>
      <c r="Z51" s="1207"/>
      <c r="AA51" s="1207"/>
      <c r="AB51" s="1207"/>
      <c r="AC51" s="1207"/>
      <c r="AD51" s="1207"/>
      <c r="AE51" s="1207"/>
      <c r="AF51" s="1190"/>
      <c r="AG51" s="1190"/>
      <c r="AH51" s="1190"/>
      <c r="AI51" s="1190"/>
      <c r="AJ51" s="1190"/>
      <c r="AK51" s="1190"/>
      <c r="AL51" s="1190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0"/>
      <c r="AX51" s="1190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0"/>
      <c r="BJ51" s="1190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0"/>
      <c r="BV51" s="1190"/>
      <c r="BW51" s="1190"/>
      <c r="BX51" s="1190"/>
      <c r="BY51" s="1190"/>
      <c r="BZ51" s="1190"/>
      <c r="CA51" s="1190"/>
      <c r="CB51" s="1190"/>
      <c r="CC51" s="1207"/>
      <c r="CD51" s="1207"/>
      <c r="CE51" s="1207"/>
      <c r="CF51" s="1207"/>
      <c r="CG51" s="1207"/>
      <c r="CH51" s="1207"/>
      <c r="CI51" s="1207"/>
      <c r="CJ51" s="1207"/>
      <c r="CK51" s="1207"/>
      <c r="CL51" s="1207"/>
      <c r="CM51" s="1207"/>
      <c r="CN51" s="1207"/>
      <c r="CO51" s="1207"/>
      <c r="CP51" s="1207"/>
      <c r="CQ51" s="1207"/>
      <c r="CR51" s="1207"/>
      <c r="CS51" s="1207"/>
      <c r="CT51" s="1207"/>
      <c r="CU51" s="1207"/>
      <c r="CV51" s="1207"/>
      <c r="CW51" s="1207"/>
      <c r="CX51" s="1207"/>
      <c r="CY51" s="1207"/>
      <c r="CZ51" s="1207"/>
      <c r="DA51" s="1207"/>
      <c r="DB51" s="1207"/>
      <c r="DC51" s="1207"/>
      <c r="DD51" s="1253"/>
    </row>
    <row r="52" spans="1:109">
      <c r="A52" s="1252"/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  <c r="R52" s="1207"/>
      <c r="S52" s="1207"/>
      <c r="T52" s="1207"/>
      <c r="U52" s="1207"/>
      <c r="V52" s="1207"/>
      <c r="W52" s="1207"/>
      <c r="X52" s="1207"/>
      <c r="Y52" s="1207"/>
      <c r="Z52" s="1207"/>
      <c r="AA52" s="1207"/>
      <c r="AB52" s="1207"/>
      <c r="AC52" s="1207"/>
      <c r="AD52" s="1207"/>
      <c r="AE52" s="1207"/>
      <c r="AF52" s="1190"/>
      <c r="AG52" s="1190"/>
      <c r="AH52" s="1190"/>
      <c r="AI52" s="1190"/>
      <c r="AJ52" s="1190"/>
      <c r="AK52" s="1190"/>
      <c r="AL52" s="1190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0"/>
      <c r="AX52" s="1190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0"/>
      <c r="BJ52" s="1190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0"/>
      <c r="BV52" s="1190"/>
      <c r="BW52" s="1190"/>
      <c r="BX52" s="1190"/>
      <c r="BY52" s="1190"/>
      <c r="BZ52" s="1190"/>
      <c r="CA52" s="1190"/>
      <c r="CB52" s="1190"/>
      <c r="CC52" s="1207"/>
      <c r="CD52" s="1207"/>
      <c r="CE52" s="1207"/>
      <c r="CF52" s="1207"/>
      <c r="CG52" s="1207"/>
      <c r="CH52" s="1207"/>
      <c r="CI52" s="1207"/>
      <c r="CJ52" s="1207"/>
      <c r="CK52" s="1207"/>
      <c r="CL52" s="1207"/>
      <c r="CM52" s="1207"/>
      <c r="CN52" s="1207"/>
      <c r="CO52" s="1207"/>
      <c r="CP52" s="1207"/>
      <c r="CQ52" s="1207"/>
      <c r="CR52" s="1207"/>
      <c r="CS52" s="1207"/>
      <c r="CT52" s="1207"/>
      <c r="CU52" s="1207"/>
      <c r="CV52" s="1207"/>
      <c r="CW52" s="1207"/>
      <c r="CX52" s="1207"/>
      <c r="CY52" s="1207"/>
      <c r="CZ52" s="1207"/>
      <c r="DA52" s="1207"/>
      <c r="DB52" s="1207"/>
      <c r="DC52" s="1207"/>
      <c r="DD52" s="1253"/>
    </row>
    <row r="53" spans="1:109">
      <c r="A53" s="1252"/>
      <c r="B53" s="1207"/>
      <c r="C53" s="1207"/>
      <c r="D53" s="1207"/>
      <c r="E53" s="1207"/>
      <c r="F53" s="1207"/>
      <c r="G53" s="1207"/>
      <c r="H53" s="1207"/>
      <c r="I53" s="1207"/>
      <c r="J53" s="1207"/>
      <c r="K53" s="1207"/>
      <c r="L53" s="1207"/>
      <c r="M53" s="1207"/>
      <c r="N53" s="1207"/>
      <c r="O53" s="1207"/>
      <c r="P53" s="1207"/>
      <c r="Q53" s="1207"/>
      <c r="R53" s="1207"/>
      <c r="S53" s="1207"/>
      <c r="T53" s="1207"/>
      <c r="U53" s="1207"/>
      <c r="V53" s="1207"/>
      <c r="W53" s="1207"/>
      <c r="X53" s="1207"/>
      <c r="Y53" s="1207"/>
      <c r="Z53" s="1207"/>
      <c r="AA53" s="1207"/>
      <c r="AB53" s="1207"/>
      <c r="AC53" s="1207"/>
      <c r="AD53" s="1207"/>
      <c r="AE53" s="1207"/>
      <c r="AF53" s="1190"/>
      <c r="AG53" s="1190"/>
      <c r="AH53" s="1190"/>
      <c r="AI53" s="1190"/>
      <c r="AJ53" s="1190"/>
      <c r="AK53" s="1190"/>
      <c r="AL53" s="1190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0"/>
      <c r="AX53" s="1190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0"/>
      <c r="BJ53" s="1190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0"/>
      <c r="BV53" s="1190"/>
      <c r="BW53" s="1190"/>
      <c r="BX53" s="1190"/>
      <c r="BY53" s="1190"/>
      <c r="BZ53" s="1190"/>
      <c r="CA53" s="1190"/>
      <c r="CB53" s="1190"/>
      <c r="CC53" s="1207"/>
      <c r="CD53" s="1207"/>
      <c r="CE53" s="1207"/>
      <c r="CF53" s="1207"/>
      <c r="CG53" s="1207"/>
      <c r="CH53" s="1207"/>
      <c r="CI53" s="1207"/>
      <c r="CJ53" s="1207"/>
      <c r="CK53" s="1207"/>
      <c r="CL53" s="1207"/>
      <c r="CM53" s="1207"/>
      <c r="CN53" s="1207"/>
      <c r="CO53" s="1207"/>
      <c r="CP53" s="1207"/>
      <c r="CQ53" s="1207"/>
      <c r="CR53" s="1207"/>
      <c r="CS53" s="1207"/>
      <c r="CT53" s="1207"/>
      <c r="CU53" s="1207"/>
      <c r="CV53" s="1207"/>
      <c r="CW53" s="1207"/>
      <c r="CX53" s="1207"/>
      <c r="CY53" s="1207"/>
      <c r="CZ53" s="1207"/>
      <c r="DA53" s="1207"/>
      <c r="DB53" s="1207"/>
      <c r="DC53" s="1207"/>
      <c r="DD53" s="1253"/>
    </row>
    <row r="54" spans="1:109">
      <c r="A54" s="1252"/>
      <c r="B54" s="1207"/>
      <c r="C54" s="1207"/>
      <c r="D54" s="1207"/>
      <c r="E54" s="1207"/>
      <c r="F54" s="1207"/>
      <c r="G54" s="1207"/>
      <c r="H54" s="1207"/>
      <c r="I54" s="1207"/>
      <c r="J54" s="1207"/>
      <c r="K54" s="1207"/>
      <c r="L54" s="1207"/>
      <c r="M54" s="1207"/>
      <c r="N54" s="1207"/>
      <c r="O54" s="1207"/>
      <c r="P54" s="1207"/>
      <c r="Q54" s="1207"/>
      <c r="R54" s="1207"/>
      <c r="S54" s="1207"/>
      <c r="T54" s="1207"/>
      <c r="U54" s="1207"/>
      <c r="V54" s="1207"/>
      <c r="W54" s="1207"/>
      <c r="X54" s="1207"/>
      <c r="Y54" s="1207"/>
      <c r="Z54" s="1207"/>
      <c r="AA54" s="1207"/>
      <c r="AB54" s="1207"/>
      <c r="AC54" s="1207"/>
      <c r="AD54" s="1207"/>
      <c r="AE54" s="1207"/>
      <c r="AF54" s="1190"/>
      <c r="AG54" s="1190"/>
      <c r="AH54" s="1190"/>
      <c r="AI54" s="1190"/>
      <c r="AJ54" s="1190"/>
      <c r="AK54" s="1190"/>
      <c r="AL54" s="1190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0"/>
      <c r="AX54" s="1190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0"/>
      <c r="BJ54" s="1190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0"/>
      <c r="BV54" s="1190"/>
      <c r="BW54" s="1190"/>
      <c r="BX54" s="1190"/>
      <c r="BY54" s="1190"/>
      <c r="BZ54" s="1190"/>
      <c r="CA54" s="1190"/>
      <c r="CB54" s="1190"/>
      <c r="CC54" s="1207"/>
      <c r="CD54" s="1207"/>
      <c r="CE54" s="1207"/>
      <c r="CF54" s="1207"/>
      <c r="CG54" s="1207"/>
      <c r="CH54" s="1207"/>
      <c r="CI54" s="1207"/>
      <c r="CJ54" s="1207"/>
      <c r="CK54" s="1207"/>
      <c r="CL54" s="1207"/>
      <c r="CM54" s="1207"/>
      <c r="CN54" s="1207"/>
      <c r="CO54" s="1207"/>
      <c r="CP54" s="1207"/>
      <c r="CQ54" s="1207"/>
      <c r="CR54" s="1207"/>
      <c r="CS54" s="1207"/>
      <c r="CT54" s="1207"/>
      <c r="CU54" s="1207"/>
      <c r="CV54" s="1207"/>
      <c r="CW54" s="1207"/>
      <c r="CX54" s="1207"/>
      <c r="CY54" s="1207"/>
      <c r="CZ54" s="1207"/>
      <c r="DA54" s="1207"/>
      <c r="DB54" s="1207"/>
      <c r="DC54" s="1207"/>
      <c r="DD54" s="1253"/>
    </row>
    <row r="56" spans="1:109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245"/>
      <c r="BT56" s="1245"/>
      <c r="BU56" s="1245"/>
      <c r="BV56" s="1245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33" t="s">
        <v>905</v>
      </c>
      <c r="CS56" s="1234"/>
      <c r="CT56" s="1234"/>
      <c r="CU56" s="1234"/>
      <c r="CV56" s="1235"/>
      <c r="CW56" s="1235"/>
      <c r="CX56" s="1235"/>
      <c r="CY56" s="1235"/>
      <c r="CZ56" s="1" t="s">
        <v>180</v>
      </c>
    </row>
    <row r="57" spans="1:109">
      <c r="A57" s="1" t="s">
        <v>233</v>
      </c>
      <c r="K57" s="1244" t="s">
        <v>142</v>
      </c>
      <c r="L57" s="1244"/>
      <c r="M57" s="1244"/>
      <c r="N57" s="1244"/>
      <c r="O57" s="1244"/>
      <c r="P57" s="1244"/>
      <c r="Q57" s="1244"/>
      <c r="R57" s="1244"/>
      <c r="S57" s="1244"/>
      <c r="T57" s="1244"/>
      <c r="U57" s="1244"/>
      <c r="V57" s="1244"/>
      <c r="W57" s="1244"/>
      <c r="X57" s="1244"/>
      <c r="Y57" s="1244"/>
      <c r="AB57" s="1192" t="s">
        <v>5</v>
      </c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P57" s="1244" t="s">
        <v>6</v>
      </c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</row>
    <row r="58" spans="1:109" ht="6" customHeight="1" thickBot="1"/>
    <row r="59" spans="1:109">
      <c r="A59" s="1251" t="s">
        <v>234</v>
      </c>
      <c r="B59" s="1251"/>
      <c r="C59" s="1251"/>
      <c r="D59" s="1251"/>
      <c r="E59" s="1251"/>
      <c r="F59" s="1251"/>
      <c r="G59" s="1251"/>
      <c r="H59" s="1251"/>
      <c r="I59" s="1251"/>
      <c r="J59" s="1251"/>
      <c r="K59" s="1251"/>
      <c r="L59" s="1251"/>
      <c r="M59" s="1251"/>
      <c r="N59" s="1251"/>
      <c r="O59" s="1251"/>
      <c r="P59" s="1251"/>
      <c r="Q59" s="1251"/>
      <c r="R59" s="1251"/>
      <c r="S59" s="1251"/>
      <c r="T59" s="1251"/>
      <c r="U59" s="1251"/>
      <c r="V59" s="1251"/>
      <c r="W59" s="1251"/>
      <c r="X59" s="1251"/>
      <c r="Y59" s="1251"/>
      <c r="Z59" s="1251"/>
      <c r="AA59" s="1251"/>
      <c r="AB59" s="1251"/>
      <c r="AC59" s="1251"/>
      <c r="AD59" s="1251"/>
      <c r="AE59" s="1251"/>
      <c r="AF59" s="1251"/>
      <c r="AG59" s="1251"/>
      <c r="AH59" s="1251"/>
      <c r="AI59" s="1251"/>
      <c r="AJ59" s="1251"/>
      <c r="AK59" s="1251"/>
      <c r="AL59" s="1251"/>
      <c r="AM59" s="1251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251"/>
      <c r="BO59" s="1251"/>
      <c r="BP59" s="1251"/>
      <c r="BQ59" s="1251"/>
      <c r="BR59" s="1251"/>
      <c r="BS59" s="1251"/>
      <c r="BT59" s="1251"/>
      <c r="BU59" s="1251"/>
      <c r="BV59" s="1251"/>
      <c r="BW59" s="1251"/>
      <c r="BX59" s="1251"/>
      <c r="BY59" s="1251"/>
      <c r="BZ59" s="1251"/>
      <c r="CA59" s="1251"/>
      <c r="CB59" s="1251"/>
      <c r="CC59" s="1251"/>
      <c r="CD59" s="1251"/>
      <c r="CE59" s="1251"/>
      <c r="CF59" s="1251"/>
      <c r="CG59" s="1251"/>
      <c r="CH59" s="1251"/>
      <c r="CI59" s="1251"/>
      <c r="CJ59" s="1251"/>
      <c r="CK59" s="1251"/>
      <c r="CL59" s="1251"/>
      <c r="CM59" s="1251"/>
      <c r="CN59" s="1251"/>
      <c r="CO59" s="1251"/>
      <c r="CP59" s="1251"/>
      <c r="CQ59" s="1251"/>
      <c r="CR59" s="1251"/>
      <c r="CS59" s="1251"/>
      <c r="CT59" s="1251"/>
      <c r="CU59" s="1251"/>
      <c r="CV59" s="1251"/>
      <c r="CW59" s="1251"/>
      <c r="CX59" s="1251"/>
      <c r="CY59" s="1251"/>
      <c r="CZ59" s="1251"/>
      <c r="DA59" s="1251"/>
      <c r="DB59" s="1251"/>
      <c r="DC59" s="1251"/>
      <c r="DD59" s="1251"/>
    </row>
    <row r="60" spans="1:109">
      <c r="A60" s="13" t="s">
        <v>235</v>
      </c>
      <c r="O60" s="1" t="s">
        <v>236</v>
      </c>
      <c r="AH60" s="1246"/>
      <c r="AI60" s="1246"/>
      <c r="AJ60" s="1246"/>
      <c r="AK60" s="1246"/>
      <c r="AL60" s="1246"/>
      <c r="AM60" s="124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24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246"/>
      <c r="BL60" s="1246"/>
      <c r="BM60" s="1246"/>
      <c r="BN60" s="1246"/>
      <c r="BO60" s="1246"/>
      <c r="BP60" s="1246"/>
      <c r="BQ60" s="1246"/>
      <c r="BR60" s="1246"/>
      <c r="BS60" s="1246"/>
      <c r="BT60" s="1246"/>
      <c r="BU60" s="1246"/>
      <c r="BV60" s="1246"/>
      <c r="BW60" s="1246"/>
      <c r="BX60" s="1246"/>
      <c r="BY60" s="1246"/>
      <c r="BZ60" s="1246"/>
      <c r="CA60" s="1246"/>
      <c r="CB60" s="1246"/>
      <c r="CC60" s="1246"/>
      <c r="CD60" s="1246"/>
      <c r="CE60" s="1246"/>
      <c r="CF60" s="1246"/>
      <c r="CG60" s="1246"/>
      <c r="CH60" s="1246"/>
      <c r="CI60" s="1246"/>
      <c r="CJ60" s="1246"/>
      <c r="CK60" s="1246"/>
      <c r="CL60" s="1246"/>
    </row>
    <row r="61" spans="1:109" ht="14.25" customHeight="1" thickBot="1">
      <c r="AH61" s="1247" t="s">
        <v>237</v>
      </c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247"/>
      <c r="BL61" s="1247"/>
      <c r="BM61" s="1247"/>
      <c r="BN61" s="1247"/>
      <c r="BO61" s="1247"/>
      <c r="BP61" s="1247"/>
      <c r="BQ61" s="1247"/>
      <c r="BR61" s="1247"/>
      <c r="BS61" s="1247"/>
      <c r="BT61" s="1247"/>
      <c r="BU61" s="1247"/>
      <c r="BV61" s="1247"/>
      <c r="BW61" s="1247"/>
      <c r="BX61" s="1247"/>
      <c r="BY61" s="1247"/>
      <c r="BZ61" s="1247"/>
      <c r="CA61" s="1247"/>
      <c r="CB61" s="1247"/>
      <c r="CC61" s="1247"/>
      <c r="CD61" s="1247"/>
      <c r="CE61" s="1247"/>
      <c r="CF61" s="1247"/>
      <c r="CG61" s="1247"/>
      <c r="CH61" s="1247"/>
      <c r="CI61" s="1247"/>
      <c r="CJ61" s="1247"/>
      <c r="CK61" s="1247"/>
      <c r="CL61" s="1247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40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C62" s="1241"/>
      <c r="BD62" s="1241"/>
      <c r="BE62" s="1241"/>
      <c r="BF62" s="1241"/>
      <c r="BG62" s="1241"/>
      <c r="BH62" s="1241"/>
      <c r="BI62" s="1241"/>
      <c r="BJ62" s="1241"/>
      <c r="BK62" s="1241"/>
      <c r="BL62" s="1241"/>
      <c r="BM62" s="1241"/>
      <c r="BN62" s="1241"/>
      <c r="BO62" s="1241"/>
      <c r="BP62" s="1242"/>
      <c r="CA62" s="17" t="s">
        <v>239</v>
      </c>
      <c r="CC62" s="1240"/>
      <c r="CD62" s="1241"/>
      <c r="CE62" s="1241"/>
      <c r="CF62" s="1241"/>
      <c r="CG62" s="1241"/>
      <c r="CH62" s="1241"/>
      <c r="CI62" s="1241"/>
      <c r="CJ62" s="1241"/>
      <c r="CK62" s="1241"/>
      <c r="CL62" s="1241"/>
      <c r="CM62" s="1241"/>
      <c r="CN62" s="1241"/>
      <c r="CO62" s="1241"/>
      <c r="CP62" s="1241"/>
      <c r="CQ62" s="1241"/>
      <c r="CR62" s="1241"/>
      <c r="CS62" s="1241"/>
      <c r="CT62" s="1241"/>
      <c r="CU62" s="1241"/>
      <c r="CV62" s="1241"/>
      <c r="CW62" s="1241"/>
      <c r="CX62" s="1241"/>
      <c r="CY62" s="1241"/>
      <c r="CZ62" s="1241"/>
      <c r="DA62" s="1241"/>
      <c r="DB62" s="1241"/>
      <c r="DC62" s="1241"/>
      <c r="DD62" s="1242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48"/>
      <c r="AG64" s="1249"/>
      <c r="AH64" s="1249"/>
      <c r="AI64" s="1249"/>
      <c r="AJ64" s="1249"/>
      <c r="AK64" s="1249"/>
      <c r="AL64" s="1249"/>
      <c r="AM64" s="1249"/>
      <c r="AN64" s="1249"/>
      <c r="AO64" s="1249"/>
      <c r="AP64" s="1249"/>
      <c r="AQ64" s="1249"/>
      <c r="AR64" s="1249"/>
      <c r="AS64" s="1249"/>
      <c r="AT64" s="1249"/>
      <c r="AU64" s="1249"/>
      <c r="AV64" s="1249"/>
      <c r="AW64" s="1249"/>
      <c r="AX64" s="1249"/>
      <c r="AY64" s="1249"/>
      <c r="AZ64" s="1249"/>
      <c r="BA64" s="1249"/>
      <c r="BB64" s="1249"/>
      <c r="BC64" s="1249"/>
      <c r="BD64" s="1249"/>
      <c r="BE64" s="1249"/>
      <c r="BF64" s="1249"/>
      <c r="BG64" s="1249"/>
      <c r="BH64" s="1249"/>
      <c r="BI64" s="1249"/>
      <c r="BJ64" s="1249"/>
      <c r="BK64" s="1249"/>
      <c r="BL64" s="1249"/>
      <c r="BM64" s="1249"/>
      <c r="BN64" s="1249"/>
      <c r="BO64" s="1249"/>
      <c r="BP64" s="1250"/>
      <c r="BR64" s="6" t="s">
        <v>241</v>
      </c>
      <c r="CO64" s="1236"/>
      <c r="CP64" s="1237"/>
      <c r="CQ64" s="1237"/>
      <c r="CR64" s="1237"/>
      <c r="CS64" s="1237"/>
      <c r="CT64" s="1237"/>
      <c r="CU64" s="1237"/>
      <c r="CV64" s="1237"/>
      <c r="CW64" s="1237"/>
      <c r="CX64" s="1237"/>
      <c r="CY64" s="1237"/>
      <c r="CZ64" s="1237"/>
      <c r="DA64" s="1237"/>
      <c r="DB64" s="1237"/>
      <c r="DC64" s="1237"/>
      <c r="DD64" s="1238"/>
      <c r="DE64" s="346"/>
    </row>
    <row r="65" spans="1:131" ht="3" customHeight="1"/>
    <row r="66" spans="1:131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</row>
    <row r="67" spans="1:131">
      <c r="Y67" s="1192" t="s">
        <v>5</v>
      </c>
      <c r="Z67" s="1192"/>
      <c r="AA67" s="1192"/>
      <c r="AB67" s="1192"/>
      <c r="AC67" s="1192"/>
      <c r="AD67" s="1192"/>
      <c r="AE67" s="1192"/>
      <c r="AF67" s="1192"/>
      <c r="AG67" s="1192"/>
      <c r="AH67" s="1192"/>
      <c r="AI67" s="1192"/>
      <c r="AJ67" s="1192"/>
      <c r="AK67" s="2"/>
      <c r="AM67" s="1244" t="s">
        <v>6</v>
      </c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R67" s="3" t="s">
        <v>179</v>
      </c>
      <c r="BS67" s="1221"/>
      <c r="BT67" s="1221"/>
      <c r="BU67" s="1221"/>
      <c r="BV67" s="1221"/>
      <c r="BW67" s="1" t="s">
        <v>179</v>
      </c>
      <c r="BZ67" s="1221"/>
      <c r="CA67" s="1221"/>
      <c r="CB67" s="1221"/>
      <c r="CC67" s="1221"/>
      <c r="CD67" s="1221"/>
      <c r="CE67" s="1221"/>
      <c r="CF67" s="1221"/>
      <c r="CG67" s="1221"/>
      <c r="CH67" s="1221"/>
      <c r="CI67" s="1221"/>
      <c r="CJ67" s="1221"/>
      <c r="CK67" s="1221"/>
      <c r="CL67" s="1221"/>
      <c r="CM67" s="1221"/>
      <c r="CN67" s="1221"/>
      <c r="CO67" s="1221"/>
      <c r="CP67" s="1221"/>
      <c r="CQ67" s="1221"/>
      <c r="CR67" s="1233" t="s">
        <v>905</v>
      </c>
      <c r="CS67" s="1234"/>
      <c r="CT67" s="1234"/>
      <c r="CU67" s="1234"/>
      <c r="CV67" s="1239"/>
      <c r="CW67" s="1239"/>
      <c r="CX67" s="1239"/>
      <c r="CY67" s="1239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22" t="s">
        <v>243</v>
      </c>
      <c r="B72" s="1222"/>
      <c r="C72" s="1222"/>
      <c r="D72" s="1222"/>
      <c r="E72" s="1223"/>
      <c r="F72" s="1228" t="s">
        <v>244</v>
      </c>
      <c r="G72" s="1228"/>
      <c r="H72" s="1228"/>
      <c r="I72" s="1228"/>
      <c r="J72" s="1228"/>
      <c r="K72" s="1228"/>
      <c r="L72" s="1228"/>
      <c r="M72" s="1228"/>
      <c r="N72" s="1228"/>
      <c r="O72" s="1228"/>
      <c r="P72" s="1228"/>
      <c r="Q72" s="1228"/>
      <c r="R72" s="1228"/>
      <c r="S72" s="1228"/>
      <c r="T72" s="1228"/>
      <c r="U72" s="1229" t="s">
        <v>245</v>
      </c>
      <c r="V72" s="1222"/>
      <c r="W72" s="1222"/>
      <c r="X72" s="1222"/>
      <c r="Y72" s="1222"/>
      <c r="Z72" s="1222"/>
      <c r="AA72" s="1222"/>
      <c r="AB72" s="1222"/>
      <c r="AC72" s="1222"/>
      <c r="AD72" s="1222"/>
      <c r="AE72" s="1222"/>
      <c r="AF72" s="1222"/>
      <c r="AG72" s="1222"/>
      <c r="AH72" s="1222"/>
      <c r="AI72" s="1222"/>
      <c r="AJ72" s="1222"/>
      <c r="AK72" s="1222"/>
      <c r="AL72" s="1222"/>
      <c r="AM72" s="1222"/>
      <c r="AN72" s="1222"/>
      <c r="AO72" s="1222"/>
      <c r="AP72" s="1222"/>
      <c r="AQ72" s="1222"/>
      <c r="AR72" s="1223"/>
      <c r="AS72" s="1218" t="s">
        <v>246</v>
      </c>
      <c r="AT72" s="1219"/>
      <c r="AU72" s="1219"/>
      <c r="AV72" s="1219"/>
      <c r="AW72" s="1219"/>
      <c r="AX72" s="1219"/>
      <c r="AY72" s="1219"/>
      <c r="AZ72" s="1219"/>
      <c r="BA72" s="1219"/>
      <c r="BB72" s="1219"/>
      <c r="BC72" s="1219"/>
      <c r="BD72" s="1219"/>
      <c r="BE72" s="1219"/>
      <c r="BF72" s="1219"/>
      <c r="BG72" s="1219"/>
      <c r="BH72" s="1219"/>
      <c r="BI72" s="1219"/>
      <c r="BJ72" s="1219"/>
      <c r="BK72" s="1219"/>
      <c r="BL72" s="1219"/>
      <c r="BM72" s="1219"/>
      <c r="BN72" s="1219"/>
      <c r="BO72" s="1219"/>
      <c r="BP72" s="1219"/>
      <c r="BQ72" s="1219"/>
      <c r="BR72" s="1219"/>
      <c r="BS72" s="1219"/>
      <c r="BT72" s="1219"/>
      <c r="BU72" s="1219"/>
      <c r="BV72" s="1219"/>
      <c r="BW72" s="1219"/>
      <c r="BX72" s="1219"/>
      <c r="BY72" s="1219"/>
      <c r="BZ72" s="1219"/>
      <c r="CA72" s="1219"/>
      <c r="CB72" s="1219"/>
      <c r="CC72" s="1219"/>
      <c r="CD72" s="1219"/>
      <c r="CE72" s="1219"/>
      <c r="CF72" s="1220"/>
      <c r="CG72" s="1218" t="s">
        <v>199</v>
      </c>
      <c r="CH72" s="1219"/>
      <c r="CI72" s="1219"/>
      <c r="CJ72" s="1219"/>
      <c r="CK72" s="1219"/>
      <c r="CL72" s="1219"/>
      <c r="CM72" s="1219"/>
      <c r="CN72" s="1219"/>
      <c r="CO72" s="1219"/>
      <c r="CP72" s="1219"/>
      <c r="CQ72" s="1219"/>
      <c r="CR72" s="1219"/>
      <c r="CS72" s="1219"/>
      <c r="CT72" s="1219"/>
      <c r="CU72" s="1219"/>
      <c r="CV72" s="1219"/>
      <c r="CW72" s="1219"/>
      <c r="CX72" s="1219"/>
      <c r="CY72" s="1219"/>
      <c r="CZ72" s="1219"/>
      <c r="DA72" s="1219"/>
      <c r="DB72" s="1219"/>
      <c r="DC72" s="1219"/>
      <c r="DD72" s="1219"/>
      <c r="DE72" s="1333" t="s">
        <v>883</v>
      </c>
    </row>
    <row r="73" spans="1:131" ht="15" customHeight="1">
      <c r="A73" s="1224"/>
      <c r="B73" s="1224"/>
      <c r="C73" s="1224"/>
      <c r="D73" s="1224"/>
      <c r="E73" s="1225"/>
      <c r="F73" s="1229" t="s">
        <v>231</v>
      </c>
      <c r="G73" s="1222"/>
      <c r="H73" s="1222"/>
      <c r="I73" s="1222"/>
      <c r="J73" s="1222"/>
      <c r="K73" s="1222"/>
      <c r="L73" s="1223"/>
      <c r="M73" s="1229" t="s">
        <v>230</v>
      </c>
      <c r="N73" s="1222"/>
      <c r="O73" s="1222"/>
      <c r="P73" s="1222"/>
      <c r="Q73" s="1222"/>
      <c r="R73" s="1222"/>
      <c r="S73" s="1222"/>
      <c r="T73" s="1223"/>
      <c r="U73" s="1230"/>
      <c r="V73" s="1224"/>
      <c r="W73" s="1224"/>
      <c r="X73" s="1224"/>
      <c r="Y73" s="1224"/>
      <c r="Z73" s="1224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4"/>
      <c r="AL73" s="1224"/>
      <c r="AM73" s="1224"/>
      <c r="AN73" s="1224"/>
      <c r="AO73" s="1224"/>
      <c r="AP73" s="1224"/>
      <c r="AQ73" s="1224"/>
      <c r="AR73" s="1225"/>
      <c r="AS73" s="1218" t="s">
        <v>247</v>
      </c>
      <c r="AT73" s="1219"/>
      <c r="AU73" s="1219"/>
      <c r="AV73" s="1219"/>
      <c r="AW73" s="1219"/>
      <c r="AX73" s="1219"/>
      <c r="AY73" s="1219"/>
      <c r="AZ73" s="1219"/>
      <c r="BA73" s="1219"/>
      <c r="BB73" s="1219"/>
      <c r="BC73" s="1219"/>
      <c r="BD73" s="1219"/>
      <c r="BE73" s="1219"/>
      <c r="BF73" s="1219"/>
      <c r="BG73" s="1219"/>
      <c r="BH73" s="1219"/>
      <c r="BI73" s="1219"/>
      <c r="BJ73" s="1219"/>
      <c r="BK73" s="1219"/>
      <c r="BL73" s="1220"/>
      <c r="BM73" s="1218" t="s">
        <v>248</v>
      </c>
      <c r="BN73" s="1219"/>
      <c r="BO73" s="1219"/>
      <c r="BP73" s="1219"/>
      <c r="BQ73" s="1219"/>
      <c r="BR73" s="1219"/>
      <c r="BS73" s="1219"/>
      <c r="BT73" s="1219"/>
      <c r="BU73" s="1219"/>
      <c r="BV73" s="1219"/>
      <c r="BW73" s="1219"/>
      <c r="BX73" s="1219"/>
      <c r="BY73" s="1219"/>
      <c r="BZ73" s="1219"/>
      <c r="CA73" s="1219"/>
      <c r="CB73" s="1219"/>
      <c r="CC73" s="1219"/>
      <c r="CD73" s="1219"/>
      <c r="CE73" s="1219"/>
      <c r="CF73" s="1220"/>
      <c r="CG73" s="1229" t="s">
        <v>203</v>
      </c>
      <c r="CH73" s="1222"/>
      <c r="CI73" s="1222"/>
      <c r="CJ73" s="1222"/>
      <c r="CK73" s="1222"/>
      <c r="CL73" s="1222"/>
      <c r="CM73" s="1222"/>
      <c r="CN73" s="1222"/>
      <c r="CO73" s="1222"/>
      <c r="CP73" s="1222"/>
      <c r="CQ73" s="1222"/>
      <c r="CR73" s="1223"/>
      <c r="CS73" s="1229" t="s">
        <v>204</v>
      </c>
      <c r="CT73" s="1222"/>
      <c r="CU73" s="1222"/>
      <c r="CV73" s="1222"/>
      <c r="CW73" s="1222"/>
      <c r="CX73" s="1222"/>
      <c r="CY73" s="1222"/>
      <c r="CZ73" s="1222"/>
      <c r="DA73" s="1222"/>
      <c r="DB73" s="1222"/>
      <c r="DC73" s="1222"/>
      <c r="DD73" s="1222"/>
      <c r="DE73" s="1334"/>
    </row>
    <row r="74" spans="1:131" ht="15" customHeight="1">
      <c r="A74" s="1226"/>
      <c r="B74" s="1226"/>
      <c r="C74" s="1226"/>
      <c r="D74" s="1226"/>
      <c r="E74" s="1227"/>
      <c r="F74" s="1231"/>
      <c r="G74" s="1226"/>
      <c r="H74" s="1226"/>
      <c r="I74" s="1226"/>
      <c r="J74" s="1226"/>
      <c r="K74" s="1226"/>
      <c r="L74" s="1227"/>
      <c r="M74" s="1231"/>
      <c r="N74" s="1226"/>
      <c r="O74" s="1226"/>
      <c r="P74" s="1226"/>
      <c r="Q74" s="1226"/>
      <c r="R74" s="1226"/>
      <c r="S74" s="1226"/>
      <c r="T74" s="1227"/>
      <c r="U74" s="1231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7"/>
      <c r="AS74" s="1232" t="s">
        <v>201</v>
      </c>
      <c r="AT74" s="1232"/>
      <c r="AU74" s="1232"/>
      <c r="AV74" s="1232"/>
      <c r="AW74" s="1232"/>
      <c r="AX74" s="1232"/>
      <c r="AY74" s="1232"/>
      <c r="AZ74" s="1232"/>
      <c r="BA74" s="1232"/>
      <c r="BB74" s="1232"/>
      <c r="BC74" s="1232"/>
      <c r="BD74" s="1232" t="s">
        <v>202</v>
      </c>
      <c r="BE74" s="1232"/>
      <c r="BF74" s="1232"/>
      <c r="BG74" s="1232"/>
      <c r="BH74" s="1232"/>
      <c r="BI74" s="1232"/>
      <c r="BJ74" s="1232"/>
      <c r="BK74" s="1232"/>
      <c r="BL74" s="1232"/>
      <c r="BM74" s="1232" t="s">
        <v>201</v>
      </c>
      <c r="BN74" s="1232"/>
      <c r="BO74" s="1232"/>
      <c r="BP74" s="1232"/>
      <c r="BQ74" s="1232"/>
      <c r="BR74" s="1232"/>
      <c r="BS74" s="1232"/>
      <c r="BT74" s="1232"/>
      <c r="BU74" s="1232"/>
      <c r="BV74" s="1232"/>
      <c r="BW74" s="1232"/>
      <c r="BX74" s="1232" t="s">
        <v>202</v>
      </c>
      <c r="BY74" s="1232"/>
      <c r="BZ74" s="1232"/>
      <c r="CA74" s="1232"/>
      <c r="CB74" s="1232"/>
      <c r="CC74" s="1232"/>
      <c r="CD74" s="1232"/>
      <c r="CE74" s="1232"/>
      <c r="CF74" s="1232"/>
      <c r="CG74" s="1231"/>
      <c r="CH74" s="1226"/>
      <c r="CI74" s="1226"/>
      <c r="CJ74" s="1226"/>
      <c r="CK74" s="1226"/>
      <c r="CL74" s="1226"/>
      <c r="CM74" s="1226"/>
      <c r="CN74" s="1226"/>
      <c r="CO74" s="1226"/>
      <c r="CP74" s="1226"/>
      <c r="CQ74" s="1226"/>
      <c r="CR74" s="1227"/>
      <c r="CS74" s="1231"/>
      <c r="CT74" s="1226"/>
      <c r="CU74" s="1226"/>
      <c r="CV74" s="1226"/>
      <c r="CW74" s="1226"/>
      <c r="CX74" s="1226"/>
      <c r="CY74" s="1226"/>
      <c r="CZ74" s="1226"/>
      <c r="DA74" s="1226"/>
      <c r="DB74" s="1226"/>
      <c r="DC74" s="1226"/>
      <c r="DD74" s="1226"/>
      <c r="DE74" s="1334"/>
      <c r="DI74" s="1267"/>
      <c r="DJ74" s="1267"/>
      <c r="DK74" s="1267"/>
    </row>
    <row r="75" spans="1:131" ht="15" customHeight="1">
      <c r="A75" s="1214" t="s">
        <v>399</v>
      </c>
      <c r="B75" s="1215"/>
      <c r="C75" s="1215"/>
      <c r="D75" s="1215"/>
      <c r="E75" s="1215"/>
      <c r="F75" s="1216" t="s">
        <v>400</v>
      </c>
      <c r="G75" s="1215"/>
      <c r="H75" s="1215"/>
      <c r="I75" s="1215"/>
      <c r="J75" s="1215"/>
      <c r="K75" s="1215"/>
      <c r="L75" s="1215"/>
      <c r="M75" s="1216" t="s">
        <v>401</v>
      </c>
      <c r="N75" s="1215"/>
      <c r="O75" s="1215"/>
      <c r="P75" s="1215"/>
      <c r="Q75" s="1215"/>
      <c r="R75" s="1215"/>
      <c r="S75" s="1215"/>
      <c r="T75" s="1215"/>
      <c r="U75" s="1216" t="s">
        <v>402</v>
      </c>
      <c r="V75" s="1215"/>
      <c r="W75" s="1215"/>
      <c r="X75" s="1215"/>
      <c r="Y75" s="1215"/>
      <c r="Z75" s="1215"/>
      <c r="AA75" s="1215"/>
      <c r="AB75" s="1215"/>
      <c r="AC75" s="1215"/>
      <c r="AD75" s="1215"/>
      <c r="AE75" s="1215"/>
      <c r="AF75" s="1215"/>
      <c r="AG75" s="1215"/>
      <c r="AH75" s="1215"/>
      <c r="AI75" s="1215"/>
      <c r="AJ75" s="1215"/>
      <c r="AK75" s="1215"/>
      <c r="AL75" s="1215"/>
      <c r="AM75" s="1215"/>
      <c r="AN75" s="1215"/>
      <c r="AO75" s="1215"/>
      <c r="AP75" s="1215"/>
      <c r="AQ75" s="1215"/>
      <c r="AR75" s="1215"/>
      <c r="AS75" s="1216" t="s">
        <v>403</v>
      </c>
      <c r="AT75" s="1215"/>
      <c r="AU75" s="1215"/>
      <c r="AV75" s="1215"/>
      <c r="AW75" s="1215"/>
      <c r="AX75" s="1215"/>
      <c r="AY75" s="1215"/>
      <c r="AZ75" s="1215"/>
      <c r="BA75" s="1215"/>
      <c r="BB75" s="1215"/>
      <c r="BC75" s="1215"/>
      <c r="BD75" s="1216" t="s">
        <v>404</v>
      </c>
      <c r="BE75" s="1215"/>
      <c r="BF75" s="1215"/>
      <c r="BG75" s="1215"/>
      <c r="BH75" s="1215"/>
      <c r="BI75" s="1215"/>
      <c r="BJ75" s="1215"/>
      <c r="BK75" s="1215"/>
      <c r="BL75" s="1215"/>
      <c r="BM75" s="1216" t="s">
        <v>405</v>
      </c>
      <c r="BN75" s="1215"/>
      <c r="BO75" s="1215"/>
      <c r="BP75" s="1215"/>
      <c r="BQ75" s="1215"/>
      <c r="BR75" s="1215"/>
      <c r="BS75" s="1215"/>
      <c r="BT75" s="1215"/>
      <c r="BU75" s="1215"/>
      <c r="BV75" s="1215"/>
      <c r="BW75" s="1215"/>
      <c r="BX75" s="1216" t="s">
        <v>406</v>
      </c>
      <c r="BY75" s="1215"/>
      <c r="BZ75" s="1215"/>
      <c r="CA75" s="1215"/>
      <c r="CB75" s="1215"/>
      <c r="CC75" s="1215"/>
      <c r="CD75" s="1215"/>
      <c r="CE75" s="1215"/>
      <c r="CF75" s="1215"/>
      <c r="CG75" s="1216" t="s">
        <v>407</v>
      </c>
      <c r="CH75" s="1215"/>
      <c r="CI75" s="1215"/>
      <c r="CJ75" s="1215"/>
      <c r="CK75" s="1215"/>
      <c r="CL75" s="1215"/>
      <c r="CM75" s="1215"/>
      <c r="CN75" s="1215"/>
      <c r="CO75" s="1215"/>
      <c r="CP75" s="1215"/>
      <c r="CQ75" s="1215"/>
      <c r="CR75" s="1215"/>
      <c r="CS75" s="1216" t="s">
        <v>408</v>
      </c>
      <c r="CT75" s="1215"/>
      <c r="CU75" s="1215"/>
      <c r="CV75" s="1215"/>
      <c r="CW75" s="1215"/>
      <c r="CX75" s="1215"/>
      <c r="CY75" s="1215"/>
      <c r="CZ75" s="1215"/>
      <c r="DA75" s="1215"/>
      <c r="DB75" s="1215"/>
      <c r="DC75" s="1215"/>
      <c r="DD75" s="1217"/>
      <c r="DE75" s="1335"/>
      <c r="DF75" s="1" t="str">
        <f>$DF$14</f>
        <v>20--</v>
      </c>
      <c r="DG75" s="551">
        <f>'Настройки ТИК'!$C$55</f>
        <v>0</v>
      </c>
      <c r="DL75" s="571">
        <f t="shared" ref="DL75:DL98" si="0">$BC$9</f>
        <v>0</v>
      </c>
    </row>
    <row r="76" spans="1:131" ht="137.25" customHeight="1">
      <c r="A76" s="1209" t="str">
        <f ca="1">IF(AS76="","",1)</f>
        <v/>
      </c>
      <c r="B76" s="1210"/>
      <c r="C76" s="1210"/>
      <c r="D76" s="1210"/>
      <c r="E76" s="1210"/>
      <c r="F76" s="1211" t="str">
        <f ca="1">'В авансовый отчет'!$D19</f>
        <v/>
      </c>
      <c r="G76" s="1211"/>
      <c r="H76" s="1211"/>
      <c r="I76" s="1211"/>
      <c r="J76" s="1211"/>
      <c r="K76" s="1211"/>
      <c r="L76" s="1211"/>
      <c r="M76" s="1210" t="str">
        <f ca="1">'В авансовый отчет'!$E19</f>
        <v/>
      </c>
      <c r="N76" s="1210"/>
      <c r="O76" s="1210"/>
      <c r="P76" s="1210"/>
      <c r="Q76" s="1210"/>
      <c r="R76" s="1210"/>
      <c r="S76" s="1210"/>
      <c r="T76" s="1210"/>
      <c r="U76" s="1212" t="str">
        <f ca="1">'В авансовый отчет'!$I19</f>
        <v/>
      </c>
      <c r="V76" s="1212"/>
      <c r="W76" s="1212"/>
      <c r="X76" s="1212"/>
      <c r="Y76" s="1212"/>
      <c r="Z76" s="1212"/>
      <c r="AA76" s="1212"/>
      <c r="AB76" s="1212"/>
      <c r="AC76" s="1212"/>
      <c r="AD76" s="1212"/>
      <c r="AE76" s="1212"/>
      <c r="AF76" s="1212"/>
      <c r="AG76" s="1212"/>
      <c r="AH76" s="1212"/>
      <c r="AI76" s="1212"/>
      <c r="AJ76" s="1212"/>
      <c r="AK76" s="1212"/>
      <c r="AL76" s="1212"/>
      <c r="AM76" s="1212"/>
      <c r="AN76" s="1212"/>
      <c r="AO76" s="1212"/>
      <c r="AP76" s="1212"/>
      <c r="AQ76" s="1212"/>
      <c r="AR76" s="1212"/>
      <c r="AS76" s="1213" t="str">
        <f ca="1">'В авансовый отчет'!$C19</f>
        <v/>
      </c>
      <c r="AT76" s="1213"/>
      <c r="AU76" s="1213"/>
      <c r="AV76" s="1213"/>
      <c r="AW76" s="1213"/>
      <c r="AX76" s="1213"/>
      <c r="AY76" s="1213"/>
      <c r="AZ76" s="1213"/>
      <c r="BA76" s="1213"/>
      <c r="BB76" s="1213"/>
      <c r="BC76" s="1213"/>
      <c r="BD76" s="1190"/>
      <c r="BE76" s="1190"/>
      <c r="BF76" s="1190"/>
      <c r="BG76" s="1190"/>
      <c r="BH76" s="1190"/>
      <c r="BI76" s="1190"/>
      <c r="BJ76" s="1190"/>
      <c r="BK76" s="1190"/>
      <c r="BL76" s="1190"/>
      <c r="BM76" s="1213" t="str">
        <f ca="1">'В авансовый отчет'!$C19</f>
        <v/>
      </c>
      <c r="BN76" s="1213"/>
      <c r="BO76" s="1213"/>
      <c r="BP76" s="1213"/>
      <c r="BQ76" s="1213"/>
      <c r="BR76" s="1213"/>
      <c r="BS76" s="1213"/>
      <c r="BT76" s="1213"/>
      <c r="BU76" s="1213"/>
      <c r="BV76" s="1213"/>
      <c r="BW76" s="1213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0"/>
      <c r="CH76" s="1190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0"/>
      <c r="CT76" s="1190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201"/>
      <c r="DE76" s="466" t="str">
        <f ca="1">'В авансовый отчет'!V19</f>
        <v/>
      </c>
      <c r="DF76" s="1" t="str">
        <f t="shared" ref="DF76:DF98" si="1">$DF$14</f>
        <v>20--</v>
      </c>
      <c r="DG76" s="551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1">
        <f t="shared" si="0"/>
        <v>0</v>
      </c>
      <c r="EA76" s="1" t="str">
        <f>'В авансовый отчет'!B31</f>
        <v>${rashod}</v>
      </c>
    </row>
    <row r="77" spans="1:131" ht="137.25" customHeight="1">
      <c r="A77" s="1209" t="str">
        <f ca="1">IF(AS77="","",COUNTA($A$76:E76)-COUNTIF($A$76:A76,"")+1)</f>
        <v/>
      </c>
      <c r="B77" s="1210"/>
      <c r="C77" s="1210"/>
      <c r="D77" s="1210"/>
      <c r="E77" s="1210"/>
      <c r="F77" s="1211" t="str">
        <f ca="1">'В авансовый отчет'!$D20</f>
        <v/>
      </c>
      <c r="G77" s="1211"/>
      <c r="H77" s="1211"/>
      <c r="I77" s="1211"/>
      <c r="J77" s="1211"/>
      <c r="K77" s="1211"/>
      <c r="L77" s="1211"/>
      <c r="M77" s="1210" t="str">
        <f ca="1">'В авансовый отчет'!$E20</f>
        <v/>
      </c>
      <c r="N77" s="1210"/>
      <c r="O77" s="1210"/>
      <c r="P77" s="1210"/>
      <c r="Q77" s="1210"/>
      <c r="R77" s="1210"/>
      <c r="S77" s="1210"/>
      <c r="T77" s="1210"/>
      <c r="U77" s="1212" t="str">
        <f ca="1">'В авансовый отчет'!$I20</f>
        <v/>
      </c>
      <c r="V77" s="1212"/>
      <c r="W77" s="1212"/>
      <c r="X77" s="1212"/>
      <c r="Y77" s="1212"/>
      <c r="Z77" s="1212"/>
      <c r="AA77" s="1212"/>
      <c r="AB77" s="1212"/>
      <c r="AC77" s="1212"/>
      <c r="AD77" s="1212"/>
      <c r="AE77" s="1212"/>
      <c r="AF77" s="1212"/>
      <c r="AG77" s="1212"/>
      <c r="AH77" s="1212"/>
      <c r="AI77" s="1212"/>
      <c r="AJ77" s="1212"/>
      <c r="AK77" s="1212"/>
      <c r="AL77" s="1212"/>
      <c r="AM77" s="1212"/>
      <c r="AN77" s="1212"/>
      <c r="AO77" s="1212"/>
      <c r="AP77" s="1212"/>
      <c r="AQ77" s="1212"/>
      <c r="AR77" s="1212"/>
      <c r="AS77" s="1213" t="str">
        <f ca="1">'В авансовый отчет'!$C20</f>
        <v/>
      </c>
      <c r="AT77" s="1213"/>
      <c r="AU77" s="1213"/>
      <c r="AV77" s="1213"/>
      <c r="AW77" s="1213"/>
      <c r="AX77" s="1213"/>
      <c r="AY77" s="1213"/>
      <c r="AZ77" s="1213"/>
      <c r="BA77" s="1213"/>
      <c r="BB77" s="1213"/>
      <c r="BC77" s="1213"/>
      <c r="BD77" s="1190"/>
      <c r="BE77" s="1190"/>
      <c r="BF77" s="1190"/>
      <c r="BG77" s="1190"/>
      <c r="BH77" s="1190"/>
      <c r="BI77" s="1190"/>
      <c r="BJ77" s="1190"/>
      <c r="BK77" s="1190"/>
      <c r="BL77" s="1190"/>
      <c r="BM77" s="1213" t="str">
        <f ca="1">'В авансовый отчет'!$C20</f>
        <v/>
      </c>
      <c r="BN77" s="1213"/>
      <c r="BO77" s="1213"/>
      <c r="BP77" s="1213"/>
      <c r="BQ77" s="1213"/>
      <c r="BR77" s="1213"/>
      <c r="BS77" s="1213"/>
      <c r="BT77" s="1213"/>
      <c r="BU77" s="1213"/>
      <c r="BV77" s="1213"/>
      <c r="BW77" s="1213"/>
      <c r="BX77" s="1190"/>
      <c r="BY77" s="1190"/>
      <c r="BZ77" s="1190"/>
      <c r="CA77" s="1190"/>
      <c r="CB77" s="1190"/>
      <c r="CC77" s="1190"/>
      <c r="CD77" s="1190"/>
      <c r="CE77" s="1190"/>
      <c r="CF77" s="1190"/>
      <c r="CG77" s="1190"/>
      <c r="CH77" s="1190"/>
      <c r="CI77" s="1190"/>
      <c r="CJ77" s="1190"/>
      <c r="CK77" s="1190"/>
      <c r="CL77" s="1190"/>
      <c r="CM77" s="1190"/>
      <c r="CN77" s="1190"/>
      <c r="CO77" s="1190"/>
      <c r="CP77" s="1190"/>
      <c r="CQ77" s="1190"/>
      <c r="CR77" s="1190"/>
      <c r="CS77" s="1190"/>
      <c r="CT77" s="1190"/>
      <c r="CU77" s="1190"/>
      <c r="CV77" s="1190"/>
      <c r="CW77" s="1190"/>
      <c r="CX77" s="1190"/>
      <c r="CY77" s="1190"/>
      <c r="CZ77" s="1190"/>
      <c r="DA77" s="1190"/>
      <c r="DB77" s="1190"/>
      <c r="DC77" s="1190"/>
      <c r="DD77" s="1201"/>
      <c r="DE77" s="466" t="str">
        <f ca="1">'В авансовый отчет'!V20</f>
        <v/>
      </c>
      <c r="DF77" s="1" t="str">
        <f t="shared" si="1"/>
        <v>20--</v>
      </c>
      <c r="DG77" s="551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1">
        <f t="shared" si="0"/>
        <v>0</v>
      </c>
      <c r="EA77" s="1">
        <f>'В авансовый отчет'!B32</f>
        <v>0</v>
      </c>
    </row>
    <row r="78" spans="1:131" ht="137.25" customHeight="1">
      <c r="A78" s="1209" t="str">
        <f ca="1">IF(AS78="","",COUNTA($A$76:E77)-COUNTIF($A$76:A77,"")+1)</f>
        <v/>
      </c>
      <c r="B78" s="1210"/>
      <c r="C78" s="1210"/>
      <c r="D78" s="1210"/>
      <c r="E78" s="1210"/>
      <c r="F78" s="1211" t="str">
        <f ca="1">'В авансовый отчет'!$D21</f>
        <v/>
      </c>
      <c r="G78" s="1211"/>
      <c r="H78" s="1211"/>
      <c r="I78" s="1211"/>
      <c r="J78" s="1211"/>
      <c r="K78" s="1211"/>
      <c r="L78" s="1211"/>
      <c r="M78" s="1210" t="str">
        <f ca="1">'В авансовый отчет'!$E21</f>
        <v/>
      </c>
      <c r="N78" s="1210"/>
      <c r="O78" s="1210"/>
      <c r="P78" s="1210"/>
      <c r="Q78" s="1210"/>
      <c r="R78" s="1210"/>
      <c r="S78" s="1210"/>
      <c r="T78" s="1210"/>
      <c r="U78" s="1212" t="str">
        <f ca="1">'В авансовый отчет'!$I21</f>
        <v/>
      </c>
      <c r="V78" s="1212"/>
      <c r="W78" s="1212"/>
      <c r="X78" s="1212"/>
      <c r="Y78" s="1212"/>
      <c r="Z78" s="1212"/>
      <c r="AA78" s="1212"/>
      <c r="AB78" s="1212"/>
      <c r="AC78" s="1212"/>
      <c r="AD78" s="1212"/>
      <c r="AE78" s="1212"/>
      <c r="AF78" s="1212"/>
      <c r="AG78" s="1212"/>
      <c r="AH78" s="1212"/>
      <c r="AI78" s="1212"/>
      <c r="AJ78" s="1212"/>
      <c r="AK78" s="1212"/>
      <c r="AL78" s="1212"/>
      <c r="AM78" s="1212"/>
      <c r="AN78" s="1212"/>
      <c r="AO78" s="1212"/>
      <c r="AP78" s="1212"/>
      <c r="AQ78" s="1212"/>
      <c r="AR78" s="1212"/>
      <c r="AS78" s="1213" t="str">
        <f ca="1">'В авансовый отчет'!$C21</f>
        <v/>
      </c>
      <c r="AT78" s="1213"/>
      <c r="AU78" s="1213"/>
      <c r="AV78" s="1213"/>
      <c r="AW78" s="1213"/>
      <c r="AX78" s="1213"/>
      <c r="AY78" s="1213"/>
      <c r="AZ78" s="1213"/>
      <c r="BA78" s="1213"/>
      <c r="BB78" s="1213"/>
      <c r="BC78" s="1213"/>
      <c r="BD78" s="1190"/>
      <c r="BE78" s="1190"/>
      <c r="BF78" s="1190"/>
      <c r="BG78" s="1190"/>
      <c r="BH78" s="1190"/>
      <c r="BI78" s="1190"/>
      <c r="BJ78" s="1190"/>
      <c r="BK78" s="1190"/>
      <c r="BL78" s="1190"/>
      <c r="BM78" s="1213" t="str">
        <f ca="1">'В авансовый отчет'!$C21</f>
        <v/>
      </c>
      <c r="BN78" s="1213"/>
      <c r="BO78" s="1213"/>
      <c r="BP78" s="1213"/>
      <c r="BQ78" s="1213"/>
      <c r="BR78" s="1213"/>
      <c r="BS78" s="1213"/>
      <c r="BT78" s="1213"/>
      <c r="BU78" s="1213"/>
      <c r="BV78" s="1213"/>
      <c r="BW78" s="1213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0"/>
      <c r="CH78" s="1190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0"/>
      <c r="CT78" s="1190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201"/>
      <c r="DE78" s="466" t="str">
        <f ca="1">'В авансовый отчет'!V21</f>
        <v/>
      </c>
      <c r="DF78" s="1" t="str">
        <f t="shared" si="1"/>
        <v>20--</v>
      </c>
      <c r="DG78" s="551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1">
        <f t="shared" si="0"/>
        <v>0</v>
      </c>
      <c r="EA78" s="1">
        <f>'В авансовый отчет'!B33</f>
        <v>0</v>
      </c>
    </row>
    <row r="79" spans="1:131" ht="137.25" customHeight="1">
      <c r="A79" s="1209" t="str">
        <f ca="1">IF(AS79="","",COUNTA($A$76:E78)-COUNTIF($A$76:A78,"")+1)</f>
        <v/>
      </c>
      <c r="B79" s="1210"/>
      <c r="C79" s="1210"/>
      <c r="D79" s="1210"/>
      <c r="E79" s="1210"/>
      <c r="F79" s="1211" t="str">
        <f ca="1">'В авансовый отчет'!$D22</f>
        <v/>
      </c>
      <c r="G79" s="1211"/>
      <c r="H79" s="1211"/>
      <c r="I79" s="1211"/>
      <c r="J79" s="1211"/>
      <c r="K79" s="1211"/>
      <c r="L79" s="1211"/>
      <c r="M79" s="1210" t="str">
        <f ca="1">'В авансовый отчет'!$E22</f>
        <v/>
      </c>
      <c r="N79" s="1210"/>
      <c r="O79" s="1210"/>
      <c r="P79" s="1210"/>
      <c r="Q79" s="1210"/>
      <c r="R79" s="1210"/>
      <c r="S79" s="1210"/>
      <c r="T79" s="1210"/>
      <c r="U79" s="1212" t="str">
        <f ca="1">'В авансовый отчет'!$I22</f>
        <v/>
      </c>
      <c r="V79" s="1212"/>
      <c r="W79" s="1212"/>
      <c r="X79" s="1212"/>
      <c r="Y79" s="1212"/>
      <c r="Z79" s="1212"/>
      <c r="AA79" s="1212"/>
      <c r="AB79" s="1212"/>
      <c r="AC79" s="1212"/>
      <c r="AD79" s="1212"/>
      <c r="AE79" s="1212"/>
      <c r="AF79" s="1212"/>
      <c r="AG79" s="1212"/>
      <c r="AH79" s="1212"/>
      <c r="AI79" s="1212"/>
      <c r="AJ79" s="1212"/>
      <c r="AK79" s="1212"/>
      <c r="AL79" s="1212"/>
      <c r="AM79" s="1212"/>
      <c r="AN79" s="1212"/>
      <c r="AO79" s="1212"/>
      <c r="AP79" s="1212"/>
      <c r="AQ79" s="1212"/>
      <c r="AR79" s="1212"/>
      <c r="AS79" s="1213" t="str">
        <f ca="1">'В авансовый отчет'!$C22</f>
        <v/>
      </c>
      <c r="AT79" s="1213"/>
      <c r="AU79" s="1213"/>
      <c r="AV79" s="1213"/>
      <c r="AW79" s="1213"/>
      <c r="AX79" s="1213"/>
      <c r="AY79" s="1213"/>
      <c r="AZ79" s="1213"/>
      <c r="BA79" s="1213"/>
      <c r="BB79" s="1213"/>
      <c r="BC79" s="1213"/>
      <c r="BD79" s="1190"/>
      <c r="BE79" s="1190"/>
      <c r="BF79" s="1190"/>
      <c r="BG79" s="1190"/>
      <c r="BH79" s="1190"/>
      <c r="BI79" s="1190"/>
      <c r="BJ79" s="1190"/>
      <c r="BK79" s="1190"/>
      <c r="BL79" s="1190"/>
      <c r="BM79" s="1213" t="str">
        <f ca="1">'В авансовый отчет'!$C22</f>
        <v/>
      </c>
      <c r="BN79" s="1213"/>
      <c r="BO79" s="1213"/>
      <c r="BP79" s="1213"/>
      <c r="BQ79" s="1213"/>
      <c r="BR79" s="1213"/>
      <c r="BS79" s="1213"/>
      <c r="BT79" s="1213"/>
      <c r="BU79" s="1213"/>
      <c r="BV79" s="1213"/>
      <c r="BW79" s="1213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0"/>
      <c r="CH79" s="1190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0"/>
      <c r="CT79" s="1190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201"/>
      <c r="DE79" s="466" t="str">
        <f ca="1">'В авансовый отчет'!V22</f>
        <v/>
      </c>
      <c r="DF79" s="1" t="str">
        <f t="shared" si="1"/>
        <v>20--</v>
      </c>
      <c r="DG79" s="551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1">
        <f t="shared" si="0"/>
        <v>0</v>
      </c>
      <c r="EA79" s="1">
        <f>'В авансовый отчет'!B34</f>
        <v>0</v>
      </c>
    </row>
    <row r="80" spans="1:131" ht="137.25" customHeight="1">
      <c r="A80" s="1209" t="str">
        <f ca="1">IF(AS80="","",COUNTA($A$76:E79)-COUNTIF($A$76:A79,"")+1)</f>
        <v/>
      </c>
      <c r="B80" s="1210"/>
      <c r="C80" s="1210"/>
      <c r="D80" s="1210"/>
      <c r="E80" s="1210"/>
      <c r="F80" s="1211" t="str">
        <f ca="1">'В авансовый отчет'!$D23</f>
        <v/>
      </c>
      <c r="G80" s="1211"/>
      <c r="H80" s="1211"/>
      <c r="I80" s="1211"/>
      <c r="J80" s="1211"/>
      <c r="K80" s="1211"/>
      <c r="L80" s="1211"/>
      <c r="M80" s="1210" t="str">
        <f ca="1">'В авансовый отчет'!$E23</f>
        <v/>
      </c>
      <c r="N80" s="1210"/>
      <c r="O80" s="1210"/>
      <c r="P80" s="1210"/>
      <c r="Q80" s="1210"/>
      <c r="R80" s="1210"/>
      <c r="S80" s="1210"/>
      <c r="T80" s="1210"/>
      <c r="U80" s="1212" t="str">
        <f ca="1">'В авансовый отчет'!$I23</f>
        <v/>
      </c>
      <c r="V80" s="1212"/>
      <c r="W80" s="1212"/>
      <c r="X80" s="1212"/>
      <c r="Y80" s="1212"/>
      <c r="Z80" s="1212"/>
      <c r="AA80" s="1212"/>
      <c r="AB80" s="1212"/>
      <c r="AC80" s="1212"/>
      <c r="AD80" s="1212"/>
      <c r="AE80" s="1212"/>
      <c r="AF80" s="1212"/>
      <c r="AG80" s="1212"/>
      <c r="AH80" s="1212"/>
      <c r="AI80" s="1212"/>
      <c r="AJ80" s="1212"/>
      <c r="AK80" s="1212"/>
      <c r="AL80" s="1212"/>
      <c r="AM80" s="1212"/>
      <c r="AN80" s="1212"/>
      <c r="AO80" s="1212"/>
      <c r="AP80" s="1212"/>
      <c r="AQ80" s="1212"/>
      <c r="AR80" s="1212"/>
      <c r="AS80" s="1213" t="str">
        <f ca="1">'В авансовый отчет'!$C23</f>
        <v/>
      </c>
      <c r="AT80" s="1213"/>
      <c r="AU80" s="1213"/>
      <c r="AV80" s="1213"/>
      <c r="AW80" s="1213"/>
      <c r="AX80" s="1213"/>
      <c r="AY80" s="1213"/>
      <c r="AZ80" s="1213"/>
      <c r="BA80" s="1213"/>
      <c r="BB80" s="1213"/>
      <c r="BC80" s="1213"/>
      <c r="BD80" s="1190"/>
      <c r="BE80" s="1190"/>
      <c r="BF80" s="1190"/>
      <c r="BG80" s="1190"/>
      <c r="BH80" s="1190"/>
      <c r="BI80" s="1190"/>
      <c r="BJ80" s="1190"/>
      <c r="BK80" s="1190"/>
      <c r="BL80" s="1190"/>
      <c r="BM80" s="1213" t="str">
        <f ca="1">'В авансовый отчет'!$C23</f>
        <v/>
      </c>
      <c r="BN80" s="1213"/>
      <c r="BO80" s="1213"/>
      <c r="BP80" s="1213"/>
      <c r="BQ80" s="1213"/>
      <c r="BR80" s="1213"/>
      <c r="BS80" s="1213"/>
      <c r="BT80" s="1213"/>
      <c r="BU80" s="1213"/>
      <c r="BV80" s="1213"/>
      <c r="BW80" s="1213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0"/>
      <c r="CH80" s="1190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0"/>
      <c r="CT80" s="1190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201"/>
      <c r="DE80" s="466" t="str">
        <f ca="1">'В авансовый отчет'!V23</f>
        <v/>
      </c>
      <c r="DF80" s="1" t="str">
        <f t="shared" si="1"/>
        <v>20--</v>
      </c>
      <c r="DG80" s="551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1">
        <f t="shared" si="0"/>
        <v>0</v>
      </c>
      <c r="EA80" s="1">
        <f>'В авансовый отчет'!B35</f>
        <v>0</v>
      </c>
    </row>
    <row r="81" spans="1:131" ht="137.25" customHeight="1">
      <c r="A81" s="1209" t="str">
        <f ca="1">IF(AS81="","",COUNTA($A$76:E80)-COUNTIF($A$76:A80,"")+1)</f>
        <v/>
      </c>
      <c r="B81" s="1210"/>
      <c r="C81" s="1210"/>
      <c r="D81" s="1210"/>
      <c r="E81" s="1210"/>
      <c r="F81" s="1211" t="str">
        <f ca="1">'В авансовый отчет'!$D24</f>
        <v/>
      </c>
      <c r="G81" s="1211"/>
      <c r="H81" s="1211"/>
      <c r="I81" s="1211"/>
      <c r="J81" s="1211"/>
      <c r="K81" s="1211"/>
      <c r="L81" s="1211"/>
      <c r="M81" s="1210" t="str">
        <f ca="1">'В авансовый отчет'!$E24</f>
        <v/>
      </c>
      <c r="N81" s="1210"/>
      <c r="O81" s="1210"/>
      <c r="P81" s="1210"/>
      <c r="Q81" s="1210"/>
      <c r="R81" s="1210"/>
      <c r="S81" s="1210"/>
      <c r="T81" s="1210"/>
      <c r="U81" s="1212" t="str">
        <f ca="1">'В авансовый отчет'!$I24</f>
        <v/>
      </c>
      <c r="V81" s="1212"/>
      <c r="W81" s="1212"/>
      <c r="X81" s="1212"/>
      <c r="Y81" s="1212"/>
      <c r="Z81" s="1212"/>
      <c r="AA81" s="1212"/>
      <c r="AB81" s="1212"/>
      <c r="AC81" s="1212"/>
      <c r="AD81" s="1212"/>
      <c r="AE81" s="1212"/>
      <c r="AF81" s="1212"/>
      <c r="AG81" s="1212"/>
      <c r="AH81" s="1212"/>
      <c r="AI81" s="1212"/>
      <c r="AJ81" s="1212"/>
      <c r="AK81" s="1212"/>
      <c r="AL81" s="1212"/>
      <c r="AM81" s="1212"/>
      <c r="AN81" s="1212"/>
      <c r="AO81" s="1212"/>
      <c r="AP81" s="1212"/>
      <c r="AQ81" s="1212"/>
      <c r="AR81" s="1212"/>
      <c r="AS81" s="1213" t="str">
        <f ca="1">'В авансовый отчет'!$C24</f>
        <v/>
      </c>
      <c r="AT81" s="1213"/>
      <c r="AU81" s="1213"/>
      <c r="AV81" s="1213"/>
      <c r="AW81" s="1213"/>
      <c r="AX81" s="1213"/>
      <c r="AY81" s="1213"/>
      <c r="AZ81" s="1213"/>
      <c r="BA81" s="1213"/>
      <c r="BB81" s="1213"/>
      <c r="BC81" s="1213"/>
      <c r="BD81" s="1190"/>
      <c r="BE81" s="1190"/>
      <c r="BF81" s="1190"/>
      <c r="BG81" s="1190"/>
      <c r="BH81" s="1190"/>
      <c r="BI81" s="1190"/>
      <c r="BJ81" s="1190"/>
      <c r="BK81" s="1190"/>
      <c r="BL81" s="1190"/>
      <c r="BM81" s="1213" t="str">
        <f ca="1">'В авансовый отчет'!$C24</f>
        <v/>
      </c>
      <c r="BN81" s="1213"/>
      <c r="BO81" s="1213"/>
      <c r="BP81" s="1213"/>
      <c r="BQ81" s="1213"/>
      <c r="BR81" s="1213"/>
      <c r="BS81" s="1213"/>
      <c r="BT81" s="1213"/>
      <c r="BU81" s="1213"/>
      <c r="BV81" s="1213"/>
      <c r="BW81" s="1213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0"/>
      <c r="CH81" s="1190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0"/>
      <c r="CT81" s="1190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201"/>
      <c r="DE81" s="466" t="str">
        <f ca="1">'В авансовый отчет'!V24</f>
        <v/>
      </c>
      <c r="DF81" s="1" t="str">
        <f t="shared" si="1"/>
        <v>20--</v>
      </c>
      <c r="DG81" s="551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1">
        <f t="shared" si="0"/>
        <v>0</v>
      </c>
      <c r="EA81" s="1">
        <f>'В авансовый отчет'!B36</f>
        <v>0</v>
      </c>
    </row>
    <row r="82" spans="1:131" ht="137.25" customHeight="1">
      <c r="A82" s="1209" t="str">
        <f ca="1">IF(AS82="","",COUNTA($A$76:E81)-COUNTIF($A$76:A81,"")+1)</f>
        <v/>
      </c>
      <c r="B82" s="1210"/>
      <c r="C82" s="1210"/>
      <c r="D82" s="1210"/>
      <c r="E82" s="1210"/>
      <c r="F82" s="1211" t="str">
        <f ca="1">'В авансовый отчет'!$D25</f>
        <v/>
      </c>
      <c r="G82" s="1211"/>
      <c r="H82" s="1211"/>
      <c r="I82" s="1211"/>
      <c r="J82" s="1211"/>
      <c r="K82" s="1211"/>
      <c r="L82" s="1211"/>
      <c r="M82" s="1210" t="str">
        <f ca="1">'В авансовый отчет'!$E25</f>
        <v/>
      </c>
      <c r="N82" s="1210"/>
      <c r="O82" s="1210"/>
      <c r="P82" s="1210"/>
      <c r="Q82" s="1210"/>
      <c r="R82" s="1210"/>
      <c r="S82" s="1210"/>
      <c r="T82" s="1210"/>
      <c r="U82" s="1212" t="str">
        <f ca="1">'В авансовый отчет'!$I25</f>
        <v/>
      </c>
      <c r="V82" s="1212"/>
      <c r="W82" s="1212"/>
      <c r="X82" s="1212"/>
      <c r="Y82" s="1212"/>
      <c r="Z82" s="1212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2"/>
      <c r="AL82" s="1212"/>
      <c r="AM82" s="1212"/>
      <c r="AN82" s="1212"/>
      <c r="AO82" s="1212"/>
      <c r="AP82" s="1212"/>
      <c r="AQ82" s="1212"/>
      <c r="AR82" s="1212"/>
      <c r="AS82" s="1213" t="str">
        <f ca="1">'В авансовый отчет'!$C25</f>
        <v/>
      </c>
      <c r="AT82" s="1213"/>
      <c r="AU82" s="1213"/>
      <c r="AV82" s="1213"/>
      <c r="AW82" s="1213"/>
      <c r="AX82" s="1213"/>
      <c r="AY82" s="1213"/>
      <c r="AZ82" s="1213"/>
      <c r="BA82" s="1213"/>
      <c r="BB82" s="1213"/>
      <c r="BC82" s="1213"/>
      <c r="BD82" s="1190"/>
      <c r="BE82" s="1190"/>
      <c r="BF82" s="1190"/>
      <c r="BG82" s="1190"/>
      <c r="BH82" s="1190"/>
      <c r="BI82" s="1190"/>
      <c r="BJ82" s="1190"/>
      <c r="BK82" s="1190"/>
      <c r="BL82" s="1190"/>
      <c r="BM82" s="1213" t="str">
        <f ca="1">'В авансовый отчет'!$C25</f>
        <v/>
      </c>
      <c r="BN82" s="1213"/>
      <c r="BO82" s="1213"/>
      <c r="BP82" s="1213"/>
      <c r="BQ82" s="1213"/>
      <c r="BR82" s="1213"/>
      <c r="BS82" s="1213"/>
      <c r="BT82" s="1213"/>
      <c r="BU82" s="1213"/>
      <c r="BV82" s="1213"/>
      <c r="BW82" s="1213"/>
      <c r="BX82" s="1190"/>
      <c r="BY82" s="1190"/>
      <c r="BZ82" s="1190"/>
      <c r="CA82" s="1190"/>
      <c r="CB82" s="1190"/>
      <c r="CC82" s="1190"/>
      <c r="CD82" s="1190"/>
      <c r="CE82" s="1190"/>
      <c r="CF82" s="1190"/>
      <c r="CG82" s="1190"/>
      <c r="CH82" s="1190"/>
      <c r="CI82" s="1190"/>
      <c r="CJ82" s="1190"/>
      <c r="CK82" s="1190"/>
      <c r="CL82" s="1190"/>
      <c r="CM82" s="1190"/>
      <c r="CN82" s="1190"/>
      <c r="CO82" s="1190"/>
      <c r="CP82" s="1190"/>
      <c r="CQ82" s="1190"/>
      <c r="CR82" s="1190"/>
      <c r="CS82" s="1190"/>
      <c r="CT82" s="1190"/>
      <c r="CU82" s="1190"/>
      <c r="CV82" s="1190"/>
      <c r="CW82" s="1190"/>
      <c r="CX82" s="1190"/>
      <c r="CY82" s="1190"/>
      <c r="CZ82" s="1190"/>
      <c r="DA82" s="1190"/>
      <c r="DB82" s="1190"/>
      <c r="DC82" s="1190"/>
      <c r="DD82" s="1201"/>
      <c r="DE82" s="466" t="str">
        <f ca="1">'В авансовый отчет'!V25</f>
        <v/>
      </c>
      <c r="DF82" s="1" t="str">
        <f t="shared" si="1"/>
        <v>20--</v>
      </c>
      <c r="DG82" s="551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1">
        <f t="shared" si="0"/>
        <v>0</v>
      </c>
      <c r="EA82" s="1">
        <f>'В авансовый отчет'!B37</f>
        <v>0</v>
      </c>
    </row>
    <row r="83" spans="1:131" ht="137.25" customHeight="1">
      <c r="A83" s="1209" t="str">
        <f ca="1">IF(AS83="","",COUNTA($A$76:E82)-COUNTIF($A$76:A82,"")+1)</f>
        <v/>
      </c>
      <c r="B83" s="1210"/>
      <c r="C83" s="1210"/>
      <c r="D83" s="1210"/>
      <c r="E83" s="1210"/>
      <c r="F83" s="1211" t="str">
        <f ca="1">'В авансовый отчет'!$D26</f>
        <v/>
      </c>
      <c r="G83" s="1211"/>
      <c r="H83" s="1211"/>
      <c r="I83" s="1211"/>
      <c r="J83" s="1211"/>
      <c r="K83" s="1211"/>
      <c r="L83" s="1211"/>
      <c r="M83" s="1210" t="str">
        <f ca="1">'В авансовый отчет'!$E26</f>
        <v/>
      </c>
      <c r="N83" s="1210"/>
      <c r="O83" s="1210"/>
      <c r="P83" s="1210"/>
      <c r="Q83" s="1210"/>
      <c r="R83" s="1210"/>
      <c r="S83" s="1210"/>
      <c r="T83" s="1210"/>
      <c r="U83" s="1212" t="str">
        <f ca="1">'В авансовый отчет'!$I26</f>
        <v/>
      </c>
      <c r="V83" s="1212"/>
      <c r="W83" s="1212"/>
      <c r="X83" s="1212"/>
      <c r="Y83" s="1212"/>
      <c r="Z83" s="1212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2"/>
      <c r="AL83" s="1212"/>
      <c r="AM83" s="1212"/>
      <c r="AN83" s="1212"/>
      <c r="AO83" s="1212"/>
      <c r="AP83" s="1212"/>
      <c r="AQ83" s="1212"/>
      <c r="AR83" s="1212"/>
      <c r="AS83" s="1213" t="str">
        <f ca="1">'В авансовый отчет'!$C26</f>
        <v/>
      </c>
      <c r="AT83" s="1213"/>
      <c r="AU83" s="1213"/>
      <c r="AV83" s="1213"/>
      <c r="AW83" s="1213"/>
      <c r="AX83" s="1213"/>
      <c r="AY83" s="1213"/>
      <c r="AZ83" s="1213"/>
      <c r="BA83" s="1213"/>
      <c r="BB83" s="1213"/>
      <c r="BC83" s="1213"/>
      <c r="BD83" s="1190"/>
      <c r="BE83" s="1190"/>
      <c r="BF83" s="1190"/>
      <c r="BG83" s="1190"/>
      <c r="BH83" s="1190"/>
      <c r="BI83" s="1190"/>
      <c r="BJ83" s="1190"/>
      <c r="BK83" s="1190"/>
      <c r="BL83" s="1190"/>
      <c r="BM83" s="1213" t="str">
        <f ca="1">'В авансовый отчет'!$C26</f>
        <v/>
      </c>
      <c r="BN83" s="1213"/>
      <c r="BO83" s="1213"/>
      <c r="BP83" s="1213"/>
      <c r="BQ83" s="1213"/>
      <c r="BR83" s="1213"/>
      <c r="BS83" s="1213"/>
      <c r="BT83" s="1213"/>
      <c r="BU83" s="1213"/>
      <c r="BV83" s="1213"/>
      <c r="BW83" s="1213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0"/>
      <c r="CH83" s="1190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0"/>
      <c r="CT83" s="1190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201"/>
      <c r="DE83" s="466" t="str">
        <f ca="1">'В авансовый отчет'!V26</f>
        <v/>
      </c>
      <c r="DF83" s="1" t="str">
        <f t="shared" si="1"/>
        <v>20--</v>
      </c>
      <c r="DG83" s="551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1">
        <f t="shared" si="0"/>
        <v>0</v>
      </c>
      <c r="EA83" s="1">
        <f>'В авансовый отчет'!B38</f>
        <v>0</v>
      </c>
    </row>
    <row r="84" spans="1:131" ht="137.25" customHeight="1">
      <c r="A84" s="1209" t="str">
        <f ca="1">IF(AS84="","",COUNTA($A$76:E83)-COUNTIF($A$76:A83,"")+1)</f>
        <v/>
      </c>
      <c r="B84" s="1210"/>
      <c r="C84" s="1210"/>
      <c r="D84" s="1210"/>
      <c r="E84" s="1210"/>
      <c r="F84" s="1211" t="str">
        <f ca="1">'В авансовый отчет'!$D27</f>
        <v/>
      </c>
      <c r="G84" s="1211"/>
      <c r="H84" s="1211"/>
      <c r="I84" s="1211"/>
      <c r="J84" s="1211"/>
      <c r="K84" s="1211"/>
      <c r="L84" s="1211"/>
      <c r="M84" s="1210" t="str">
        <f ca="1">'В авансовый отчет'!$E27</f>
        <v/>
      </c>
      <c r="N84" s="1210"/>
      <c r="O84" s="1210"/>
      <c r="P84" s="1210"/>
      <c r="Q84" s="1210"/>
      <c r="R84" s="1210"/>
      <c r="S84" s="1210"/>
      <c r="T84" s="1210"/>
      <c r="U84" s="1212" t="str">
        <f ca="1">'В авансовый отчет'!$I27</f>
        <v/>
      </c>
      <c r="V84" s="1212"/>
      <c r="W84" s="1212"/>
      <c r="X84" s="1212"/>
      <c r="Y84" s="1212"/>
      <c r="Z84" s="1212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2"/>
      <c r="AL84" s="1212"/>
      <c r="AM84" s="1212"/>
      <c r="AN84" s="1212"/>
      <c r="AO84" s="1212"/>
      <c r="AP84" s="1212"/>
      <c r="AQ84" s="1212"/>
      <c r="AR84" s="1212"/>
      <c r="AS84" s="1213" t="str">
        <f ca="1">'В авансовый отчет'!$C27</f>
        <v/>
      </c>
      <c r="AT84" s="1213"/>
      <c r="AU84" s="1213"/>
      <c r="AV84" s="1213"/>
      <c r="AW84" s="1213"/>
      <c r="AX84" s="1213"/>
      <c r="AY84" s="1213"/>
      <c r="AZ84" s="1213"/>
      <c r="BA84" s="1213"/>
      <c r="BB84" s="1213"/>
      <c r="BC84" s="1213"/>
      <c r="BD84" s="1190"/>
      <c r="BE84" s="1190"/>
      <c r="BF84" s="1190"/>
      <c r="BG84" s="1190"/>
      <c r="BH84" s="1190"/>
      <c r="BI84" s="1190"/>
      <c r="BJ84" s="1190"/>
      <c r="BK84" s="1190"/>
      <c r="BL84" s="1190"/>
      <c r="BM84" s="1213" t="str">
        <f ca="1">'В авансовый отчет'!$C27</f>
        <v/>
      </c>
      <c r="BN84" s="1213"/>
      <c r="BO84" s="1213"/>
      <c r="BP84" s="1213"/>
      <c r="BQ84" s="1213"/>
      <c r="BR84" s="1213"/>
      <c r="BS84" s="1213"/>
      <c r="BT84" s="1213"/>
      <c r="BU84" s="1213"/>
      <c r="BV84" s="1213"/>
      <c r="BW84" s="1213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0"/>
      <c r="CH84" s="1190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0"/>
      <c r="CT84" s="1190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201"/>
      <c r="DE84" s="466" t="str">
        <f ca="1">'В авансовый отчет'!V27</f>
        <v/>
      </c>
      <c r="DF84" s="1" t="str">
        <f t="shared" si="1"/>
        <v>20--</v>
      </c>
      <c r="DG84" s="551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1">
        <f t="shared" si="0"/>
        <v>0</v>
      </c>
      <c r="EA84" s="1">
        <f>'В авансовый отчет'!B39</f>
        <v>0</v>
      </c>
    </row>
    <row r="85" spans="1:131" ht="137.25" customHeight="1">
      <c r="A85" s="1209" t="str">
        <f ca="1">IF(AS85="","",COUNTA($A$76:E84)-COUNTIF($A$76:A84,"")+1)</f>
        <v/>
      </c>
      <c r="B85" s="1210"/>
      <c r="C85" s="1210"/>
      <c r="D85" s="1210"/>
      <c r="E85" s="1210"/>
      <c r="F85" s="1211" t="str">
        <f ca="1">'В авансовый отчет'!$D28</f>
        <v/>
      </c>
      <c r="G85" s="1211"/>
      <c r="H85" s="1211"/>
      <c r="I85" s="1211"/>
      <c r="J85" s="1211"/>
      <c r="K85" s="1211"/>
      <c r="L85" s="1211"/>
      <c r="M85" s="1210" t="str">
        <f ca="1">'В авансовый отчет'!$E28</f>
        <v/>
      </c>
      <c r="N85" s="1210"/>
      <c r="O85" s="1210"/>
      <c r="P85" s="1210"/>
      <c r="Q85" s="1210"/>
      <c r="R85" s="1210"/>
      <c r="S85" s="1210"/>
      <c r="T85" s="1210"/>
      <c r="U85" s="1212" t="str">
        <f ca="1">'В авансовый отчет'!$I28</f>
        <v/>
      </c>
      <c r="V85" s="1212"/>
      <c r="W85" s="1212"/>
      <c r="X85" s="1212"/>
      <c r="Y85" s="1212"/>
      <c r="Z85" s="1212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2"/>
      <c r="AL85" s="1212"/>
      <c r="AM85" s="1212"/>
      <c r="AN85" s="1212"/>
      <c r="AO85" s="1212"/>
      <c r="AP85" s="1212"/>
      <c r="AQ85" s="1212"/>
      <c r="AR85" s="1212"/>
      <c r="AS85" s="1213" t="str">
        <f ca="1">'В авансовый отчет'!$C28</f>
        <v/>
      </c>
      <c r="AT85" s="1213"/>
      <c r="AU85" s="1213"/>
      <c r="AV85" s="1213"/>
      <c r="AW85" s="1213"/>
      <c r="AX85" s="1213"/>
      <c r="AY85" s="1213"/>
      <c r="AZ85" s="1213"/>
      <c r="BA85" s="1213"/>
      <c r="BB85" s="1213"/>
      <c r="BC85" s="1213"/>
      <c r="BD85" s="1190"/>
      <c r="BE85" s="1190"/>
      <c r="BF85" s="1190"/>
      <c r="BG85" s="1190"/>
      <c r="BH85" s="1190"/>
      <c r="BI85" s="1190"/>
      <c r="BJ85" s="1190"/>
      <c r="BK85" s="1190"/>
      <c r="BL85" s="1190"/>
      <c r="BM85" s="1213" t="str">
        <f ca="1">'В авансовый отчет'!$C28</f>
        <v/>
      </c>
      <c r="BN85" s="1213"/>
      <c r="BO85" s="1213"/>
      <c r="BP85" s="1213"/>
      <c r="BQ85" s="1213"/>
      <c r="BR85" s="1213"/>
      <c r="BS85" s="1213"/>
      <c r="BT85" s="1213"/>
      <c r="BU85" s="1213"/>
      <c r="BV85" s="1213"/>
      <c r="BW85" s="1213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0"/>
      <c r="CH85" s="1190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0"/>
      <c r="CT85" s="1190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201"/>
      <c r="DE85" s="466" t="str">
        <f ca="1">'В авансовый отчет'!V28</f>
        <v/>
      </c>
      <c r="DF85" s="1" t="str">
        <f t="shared" si="1"/>
        <v>20--</v>
      </c>
      <c r="DG85" s="551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1">
        <f t="shared" si="0"/>
        <v>0</v>
      </c>
      <c r="EA85" s="1">
        <f>'В авансовый отчет'!B40</f>
        <v>0</v>
      </c>
    </row>
    <row r="86" spans="1:131" ht="15.75">
      <c r="A86" s="1202" t="str">
        <f>IF(AS86="","",COUNTA($A$76:E85)-COUNTIF($A$76:A85,"")+1)</f>
        <v/>
      </c>
      <c r="B86" s="1202"/>
      <c r="C86" s="1202"/>
      <c r="D86" s="1202"/>
      <c r="E86" s="1203"/>
      <c r="F86" s="1207"/>
      <c r="G86" s="1207"/>
      <c r="H86" s="1207"/>
      <c r="I86" s="1207"/>
      <c r="J86" s="1207"/>
      <c r="K86" s="1207"/>
      <c r="L86" s="1207"/>
      <c r="M86" s="1207"/>
      <c r="N86" s="1207"/>
      <c r="O86" s="1207"/>
      <c r="P86" s="1207"/>
      <c r="Q86" s="1207"/>
      <c r="R86" s="1207"/>
      <c r="S86" s="1207"/>
      <c r="T86" s="1207"/>
      <c r="U86" s="1208"/>
      <c r="V86" s="1208"/>
      <c r="W86" s="1208"/>
      <c r="X86" s="1208"/>
      <c r="Y86" s="1208"/>
      <c r="Z86" s="1208"/>
      <c r="AA86" s="1208"/>
      <c r="AB86" s="1208"/>
      <c r="AC86" s="1208"/>
      <c r="AD86" s="1208"/>
      <c r="AE86" s="1208"/>
      <c r="AF86" s="1208"/>
      <c r="AG86" s="1208"/>
      <c r="AH86" s="1208"/>
      <c r="AI86" s="1208"/>
      <c r="AJ86" s="1208"/>
      <c r="AK86" s="1208"/>
      <c r="AL86" s="1208"/>
      <c r="AM86" s="1208"/>
      <c r="AN86" s="1208"/>
      <c r="AO86" s="1208"/>
      <c r="AP86" s="1208"/>
      <c r="AQ86" s="1208"/>
      <c r="AR86" s="1208"/>
      <c r="AS86" s="1191"/>
      <c r="AT86" s="1191"/>
      <c r="AU86" s="1191"/>
      <c r="AV86" s="1191"/>
      <c r="AW86" s="1191"/>
      <c r="AX86" s="1191"/>
      <c r="AY86" s="1191"/>
      <c r="AZ86" s="1191"/>
      <c r="BA86" s="1191"/>
      <c r="BB86" s="1191"/>
      <c r="BC86" s="1191"/>
      <c r="BD86" s="1190"/>
      <c r="BE86" s="1190"/>
      <c r="BF86" s="1190"/>
      <c r="BG86" s="1190"/>
      <c r="BH86" s="1190"/>
      <c r="BI86" s="1190"/>
      <c r="BJ86" s="1190"/>
      <c r="BK86" s="1190"/>
      <c r="BL86" s="1190"/>
      <c r="BM86" s="1191"/>
      <c r="BN86" s="1191"/>
      <c r="BO86" s="1191"/>
      <c r="BP86" s="1191"/>
      <c r="BQ86" s="1191"/>
      <c r="BR86" s="1191"/>
      <c r="BS86" s="1191"/>
      <c r="BT86" s="1191"/>
      <c r="BU86" s="1191"/>
      <c r="BV86" s="1191"/>
      <c r="BW86" s="1191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0"/>
      <c r="CH86" s="1190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0"/>
      <c r="CT86" s="1190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201"/>
      <c r="DE86" s="466"/>
      <c r="DF86" s="1" t="str">
        <f t="shared" si="1"/>
        <v>20--</v>
      </c>
      <c r="DG86" s="551">
        <f>'Настройки ТИК'!$C$55</f>
        <v>0</v>
      </c>
      <c r="DL86" s="571">
        <f t="shared" si="0"/>
        <v>0</v>
      </c>
      <c r="EA86" s="1">
        <f>'В авансовый отчет'!B41</f>
        <v>0</v>
      </c>
    </row>
    <row r="87" spans="1:131" ht="15.75">
      <c r="A87" s="1202" t="str">
        <f>IF(AS87="","",COUNTA($A$76:E86)-COUNTIF($A$76:A86,"")+1)</f>
        <v/>
      </c>
      <c r="B87" s="1202"/>
      <c r="C87" s="1202"/>
      <c r="D87" s="1202"/>
      <c r="E87" s="1203"/>
      <c r="F87" s="1207"/>
      <c r="G87" s="1207"/>
      <c r="H87" s="1207"/>
      <c r="I87" s="1207"/>
      <c r="J87" s="1207"/>
      <c r="K87" s="1207"/>
      <c r="L87" s="1207"/>
      <c r="M87" s="1207"/>
      <c r="N87" s="1207"/>
      <c r="O87" s="1207"/>
      <c r="P87" s="1207"/>
      <c r="Q87" s="1207"/>
      <c r="R87" s="1207"/>
      <c r="S87" s="1207"/>
      <c r="T87" s="1207"/>
      <c r="U87" s="1208"/>
      <c r="V87" s="1208"/>
      <c r="W87" s="1208"/>
      <c r="X87" s="1208"/>
      <c r="Y87" s="1208"/>
      <c r="Z87" s="1208"/>
      <c r="AA87" s="1208"/>
      <c r="AB87" s="1208"/>
      <c r="AC87" s="1208"/>
      <c r="AD87" s="1208"/>
      <c r="AE87" s="1208"/>
      <c r="AF87" s="1208"/>
      <c r="AG87" s="1208"/>
      <c r="AH87" s="1208"/>
      <c r="AI87" s="1208"/>
      <c r="AJ87" s="1208"/>
      <c r="AK87" s="1208"/>
      <c r="AL87" s="1208"/>
      <c r="AM87" s="1208"/>
      <c r="AN87" s="1208"/>
      <c r="AO87" s="1208"/>
      <c r="AP87" s="1208"/>
      <c r="AQ87" s="1208"/>
      <c r="AR87" s="1208"/>
      <c r="AS87" s="1191"/>
      <c r="AT87" s="1191"/>
      <c r="AU87" s="1191"/>
      <c r="AV87" s="1191"/>
      <c r="AW87" s="1191"/>
      <c r="AX87" s="1191"/>
      <c r="AY87" s="1191"/>
      <c r="AZ87" s="1191"/>
      <c r="BA87" s="1191"/>
      <c r="BB87" s="1191"/>
      <c r="BC87" s="1191"/>
      <c r="BD87" s="1190"/>
      <c r="BE87" s="1190"/>
      <c r="BF87" s="1190"/>
      <c r="BG87" s="1190"/>
      <c r="BH87" s="1190"/>
      <c r="BI87" s="1190"/>
      <c r="BJ87" s="1190"/>
      <c r="BK87" s="1190"/>
      <c r="BL87" s="1190"/>
      <c r="BM87" s="1191"/>
      <c r="BN87" s="1191"/>
      <c r="BO87" s="1191"/>
      <c r="BP87" s="1191"/>
      <c r="BQ87" s="1191"/>
      <c r="BR87" s="1191"/>
      <c r="BS87" s="1191"/>
      <c r="BT87" s="1191"/>
      <c r="BU87" s="1191"/>
      <c r="BV87" s="1191"/>
      <c r="BW87" s="1191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0"/>
      <c r="CH87" s="1190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0"/>
      <c r="CT87" s="1190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201"/>
      <c r="DE87" s="466"/>
      <c r="DF87" s="1" t="str">
        <f t="shared" si="1"/>
        <v>20--</v>
      </c>
      <c r="DG87" s="551">
        <f>'Настройки ТИК'!$C$55</f>
        <v>0</v>
      </c>
      <c r="DL87" s="571">
        <f t="shared" si="0"/>
        <v>0</v>
      </c>
    </row>
    <row r="88" spans="1:131" ht="15.75">
      <c r="A88" s="1202" t="str">
        <f>IF(AS88="","",COUNTA($A$76:E87)-COUNTIF($A$76:A87,"")+1)</f>
        <v/>
      </c>
      <c r="B88" s="1202"/>
      <c r="C88" s="1202"/>
      <c r="D88" s="1202"/>
      <c r="E88" s="1203"/>
      <c r="F88" s="1207"/>
      <c r="G88" s="1207"/>
      <c r="H88" s="1207"/>
      <c r="I88" s="1207"/>
      <c r="J88" s="1207"/>
      <c r="K88" s="1207"/>
      <c r="L88" s="1207"/>
      <c r="M88" s="1207"/>
      <c r="N88" s="1207"/>
      <c r="O88" s="1207"/>
      <c r="P88" s="1207"/>
      <c r="Q88" s="1207"/>
      <c r="R88" s="1207"/>
      <c r="S88" s="1207"/>
      <c r="T88" s="1207"/>
      <c r="U88" s="1208"/>
      <c r="V88" s="1208"/>
      <c r="W88" s="1208"/>
      <c r="X88" s="1208"/>
      <c r="Y88" s="1208"/>
      <c r="Z88" s="1208"/>
      <c r="AA88" s="1208"/>
      <c r="AB88" s="1208"/>
      <c r="AC88" s="1208"/>
      <c r="AD88" s="1208"/>
      <c r="AE88" s="1208"/>
      <c r="AF88" s="1208"/>
      <c r="AG88" s="1208"/>
      <c r="AH88" s="1208"/>
      <c r="AI88" s="1208"/>
      <c r="AJ88" s="1208"/>
      <c r="AK88" s="1208"/>
      <c r="AL88" s="1208"/>
      <c r="AM88" s="1208"/>
      <c r="AN88" s="1208"/>
      <c r="AO88" s="1208"/>
      <c r="AP88" s="1208"/>
      <c r="AQ88" s="1208"/>
      <c r="AR88" s="1208"/>
      <c r="AS88" s="1191"/>
      <c r="AT88" s="1191"/>
      <c r="AU88" s="1191"/>
      <c r="AV88" s="1191"/>
      <c r="AW88" s="1191"/>
      <c r="AX88" s="1191"/>
      <c r="AY88" s="1191"/>
      <c r="AZ88" s="1191"/>
      <c r="BA88" s="1191"/>
      <c r="BB88" s="1191"/>
      <c r="BC88" s="1191"/>
      <c r="BD88" s="1190"/>
      <c r="BE88" s="1190"/>
      <c r="BF88" s="1190"/>
      <c r="BG88" s="1190"/>
      <c r="BH88" s="1190"/>
      <c r="BI88" s="1190"/>
      <c r="BJ88" s="1190"/>
      <c r="BK88" s="1190"/>
      <c r="BL88" s="1190"/>
      <c r="BM88" s="1191"/>
      <c r="BN88" s="1191"/>
      <c r="BO88" s="1191"/>
      <c r="BP88" s="1191"/>
      <c r="BQ88" s="1191"/>
      <c r="BR88" s="1191"/>
      <c r="BS88" s="1191"/>
      <c r="BT88" s="1191"/>
      <c r="BU88" s="1191"/>
      <c r="BV88" s="1191"/>
      <c r="BW88" s="1191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0"/>
      <c r="CH88" s="1190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0"/>
      <c r="CT88" s="1190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201"/>
      <c r="DE88" s="466"/>
      <c r="DF88" s="1" t="str">
        <f t="shared" si="1"/>
        <v>20--</v>
      </c>
      <c r="DG88" s="551">
        <f>'Настройки ТИК'!$C$55</f>
        <v>0</v>
      </c>
      <c r="DL88" s="571">
        <f t="shared" si="0"/>
        <v>0</v>
      </c>
    </row>
    <row r="89" spans="1:131" ht="15.75">
      <c r="A89" s="1202" t="str">
        <f>IF(AS89="","",COUNTA($A$76:E88)-COUNTIF($A$76:A88,"")+1)</f>
        <v/>
      </c>
      <c r="B89" s="1202"/>
      <c r="C89" s="1202"/>
      <c r="D89" s="1202"/>
      <c r="E89" s="1203"/>
      <c r="F89" s="1207"/>
      <c r="G89" s="1207"/>
      <c r="H89" s="1207"/>
      <c r="I89" s="1207"/>
      <c r="J89" s="1207"/>
      <c r="K89" s="1207"/>
      <c r="L89" s="1207"/>
      <c r="M89" s="1207"/>
      <c r="N89" s="1207"/>
      <c r="O89" s="1207"/>
      <c r="P89" s="1207"/>
      <c r="Q89" s="1207"/>
      <c r="R89" s="1207"/>
      <c r="S89" s="1207"/>
      <c r="T89" s="1207"/>
      <c r="U89" s="1208"/>
      <c r="V89" s="1208"/>
      <c r="W89" s="1208"/>
      <c r="X89" s="1208"/>
      <c r="Y89" s="1208"/>
      <c r="Z89" s="1208"/>
      <c r="AA89" s="1208"/>
      <c r="AB89" s="1208"/>
      <c r="AC89" s="1208"/>
      <c r="AD89" s="1208"/>
      <c r="AE89" s="1208"/>
      <c r="AF89" s="1208"/>
      <c r="AG89" s="1208"/>
      <c r="AH89" s="1208"/>
      <c r="AI89" s="1208"/>
      <c r="AJ89" s="1208"/>
      <c r="AK89" s="1208"/>
      <c r="AL89" s="1208"/>
      <c r="AM89" s="1208"/>
      <c r="AN89" s="1208"/>
      <c r="AO89" s="1208"/>
      <c r="AP89" s="1208"/>
      <c r="AQ89" s="1208"/>
      <c r="AR89" s="1208"/>
      <c r="AS89" s="1191"/>
      <c r="AT89" s="1191"/>
      <c r="AU89" s="1191"/>
      <c r="AV89" s="1191"/>
      <c r="AW89" s="1191"/>
      <c r="AX89" s="1191"/>
      <c r="AY89" s="1191"/>
      <c r="AZ89" s="1191"/>
      <c r="BA89" s="1191"/>
      <c r="BB89" s="1191"/>
      <c r="BC89" s="1191"/>
      <c r="BD89" s="1190"/>
      <c r="BE89" s="1190"/>
      <c r="BF89" s="1190"/>
      <c r="BG89" s="1190"/>
      <c r="BH89" s="1190"/>
      <c r="BI89" s="1190"/>
      <c r="BJ89" s="1190"/>
      <c r="BK89" s="1190"/>
      <c r="BL89" s="1190"/>
      <c r="BM89" s="1191"/>
      <c r="BN89" s="1191"/>
      <c r="BO89" s="1191"/>
      <c r="BP89" s="1191"/>
      <c r="BQ89" s="1191"/>
      <c r="BR89" s="1191"/>
      <c r="BS89" s="1191"/>
      <c r="BT89" s="1191"/>
      <c r="BU89" s="1191"/>
      <c r="BV89" s="1191"/>
      <c r="BW89" s="1191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0"/>
      <c r="CH89" s="1190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0"/>
      <c r="CT89" s="1190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201"/>
      <c r="DE89" s="466"/>
      <c r="DF89" s="1" t="str">
        <f t="shared" si="1"/>
        <v>20--</v>
      </c>
      <c r="DG89" s="551">
        <f>'Настройки ТИК'!$C$55</f>
        <v>0</v>
      </c>
      <c r="DL89" s="571">
        <f t="shared" si="0"/>
        <v>0</v>
      </c>
    </row>
    <row r="90" spans="1:131" ht="15.75">
      <c r="A90" s="1202" t="str">
        <f>IF(AS90="","",COUNTA($A$76:E89)-COUNTIF($A$76:A89,"")+1)</f>
        <v/>
      </c>
      <c r="B90" s="1202"/>
      <c r="C90" s="1202"/>
      <c r="D90" s="1202"/>
      <c r="E90" s="1203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8"/>
      <c r="V90" s="1208"/>
      <c r="W90" s="1208"/>
      <c r="X90" s="1208"/>
      <c r="Y90" s="1208"/>
      <c r="Z90" s="1208"/>
      <c r="AA90" s="1208"/>
      <c r="AB90" s="1208"/>
      <c r="AC90" s="1208"/>
      <c r="AD90" s="1208"/>
      <c r="AE90" s="1208"/>
      <c r="AF90" s="1208"/>
      <c r="AG90" s="1208"/>
      <c r="AH90" s="1208"/>
      <c r="AI90" s="1208"/>
      <c r="AJ90" s="1208"/>
      <c r="AK90" s="1208"/>
      <c r="AL90" s="1208"/>
      <c r="AM90" s="1208"/>
      <c r="AN90" s="1208"/>
      <c r="AO90" s="1208"/>
      <c r="AP90" s="1208"/>
      <c r="AQ90" s="1208"/>
      <c r="AR90" s="1208"/>
      <c r="AS90" s="1191"/>
      <c r="AT90" s="1191"/>
      <c r="AU90" s="1191"/>
      <c r="AV90" s="1191"/>
      <c r="AW90" s="1191"/>
      <c r="AX90" s="1191"/>
      <c r="AY90" s="1191"/>
      <c r="AZ90" s="1191"/>
      <c r="BA90" s="1191"/>
      <c r="BB90" s="1191"/>
      <c r="BC90" s="1191"/>
      <c r="BD90" s="1190"/>
      <c r="BE90" s="1190"/>
      <c r="BF90" s="1190"/>
      <c r="BG90" s="1190"/>
      <c r="BH90" s="1190"/>
      <c r="BI90" s="1190"/>
      <c r="BJ90" s="1190"/>
      <c r="BK90" s="1190"/>
      <c r="BL90" s="1190"/>
      <c r="BM90" s="1191"/>
      <c r="BN90" s="1191"/>
      <c r="BO90" s="1191"/>
      <c r="BP90" s="1191"/>
      <c r="BQ90" s="1191"/>
      <c r="BR90" s="1191"/>
      <c r="BS90" s="1191"/>
      <c r="BT90" s="1191"/>
      <c r="BU90" s="1191"/>
      <c r="BV90" s="1191"/>
      <c r="BW90" s="1191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0"/>
      <c r="CH90" s="1190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0"/>
      <c r="CT90" s="1190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201"/>
      <c r="DE90" s="466"/>
      <c r="DF90" s="1" t="str">
        <f t="shared" si="1"/>
        <v>20--</v>
      </c>
      <c r="DG90" s="551">
        <f>'Настройки ТИК'!$C$55</f>
        <v>0</v>
      </c>
      <c r="DL90" s="571">
        <f t="shared" si="0"/>
        <v>0</v>
      </c>
    </row>
    <row r="91" spans="1:131" ht="15.75">
      <c r="A91" s="1202" t="str">
        <f>IF(AS91="","",COUNTA($A$76:E90)-COUNTIF($A$76:A90,"")+1)</f>
        <v/>
      </c>
      <c r="B91" s="1202"/>
      <c r="C91" s="1202"/>
      <c r="D91" s="1202"/>
      <c r="E91" s="1203"/>
      <c r="F91" s="1207"/>
      <c r="G91" s="1207"/>
      <c r="H91" s="1207"/>
      <c r="I91" s="1207"/>
      <c r="J91" s="1207"/>
      <c r="K91" s="1207"/>
      <c r="L91" s="1207"/>
      <c r="M91" s="1207"/>
      <c r="N91" s="1207"/>
      <c r="O91" s="1207"/>
      <c r="P91" s="1207"/>
      <c r="Q91" s="1207"/>
      <c r="R91" s="1207"/>
      <c r="S91" s="1207"/>
      <c r="T91" s="1207"/>
      <c r="U91" s="1208"/>
      <c r="V91" s="1208"/>
      <c r="W91" s="1208"/>
      <c r="X91" s="1208"/>
      <c r="Y91" s="1208"/>
      <c r="Z91" s="1208"/>
      <c r="AA91" s="1208"/>
      <c r="AB91" s="1208"/>
      <c r="AC91" s="1208"/>
      <c r="AD91" s="1208"/>
      <c r="AE91" s="1208"/>
      <c r="AF91" s="1208"/>
      <c r="AG91" s="1208"/>
      <c r="AH91" s="1208"/>
      <c r="AI91" s="1208"/>
      <c r="AJ91" s="1208"/>
      <c r="AK91" s="1208"/>
      <c r="AL91" s="1208"/>
      <c r="AM91" s="1208"/>
      <c r="AN91" s="1208"/>
      <c r="AO91" s="1208"/>
      <c r="AP91" s="1208"/>
      <c r="AQ91" s="1208"/>
      <c r="AR91" s="1208"/>
      <c r="AS91" s="1191"/>
      <c r="AT91" s="1191"/>
      <c r="AU91" s="1191"/>
      <c r="AV91" s="1191"/>
      <c r="AW91" s="1191"/>
      <c r="AX91" s="1191"/>
      <c r="AY91" s="1191"/>
      <c r="AZ91" s="1191"/>
      <c r="BA91" s="1191"/>
      <c r="BB91" s="1191"/>
      <c r="BC91" s="1191"/>
      <c r="BD91" s="1190"/>
      <c r="BE91" s="1190"/>
      <c r="BF91" s="1190"/>
      <c r="BG91" s="1190"/>
      <c r="BH91" s="1190"/>
      <c r="BI91" s="1190"/>
      <c r="BJ91" s="1190"/>
      <c r="BK91" s="1190"/>
      <c r="BL91" s="1190"/>
      <c r="BM91" s="1191"/>
      <c r="BN91" s="1191"/>
      <c r="BO91" s="1191"/>
      <c r="BP91" s="1191"/>
      <c r="BQ91" s="1191"/>
      <c r="BR91" s="1191"/>
      <c r="BS91" s="1191"/>
      <c r="BT91" s="1191"/>
      <c r="BU91" s="1191"/>
      <c r="BV91" s="1191"/>
      <c r="BW91" s="1191"/>
      <c r="BX91" s="1190"/>
      <c r="BY91" s="1190"/>
      <c r="BZ91" s="1190"/>
      <c r="CA91" s="1190"/>
      <c r="CB91" s="1190"/>
      <c r="CC91" s="1190"/>
      <c r="CD91" s="1190"/>
      <c r="CE91" s="1190"/>
      <c r="CF91" s="1190"/>
      <c r="CG91" s="1190"/>
      <c r="CH91" s="1190"/>
      <c r="CI91" s="1190"/>
      <c r="CJ91" s="1190"/>
      <c r="CK91" s="1190"/>
      <c r="CL91" s="1190"/>
      <c r="CM91" s="1190"/>
      <c r="CN91" s="1190"/>
      <c r="CO91" s="1190"/>
      <c r="CP91" s="1190"/>
      <c r="CQ91" s="1190"/>
      <c r="CR91" s="1190"/>
      <c r="CS91" s="1190"/>
      <c r="CT91" s="1190"/>
      <c r="CU91" s="1190"/>
      <c r="CV91" s="1190"/>
      <c r="CW91" s="1190"/>
      <c r="CX91" s="1190"/>
      <c r="CY91" s="1190"/>
      <c r="CZ91" s="1190"/>
      <c r="DA91" s="1190"/>
      <c r="DB91" s="1190"/>
      <c r="DC91" s="1190"/>
      <c r="DD91" s="1201"/>
      <c r="DE91" s="466"/>
      <c r="DF91" s="1" t="str">
        <f t="shared" si="1"/>
        <v>20--</v>
      </c>
      <c r="DG91" s="551">
        <f>'Настройки ТИК'!$C$55</f>
        <v>0</v>
      </c>
      <c r="DL91" s="571">
        <f t="shared" si="0"/>
        <v>0</v>
      </c>
    </row>
    <row r="92" spans="1:131" ht="15.75">
      <c r="A92" s="1202" t="str">
        <f>IF(AS92="","",COUNTA($A$76:E91)-COUNTIF($A$76:A91,"")+1)</f>
        <v/>
      </c>
      <c r="B92" s="1202"/>
      <c r="C92" s="1202"/>
      <c r="D92" s="1202"/>
      <c r="E92" s="1203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8"/>
      <c r="V92" s="1208"/>
      <c r="W92" s="1208"/>
      <c r="X92" s="1208"/>
      <c r="Y92" s="1208"/>
      <c r="Z92" s="1208"/>
      <c r="AA92" s="1208"/>
      <c r="AB92" s="1208"/>
      <c r="AC92" s="1208"/>
      <c r="AD92" s="1208"/>
      <c r="AE92" s="1208"/>
      <c r="AF92" s="1208"/>
      <c r="AG92" s="1208"/>
      <c r="AH92" s="1208"/>
      <c r="AI92" s="1208"/>
      <c r="AJ92" s="1208"/>
      <c r="AK92" s="1208"/>
      <c r="AL92" s="1208"/>
      <c r="AM92" s="1208"/>
      <c r="AN92" s="1208"/>
      <c r="AO92" s="1208"/>
      <c r="AP92" s="1208"/>
      <c r="AQ92" s="1208"/>
      <c r="AR92" s="1208"/>
      <c r="AS92" s="1191"/>
      <c r="AT92" s="1191"/>
      <c r="AU92" s="1191"/>
      <c r="AV92" s="1191"/>
      <c r="AW92" s="1191"/>
      <c r="AX92" s="1191"/>
      <c r="AY92" s="1191"/>
      <c r="AZ92" s="1191"/>
      <c r="BA92" s="1191"/>
      <c r="BB92" s="1191"/>
      <c r="BC92" s="119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1"/>
      <c r="BN92" s="1191"/>
      <c r="BO92" s="1191"/>
      <c r="BP92" s="1191"/>
      <c r="BQ92" s="1191"/>
      <c r="BR92" s="1191"/>
      <c r="BS92" s="1191"/>
      <c r="BT92" s="1191"/>
      <c r="BU92" s="1191"/>
      <c r="BV92" s="1191"/>
      <c r="BW92" s="1191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0"/>
      <c r="CH92" s="1190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0"/>
      <c r="CT92" s="1190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201"/>
      <c r="DE92" s="466"/>
      <c r="DF92" s="1" t="str">
        <f t="shared" si="1"/>
        <v>20--</v>
      </c>
      <c r="DG92" s="551">
        <f>'Настройки ТИК'!$C$55</f>
        <v>0</v>
      </c>
      <c r="DL92" s="571">
        <f t="shared" si="0"/>
        <v>0</v>
      </c>
    </row>
    <row r="93" spans="1:131" ht="15.75">
      <c r="A93" s="1202" t="str">
        <f>IF(AS93="","",COUNTA($A$76:E92)-COUNTIF($A$76:A92,"")+1)</f>
        <v/>
      </c>
      <c r="B93" s="1202"/>
      <c r="C93" s="1202"/>
      <c r="D93" s="1202"/>
      <c r="E93" s="1203"/>
      <c r="F93" s="1207"/>
      <c r="G93" s="1207"/>
      <c r="H93" s="1207"/>
      <c r="I93" s="1207"/>
      <c r="J93" s="1207"/>
      <c r="K93" s="1207"/>
      <c r="L93" s="1207"/>
      <c r="M93" s="1207"/>
      <c r="N93" s="1207"/>
      <c r="O93" s="1207"/>
      <c r="P93" s="1207"/>
      <c r="Q93" s="1207"/>
      <c r="R93" s="1207"/>
      <c r="S93" s="1207"/>
      <c r="T93" s="1207"/>
      <c r="U93" s="1208"/>
      <c r="V93" s="1208"/>
      <c r="W93" s="1208"/>
      <c r="X93" s="1208"/>
      <c r="Y93" s="1208"/>
      <c r="Z93" s="1208"/>
      <c r="AA93" s="1208"/>
      <c r="AB93" s="1208"/>
      <c r="AC93" s="1208"/>
      <c r="AD93" s="1208"/>
      <c r="AE93" s="1208"/>
      <c r="AF93" s="1208"/>
      <c r="AG93" s="1208"/>
      <c r="AH93" s="1208"/>
      <c r="AI93" s="1208"/>
      <c r="AJ93" s="1208"/>
      <c r="AK93" s="1208"/>
      <c r="AL93" s="1208"/>
      <c r="AM93" s="1208"/>
      <c r="AN93" s="1208"/>
      <c r="AO93" s="1208"/>
      <c r="AP93" s="1208"/>
      <c r="AQ93" s="1208"/>
      <c r="AR93" s="1208"/>
      <c r="AS93" s="1191"/>
      <c r="AT93" s="1191"/>
      <c r="AU93" s="1191"/>
      <c r="AV93" s="1191"/>
      <c r="AW93" s="1191"/>
      <c r="AX93" s="1191"/>
      <c r="AY93" s="1191"/>
      <c r="AZ93" s="1191"/>
      <c r="BA93" s="1191"/>
      <c r="BB93" s="1191"/>
      <c r="BC93" s="1191"/>
      <c r="BD93" s="1190"/>
      <c r="BE93" s="1190"/>
      <c r="BF93" s="1190"/>
      <c r="BG93" s="1190"/>
      <c r="BH93" s="1190"/>
      <c r="BI93" s="1190"/>
      <c r="BJ93" s="1190"/>
      <c r="BK93" s="1190"/>
      <c r="BL93" s="1190"/>
      <c r="BM93" s="1191"/>
      <c r="BN93" s="1191"/>
      <c r="BO93" s="1191"/>
      <c r="BP93" s="1191"/>
      <c r="BQ93" s="1191"/>
      <c r="BR93" s="1191"/>
      <c r="BS93" s="1191"/>
      <c r="BT93" s="1191"/>
      <c r="BU93" s="1191"/>
      <c r="BV93" s="1191"/>
      <c r="BW93" s="1191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0"/>
      <c r="CH93" s="1190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0"/>
      <c r="CT93" s="1190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201"/>
      <c r="DE93" s="466"/>
      <c r="DF93" s="1" t="str">
        <f t="shared" si="1"/>
        <v>20--</v>
      </c>
      <c r="DG93" s="551">
        <f>'Настройки ТИК'!$C$55</f>
        <v>0</v>
      </c>
      <c r="DL93" s="571">
        <f t="shared" si="0"/>
        <v>0</v>
      </c>
    </row>
    <row r="94" spans="1:131" ht="15.75">
      <c r="A94" s="1202" t="str">
        <f>IF(AS94="","",COUNTA($A$76:E93)-COUNTIF($A$76:A93,"")+1)</f>
        <v/>
      </c>
      <c r="B94" s="1202"/>
      <c r="C94" s="1202"/>
      <c r="D94" s="1202"/>
      <c r="E94" s="1203"/>
      <c r="F94" s="1207"/>
      <c r="G94" s="1207"/>
      <c r="H94" s="1207"/>
      <c r="I94" s="1207"/>
      <c r="J94" s="1207"/>
      <c r="K94" s="1207"/>
      <c r="L94" s="1207"/>
      <c r="M94" s="1207"/>
      <c r="N94" s="1207"/>
      <c r="O94" s="1207"/>
      <c r="P94" s="1207"/>
      <c r="Q94" s="1207"/>
      <c r="R94" s="1207"/>
      <c r="S94" s="1207"/>
      <c r="T94" s="1207"/>
      <c r="U94" s="1208"/>
      <c r="V94" s="1208"/>
      <c r="W94" s="1208"/>
      <c r="X94" s="1208"/>
      <c r="Y94" s="1208"/>
      <c r="Z94" s="1208"/>
      <c r="AA94" s="1208"/>
      <c r="AB94" s="1208"/>
      <c r="AC94" s="1208"/>
      <c r="AD94" s="1208"/>
      <c r="AE94" s="1208"/>
      <c r="AF94" s="1208"/>
      <c r="AG94" s="1208"/>
      <c r="AH94" s="1208"/>
      <c r="AI94" s="1208"/>
      <c r="AJ94" s="1208"/>
      <c r="AK94" s="1208"/>
      <c r="AL94" s="1208"/>
      <c r="AM94" s="1208"/>
      <c r="AN94" s="1208"/>
      <c r="AO94" s="1208"/>
      <c r="AP94" s="1208"/>
      <c r="AQ94" s="1208"/>
      <c r="AR94" s="1208"/>
      <c r="AS94" s="1191"/>
      <c r="AT94" s="1191"/>
      <c r="AU94" s="1191"/>
      <c r="AV94" s="1191"/>
      <c r="AW94" s="1191"/>
      <c r="AX94" s="1191"/>
      <c r="AY94" s="1191"/>
      <c r="AZ94" s="1191"/>
      <c r="BA94" s="1191"/>
      <c r="BB94" s="1191"/>
      <c r="BC94" s="1191"/>
      <c r="BD94" s="1190"/>
      <c r="BE94" s="1190"/>
      <c r="BF94" s="1190"/>
      <c r="BG94" s="1190"/>
      <c r="BH94" s="1190"/>
      <c r="BI94" s="1190"/>
      <c r="BJ94" s="1190"/>
      <c r="BK94" s="1190"/>
      <c r="BL94" s="1190"/>
      <c r="BM94" s="1191"/>
      <c r="BN94" s="1191"/>
      <c r="BO94" s="1191"/>
      <c r="BP94" s="1191"/>
      <c r="BQ94" s="1191"/>
      <c r="BR94" s="1191"/>
      <c r="BS94" s="1191"/>
      <c r="BT94" s="1191"/>
      <c r="BU94" s="1191"/>
      <c r="BV94" s="1191"/>
      <c r="BW94" s="1191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0"/>
      <c r="CH94" s="1190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0"/>
      <c r="CT94" s="1190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201"/>
      <c r="DE94" s="466"/>
      <c r="DF94" s="1" t="str">
        <f t="shared" si="1"/>
        <v>20--</v>
      </c>
      <c r="DG94" s="551">
        <f>'Настройки ТИК'!$C$55</f>
        <v>0</v>
      </c>
      <c r="DL94" s="571">
        <f t="shared" si="0"/>
        <v>0</v>
      </c>
    </row>
    <row r="95" spans="1:131" ht="15.75">
      <c r="A95" s="1202" t="str">
        <f>IF(AS95="","",COUNTA($A$76:E94)-COUNTIF($A$76:A94,"")+1)</f>
        <v/>
      </c>
      <c r="B95" s="1202"/>
      <c r="C95" s="1202"/>
      <c r="D95" s="1202"/>
      <c r="E95" s="1203"/>
      <c r="F95" s="1207"/>
      <c r="G95" s="1207"/>
      <c r="H95" s="1207"/>
      <c r="I95" s="1207"/>
      <c r="J95" s="1207"/>
      <c r="K95" s="1207"/>
      <c r="L95" s="1207"/>
      <c r="M95" s="1207"/>
      <c r="N95" s="1207"/>
      <c r="O95" s="1207"/>
      <c r="P95" s="1207"/>
      <c r="Q95" s="1207"/>
      <c r="R95" s="1207"/>
      <c r="S95" s="1207"/>
      <c r="T95" s="1207"/>
      <c r="U95" s="1208"/>
      <c r="V95" s="1208"/>
      <c r="W95" s="1208"/>
      <c r="X95" s="1208"/>
      <c r="Y95" s="1208"/>
      <c r="Z95" s="1208"/>
      <c r="AA95" s="1208"/>
      <c r="AB95" s="1208"/>
      <c r="AC95" s="1208"/>
      <c r="AD95" s="1208"/>
      <c r="AE95" s="1208"/>
      <c r="AF95" s="1208"/>
      <c r="AG95" s="1208"/>
      <c r="AH95" s="1208"/>
      <c r="AI95" s="1208"/>
      <c r="AJ95" s="1208"/>
      <c r="AK95" s="1208"/>
      <c r="AL95" s="1208"/>
      <c r="AM95" s="1208"/>
      <c r="AN95" s="1208"/>
      <c r="AO95" s="1208"/>
      <c r="AP95" s="1208"/>
      <c r="AQ95" s="1208"/>
      <c r="AR95" s="1208"/>
      <c r="AS95" s="1191"/>
      <c r="AT95" s="1191"/>
      <c r="AU95" s="1191"/>
      <c r="AV95" s="1191"/>
      <c r="AW95" s="1191"/>
      <c r="AX95" s="1191"/>
      <c r="AY95" s="1191"/>
      <c r="AZ95" s="1191"/>
      <c r="BA95" s="1191"/>
      <c r="BB95" s="1191"/>
      <c r="BC95" s="1191"/>
      <c r="BD95" s="1190"/>
      <c r="BE95" s="1190"/>
      <c r="BF95" s="1190"/>
      <c r="BG95" s="1190"/>
      <c r="BH95" s="1190"/>
      <c r="BI95" s="1190"/>
      <c r="BJ95" s="1190"/>
      <c r="BK95" s="1190"/>
      <c r="BL95" s="1190"/>
      <c r="BM95" s="1191"/>
      <c r="BN95" s="1191"/>
      <c r="BO95" s="1191"/>
      <c r="BP95" s="1191"/>
      <c r="BQ95" s="1191"/>
      <c r="BR95" s="1191"/>
      <c r="BS95" s="1191"/>
      <c r="BT95" s="1191"/>
      <c r="BU95" s="1191"/>
      <c r="BV95" s="1191"/>
      <c r="BW95" s="1191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0"/>
      <c r="CH95" s="1190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0"/>
      <c r="CT95" s="1190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201"/>
      <c r="DE95" s="466"/>
      <c r="DF95" s="1" t="str">
        <f t="shared" si="1"/>
        <v>20--</v>
      </c>
      <c r="DG95" s="551">
        <f>'Настройки ТИК'!$C$55</f>
        <v>0</v>
      </c>
      <c r="DL95" s="571">
        <f t="shared" si="0"/>
        <v>0</v>
      </c>
    </row>
    <row r="96" spans="1:131" ht="15.75">
      <c r="A96" s="1202" t="str">
        <f>IF(AS96="","",COUNTA($A$76:E95)-COUNTIF($A$76:A95,"")+1)</f>
        <v/>
      </c>
      <c r="B96" s="1202"/>
      <c r="C96" s="1202"/>
      <c r="D96" s="1202"/>
      <c r="E96" s="1203"/>
      <c r="F96" s="1207"/>
      <c r="G96" s="1207"/>
      <c r="H96" s="1207"/>
      <c r="I96" s="1207"/>
      <c r="J96" s="1207"/>
      <c r="K96" s="1207"/>
      <c r="L96" s="1207"/>
      <c r="M96" s="1207"/>
      <c r="N96" s="1207"/>
      <c r="O96" s="1207"/>
      <c r="P96" s="1207"/>
      <c r="Q96" s="1207"/>
      <c r="R96" s="1207"/>
      <c r="S96" s="1207"/>
      <c r="T96" s="1207"/>
      <c r="U96" s="1208"/>
      <c r="V96" s="1208"/>
      <c r="W96" s="1208"/>
      <c r="X96" s="1208"/>
      <c r="Y96" s="1208"/>
      <c r="Z96" s="1208"/>
      <c r="AA96" s="1208"/>
      <c r="AB96" s="1208"/>
      <c r="AC96" s="1208"/>
      <c r="AD96" s="1208"/>
      <c r="AE96" s="1208"/>
      <c r="AF96" s="1208"/>
      <c r="AG96" s="1208"/>
      <c r="AH96" s="1208"/>
      <c r="AI96" s="1208"/>
      <c r="AJ96" s="1208"/>
      <c r="AK96" s="1208"/>
      <c r="AL96" s="1208"/>
      <c r="AM96" s="1208"/>
      <c r="AN96" s="1208"/>
      <c r="AO96" s="1208"/>
      <c r="AP96" s="1208"/>
      <c r="AQ96" s="1208"/>
      <c r="AR96" s="1208"/>
      <c r="AS96" s="1191"/>
      <c r="AT96" s="1191"/>
      <c r="AU96" s="1191"/>
      <c r="AV96" s="1191"/>
      <c r="AW96" s="1191"/>
      <c r="AX96" s="1191"/>
      <c r="AY96" s="1191"/>
      <c r="AZ96" s="1191"/>
      <c r="BA96" s="1191"/>
      <c r="BB96" s="1191"/>
      <c r="BC96" s="1191"/>
      <c r="BD96" s="1190"/>
      <c r="BE96" s="1190"/>
      <c r="BF96" s="1190"/>
      <c r="BG96" s="1190"/>
      <c r="BH96" s="1190"/>
      <c r="BI96" s="1190"/>
      <c r="BJ96" s="1190"/>
      <c r="BK96" s="1190"/>
      <c r="BL96" s="1190"/>
      <c r="BM96" s="1191"/>
      <c r="BN96" s="1191"/>
      <c r="BO96" s="1191"/>
      <c r="BP96" s="1191"/>
      <c r="BQ96" s="1191"/>
      <c r="BR96" s="1191"/>
      <c r="BS96" s="1191"/>
      <c r="BT96" s="1191"/>
      <c r="BU96" s="1191"/>
      <c r="BV96" s="1191"/>
      <c r="BW96" s="1191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0"/>
      <c r="CH96" s="1190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0"/>
      <c r="CT96" s="1190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201"/>
      <c r="DE96" s="466"/>
      <c r="DF96" s="1" t="str">
        <f t="shared" si="1"/>
        <v>20--</v>
      </c>
      <c r="DG96" s="551">
        <f>'Настройки ТИК'!$C$55</f>
        <v>0</v>
      </c>
      <c r="DL96" s="571">
        <f t="shared" si="0"/>
        <v>0</v>
      </c>
    </row>
    <row r="97" spans="1:117" ht="15.75">
      <c r="A97" s="1202" t="str">
        <f>IF(AS97="","",COUNTA($A$76:E96)-COUNTIF($A$76:A96,"")+1)</f>
        <v/>
      </c>
      <c r="B97" s="1202"/>
      <c r="C97" s="1202"/>
      <c r="D97" s="1202"/>
      <c r="E97" s="1203"/>
      <c r="F97" s="1207"/>
      <c r="G97" s="1207"/>
      <c r="H97" s="1207"/>
      <c r="I97" s="1207"/>
      <c r="J97" s="1207"/>
      <c r="K97" s="1207"/>
      <c r="L97" s="1207"/>
      <c r="M97" s="1207"/>
      <c r="N97" s="1207"/>
      <c r="O97" s="1207"/>
      <c r="P97" s="1207"/>
      <c r="Q97" s="1207"/>
      <c r="R97" s="1207"/>
      <c r="S97" s="1207"/>
      <c r="T97" s="1207"/>
      <c r="U97" s="1208"/>
      <c r="V97" s="1208"/>
      <c r="W97" s="1208"/>
      <c r="X97" s="1208"/>
      <c r="Y97" s="1208"/>
      <c r="Z97" s="1208"/>
      <c r="AA97" s="1208"/>
      <c r="AB97" s="1208"/>
      <c r="AC97" s="1208"/>
      <c r="AD97" s="1208"/>
      <c r="AE97" s="1208"/>
      <c r="AF97" s="1208"/>
      <c r="AG97" s="1208"/>
      <c r="AH97" s="1208"/>
      <c r="AI97" s="1208"/>
      <c r="AJ97" s="1208"/>
      <c r="AK97" s="1208"/>
      <c r="AL97" s="1208"/>
      <c r="AM97" s="1208"/>
      <c r="AN97" s="1208"/>
      <c r="AO97" s="1208"/>
      <c r="AP97" s="1208"/>
      <c r="AQ97" s="1208"/>
      <c r="AR97" s="1208"/>
      <c r="AS97" s="1191"/>
      <c r="AT97" s="1191"/>
      <c r="AU97" s="1191"/>
      <c r="AV97" s="1191"/>
      <c r="AW97" s="1191"/>
      <c r="AX97" s="1191"/>
      <c r="AY97" s="1191"/>
      <c r="AZ97" s="1191"/>
      <c r="BA97" s="1191"/>
      <c r="BB97" s="1191"/>
      <c r="BC97" s="1191"/>
      <c r="BD97" s="1190"/>
      <c r="BE97" s="1190"/>
      <c r="BF97" s="1190"/>
      <c r="BG97" s="1190"/>
      <c r="BH97" s="1190"/>
      <c r="BI97" s="1190"/>
      <c r="BJ97" s="1190"/>
      <c r="BK97" s="1190"/>
      <c r="BL97" s="1190"/>
      <c r="BM97" s="1191"/>
      <c r="BN97" s="1191"/>
      <c r="BO97" s="1191"/>
      <c r="BP97" s="1191"/>
      <c r="BQ97" s="1191"/>
      <c r="BR97" s="1191"/>
      <c r="BS97" s="1191"/>
      <c r="BT97" s="1191"/>
      <c r="BU97" s="1191"/>
      <c r="BV97" s="1191"/>
      <c r="BW97" s="1191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0"/>
      <c r="CH97" s="1190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0"/>
      <c r="CT97" s="1190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201"/>
      <c r="DE97" s="466"/>
      <c r="DF97" s="1" t="str">
        <f t="shared" si="1"/>
        <v>20--</v>
      </c>
      <c r="DG97" s="551">
        <f>'Настройки ТИК'!$C$55</f>
        <v>0</v>
      </c>
      <c r="DL97" s="571">
        <f t="shared" si="0"/>
        <v>0</v>
      </c>
    </row>
    <row r="98" spans="1:117" ht="16.5" thickBot="1">
      <c r="A98" s="1202" t="str">
        <f>IF(AS98="","",COUNTA($A$76:E97)-COUNTIF($A$76:A97,"")+1)</f>
        <v/>
      </c>
      <c r="B98" s="1202"/>
      <c r="C98" s="1202"/>
      <c r="D98" s="1202"/>
      <c r="E98" s="1203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5"/>
      <c r="V98" s="1205"/>
      <c r="W98" s="1205"/>
      <c r="X98" s="1205"/>
      <c r="Y98" s="1205"/>
      <c r="Z98" s="1205"/>
      <c r="AA98" s="1205"/>
      <c r="AB98" s="1205"/>
      <c r="AC98" s="1205"/>
      <c r="AD98" s="1205"/>
      <c r="AE98" s="1205"/>
      <c r="AF98" s="1205"/>
      <c r="AG98" s="1205"/>
      <c r="AH98" s="1205"/>
      <c r="AI98" s="1205"/>
      <c r="AJ98" s="1205"/>
      <c r="AK98" s="1205"/>
      <c r="AL98" s="1205"/>
      <c r="AM98" s="1205"/>
      <c r="AN98" s="1205"/>
      <c r="AO98" s="1205"/>
      <c r="AP98" s="1205"/>
      <c r="AQ98" s="1205"/>
      <c r="AR98" s="1205"/>
      <c r="AS98" s="1200"/>
      <c r="AT98" s="1200"/>
      <c r="AU98" s="1200"/>
      <c r="AV98" s="1200"/>
      <c r="AW98" s="1200"/>
      <c r="AX98" s="1200"/>
      <c r="AY98" s="1200"/>
      <c r="AZ98" s="1200"/>
      <c r="BA98" s="1200"/>
      <c r="BB98" s="1200"/>
      <c r="BC98" s="1200"/>
      <c r="BD98" s="1199"/>
      <c r="BE98" s="1199"/>
      <c r="BF98" s="1199"/>
      <c r="BG98" s="1199"/>
      <c r="BH98" s="1199"/>
      <c r="BI98" s="1199"/>
      <c r="BJ98" s="1199"/>
      <c r="BK98" s="1199"/>
      <c r="BL98" s="1199"/>
      <c r="BM98" s="1200"/>
      <c r="BN98" s="1200"/>
      <c r="BO98" s="1200"/>
      <c r="BP98" s="1200"/>
      <c r="BQ98" s="1200"/>
      <c r="BR98" s="1200"/>
      <c r="BS98" s="1200"/>
      <c r="BT98" s="1200"/>
      <c r="BU98" s="1200"/>
      <c r="BV98" s="1200"/>
      <c r="BW98" s="1200"/>
      <c r="BX98" s="1199"/>
      <c r="BY98" s="1199"/>
      <c r="BZ98" s="1199"/>
      <c r="CA98" s="1199"/>
      <c r="CB98" s="1199"/>
      <c r="CC98" s="1199"/>
      <c r="CD98" s="1199"/>
      <c r="CE98" s="1199"/>
      <c r="CF98" s="1199"/>
      <c r="CG98" s="1199"/>
      <c r="CH98" s="1199"/>
      <c r="CI98" s="1199"/>
      <c r="CJ98" s="1199"/>
      <c r="CK98" s="1199"/>
      <c r="CL98" s="1199"/>
      <c r="CM98" s="1199"/>
      <c r="CN98" s="1199"/>
      <c r="CO98" s="1199"/>
      <c r="CP98" s="1199"/>
      <c r="CQ98" s="1199"/>
      <c r="CR98" s="1199"/>
      <c r="CS98" s="1199"/>
      <c r="CT98" s="1199"/>
      <c r="CU98" s="1199"/>
      <c r="CV98" s="1199"/>
      <c r="CW98" s="1199"/>
      <c r="CX98" s="1199"/>
      <c r="CY98" s="1199"/>
      <c r="CZ98" s="1199"/>
      <c r="DA98" s="1199"/>
      <c r="DB98" s="1199"/>
      <c r="DC98" s="1199"/>
      <c r="DD98" s="1206"/>
      <c r="DE98" s="466"/>
      <c r="DF98" s="1" t="str">
        <f t="shared" si="1"/>
        <v>20--</v>
      </c>
      <c r="DG98" s="551">
        <f>'Настройки ТИК'!$C$55</f>
        <v>0</v>
      </c>
      <c r="DL98" s="571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196"/>
      <c r="AT99" s="1196"/>
      <c r="AU99" s="1196"/>
      <c r="AV99" s="1196"/>
      <c r="AW99" s="1196"/>
      <c r="AX99" s="1196"/>
      <c r="AY99" s="1196"/>
      <c r="AZ99" s="1196"/>
      <c r="BA99" s="1196"/>
      <c r="BB99" s="1196"/>
      <c r="BC99" s="1196"/>
      <c r="BD99" s="1197"/>
      <c r="BE99" s="1197"/>
      <c r="BF99" s="1197"/>
      <c r="BG99" s="1197"/>
      <c r="BH99" s="1197"/>
      <c r="BI99" s="1197"/>
      <c r="BJ99" s="1197"/>
      <c r="BK99" s="1197"/>
      <c r="BL99" s="1197"/>
      <c r="BM99" s="1196"/>
      <c r="BN99" s="1196"/>
      <c r="BO99" s="1196"/>
      <c r="BP99" s="1196"/>
      <c r="BQ99" s="1196"/>
      <c r="BR99" s="1196"/>
      <c r="BS99" s="1196"/>
      <c r="BT99" s="1196"/>
      <c r="BU99" s="1196"/>
      <c r="BV99" s="1196"/>
      <c r="BW99" s="1196"/>
      <c r="BX99" s="1197"/>
      <c r="BY99" s="1197"/>
      <c r="BZ99" s="1197"/>
      <c r="CA99" s="1197"/>
      <c r="CB99" s="1197"/>
      <c r="CC99" s="1197"/>
      <c r="CD99" s="1197"/>
      <c r="CE99" s="1197"/>
      <c r="CF99" s="1197"/>
      <c r="CG99" s="1197"/>
      <c r="CH99" s="1197"/>
      <c r="CI99" s="1197"/>
      <c r="CJ99" s="1197"/>
      <c r="CK99" s="1197"/>
      <c r="CL99" s="1197"/>
      <c r="CM99" s="1197"/>
      <c r="CN99" s="1197"/>
      <c r="CO99" s="1197"/>
      <c r="CP99" s="1197"/>
      <c r="CQ99" s="1197"/>
      <c r="CR99" s="1197"/>
      <c r="CS99" s="1198"/>
      <c r="CT99" s="1198"/>
      <c r="CU99" s="1198"/>
      <c r="CV99" s="1198"/>
      <c r="CW99" s="1198"/>
      <c r="CX99" s="1198"/>
      <c r="CY99" s="1198"/>
      <c r="CZ99" s="1198"/>
      <c r="DA99" s="1198"/>
      <c r="DB99" s="1198"/>
      <c r="DC99" s="1198"/>
      <c r="DD99" s="1198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191"/>
      <c r="AT100" s="1191"/>
      <c r="AU100" s="1191"/>
      <c r="AV100" s="1191"/>
      <c r="AW100" s="1191"/>
      <c r="AX100" s="1191"/>
      <c r="AY100" s="1191"/>
      <c r="AZ100" s="1191"/>
      <c r="BA100" s="1191"/>
      <c r="BB100" s="1191"/>
      <c r="BC100" s="1191"/>
      <c r="BD100" s="1190"/>
      <c r="BE100" s="1190"/>
      <c r="BF100" s="1190"/>
      <c r="BG100" s="1190"/>
      <c r="BH100" s="1190"/>
      <c r="BI100" s="1190"/>
      <c r="BJ100" s="1190"/>
      <c r="BK100" s="1190"/>
      <c r="BL100" s="1190"/>
      <c r="BM100" s="1191"/>
      <c r="BN100" s="1191"/>
      <c r="BO100" s="1191"/>
      <c r="BP100" s="1191"/>
      <c r="BQ100" s="1191"/>
      <c r="BR100" s="1191"/>
      <c r="BS100" s="1191"/>
      <c r="BT100" s="1191"/>
      <c r="BU100" s="1191"/>
      <c r="BV100" s="1191"/>
      <c r="BW100" s="1191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0"/>
      <c r="CH100" s="1190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0"/>
      <c r="CT100" s="1190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191"/>
      <c r="AT101" s="1191"/>
      <c r="AU101" s="1191"/>
      <c r="AV101" s="1191"/>
      <c r="AW101" s="1191"/>
      <c r="AX101" s="1191"/>
      <c r="AY101" s="1191"/>
      <c r="AZ101" s="1191"/>
      <c r="BA101" s="1191"/>
      <c r="BB101" s="1191"/>
      <c r="BC101" s="1191"/>
      <c r="BD101" s="1190"/>
      <c r="BE101" s="1190"/>
      <c r="BF101" s="1190"/>
      <c r="BG101" s="1190"/>
      <c r="BH101" s="1190"/>
      <c r="BI101" s="1190"/>
      <c r="BJ101" s="1190"/>
      <c r="BK101" s="1190"/>
      <c r="BL101" s="1190"/>
      <c r="BM101" s="1191"/>
      <c r="BN101" s="1191"/>
      <c r="BO101" s="1191"/>
      <c r="BP101" s="1191"/>
      <c r="BQ101" s="1191"/>
      <c r="BR101" s="1191"/>
      <c r="BS101" s="1191"/>
      <c r="BT101" s="1191"/>
      <c r="BU101" s="1191"/>
      <c r="BV101" s="1191"/>
      <c r="BW101" s="1191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0"/>
      <c r="CH101" s="1190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0"/>
      <c r="CT101" s="1190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191"/>
      <c r="AT102" s="1191"/>
      <c r="AU102" s="1191"/>
      <c r="AV102" s="1191"/>
      <c r="AW102" s="1191"/>
      <c r="AX102" s="1191"/>
      <c r="AY102" s="1191"/>
      <c r="AZ102" s="1191"/>
      <c r="BA102" s="1191"/>
      <c r="BB102" s="1191"/>
      <c r="BC102" s="1191"/>
      <c r="BD102" s="1190"/>
      <c r="BE102" s="1190"/>
      <c r="BF102" s="1190"/>
      <c r="BG102" s="1190"/>
      <c r="BH102" s="1190"/>
      <c r="BI102" s="1190"/>
      <c r="BJ102" s="1190"/>
      <c r="BK102" s="1190"/>
      <c r="BL102" s="1190"/>
      <c r="BM102" s="1191"/>
      <c r="BN102" s="1191"/>
      <c r="BO102" s="1191"/>
      <c r="BP102" s="1191"/>
      <c r="BQ102" s="1191"/>
      <c r="BR102" s="1191"/>
      <c r="BS102" s="1191"/>
      <c r="BT102" s="1191"/>
      <c r="BU102" s="1191"/>
      <c r="BV102" s="1191"/>
      <c r="BW102" s="1191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0"/>
      <c r="CH102" s="1190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0"/>
      <c r="CT102" s="1190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191"/>
      <c r="AT103" s="1191"/>
      <c r="AU103" s="1191"/>
      <c r="AV103" s="1191"/>
      <c r="AW103" s="1191"/>
      <c r="AX103" s="1191"/>
      <c r="AY103" s="1191"/>
      <c r="AZ103" s="1191"/>
      <c r="BA103" s="1191"/>
      <c r="BB103" s="1191"/>
      <c r="BC103" s="1191"/>
      <c r="BD103" s="1190"/>
      <c r="BE103" s="1190"/>
      <c r="BF103" s="1190"/>
      <c r="BG103" s="1190"/>
      <c r="BH103" s="1190"/>
      <c r="BI103" s="1190"/>
      <c r="BJ103" s="1190"/>
      <c r="BK103" s="1190"/>
      <c r="BL103" s="1190"/>
      <c r="BM103" s="1191"/>
      <c r="BN103" s="1191"/>
      <c r="BO103" s="1191"/>
      <c r="BP103" s="1191"/>
      <c r="BQ103" s="1191"/>
      <c r="BR103" s="1191"/>
      <c r="BS103" s="1191"/>
      <c r="BT103" s="1191"/>
      <c r="BU103" s="1191"/>
      <c r="BV103" s="1191"/>
      <c r="BW103" s="1191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0"/>
      <c r="CH103" s="1190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0"/>
      <c r="CT103" s="1190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191"/>
      <c r="AT104" s="1191"/>
      <c r="AU104" s="1191"/>
      <c r="AV104" s="1191"/>
      <c r="AW104" s="1191"/>
      <c r="AX104" s="1191"/>
      <c r="AY104" s="1191"/>
      <c r="AZ104" s="1191"/>
      <c r="BA104" s="1191"/>
      <c r="BB104" s="1191"/>
      <c r="BC104" s="1191"/>
      <c r="BD104" s="1190"/>
      <c r="BE104" s="1190"/>
      <c r="BF104" s="1190"/>
      <c r="BG104" s="1190"/>
      <c r="BH104" s="1190"/>
      <c r="BI104" s="1190"/>
      <c r="BJ104" s="1190"/>
      <c r="BK104" s="1190"/>
      <c r="BL104" s="1190"/>
      <c r="BM104" s="1191"/>
      <c r="BN104" s="1191"/>
      <c r="BO104" s="1191"/>
      <c r="BP104" s="1191"/>
      <c r="BQ104" s="1191"/>
      <c r="BR104" s="1191"/>
      <c r="BS104" s="1191"/>
      <c r="BT104" s="1191"/>
      <c r="BU104" s="1191"/>
      <c r="BV104" s="1191"/>
      <c r="BW104" s="1191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0"/>
      <c r="CH104" s="1190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0"/>
      <c r="CT104" s="1190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191"/>
      <c r="AT105" s="1191"/>
      <c r="AU105" s="1191"/>
      <c r="AV105" s="1191"/>
      <c r="AW105" s="1191"/>
      <c r="AX105" s="1191"/>
      <c r="AY105" s="1191"/>
      <c r="AZ105" s="1191"/>
      <c r="BA105" s="1191"/>
      <c r="BB105" s="1191"/>
      <c r="BC105" s="1191"/>
      <c r="BD105" s="1190"/>
      <c r="BE105" s="1190"/>
      <c r="BF105" s="1190"/>
      <c r="BG105" s="1190"/>
      <c r="BH105" s="1190"/>
      <c r="BI105" s="1190"/>
      <c r="BJ105" s="1190"/>
      <c r="BK105" s="1190"/>
      <c r="BL105" s="1190"/>
      <c r="BM105" s="1191"/>
      <c r="BN105" s="1191"/>
      <c r="BO105" s="1191"/>
      <c r="BP105" s="1191"/>
      <c r="BQ105" s="1191"/>
      <c r="BR105" s="1191"/>
      <c r="BS105" s="1191"/>
      <c r="BT105" s="1191"/>
      <c r="BU105" s="1191"/>
      <c r="BV105" s="1191"/>
      <c r="BW105" s="1191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0"/>
      <c r="CH105" s="1190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0"/>
      <c r="CT105" s="1190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191"/>
      <c r="AT106" s="1191"/>
      <c r="AU106" s="1191"/>
      <c r="AV106" s="1191"/>
      <c r="AW106" s="1191"/>
      <c r="AX106" s="1191"/>
      <c r="AY106" s="1191"/>
      <c r="AZ106" s="1191"/>
      <c r="BA106" s="1191"/>
      <c r="BB106" s="1191"/>
      <c r="BC106" s="1191"/>
      <c r="BD106" s="1190"/>
      <c r="BE106" s="1190"/>
      <c r="BF106" s="1190"/>
      <c r="BG106" s="1190"/>
      <c r="BH106" s="1190"/>
      <c r="BI106" s="1190"/>
      <c r="BJ106" s="1190"/>
      <c r="BK106" s="1190"/>
      <c r="BL106" s="1190"/>
      <c r="BM106" s="1191"/>
      <c r="BN106" s="1191"/>
      <c r="BO106" s="1191"/>
      <c r="BP106" s="1191"/>
      <c r="BQ106" s="1191"/>
      <c r="BR106" s="1191"/>
      <c r="BS106" s="1191"/>
      <c r="BT106" s="1191"/>
      <c r="BU106" s="1191"/>
      <c r="BV106" s="1191"/>
      <c r="BW106" s="1191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0"/>
      <c r="CH106" s="1190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0"/>
      <c r="CT106" s="1190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191"/>
      <c r="AT107" s="1191"/>
      <c r="AU107" s="1191"/>
      <c r="AV107" s="1191"/>
      <c r="AW107" s="1191"/>
      <c r="AX107" s="1191"/>
      <c r="AY107" s="1191"/>
      <c r="AZ107" s="1191"/>
      <c r="BA107" s="1191"/>
      <c r="BB107" s="1191"/>
      <c r="BC107" s="1191"/>
      <c r="BD107" s="1190"/>
      <c r="BE107" s="1190"/>
      <c r="BF107" s="1190"/>
      <c r="BG107" s="1190"/>
      <c r="BH107" s="1190"/>
      <c r="BI107" s="1190"/>
      <c r="BJ107" s="1190"/>
      <c r="BK107" s="1190"/>
      <c r="BL107" s="1190"/>
      <c r="BM107" s="1191"/>
      <c r="BN107" s="1191"/>
      <c r="BO107" s="1191"/>
      <c r="BP107" s="1191"/>
      <c r="BQ107" s="1191"/>
      <c r="BR107" s="1191"/>
      <c r="BS107" s="1191"/>
      <c r="BT107" s="1191"/>
      <c r="BU107" s="1191"/>
      <c r="BV107" s="1191"/>
      <c r="BW107" s="1191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0"/>
      <c r="CH107" s="1190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0"/>
      <c r="CT107" s="1190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191"/>
      <c r="AT108" s="1191"/>
      <c r="AU108" s="1191"/>
      <c r="AV108" s="1191"/>
      <c r="AW108" s="1191"/>
      <c r="AX108" s="1191"/>
      <c r="AY108" s="1191"/>
      <c r="AZ108" s="1191"/>
      <c r="BA108" s="1191"/>
      <c r="BB108" s="1191"/>
      <c r="BC108" s="1191"/>
      <c r="BD108" s="1190"/>
      <c r="BE108" s="1190"/>
      <c r="BF108" s="1190"/>
      <c r="BG108" s="1190"/>
      <c r="BH108" s="1190"/>
      <c r="BI108" s="1190"/>
      <c r="BJ108" s="1190"/>
      <c r="BK108" s="1190"/>
      <c r="BL108" s="1190"/>
      <c r="BM108" s="1191"/>
      <c r="BN108" s="1191"/>
      <c r="BO108" s="1191"/>
      <c r="BP108" s="1191"/>
      <c r="BQ108" s="1191"/>
      <c r="BR108" s="1191"/>
      <c r="BS108" s="1191"/>
      <c r="BT108" s="1191"/>
      <c r="BU108" s="1191"/>
      <c r="BV108" s="1191"/>
      <c r="BW108" s="1191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0"/>
      <c r="CH108" s="1190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0"/>
      <c r="CT108" s="1190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464"/>
    </row>
    <row r="109" spans="1:117" ht="12.75">
      <c r="DE109" s="464"/>
    </row>
    <row r="110" spans="1:117" ht="12.75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193">
        <f>U16</f>
        <v>0</v>
      </c>
      <c r="AG110" s="1194"/>
      <c r="AH110" s="1194"/>
      <c r="AI110" s="1194"/>
      <c r="AJ110" s="1194"/>
      <c r="AK110" s="1194"/>
      <c r="AL110" s="1194"/>
      <c r="AM110" s="1194"/>
      <c r="AN110" s="1194"/>
      <c r="AO110" s="1194"/>
      <c r="AP110" s="1194"/>
      <c r="AQ110" s="1194"/>
      <c r="AR110" s="1194"/>
      <c r="AS110" s="1194"/>
      <c r="AT110" s="1194"/>
      <c r="AU110" s="1194"/>
      <c r="AV110" s="1194"/>
      <c r="AW110" s="1194"/>
      <c r="AX110" s="1194"/>
      <c r="AY110" s="1194"/>
      <c r="AZ110" s="1194"/>
      <c r="BA110" s="1194"/>
      <c r="BB110" s="1194"/>
      <c r="BC110" s="1194"/>
      <c r="BD110" s="1194"/>
      <c r="BE110" s="1194"/>
      <c r="BF110" s="1194"/>
      <c r="BG110" s="1194"/>
      <c r="BH110" s="1194"/>
      <c r="DE110" s="464"/>
    </row>
    <row r="111" spans="1:117" ht="12.75">
      <c r="R111" s="1192" t="s">
        <v>5</v>
      </c>
      <c r="S111" s="1192"/>
      <c r="T111" s="1192"/>
      <c r="U111" s="1192"/>
      <c r="V111" s="1192"/>
      <c r="W111" s="1192"/>
      <c r="X111" s="1192"/>
      <c r="Y111" s="1192"/>
      <c r="Z111" s="1192"/>
      <c r="AA111" s="1192"/>
      <c r="AB111" s="1192"/>
      <c r="AC111" s="1192"/>
      <c r="AD111" s="2"/>
      <c r="AF111" s="1192" t="s">
        <v>6</v>
      </c>
      <c r="AG111" s="1192"/>
      <c r="AH111" s="1192"/>
      <c r="AI111" s="1192"/>
      <c r="AJ111" s="1192"/>
      <c r="AK111" s="1192"/>
      <c r="AL111" s="1192"/>
      <c r="AM111" s="1192"/>
      <c r="AN111" s="1192"/>
      <c r="AO111" s="1192"/>
      <c r="AP111" s="1192"/>
      <c r="AQ111" s="1192"/>
      <c r="AR111" s="1192"/>
      <c r="AS111" s="1192"/>
      <c r="AT111" s="1192"/>
      <c r="AU111" s="1192"/>
      <c r="AV111" s="1192"/>
      <c r="AW111" s="1192"/>
      <c r="AX111" s="1192"/>
      <c r="AY111" s="1192"/>
      <c r="AZ111" s="1192"/>
      <c r="BA111" s="1192"/>
      <c r="BB111" s="1192"/>
      <c r="BC111" s="1192"/>
      <c r="BD111" s="1192"/>
      <c r="BE111" s="1192"/>
      <c r="BF111" s="1192"/>
      <c r="BG111" s="1192"/>
      <c r="BH111" s="1192"/>
      <c r="DE111" s="464"/>
    </row>
    <row r="112" spans="1:117">
      <c r="DM112" s="571"/>
    </row>
  </sheetData>
  <sheetProtection password="C09F" sheet="1" objects="1" scenarios="1"/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14" priority="3" stopIfTrue="1">
      <formula>OR($A$76:$BC$85="",$A$76:$BC$85=0)</formula>
    </cfRule>
  </conditionalFormatting>
  <conditionalFormatting sqref="BM76:BW85">
    <cfRule type="expression" dxfId="13" priority="2" stopIfTrue="1">
      <formula>OR($BM$76:$BW$85="",$BM$76:$BW$85=0)</formula>
    </cfRule>
  </conditionalFormatting>
  <conditionalFormatting sqref="AA11:AE11 AI11:AZ11 BE11:BH11">
    <cfRule type="expression" dxfId="12" priority="1" stopIfTrue="1">
      <formula>IF(OR($AA$11="",$AI$11="",$BE$11=""),TRUE,FALSE)</formula>
    </cfRule>
  </conditionalFormatting>
  <dataValidations count="5">
    <dataValidation type="list" allowBlank="1" showDropDown="1" showInputMessage="1" showErrorMessage="1" sqref="DE77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  <dataValidation type="list" allowBlank="1" showInputMessage="1" showErrorMessage="1" sqref="DE76">
      <formula1>Список_смета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57" workbookViewId="0">
      <selection activeCell="F79" sqref="F79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1" customWidth="1"/>
    <col min="11" max="11" width="16.140625" style="561" customWidth="1"/>
    <col min="12" max="14" width="9.140625" style="561"/>
    <col min="15" max="15" width="21" style="234" customWidth="1"/>
    <col min="16" max="16384" width="9.140625" style="234"/>
  </cols>
  <sheetData>
    <row r="1" spans="1:43">
      <c r="A1" s="495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970</v>
      </c>
      <c r="AQ1" s="495"/>
    </row>
    <row r="2" spans="1:43">
      <c r="A2" s="495"/>
      <c r="J2" s="450"/>
      <c r="K2" s="450"/>
      <c r="L2" s="450"/>
      <c r="M2" s="450"/>
      <c r="N2" s="450"/>
      <c r="O2" s="448"/>
      <c r="P2" s="448"/>
    </row>
    <row r="3" spans="1:43">
      <c r="A3" s="1360" t="s">
        <v>848</v>
      </c>
      <c r="B3" s="1360" t="s">
        <v>849</v>
      </c>
      <c r="C3" s="1361" t="s">
        <v>853</v>
      </c>
      <c r="D3" s="1361"/>
      <c r="E3" s="1361"/>
      <c r="F3" s="1361" t="s">
        <v>854</v>
      </c>
      <c r="G3" s="1361"/>
      <c r="H3" s="1361"/>
      <c r="I3" s="1360" t="s">
        <v>852</v>
      </c>
      <c r="J3" s="1358" t="s">
        <v>855</v>
      </c>
      <c r="K3" s="450"/>
      <c r="L3" s="450"/>
      <c r="M3" s="450"/>
      <c r="N3" s="450"/>
      <c r="O3" s="448"/>
      <c r="P3" s="448"/>
    </row>
    <row r="4" spans="1:43">
      <c r="A4" s="1360"/>
      <c r="B4" s="1360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0"/>
      <c r="J4" s="1358"/>
      <c r="K4" s="450"/>
      <c r="L4" s="450"/>
      <c r="M4" s="450"/>
      <c r="N4" s="450"/>
      <c r="O4" s="448"/>
      <c r="P4" s="448"/>
      <c r="W4" s="234" t="s">
        <v>971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6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4">
        <f>IF(W5&lt;&gt;0,ROW(W5),0)</f>
        <v>0</v>
      </c>
      <c r="Y5" s="564">
        <f>IF(X5&lt;&gt;0,X5,0)</f>
        <v>0</v>
      </c>
      <c r="Z5" s="564">
        <v>0</v>
      </c>
      <c r="AA5" s="564">
        <v>0</v>
      </c>
      <c r="AB5" s="564">
        <v>0</v>
      </c>
      <c r="AC5" s="564">
        <v>0</v>
      </c>
      <c r="AD5" s="564">
        <v>0</v>
      </c>
      <c r="AE5" s="564">
        <v>0</v>
      </c>
      <c r="AF5" s="564">
        <v>0</v>
      </c>
      <c r="AG5" s="564">
        <v>0</v>
      </c>
      <c r="AH5" s="564">
        <v>0</v>
      </c>
      <c r="AI5" s="564">
        <v>0</v>
      </c>
      <c r="AJ5" s="564">
        <v>0</v>
      </c>
      <c r="AK5" s="564">
        <v>0</v>
      </c>
      <c r="AL5" s="564">
        <v>0</v>
      </c>
      <c r="AM5" s="564">
        <v>0</v>
      </c>
      <c r="AN5" s="564">
        <v>0</v>
      </c>
      <c r="AO5" s="564">
        <v>0</v>
      </c>
      <c r="AP5" s="564">
        <v>0</v>
      </c>
      <c r="AQ5" s="564">
        <v>0</v>
      </c>
    </row>
    <row r="6" spans="1:43" ht="60" customHeight="1">
      <c r="A6" s="457" t="str">
        <f ca="1">IF(G96=0,"",G96)</f>
        <v xml:space="preserve"> </v>
      </c>
      <c r="B6" s="326" t="s">
        <v>958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7" t="str">
        <f>IF('Аренда ТС'!$I$16="","",'Аренда ТС'!$I$16)</f>
        <v/>
      </c>
      <c r="G6" s="552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6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4">
        <f t="shared" ref="X6:X23" si="4">IF(W6&lt;&gt;0,ROW(W6),0)</f>
        <v>0</v>
      </c>
      <c r="Y6" s="564">
        <f>IF(AND(SUM($Y$5:Y5)=0,X6&lt;&gt;0),X6,0)</f>
        <v>0</v>
      </c>
      <c r="Z6" s="564">
        <f>IF(AND(SUM(Z$5:Z5)=0,$X6&lt;&gt;0,SUM($X$5:$X5)=SUM($Y$25:Y$25)),$X6,0)</f>
        <v>0</v>
      </c>
      <c r="AA6" s="564">
        <f>IF(AND(SUM(AA$5:AA5)=0,$X6&lt;&gt;0,SUM($X$5:$X5)=SUM($Y$25:Z$25)),$X6,0)</f>
        <v>0</v>
      </c>
      <c r="AB6" s="564">
        <f>IF(AND(SUM(AB$5:AB5)=0,$X6&lt;&gt;0,SUM($X$5:$X5)=SUM($Y$25:AA$25)),$X6,0)</f>
        <v>0</v>
      </c>
      <c r="AC6" s="564">
        <f>IF(AND(SUM(AC$5:AC5)=0,$X6&lt;&gt;0,SUM($X$5:$X5)=SUM($Y$25:AB$25)),$X6,0)</f>
        <v>0</v>
      </c>
      <c r="AD6" s="564">
        <f>IF(AND(SUM(AD$5:AD5)=0,$X6&lt;&gt;0,SUM($X$5:$X5)=SUM($Y$25:AC$25)),$X6,0)</f>
        <v>0</v>
      </c>
      <c r="AE6" s="564">
        <f>IF(AND(SUM(AE$5:AE5)=0,$X6&lt;&gt;0,SUM($X$5:$X5)=SUM($Y$25:AD$25)),$X6,0)</f>
        <v>0</v>
      </c>
      <c r="AF6" s="564">
        <f>IF(AND(SUM(AF$5:AF5)=0,$X6&lt;&gt;0,SUM($X$5:$X5)=SUM($Y$25:AE$25)),$X6,0)</f>
        <v>0</v>
      </c>
      <c r="AG6" s="564">
        <f>IF(AND(SUM(AG$5:AG5)=0,$X6&lt;&gt;0,SUM($X$5:$X5)=SUM($Y$25:AF$25)),$X6,0)</f>
        <v>0</v>
      </c>
      <c r="AH6" s="564">
        <f>IF(AND(SUM(AH$5:AH5)=0,$X6&lt;&gt;0,SUM($X$5:$X5)=SUM($Y$25:AG$25)),$X6,0)</f>
        <v>0</v>
      </c>
      <c r="AI6" s="564">
        <f>IF(AND(SUM(AI$5:AI5)=0,$X6&lt;&gt;0,SUM($X$5:$X5)=SUM($Y$25:AH$25)),$X6,0)</f>
        <v>0</v>
      </c>
      <c r="AJ6" s="564">
        <f>IF(AND(SUM(AJ$5:AJ5)=0,$X6&lt;&gt;0,SUM($X$5:$X5)=SUM($Y$25:AI$25)),$X6,0)</f>
        <v>0</v>
      </c>
      <c r="AK6" s="564">
        <f>IF(AND(SUM(AK$5:AK5)=0,$X6&lt;&gt;0,SUM($X$5:$X5)=SUM($Y$25:AJ$25)),$X6,0)</f>
        <v>0</v>
      </c>
      <c r="AL6" s="564">
        <f>IF(AND(SUM(AL$5:AL5)=0,$X6&lt;&gt;0,SUM($X$5:$X5)=SUM($Y$25:AK$25)),$X6,0)</f>
        <v>0</v>
      </c>
      <c r="AM6" s="564">
        <f>IF(AND(SUM(AM$5:AM5)=0,$X6&lt;&gt;0,SUM($X$5:$X5)=SUM($Y$25:AL$25)),$X6,0)</f>
        <v>0</v>
      </c>
      <c r="AN6" s="564">
        <f>IF(AND(SUM(AN$5:AN5)=0,$X6&lt;&gt;0,SUM($X$5:$X5)=SUM($Y$25:AM$25)),$X6,0)</f>
        <v>0</v>
      </c>
      <c r="AO6" s="564">
        <f>IF(AND(SUM(AO$5:AO5)=0,$X6&lt;&gt;0,SUM($X$5:$X5)=SUM($Y$25:AN$25)),$X6,0)</f>
        <v>0</v>
      </c>
      <c r="AP6" s="564">
        <f>IF(AND(SUM(AP$5:AP5)=0,$X6&lt;&gt;0,SUM($X$5:$X5)=SUM($Y$25:AO$25)),$X6,0)</f>
        <v>0</v>
      </c>
      <c r="AQ6" s="564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958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7" t="str">
        <f>IF('Аренда ТС'!$BE$16="","",'Аренда ТС'!$BE$16)</f>
        <v/>
      </c>
      <c r="G7" s="552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6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4">
        <f t="shared" si="4"/>
        <v>0</v>
      </c>
      <c r="Y7" s="564">
        <f>IF(AND(SUM($Y$5:Y6)=0,X7&lt;&gt;0),X7,0)</f>
        <v>0</v>
      </c>
      <c r="Z7" s="564">
        <f>IF(AND(SUM($Z$5:Z6)=0,$X7&lt;&gt;0,SUM($X$5:X6)=Y$25),$X7,0)</f>
        <v>0</v>
      </c>
      <c r="AA7" s="564">
        <f>IF(AND(SUM(AA$5:AA6)=0,$X7&lt;&gt;0,SUM($X$5:$X6)=SUM($Y$25:Z$25)),$X7,0)</f>
        <v>0</v>
      </c>
      <c r="AB7" s="564">
        <f>IF(AND(SUM(AB$5:AB6)=0,$X7&lt;&gt;0,SUM($X$5:$X6)=SUM($Y$25:AA$25)),$X7,0)</f>
        <v>0</v>
      </c>
      <c r="AC7" s="564">
        <f>IF(AND(SUM(AC$5:AC6)=0,$X7&lt;&gt;0,SUM($X$5:$X6)=SUM($Y$25:AB$25)),$X7,0)</f>
        <v>0</v>
      </c>
      <c r="AD7" s="564">
        <f>IF(AND(SUM(AD$5:AD6)=0,$X7&lt;&gt;0,SUM($X$5:$X6)=SUM($Y$25:AC$25)),$X7,0)</f>
        <v>0</v>
      </c>
      <c r="AE7" s="564">
        <f>IF(AND(SUM(AE$5:AE6)=0,$X7&lt;&gt;0,SUM($X$5:$X6)=SUM($Y$25:AD$25)),$X7,0)</f>
        <v>0</v>
      </c>
      <c r="AF7" s="564">
        <f>IF(AND(SUM(AF$5:AF6)=0,$X7&lt;&gt;0,SUM($X$5:$X6)=SUM($Y$25:AE$25)),$X7,0)</f>
        <v>0</v>
      </c>
      <c r="AG7" s="564">
        <f>IF(AND(SUM(AG$5:AG6)=0,$X7&lt;&gt;0,SUM($X$5:$X6)=SUM($Y$25:AF$25)),$X7,0)</f>
        <v>0</v>
      </c>
      <c r="AH7" s="564">
        <f>IF(AND(SUM(AH$5:AH6)=0,$X7&lt;&gt;0,SUM($X$5:$X6)=SUM($Y$25:AG$25)),$X7,0)</f>
        <v>0</v>
      </c>
      <c r="AI7" s="564">
        <f>IF(AND(SUM(AI$5:AI6)=0,$X7&lt;&gt;0,SUM($X$5:$X6)=SUM($Y$25:AH$25)),$X7,0)</f>
        <v>0</v>
      </c>
      <c r="AJ7" s="564">
        <f>IF(AND(SUM(AJ$5:AJ6)=0,$X7&lt;&gt;0,SUM($X$5:$X6)=SUM($Y$25:AI$25)),$X7,0)</f>
        <v>0</v>
      </c>
      <c r="AK7" s="564">
        <f>IF(AND(SUM(AK$5:AK6)=0,$X7&lt;&gt;0,SUM($X$5:$X6)=SUM($Y$25:AJ$25)),$X7,0)</f>
        <v>0</v>
      </c>
      <c r="AL7" s="564">
        <f>IF(AND(SUM(AL$5:AL6)=0,$X7&lt;&gt;0,SUM($X$5:$X6)=SUM($Y$25:AK$25)),$X7,0)</f>
        <v>0</v>
      </c>
      <c r="AM7" s="564">
        <f>IF(AND(SUM(AM$5:AM6)=0,$X7&lt;&gt;0,SUM($X$5:$X6)=SUM($Y$25:AL$25)),$X7,0)</f>
        <v>0</v>
      </c>
      <c r="AN7" s="564">
        <f>IF(AND(SUM(AN$5:AN6)=0,$X7&lt;&gt;0,SUM($X$5:$X6)=SUM($Y$25:AM$25)),$X7,0)</f>
        <v>0</v>
      </c>
      <c r="AO7" s="564">
        <f>IF(AND(SUM(AO$5:AO6)=0,$X7&lt;&gt;0,SUM($X$5:$X6)=SUM($Y$25:AN$25)),$X7,0)</f>
        <v>0</v>
      </c>
      <c r="AP7" s="564">
        <f>IF(AND(SUM(AP$5:AP6)=0,$X7&lt;&gt;0,SUM($X$5:$X6)=SUM($Y$25:AO$25)),$X7,0)</f>
        <v>0</v>
      </c>
      <c r="AQ7" s="564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958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7" t="str">
        <f>IF('Аренда ТС'!DA16="","",'Аренда ТС'!DA16)</f>
        <v/>
      </c>
      <c r="G8" s="552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6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4">
        <f t="shared" si="4"/>
        <v>0</v>
      </c>
      <c r="Y8" s="564">
        <f>IF(AND(SUM($Y$5:Y7)=0,X8&lt;&gt;0),X8,0)</f>
        <v>0</v>
      </c>
      <c r="Z8" s="564">
        <f>IF(AND(SUM($Z$5:Z7)=0,$X8&lt;&gt;0,SUM($X$5:X7)=Y$25),$X8,0)</f>
        <v>0</v>
      </c>
      <c r="AA8" s="564">
        <f>IF(AND(SUM(AA$5:AA7)=0,$X8&lt;&gt;0,SUM($X$5:$X7)=SUM($Y$25:Z$25)),$X8,0)</f>
        <v>0</v>
      </c>
      <c r="AB8" s="564">
        <f>IF(AND(SUM(AB$5:AB7)=0,$X8&lt;&gt;0,SUM($X$5:$X7)=SUM($Y$25:AA$25)),$X8,0)</f>
        <v>0</v>
      </c>
      <c r="AC8" s="564">
        <f>IF(AND(SUM(AC$5:AC7)=0,$X8&lt;&gt;0,SUM($X$5:$X7)=SUM($Y$25:AB$25)),$X8,0)</f>
        <v>0</v>
      </c>
      <c r="AD8" s="564">
        <f>IF(AND(SUM(AD$5:AD7)=0,$X8&lt;&gt;0,SUM($X$5:$X7)=SUM($Y$25:AC$25)),$X8,0)</f>
        <v>0</v>
      </c>
      <c r="AE8" s="564">
        <f>IF(AND(SUM(AE$5:AE7)=0,$X8&lt;&gt;0,SUM($X$5:$X7)=SUM($Y$25:AD$25)),$X8,0)</f>
        <v>0</v>
      </c>
      <c r="AF8" s="564">
        <f>IF(AND(SUM(AF$5:AF7)=0,$X8&lt;&gt;0,SUM($X$5:$X7)=SUM($Y$25:AE$25)),$X8,0)</f>
        <v>0</v>
      </c>
      <c r="AG8" s="564">
        <f>IF(AND(SUM(AG$5:AG7)=0,$X8&lt;&gt;0,SUM($X$5:$X7)=SUM($Y$25:AF$25)),$X8,0)</f>
        <v>0</v>
      </c>
      <c r="AH8" s="564">
        <f>IF(AND(SUM(AH$5:AH7)=0,$X8&lt;&gt;0,SUM($X$5:$X7)=SUM($Y$25:AG$25)),$X8,0)</f>
        <v>0</v>
      </c>
      <c r="AI8" s="564">
        <f>IF(AND(SUM(AI$5:AI7)=0,$X8&lt;&gt;0,SUM($X$5:$X7)=SUM($Y$25:AH$25)),$X8,0)</f>
        <v>0</v>
      </c>
      <c r="AJ8" s="564">
        <f>IF(AND(SUM(AJ$5:AJ7)=0,$X8&lt;&gt;0,SUM($X$5:$X7)=SUM($Y$25:AI$25)),$X8,0)</f>
        <v>0</v>
      </c>
      <c r="AK8" s="564">
        <f>IF(AND(SUM(AK$5:AK7)=0,$X8&lt;&gt;0,SUM($X$5:$X7)=SUM($Y$25:AJ$25)),$X8,0)</f>
        <v>0</v>
      </c>
      <c r="AL8" s="564">
        <f>IF(AND(SUM(AL$5:AL7)=0,$X8&lt;&gt;0,SUM($X$5:$X7)=SUM($Y$25:AK$25)),$X8,0)</f>
        <v>0</v>
      </c>
      <c r="AM8" s="564">
        <f>IF(AND(SUM(AM$5:AM7)=0,$X8&lt;&gt;0,SUM($X$5:$X7)=SUM($Y$25:AL$25)),$X8,0)</f>
        <v>0</v>
      </c>
      <c r="AN8" s="564">
        <f>IF(AND(SUM(AN$5:AN7)=0,$X8&lt;&gt;0,SUM($X$5:$X7)=SUM($Y$25:AM$25)),$X8,0)</f>
        <v>0</v>
      </c>
      <c r="AO8" s="564">
        <f>IF(AND(SUM(AO$5:AO7)=0,$X8&lt;&gt;0,SUM($X$5:$X7)=SUM($Y$25:AN$25)),$X8,0)</f>
        <v>0</v>
      </c>
      <c r="AP8" s="564">
        <f>IF(AND(SUM(AP$5:AP7)=0,$X8&lt;&gt;0,SUM($X$5:$X7)=SUM($Y$25:AO$25)),$X8,0)</f>
        <v>0</v>
      </c>
      <c r="AQ8" s="564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959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6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4">
        <f t="shared" si="4"/>
        <v>0</v>
      </c>
      <c r="Y9" s="564">
        <f>IF(AND(SUM($Y$5:Y8)=0,X9&lt;&gt;0),X9,0)</f>
        <v>0</v>
      </c>
      <c r="Z9" s="564">
        <f>IF(AND(SUM($Z$5:Z8)=0,$X9&lt;&gt;0,SUM($X$5:X8)=Y$25),$X9,0)</f>
        <v>0</v>
      </c>
      <c r="AA9" s="564">
        <f>IF(AND(SUM(AA$5:AA8)=0,$X9&lt;&gt;0,SUM($X$5:$X8)=SUM($Y$25:Z$25)),$X9,0)</f>
        <v>0</v>
      </c>
      <c r="AB9" s="564">
        <f>IF(AND(SUM(AB$5:AB8)=0,$X9&lt;&gt;0,SUM($X$5:$X8)=SUM($Y$25:AA$25)),$X9,0)</f>
        <v>0</v>
      </c>
      <c r="AC9" s="564">
        <f>IF(AND(SUM(AC$5:AC8)=0,$X9&lt;&gt;0,SUM($X$5:$X8)=SUM($Y$25:AB$25)),$X9,0)</f>
        <v>0</v>
      </c>
      <c r="AD9" s="564">
        <f>IF(AND(SUM(AD$5:AD8)=0,$X9&lt;&gt;0,SUM($X$5:$X8)=SUM($Y$25:AC$25)),$X9,0)</f>
        <v>0</v>
      </c>
      <c r="AE9" s="564">
        <f>IF(AND(SUM(AE$5:AE8)=0,$X9&lt;&gt;0,SUM($X$5:$X8)=SUM($Y$25:AD$25)),$X9,0)</f>
        <v>0</v>
      </c>
      <c r="AF9" s="564">
        <f>IF(AND(SUM(AF$5:AF8)=0,$X9&lt;&gt;0,SUM($X$5:$X8)=SUM($Y$25:AE$25)),$X9,0)</f>
        <v>0</v>
      </c>
      <c r="AG9" s="564">
        <f>IF(AND(SUM(AG$5:AG8)=0,$X9&lt;&gt;0,SUM($X$5:$X8)=SUM($Y$25:AF$25)),$X9,0)</f>
        <v>0</v>
      </c>
      <c r="AH9" s="564">
        <f>IF(AND(SUM(AH$5:AH8)=0,$X9&lt;&gt;0,SUM($X$5:$X8)=SUM($Y$25:AG$25)),$X9,0)</f>
        <v>0</v>
      </c>
      <c r="AI9" s="564">
        <f>IF(AND(SUM(AI$5:AI8)=0,$X9&lt;&gt;0,SUM($X$5:$X8)=SUM($Y$25:AH$25)),$X9,0)</f>
        <v>0</v>
      </c>
      <c r="AJ9" s="564">
        <f>IF(AND(SUM(AJ$5:AJ8)=0,$X9&lt;&gt;0,SUM($X$5:$X8)=SUM($Y$25:AI$25)),$X9,0)</f>
        <v>0</v>
      </c>
      <c r="AK9" s="564">
        <f>IF(AND(SUM(AK$5:AK8)=0,$X9&lt;&gt;0,SUM($X$5:$X8)=SUM($Y$25:AJ$25)),$X9,0)</f>
        <v>0</v>
      </c>
      <c r="AL9" s="564">
        <f>IF(AND(SUM(AL$5:AL8)=0,$X9&lt;&gt;0,SUM($X$5:$X8)=SUM($Y$25:AK$25)),$X9,0)</f>
        <v>0</v>
      </c>
      <c r="AM9" s="564">
        <f>IF(AND(SUM(AM$5:AM8)=0,$X9&lt;&gt;0,SUM($X$5:$X8)=SUM($Y$25:AL$25)),$X9,0)</f>
        <v>0</v>
      </c>
      <c r="AN9" s="564">
        <f>IF(AND(SUM(AN$5:AN8)=0,$X9&lt;&gt;0,SUM($X$5:$X8)=SUM($Y$25:AM$25)),$X9,0)</f>
        <v>0</v>
      </c>
      <c r="AO9" s="564">
        <f>IF(AND(SUM(AO$5:AO8)=0,$X9&lt;&gt;0,SUM($X$5:$X8)=SUM($Y$25:AN$25)),$X9,0)</f>
        <v>0</v>
      </c>
      <c r="AP9" s="564">
        <f>IF(AND(SUM(AP$5:AP8)=0,$X9&lt;&gt;0,SUM($X$5:$X8)=SUM($Y$25:AO$25)),$X9,0)</f>
        <v>0</v>
      </c>
      <c r="AQ9" s="564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959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6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4">
        <f t="shared" si="4"/>
        <v>0</v>
      </c>
      <c r="Y10" s="564">
        <f>IF(AND(SUM($Y$5:Y9)=0,X10&lt;&gt;0),X10,0)</f>
        <v>0</v>
      </c>
      <c r="Z10" s="564">
        <f>IF(AND(SUM($Z$5:Z9)=0,$X10&lt;&gt;0,SUM($X$5:X9)=Y$25),$X10,0)</f>
        <v>0</v>
      </c>
      <c r="AA10" s="564">
        <f>IF(AND(SUM(AA$5:AA9)=0,$X10&lt;&gt;0,SUM($X$5:$X9)=SUM($Y$25:Z$25)),$X10,0)</f>
        <v>0</v>
      </c>
      <c r="AB10" s="564">
        <f>IF(AND(SUM(AB$5:AB9)=0,$X10&lt;&gt;0,SUM($X$5:$X9)=SUM($Y$25:AA$25)),$X10,0)</f>
        <v>0</v>
      </c>
      <c r="AC10" s="564">
        <f>IF(AND(SUM(AC$5:AC9)=0,$X10&lt;&gt;0,SUM($X$5:$X9)=SUM($Y$25:AB$25)),$X10,0)</f>
        <v>0</v>
      </c>
      <c r="AD10" s="564">
        <f>IF(AND(SUM(AD$5:AD9)=0,$X10&lt;&gt;0,SUM($X$5:$X9)=SUM($Y$25:AC$25)),$X10,0)</f>
        <v>0</v>
      </c>
      <c r="AE10" s="564">
        <f>IF(AND(SUM(AE$5:AE9)=0,$X10&lt;&gt;0,SUM($X$5:$X9)=SUM($Y$25:AD$25)),$X10,0)</f>
        <v>0</v>
      </c>
      <c r="AF10" s="564">
        <f>IF(AND(SUM(AF$5:AF9)=0,$X10&lt;&gt;0,SUM($X$5:$X9)=SUM($Y$25:AE$25)),$X10,0)</f>
        <v>0</v>
      </c>
      <c r="AG10" s="564">
        <f>IF(AND(SUM(AG$5:AG9)=0,$X10&lt;&gt;0,SUM($X$5:$X9)=SUM($Y$25:AF$25)),$X10,0)</f>
        <v>0</v>
      </c>
      <c r="AH10" s="564">
        <f>IF(AND(SUM(AH$5:AH9)=0,$X10&lt;&gt;0,SUM($X$5:$X9)=SUM($Y$25:AG$25)),$X10,0)</f>
        <v>0</v>
      </c>
      <c r="AI10" s="564">
        <f>IF(AND(SUM(AI$5:AI9)=0,$X10&lt;&gt;0,SUM($X$5:$X9)=SUM($Y$25:AH$25)),$X10,0)</f>
        <v>0</v>
      </c>
      <c r="AJ10" s="564">
        <f>IF(AND(SUM(AJ$5:AJ9)=0,$X10&lt;&gt;0,SUM($X$5:$X9)=SUM($Y$25:AI$25)),$X10,0)</f>
        <v>0</v>
      </c>
      <c r="AK10" s="564">
        <f>IF(AND(SUM(AK$5:AK9)=0,$X10&lt;&gt;0,SUM($X$5:$X9)=SUM($Y$25:AJ$25)),$X10,0)</f>
        <v>0</v>
      </c>
      <c r="AL10" s="564">
        <f>IF(AND(SUM(AL$5:AL9)=0,$X10&lt;&gt;0,SUM($X$5:$X9)=SUM($Y$25:AK$25)),$X10,0)</f>
        <v>0</v>
      </c>
      <c r="AM10" s="564">
        <f>IF(AND(SUM(AM$5:AM9)=0,$X10&lt;&gt;0,SUM($X$5:$X9)=SUM($Y$25:AL$25)),$X10,0)</f>
        <v>0</v>
      </c>
      <c r="AN10" s="564">
        <f>IF(AND(SUM(AN$5:AN9)=0,$X10&lt;&gt;0,SUM($X$5:$X9)=SUM($Y$25:AM$25)),$X10,0)</f>
        <v>0</v>
      </c>
      <c r="AO10" s="564">
        <f>IF(AND(SUM(AO$5:AO9)=0,$X10&lt;&gt;0,SUM($X$5:$X9)=SUM($Y$25:AN$25)),$X10,0)</f>
        <v>0</v>
      </c>
      <c r="AP10" s="564">
        <f>IF(AND(SUM(AP$5:AP9)=0,$X10&lt;&gt;0,SUM($X$5:$X9)=SUM($Y$25:AO$25)),$X10,0)</f>
        <v>0</v>
      </c>
      <c r="AQ10" s="564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959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6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4">
        <f t="shared" si="4"/>
        <v>0</v>
      </c>
      <c r="Y11" s="564">
        <f>IF(AND(SUM($Y$5:Y10)=0,X11&lt;&gt;0),X11,0)</f>
        <v>0</v>
      </c>
      <c r="Z11" s="564">
        <f>IF(AND(SUM($Z$5:Z10)=0,$X11&lt;&gt;0,SUM($X$5:X10)=Y$25),$X11,0)</f>
        <v>0</v>
      </c>
      <c r="AA11" s="564">
        <f>IF(AND(SUM(AA$5:AA10)=0,$X11&lt;&gt;0,SUM($X$5:$X10)=SUM($Y$25:Z$25)),$X11,0)</f>
        <v>0</v>
      </c>
      <c r="AB11" s="564">
        <f>IF(AND(SUM(AB$5:AB10)=0,$X11&lt;&gt;0,SUM($X$5:$X10)=SUM($Y$25:AA$25)),$X11,0)</f>
        <v>0</v>
      </c>
      <c r="AC11" s="564">
        <f>IF(AND(SUM(AC$5:AC10)=0,$X11&lt;&gt;0,SUM($X$5:$X10)=SUM($Y$25:AB$25)),$X11,0)</f>
        <v>0</v>
      </c>
      <c r="AD11" s="564">
        <f>IF(AND(SUM(AD$5:AD10)=0,$X11&lt;&gt;0,SUM($X$5:$X10)=SUM($Y$25:AC$25)),$X11,0)</f>
        <v>0</v>
      </c>
      <c r="AE11" s="564">
        <f>IF(AND(SUM(AE$5:AE10)=0,$X11&lt;&gt;0,SUM($X$5:$X10)=SUM($Y$25:AD$25)),$X11,0)</f>
        <v>0</v>
      </c>
      <c r="AF11" s="564">
        <f>IF(AND(SUM(AF$5:AF10)=0,$X11&lt;&gt;0,SUM($X$5:$X10)=SUM($Y$25:AE$25)),$X11,0)</f>
        <v>0</v>
      </c>
      <c r="AG11" s="564">
        <f>IF(AND(SUM(AG$5:AG10)=0,$X11&lt;&gt;0,SUM($X$5:$X10)=SUM($Y$25:AF$25)),$X11,0)</f>
        <v>0</v>
      </c>
      <c r="AH11" s="564">
        <f>IF(AND(SUM(AH$5:AH10)=0,$X11&lt;&gt;0,SUM($X$5:$X10)=SUM($Y$25:AG$25)),$X11,0)</f>
        <v>0</v>
      </c>
      <c r="AI11" s="564">
        <f>IF(AND(SUM(AI$5:AI10)=0,$X11&lt;&gt;0,SUM($X$5:$X10)=SUM($Y$25:AH$25)),$X11,0)</f>
        <v>0</v>
      </c>
      <c r="AJ11" s="564">
        <f>IF(AND(SUM(AJ$5:AJ10)=0,$X11&lt;&gt;0,SUM($X$5:$X10)=SUM($Y$25:AI$25)),$X11,0)</f>
        <v>0</v>
      </c>
      <c r="AK11" s="564">
        <f>IF(AND(SUM(AK$5:AK10)=0,$X11&lt;&gt;0,SUM($X$5:$X10)=SUM($Y$25:AJ$25)),$X11,0)</f>
        <v>0</v>
      </c>
      <c r="AL11" s="564">
        <f>IF(AND(SUM(AL$5:AL10)=0,$X11&lt;&gt;0,SUM($X$5:$X10)=SUM($Y$25:AK$25)),$X11,0)</f>
        <v>0</v>
      </c>
      <c r="AM11" s="564">
        <f>IF(AND(SUM(AM$5:AM10)=0,$X11&lt;&gt;0,SUM($X$5:$X10)=SUM($Y$25:AL$25)),$X11,0)</f>
        <v>0</v>
      </c>
      <c r="AN11" s="564">
        <f>IF(AND(SUM(AN$5:AN10)=0,$X11&lt;&gt;0,SUM($X$5:$X10)=SUM($Y$25:AM$25)),$X11,0)</f>
        <v>0</v>
      </c>
      <c r="AO11" s="564">
        <f>IF(AND(SUM(AO$5:AO10)=0,$X11&lt;&gt;0,SUM($X$5:$X10)=SUM($Y$25:AN$25)),$X11,0)</f>
        <v>0</v>
      </c>
      <c r="AP11" s="564">
        <f>IF(AND(SUM(AP$5:AP10)=0,$X11&lt;&gt;0,SUM($X$5:$X10)=SUM($Y$25:AO$25)),$X11,0)</f>
        <v>0</v>
      </c>
      <c r="AQ11" s="564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960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6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4">
        <f t="shared" si="4"/>
        <v>0</v>
      </c>
      <c r="Y12" s="564">
        <f>IF(AND(SUM($Y$5:Y11)=0,X12&lt;&gt;0),X12,0)</f>
        <v>0</v>
      </c>
      <c r="Z12" s="564">
        <f>IF(AND(SUM($Z$5:Z11)=0,$X12&lt;&gt;0,SUM($X$5:X11)=Y$25),$X12,0)</f>
        <v>0</v>
      </c>
      <c r="AA12" s="564">
        <f>IF(AND(SUM(AA$5:AA11)=0,$X12&lt;&gt;0,SUM($X$5:$X11)=SUM($Y$25:Z$25)),$X12,0)</f>
        <v>0</v>
      </c>
      <c r="AB12" s="564">
        <f>IF(AND(SUM(AB$5:AB11)=0,$X12&lt;&gt;0,SUM($X$5:$X11)=SUM($Y$25:AA$25)),$X12,0)</f>
        <v>0</v>
      </c>
      <c r="AC12" s="564">
        <f>IF(AND(SUM(AC$5:AC11)=0,$X12&lt;&gt;0,SUM($X$5:$X11)=SUM($Y$25:AB$25)),$X12,0)</f>
        <v>0</v>
      </c>
      <c r="AD12" s="564">
        <f>IF(AND(SUM(AD$5:AD11)=0,$X12&lt;&gt;0,SUM($X$5:$X11)=SUM($Y$25:AC$25)),$X12,0)</f>
        <v>0</v>
      </c>
      <c r="AE12" s="564">
        <f>IF(AND(SUM(AE$5:AE11)=0,$X12&lt;&gt;0,SUM($X$5:$X11)=SUM($Y$25:AD$25)),$X12,0)</f>
        <v>0</v>
      </c>
      <c r="AF12" s="564">
        <f>IF(AND(SUM(AF$5:AF11)=0,$X12&lt;&gt;0,SUM($X$5:$X11)=SUM($Y$25:AE$25)),$X12,0)</f>
        <v>0</v>
      </c>
      <c r="AG12" s="564">
        <f>IF(AND(SUM(AG$5:AG11)=0,$X12&lt;&gt;0,SUM($X$5:$X11)=SUM($Y$25:AF$25)),$X12,0)</f>
        <v>0</v>
      </c>
      <c r="AH12" s="564">
        <f>IF(AND(SUM(AH$5:AH11)=0,$X12&lt;&gt;0,SUM($X$5:$X11)=SUM($Y$25:AG$25)),$X12,0)</f>
        <v>0</v>
      </c>
      <c r="AI12" s="564">
        <f>IF(AND(SUM(AI$5:AI11)=0,$X12&lt;&gt;0,SUM($X$5:$X11)=SUM($Y$25:AH$25)),$X12,0)</f>
        <v>0</v>
      </c>
      <c r="AJ12" s="564">
        <f>IF(AND(SUM(AJ$5:AJ11)=0,$X12&lt;&gt;0,SUM($X$5:$X11)=SUM($Y$25:AI$25)),$X12,0)</f>
        <v>0</v>
      </c>
      <c r="AK12" s="564">
        <f>IF(AND(SUM(AK$5:AK11)=0,$X12&lt;&gt;0,SUM($X$5:$X11)=SUM($Y$25:AJ$25)),$X12,0)</f>
        <v>0</v>
      </c>
      <c r="AL12" s="564">
        <f>IF(AND(SUM(AL$5:AL11)=0,$X12&lt;&gt;0,SUM($X$5:$X11)=SUM($Y$25:AK$25)),$X12,0)</f>
        <v>0</v>
      </c>
      <c r="AM12" s="564">
        <f>IF(AND(SUM(AM$5:AM11)=0,$X12&lt;&gt;0,SUM($X$5:$X11)=SUM($Y$25:AL$25)),$X12,0)</f>
        <v>0</v>
      </c>
      <c r="AN12" s="564">
        <f>IF(AND(SUM(AN$5:AN11)=0,$X12&lt;&gt;0,SUM($X$5:$X11)=SUM($Y$25:AM$25)),$X12,0)</f>
        <v>0</v>
      </c>
      <c r="AO12" s="564">
        <f>IF(AND(SUM(AO$5:AO11)=0,$X12&lt;&gt;0,SUM($X$5:$X11)=SUM($Y$25:AN$25)),$X12,0)</f>
        <v>0</v>
      </c>
      <c r="AP12" s="564">
        <f>IF(AND(SUM(AP$5:AP11)=0,$X12&lt;&gt;0,SUM($X$5:$X11)=SUM($Y$25:AO$25)),$X12,0)</f>
        <v>0</v>
      </c>
      <c r="AQ12" s="564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960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6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4">
        <f t="shared" si="4"/>
        <v>0</v>
      </c>
      <c r="Y13" s="564">
        <f>IF(AND(SUM($Y$5:Y12)=0,X13&lt;&gt;0),X13,0)</f>
        <v>0</v>
      </c>
      <c r="Z13" s="564">
        <f>IF(AND(SUM($Z$5:Z12)=0,$X13&lt;&gt;0,SUM($X$5:X12)=Y$25),$X13,0)</f>
        <v>0</v>
      </c>
      <c r="AA13" s="564">
        <f>IF(AND(SUM(AA$5:AA12)=0,$X13&lt;&gt;0,SUM($X$5:$X12)=SUM($Y$25:Z$25)),$X13,0)</f>
        <v>0</v>
      </c>
      <c r="AB13" s="564">
        <f>IF(AND(SUM(AB$5:AB12)=0,$X13&lt;&gt;0,SUM($X$5:$X12)=SUM($Y$25:AA$25)),$X13,0)</f>
        <v>0</v>
      </c>
      <c r="AC13" s="564">
        <f>IF(AND(SUM(AC$5:AC12)=0,$X13&lt;&gt;0,SUM($X$5:$X12)=SUM($Y$25:AB$25)),$X13,0)</f>
        <v>0</v>
      </c>
      <c r="AD13" s="564">
        <f>IF(AND(SUM(AD$5:AD12)=0,$X13&lt;&gt;0,SUM($X$5:$X12)=SUM($Y$25:AC$25)),$X13,0)</f>
        <v>0</v>
      </c>
      <c r="AE13" s="564">
        <f>IF(AND(SUM(AE$5:AE12)=0,$X13&lt;&gt;0,SUM($X$5:$X12)=SUM($Y$25:AD$25)),$X13,0)</f>
        <v>0</v>
      </c>
      <c r="AF13" s="564">
        <f>IF(AND(SUM(AF$5:AF12)=0,$X13&lt;&gt;0,SUM($X$5:$X12)=SUM($Y$25:AE$25)),$X13,0)</f>
        <v>0</v>
      </c>
      <c r="AG13" s="564">
        <f>IF(AND(SUM(AG$5:AG12)=0,$X13&lt;&gt;0,SUM($X$5:$X12)=SUM($Y$25:AF$25)),$X13,0)</f>
        <v>0</v>
      </c>
      <c r="AH13" s="564">
        <f>IF(AND(SUM(AH$5:AH12)=0,$X13&lt;&gt;0,SUM($X$5:$X12)=SUM($Y$25:AG$25)),$X13,0)</f>
        <v>0</v>
      </c>
      <c r="AI13" s="564">
        <f>IF(AND(SUM(AI$5:AI12)=0,$X13&lt;&gt;0,SUM($X$5:$X12)=SUM($Y$25:AH$25)),$X13,0)</f>
        <v>0</v>
      </c>
      <c r="AJ13" s="564">
        <f>IF(AND(SUM(AJ$5:AJ12)=0,$X13&lt;&gt;0,SUM($X$5:$X12)=SUM($Y$25:AI$25)),$X13,0)</f>
        <v>0</v>
      </c>
      <c r="AK13" s="564">
        <f>IF(AND(SUM(AK$5:AK12)=0,$X13&lt;&gt;0,SUM($X$5:$X12)=SUM($Y$25:AJ$25)),$X13,0)</f>
        <v>0</v>
      </c>
      <c r="AL13" s="564">
        <f>IF(AND(SUM(AL$5:AL12)=0,$X13&lt;&gt;0,SUM($X$5:$X12)=SUM($Y$25:AK$25)),$X13,0)</f>
        <v>0</v>
      </c>
      <c r="AM13" s="564">
        <f>IF(AND(SUM(AM$5:AM12)=0,$X13&lt;&gt;0,SUM($X$5:$X12)=SUM($Y$25:AL$25)),$X13,0)</f>
        <v>0</v>
      </c>
      <c r="AN13" s="564">
        <f>IF(AND(SUM(AN$5:AN12)=0,$X13&lt;&gt;0,SUM($X$5:$X12)=SUM($Y$25:AM$25)),$X13,0)</f>
        <v>0</v>
      </c>
      <c r="AO13" s="564">
        <f>IF(AND(SUM(AO$5:AO12)=0,$X13&lt;&gt;0,SUM($X$5:$X12)=SUM($Y$25:AN$25)),$X13,0)</f>
        <v>0</v>
      </c>
      <c r="AP13" s="564">
        <f>IF(AND(SUM(AP$5:AP12)=0,$X13&lt;&gt;0,SUM($X$5:$X12)=SUM($Y$25:AO$25)),$X13,0)</f>
        <v>0</v>
      </c>
      <c r="AQ13" s="564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960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6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4">
        <f t="shared" si="4"/>
        <v>0</v>
      </c>
      <c r="Y14" s="564">
        <f>IF(AND(SUM($Y$5:Y13)=0,X14&lt;&gt;0),X14,0)</f>
        <v>0</v>
      </c>
      <c r="Z14" s="564">
        <f>IF(AND(SUM($Z$5:Z13)=0,$X14&lt;&gt;0,SUM($X$5:X13)=Y$25),$X14,0)</f>
        <v>0</v>
      </c>
      <c r="AA14" s="564">
        <f>IF(AND(SUM(AA$5:AA13)=0,$X14&lt;&gt;0,SUM($X$5:$X13)=SUM($Y$25:Z$25)),$X14,0)</f>
        <v>0</v>
      </c>
      <c r="AB14" s="564">
        <f>IF(AND(SUM(AB$5:AB13)=0,$X14&lt;&gt;0,SUM($X$5:$X13)=SUM($Y$25:AA$25)),$X14,0)</f>
        <v>0</v>
      </c>
      <c r="AC14" s="564">
        <f>IF(AND(SUM(AC$5:AC13)=0,$X14&lt;&gt;0,SUM($X$5:$X13)=SUM($Y$25:AB$25)),$X14,0)</f>
        <v>0</v>
      </c>
      <c r="AD14" s="564">
        <f>IF(AND(SUM(AD$5:AD13)=0,$X14&lt;&gt;0,SUM($X$5:$X13)=SUM($Y$25:AC$25)),$X14,0)</f>
        <v>0</v>
      </c>
      <c r="AE14" s="564">
        <f>IF(AND(SUM(AE$5:AE13)=0,$X14&lt;&gt;0,SUM($X$5:$X13)=SUM($Y$25:AD$25)),$X14,0)</f>
        <v>0</v>
      </c>
      <c r="AF14" s="564">
        <f>IF(AND(SUM(AF$5:AF13)=0,$X14&lt;&gt;0,SUM($X$5:$X13)=SUM($Y$25:AE$25)),$X14,0)</f>
        <v>0</v>
      </c>
      <c r="AG14" s="564">
        <f>IF(AND(SUM(AG$5:AG13)=0,$X14&lt;&gt;0,SUM($X$5:$X13)=SUM($Y$25:AF$25)),$X14,0)</f>
        <v>0</v>
      </c>
      <c r="AH14" s="564">
        <f>IF(AND(SUM(AH$5:AH13)=0,$X14&lt;&gt;0,SUM($X$5:$X13)=SUM($Y$25:AG$25)),$X14,0)</f>
        <v>0</v>
      </c>
      <c r="AI14" s="564">
        <f>IF(AND(SUM(AI$5:AI13)=0,$X14&lt;&gt;0,SUM($X$5:$X13)=SUM($Y$25:AH$25)),$X14,0)</f>
        <v>0</v>
      </c>
      <c r="AJ14" s="564">
        <f>IF(AND(SUM(AJ$5:AJ13)=0,$X14&lt;&gt;0,SUM($X$5:$X13)=SUM($Y$25:AI$25)),$X14,0)</f>
        <v>0</v>
      </c>
      <c r="AK14" s="564">
        <f>IF(AND(SUM(AK$5:AK13)=0,$X14&lt;&gt;0,SUM($X$5:$X13)=SUM($Y$25:AJ$25)),$X14,0)</f>
        <v>0</v>
      </c>
      <c r="AL14" s="564">
        <f>IF(AND(SUM(AL$5:AL13)=0,$X14&lt;&gt;0,SUM($X$5:$X13)=SUM($Y$25:AK$25)),$X14,0)</f>
        <v>0</v>
      </c>
      <c r="AM14" s="564">
        <f>IF(AND(SUM(AM$5:AM13)=0,$X14&lt;&gt;0,SUM($X$5:$X13)=SUM($Y$25:AL$25)),$X14,0)</f>
        <v>0</v>
      </c>
      <c r="AN14" s="564">
        <f>IF(AND(SUM(AN$5:AN13)=0,$X14&lt;&gt;0,SUM($X$5:$X13)=SUM($Y$25:AM$25)),$X14,0)</f>
        <v>0</v>
      </c>
      <c r="AO14" s="564">
        <f>IF(AND(SUM(AO$5:AO13)=0,$X14&lt;&gt;0,SUM($X$5:$X13)=SUM($Y$25:AN$25)),$X14,0)</f>
        <v>0</v>
      </c>
      <c r="AP14" s="564">
        <f>IF(AND(SUM(AP$5:AP13)=0,$X14&lt;&gt;0,SUM($X$5:$X13)=SUM($Y$25:AO$25)),$X14,0)</f>
        <v>0</v>
      </c>
      <c r="AQ14" s="564">
        <f>IF(AND(SUM(AQ$5:AQ13)=0,$X14&lt;&gt;0,SUM($X$5:$X13)=SUM($Y$25:AP$25)),$X14,0)</f>
        <v>0</v>
      </c>
    </row>
    <row r="15" spans="1:43">
      <c r="A15" s="495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4">
        <f t="shared" si="4"/>
        <v>0</v>
      </c>
      <c r="Y15" s="564">
        <f>IF(AND(SUM($Y$5:Y14)=0,X15&lt;&gt;0),X15,0)</f>
        <v>0</v>
      </c>
      <c r="Z15" s="564">
        <f>IF(AND(SUM($Z$5:Z14)=0,$X15&lt;&gt;0,SUM($X$5:X14)=Y$25),$X15,0)</f>
        <v>0</v>
      </c>
      <c r="AA15" s="564">
        <f>IF(AND(SUM(AA$5:AA14)=0,$X15&lt;&gt;0,SUM($X$5:$X14)=SUM($Y$25:Z$25)),$X15,0)</f>
        <v>0</v>
      </c>
      <c r="AB15" s="564">
        <f>IF(AND(SUM(AB$5:AB14)=0,$X15&lt;&gt;0,SUM($X$5:$X14)=SUM($Y$25:AA$25)),$X15,0)</f>
        <v>0</v>
      </c>
      <c r="AC15" s="564">
        <f>IF(AND(SUM(AC$5:AC14)=0,$X15&lt;&gt;0,SUM($X$5:$X14)=SUM($Y$25:AB$25)),$X15,0)</f>
        <v>0</v>
      </c>
      <c r="AD15" s="564">
        <f>IF(AND(SUM(AD$5:AD14)=0,$X15&lt;&gt;0,SUM($X$5:$X14)=SUM($Y$25:AC$25)),$X15,0)</f>
        <v>0</v>
      </c>
      <c r="AE15" s="564">
        <f>IF(AND(SUM(AE$5:AE14)=0,$X15&lt;&gt;0,SUM($X$5:$X14)=SUM($Y$25:AD$25)),$X15,0)</f>
        <v>0</v>
      </c>
      <c r="AF15" s="564">
        <f>IF(AND(SUM(AF$5:AF14)=0,$X15&lt;&gt;0,SUM($X$5:$X14)=SUM($Y$25:AE$25)),$X15,0)</f>
        <v>0</v>
      </c>
      <c r="AG15" s="564">
        <f>IF(AND(SUM(AG$5:AG14)=0,$X15&lt;&gt;0,SUM($X$5:$X14)=SUM($Y$25:AF$25)),$X15,0)</f>
        <v>0</v>
      </c>
      <c r="AH15" s="564">
        <f>IF(AND(SUM(AH$5:AH14)=0,$X15&lt;&gt;0,SUM($X$5:$X14)=SUM($Y$25:AG$25)),$X15,0)</f>
        <v>0</v>
      </c>
      <c r="AI15" s="564">
        <f>IF(AND(SUM(AI$5:AI14)=0,$X15&lt;&gt;0,SUM($X$5:$X14)=SUM($Y$25:AH$25)),$X15,0)</f>
        <v>0</v>
      </c>
      <c r="AJ15" s="564">
        <f>IF(AND(SUM(AJ$5:AJ14)=0,$X15&lt;&gt;0,SUM($X$5:$X14)=SUM($Y$25:AI$25)),$X15,0)</f>
        <v>0</v>
      </c>
      <c r="AK15" s="564">
        <f>IF(AND(SUM(AK$5:AK14)=0,$X15&lt;&gt;0,SUM($X$5:$X14)=SUM($Y$25:AJ$25)),$X15,0)</f>
        <v>0</v>
      </c>
      <c r="AL15" s="564">
        <f>IF(AND(SUM(AL$5:AL14)=0,$X15&lt;&gt;0,SUM($X$5:$X14)=SUM($Y$25:AK$25)),$X15,0)</f>
        <v>0</v>
      </c>
      <c r="AM15" s="564">
        <f>IF(AND(SUM(AM$5:AM14)=0,$X15&lt;&gt;0,SUM($X$5:$X14)=SUM($Y$25:AL$25)),$X15,0)</f>
        <v>0</v>
      </c>
      <c r="AN15" s="564">
        <f>IF(AND(SUM(AN$5:AN14)=0,$X15&lt;&gt;0,SUM($X$5:$X14)=SUM($Y$25:AM$25)),$X15,0)</f>
        <v>0</v>
      </c>
      <c r="AO15" s="564">
        <f>IF(AND(SUM(AO$5:AO14)=0,$X15&lt;&gt;0,SUM($X$5:$X14)=SUM($Y$25:AN$25)),$X15,0)</f>
        <v>0</v>
      </c>
      <c r="AP15" s="564">
        <f>IF(AND(SUM(AP$5:AP14)=0,$X15&lt;&gt;0,SUM($X$5:$X14)=SUM($Y$25:AO$25)),$X15,0)</f>
        <v>0</v>
      </c>
      <c r="AQ15" s="564">
        <f>IF(AND(SUM(AQ$5:AQ14)=0,$X15&lt;&gt;0,SUM($X$5:$X14)=SUM($Y$25:AP$25)),$X15,0)</f>
        <v>0</v>
      </c>
    </row>
    <row r="16" spans="1:43">
      <c r="A16" s="495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4">
        <f t="shared" si="4"/>
        <v>0</v>
      </c>
      <c r="Y16" s="564">
        <f>IF(AND(SUM($Y$5:Y15)=0,X16&lt;&gt;0),X16,0)</f>
        <v>0</v>
      </c>
      <c r="Z16" s="564">
        <f>IF(AND(SUM($Z$5:Z15)=0,$X16&lt;&gt;0,SUM($X$5:X15)=Y$25),$X16,0)</f>
        <v>0</v>
      </c>
      <c r="AA16" s="564">
        <f>IF(AND(SUM(AA$5:AA15)=0,$X16&lt;&gt;0,SUM($X$5:$X15)=SUM($Y$25:Z$25)),$X16,0)</f>
        <v>0</v>
      </c>
      <c r="AB16" s="564">
        <f>IF(AND(SUM(AB$5:AB15)=0,$X16&lt;&gt;0,SUM($X$5:$X15)=SUM($Y$25:AA$25)),$X16,0)</f>
        <v>0</v>
      </c>
      <c r="AC16" s="564">
        <f>IF(AND(SUM(AC$5:AC15)=0,$X16&lt;&gt;0,SUM($X$5:$X15)=SUM($Y$25:AB$25)),$X16,0)</f>
        <v>0</v>
      </c>
      <c r="AD16" s="564">
        <f>IF(AND(SUM(AD$5:AD15)=0,$X16&lt;&gt;0,SUM($X$5:$X15)=SUM($Y$25:AC$25)),$X16,0)</f>
        <v>0</v>
      </c>
      <c r="AE16" s="564">
        <f>IF(AND(SUM(AE$5:AE15)=0,$X16&lt;&gt;0,SUM($X$5:$X15)=SUM($Y$25:AD$25)),$X16,0)</f>
        <v>0</v>
      </c>
      <c r="AF16" s="564">
        <f>IF(AND(SUM(AF$5:AF15)=0,$X16&lt;&gt;0,SUM($X$5:$X15)=SUM($Y$25:AE$25)),$X16,0)</f>
        <v>0</v>
      </c>
      <c r="AG16" s="564">
        <f>IF(AND(SUM(AG$5:AG15)=0,$X16&lt;&gt;0,SUM($X$5:$X15)=SUM($Y$25:AF$25)),$X16,0)</f>
        <v>0</v>
      </c>
      <c r="AH16" s="564">
        <f>IF(AND(SUM(AH$5:AH15)=0,$X16&lt;&gt;0,SUM($X$5:$X15)=SUM($Y$25:AG$25)),$X16,0)</f>
        <v>0</v>
      </c>
      <c r="AI16" s="564">
        <f>IF(AND(SUM(AI$5:AI15)=0,$X16&lt;&gt;0,SUM($X$5:$X15)=SUM($Y$25:AH$25)),$X16,0)</f>
        <v>0</v>
      </c>
      <c r="AJ16" s="564">
        <f>IF(AND(SUM(AJ$5:AJ15)=0,$X16&lt;&gt;0,SUM($X$5:$X15)=SUM($Y$25:AI$25)),$X16,0)</f>
        <v>0</v>
      </c>
      <c r="AK16" s="564">
        <f>IF(AND(SUM(AK$5:AK15)=0,$X16&lt;&gt;0,SUM($X$5:$X15)=SUM($Y$25:AJ$25)),$X16,0)</f>
        <v>0</v>
      </c>
      <c r="AL16" s="564">
        <f>IF(AND(SUM(AL$5:AL15)=0,$X16&lt;&gt;0,SUM($X$5:$X15)=SUM($Y$25:AK$25)),$X16,0)</f>
        <v>0</v>
      </c>
      <c r="AM16" s="564">
        <f>IF(AND(SUM(AM$5:AM15)=0,$X16&lt;&gt;0,SUM($X$5:$X15)=SUM($Y$25:AL$25)),$X16,0)</f>
        <v>0</v>
      </c>
      <c r="AN16" s="564">
        <f>IF(AND(SUM(AN$5:AN15)=0,$X16&lt;&gt;0,SUM($X$5:$X15)=SUM($Y$25:AM$25)),$X16,0)</f>
        <v>0</v>
      </c>
      <c r="AO16" s="564">
        <f>IF(AND(SUM(AO$5:AO15)=0,$X16&lt;&gt;0,SUM($X$5:$X15)=SUM($Y$25:AN$25)),$X16,0)</f>
        <v>0</v>
      </c>
      <c r="AP16" s="564">
        <f>IF(AND(SUM(AP$5:AP15)=0,$X16&lt;&gt;0,SUM($X$5:$X15)=SUM($Y$25:AO$25)),$X16,0)</f>
        <v>0</v>
      </c>
      <c r="AQ16" s="564">
        <f>IF(AND(SUM(AQ$5:AQ15)=0,$X16&lt;&gt;0,SUM($X$5:$X15)=SUM($Y$25:AP$25)),$X16,0)</f>
        <v>0</v>
      </c>
    </row>
    <row r="17" spans="1:43">
      <c r="A17" s="1360" t="s">
        <v>848</v>
      </c>
      <c r="B17" s="1360" t="s">
        <v>849</v>
      </c>
      <c r="C17" s="1361" t="s">
        <v>853</v>
      </c>
      <c r="D17" s="1361"/>
      <c r="E17" s="1361"/>
      <c r="F17" s="1361" t="s">
        <v>854</v>
      </c>
      <c r="G17" s="1361"/>
      <c r="H17" s="1361"/>
      <c r="I17" s="1360" t="s">
        <v>852</v>
      </c>
      <c r="J17" s="1358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4">
        <f t="shared" si="4"/>
        <v>0</v>
      </c>
      <c r="Y17" s="564">
        <f>IF(AND(SUM($Y$5:Y16)=0,X17&lt;&gt;0),X17,0)</f>
        <v>0</v>
      </c>
      <c r="Z17" s="564">
        <f>IF(AND(SUM($Z$5:Z16)=0,$X17&lt;&gt;0,SUM($X$5:X16)=Y$25),$X17,0)</f>
        <v>0</v>
      </c>
      <c r="AA17" s="564">
        <f>IF(AND(SUM(AA$5:AA16)=0,$X17&lt;&gt;0,SUM($X$5:$X16)=SUM($Y$25:Z$25)),$X17,0)</f>
        <v>0</v>
      </c>
      <c r="AB17" s="564">
        <f>IF(AND(SUM(AB$5:AB16)=0,$X17&lt;&gt;0,SUM($X$5:$X16)=SUM($Y$25:AA$25)),$X17,0)</f>
        <v>0</v>
      </c>
      <c r="AC17" s="564">
        <f>IF(AND(SUM(AC$5:AC16)=0,$X17&lt;&gt;0,SUM($X$5:$X16)=SUM($Y$25:AB$25)),$X17,0)</f>
        <v>0</v>
      </c>
      <c r="AD17" s="564">
        <f>IF(AND(SUM(AD$5:AD16)=0,$X17&lt;&gt;0,SUM($X$5:$X16)=SUM($Y$25:AC$25)),$X17,0)</f>
        <v>0</v>
      </c>
      <c r="AE17" s="564">
        <f>IF(AND(SUM(AE$5:AE16)=0,$X17&lt;&gt;0,SUM($X$5:$X16)=SUM($Y$25:AD$25)),$X17,0)</f>
        <v>0</v>
      </c>
      <c r="AF17" s="564">
        <f>IF(AND(SUM(AF$5:AF16)=0,$X17&lt;&gt;0,SUM($X$5:$X16)=SUM($Y$25:AE$25)),$X17,0)</f>
        <v>0</v>
      </c>
      <c r="AG17" s="564">
        <f>IF(AND(SUM(AG$5:AG16)=0,$X17&lt;&gt;0,SUM($X$5:$X16)=SUM($Y$25:AF$25)),$X17,0)</f>
        <v>0</v>
      </c>
      <c r="AH17" s="564">
        <f>IF(AND(SUM(AH$5:AH16)=0,$X17&lt;&gt;0,SUM($X$5:$X16)=SUM($Y$25:AG$25)),$X17,0)</f>
        <v>0</v>
      </c>
      <c r="AI17" s="564">
        <f>IF(AND(SUM(AI$5:AI16)=0,$X17&lt;&gt;0,SUM($X$5:$X16)=SUM($Y$25:AH$25)),$X17,0)</f>
        <v>0</v>
      </c>
      <c r="AJ17" s="564">
        <f>IF(AND(SUM(AJ$5:AJ16)=0,$X17&lt;&gt;0,SUM($X$5:$X16)=SUM($Y$25:AI$25)),$X17,0)</f>
        <v>0</v>
      </c>
      <c r="AK17" s="564">
        <f>IF(AND(SUM(AK$5:AK16)=0,$X17&lt;&gt;0,SUM($X$5:$X16)=SUM($Y$25:AJ$25)),$X17,0)</f>
        <v>0</v>
      </c>
      <c r="AL17" s="564">
        <f>IF(AND(SUM(AL$5:AL16)=0,$X17&lt;&gt;0,SUM($X$5:$X16)=SUM($Y$25:AK$25)),$X17,0)</f>
        <v>0</v>
      </c>
      <c r="AM17" s="564">
        <f>IF(AND(SUM(AM$5:AM16)=0,$X17&lt;&gt;0,SUM($X$5:$X16)=SUM($Y$25:AL$25)),$X17,0)</f>
        <v>0</v>
      </c>
      <c r="AN17" s="564">
        <f>IF(AND(SUM(AN$5:AN16)=0,$X17&lt;&gt;0,SUM($X$5:$X16)=SUM($Y$25:AM$25)),$X17,0)</f>
        <v>0</v>
      </c>
      <c r="AO17" s="564">
        <f>IF(AND(SUM(AO$5:AO16)=0,$X17&lt;&gt;0,SUM($X$5:$X16)=SUM($Y$25:AN$25)),$X17,0)</f>
        <v>0</v>
      </c>
      <c r="AP17" s="564">
        <f>IF(AND(SUM(AP$5:AP16)=0,$X17&lt;&gt;0,SUM($X$5:$X16)=SUM($Y$25:AO$25)),$X17,0)</f>
        <v>0</v>
      </c>
      <c r="AQ17" s="564">
        <f>IF(AND(SUM(AQ$5:AQ16)=0,$X17&lt;&gt;0,SUM($X$5:$X16)=SUM($Y$25:AP$25)),$X17,0)</f>
        <v>0</v>
      </c>
    </row>
    <row r="18" spans="1:43">
      <c r="A18" s="1360"/>
      <c r="B18" s="1360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0"/>
      <c r="J18" s="1358"/>
      <c r="K18" s="450"/>
      <c r="L18" s="450"/>
      <c r="M18" s="450"/>
      <c r="N18" s="450"/>
      <c r="O18" s="448"/>
      <c r="P18" s="448"/>
      <c r="W18" s="234">
        <f t="shared" si="3"/>
        <v>0</v>
      </c>
      <c r="X18" s="564">
        <f t="shared" si="4"/>
        <v>0</v>
      </c>
      <c r="Y18" s="564">
        <f>IF(AND(SUM($Y$5:Y17)=0,X18&lt;&gt;0),X18,0)</f>
        <v>0</v>
      </c>
      <c r="Z18" s="564">
        <f>IF(AND(SUM($Z$5:Z17)=0,$X18&lt;&gt;0,SUM($X$5:X17)=Y$25),$X18,0)</f>
        <v>0</v>
      </c>
      <c r="AA18" s="564">
        <f>IF(AND(SUM(AA$5:AA17)=0,$X18&lt;&gt;0,SUM($X$5:$X17)=SUM($Y$25:Z$25)),$X18,0)</f>
        <v>0</v>
      </c>
      <c r="AB18" s="564">
        <f>IF(AND(SUM(AB$5:AB17)=0,$X18&lt;&gt;0,SUM($X$5:$X17)=SUM($Y$25:AA$25)),$X18,0)</f>
        <v>0</v>
      </c>
      <c r="AC18" s="564">
        <f>IF(AND(SUM(AC$5:AC17)=0,$X18&lt;&gt;0,SUM($X$5:$X17)=SUM($Y$25:AB$25)),$X18,0)</f>
        <v>0</v>
      </c>
      <c r="AD18" s="564">
        <f>IF(AND(SUM(AD$5:AD17)=0,$X18&lt;&gt;0,SUM($X$5:$X17)=SUM($Y$25:AC$25)),$X18,0)</f>
        <v>0</v>
      </c>
      <c r="AE18" s="564">
        <f>IF(AND(SUM(AE$5:AE17)=0,$X18&lt;&gt;0,SUM($X$5:$X17)=SUM($Y$25:AD$25)),$X18,0)</f>
        <v>0</v>
      </c>
      <c r="AF18" s="564">
        <f>IF(AND(SUM(AF$5:AF17)=0,$X18&lt;&gt;0,SUM($X$5:$X17)=SUM($Y$25:AE$25)),$X18,0)</f>
        <v>0</v>
      </c>
      <c r="AG18" s="564">
        <f>IF(AND(SUM(AG$5:AG17)=0,$X18&lt;&gt;0,SUM($X$5:$X17)=SUM($Y$25:AF$25)),$X18,0)</f>
        <v>0</v>
      </c>
      <c r="AH18" s="564">
        <f>IF(AND(SUM(AH$5:AH17)=0,$X18&lt;&gt;0,SUM($X$5:$X17)=SUM($Y$25:AG$25)),$X18,0)</f>
        <v>0</v>
      </c>
      <c r="AI18" s="564">
        <f>IF(AND(SUM(AI$5:AI17)=0,$X18&lt;&gt;0,SUM($X$5:$X17)=SUM($Y$25:AH$25)),$X18,0)</f>
        <v>0</v>
      </c>
      <c r="AJ18" s="564">
        <f>IF(AND(SUM(AJ$5:AJ17)=0,$X18&lt;&gt;0,SUM($X$5:$X17)=SUM($Y$25:AI$25)),$X18,0)</f>
        <v>0</v>
      </c>
      <c r="AK18" s="564">
        <f>IF(AND(SUM(AK$5:AK17)=0,$X18&lt;&gt;0,SUM($X$5:$X17)=SUM($Y$25:AJ$25)),$X18,0)</f>
        <v>0</v>
      </c>
      <c r="AL18" s="564">
        <f>IF(AND(SUM(AL$5:AL17)=0,$X18&lt;&gt;0,SUM($X$5:$X17)=SUM($Y$25:AK$25)),$X18,0)</f>
        <v>0</v>
      </c>
      <c r="AM18" s="564">
        <f>IF(AND(SUM(AM$5:AM17)=0,$X18&lt;&gt;0,SUM($X$5:$X17)=SUM($Y$25:AL$25)),$X18,0)</f>
        <v>0</v>
      </c>
      <c r="AN18" s="564">
        <f>IF(AND(SUM(AN$5:AN17)=0,$X18&lt;&gt;0,SUM($X$5:$X17)=SUM($Y$25:AM$25)),$X18,0)</f>
        <v>0</v>
      </c>
      <c r="AO18" s="564">
        <f>IF(AND(SUM(AO$5:AO17)=0,$X18&lt;&gt;0,SUM($X$5:$X17)=SUM($Y$25:AN$25)),$X18,0)</f>
        <v>0</v>
      </c>
      <c r="AP18" s="564">
        <f>IF(AND(SUM(AP$5:AP17)=0,$X18&lt;&gt;0,SUM($X$5:$X17)=SUM($Y$25:AO$25)),$X18,0)</f>
        <v>0</v>
      </c>
      <c r="AQ18" s="564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4">
        <f t="shared" si="4"/>
        <v>0</v>
      </c>
      <c r="Y19" s="564">
        <f>IF(AND(SUM($Y$5:Y18)=0,X19&lt;&gt;0),X19,0)</f>
        <v>0</v>
      </c>
      <c r="Z19" s="564">
        <f>IF(AND(SUM($Z$5:Z18)=0,$X19&lt;&gt;0,SUM($X$5:X18)=Y$25),$X19,0)</f>
        <v>0</v>
      </c>
      <c r="AA19" s="564">
        <f>IF(AND(SUM(AA$5:AA18)=0,$X19&lt;&gt;0,SUM($X$5:$X18)=SUM($Y$25:Z$25)),$X19,0)</f>
        <v>0</v>
      </c>
      <c r="AB19" s="564">
        <f>IF(AND(SUM(AB$5:AB18)=0,$X19&lt;&gt;0,SUM($X$5:$X18)=SUM($Y$25:AA$25)),$X19,0)</f>
        <v>0</v>
      </c>
      <c r="AC19" s="564">
        <f>IF(AND(SUM(AC$5:AC18)=0,$X19&lt;&gt;0,SUM($X$5:$X18)=SUM($Y$25:AB$25)),$X19,0)</f>
        <v>0</v>
      </c>
      <c r="AD19" s="564">
        <f>IF(AND(SUM(AD$5:AD18)=0,$X19&lt;&gt;0,SUM($X$5:$X18)=SUM($Y$25:AC$25)),$X19,0)</f>
        <v>0</v>
      </c>
      <c r="AE19" s="564">
        <f>IF(AND(SUM(AE$5:AE18)=0,$X19&lt;&gt;0,SUM($X$5:$X18)=SUM($Y$25:AD$25)),$X19,0)</f>
        <v>0</v>
      </c>
      <c r="AF19" s="564">
        <f>IF(AND(SUM(AF$5:AF18)=0,$X19&lt;&gt;0,SUM($X$5:$X18)=SUM($Y$25:AE$25)),$X19,0)</f>
        <v>0</v>
      </c>
      <c r="AG19" s="564">
        <f>IF(AND(SUM(AG$5:AG18)=0,$X19&lt;&gt;0,SUM($X$5:$X18)=SUM($Y$25:AF$25)),$X19,0)</f>
        <v>0</v>
      </c>
      <c r="AH19" s="564">
        <f>IF(AND(SUM(AH$5:AH18)=0,$X19&lt;&gt;0,SUM($X$5:$X18)=SUM($Y$25:AG$25)),$X19,0)</f>
        <v>0</v>
      </c>
      <c r="AI19" s="564">
        <f>IF(AND(SUM(AI$5:AI18)=0,$X19&lt;&gt;0,SUM($X$5:$X18)=SUM($Y$25:AH$25)),$X19,0)</f>
        <v>0</v>
      </c>
      <c r="AJ19" s="564">
        <f>IF(AND(SUM(AJ$5:AJ18)=0,$X19&lt;&gt;0,SUM($X$5:$X18)=SUM($Y$25:AI$25)),$X19,0)</f>
        <v>0</v>
      </c>
      <c r="AK19" s="564">
        <f>IF(AND(SUM(AK$5:AK18)=0,$X19&lt;&gt;0,SUM($X$5:$X18)=SUM($Y$25:AJ$25)),$X19,0)</f>
        <v>0</v>
      </c>
      <c r="AL19" s="564">
        <f>IF(AND(SUM(AL$5:AL18)=0,$X19&lt;&gt;0,SUM($X$5:$X18)=SUM($Y$25:AK$25)),$X19,0)</f>
        <v>0</v>
      </c>
      <c r="AM19" s="564">
        <f>IF(AND(SUM(AM$5:AM18)=0,$X19&lt;&gt;0,SUM($X$5:$X18)=SUM($Y$25:AL$25)),$X19,0)</f>
        <v>0</v>
      </c>
      <c r="AN19" s="564">
        <f>IF(AND(SUM(AN$5:AN18)=0,$X19&lt;&gt;0,SUM($X$5:$X18)=SUM($Y$25:AM$25)),$X19,0)</f>
        <v>0</v>
      </c>
      <c r="AO19" s="564">
        <f>IF(AND(SUM(AO$5:AO18)=0,$X19&lt;&gt;0,SUM($X$5:$X18)=SUM($Y$25:AN$25)),$X19,0)</f>
        <v>0</v>
      </c>
      <c r="AP19" s="564">
        <f>IF(AND(SUM(AP$5:AP18)=0,$X19&lt;&gt;0,SUM($X$5:$X18)=SUM($Y$25:AO$25)),$X19,0)</f>
        <v>0</v>
      </c>
      <c r="AQ19" s="564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4">
        <f t="shared" si="4"/>
        <v>0</v>
      </c>
      <c r="Y20" s="564">
        <f>IF(AND(SUM($Y$5:Y19)=0,X20&lt;&gt;0),X20,0)</f>
        <v>0</v>
      </c>
      <c r="Z20" s="564">
        <f>IF(AND(SUM($Z$5:Z19)=0,$X20&lt;&gt;0,SUM($X$5:X19)=Y$25),$X20,0)</f>
        <v>0</v>
      </c>
      <c r="AA20" s="564">
        <f>IF(AND(SUM(AA$5:AA19)=0,$X20&lt;&gt;0,SUM($X$5:$X19)=SUM($Y$25:Z$25)),$X20,0)</f>
        <v>0</v>
      </c>
      <c r="AB20" s="564">
        <f>IF(AND(SUM(AB$5:AB19)=0,$X20&lt;&gt;0,SUM($X$5:$X19)=SUM($Y$25:AA$25)),$X20,0)</f>
        <v>0</v>
      </c>
      <c r="AC20" s="564">
        <f>IF(AND(SUM(AC$5:AC19)=0,$X20&lt;&gt;0,SUM($X$5:$X19)=SUM($Y$25:AB$25)),$X20,0)</f>
        <v>0</v>
      </c>
      <c r="AD20" s="564">
        <f>IF(AND(SUM(AD$5:AD19)=0,$X20&lt;&gt;0,SUM($X$5:$X19)=SUM($Y$25:AC$25)),$X20,0)</f>
        <v>0</v>
      </c>
      <c r="AE20" s="564">
        <f>IF(AND(SUM(AE$5:AE19)=0,$X20&lt;&gt;0,SUM($X$5:$X19)=SUM($Y$25:AD$25)),$X20,0)</f>
        <v>0</v>
      </c>
      <c r="AF20" s="564">
        <f>IF(AND(SUM(AF$5:AF19)=0,$X20&lt;&gt;0,SUM($X$5:$X19)=SUM($Y$25:AE$25)),$X20,0)</f>
        <v>0</v>
      </c>
      <c r="AG20" s="564">
        <f>IF(AND(SUM(AG$5:AG19)=0,$X20&lt;&gt;0,SUM($X$5:$X19)=SUM($Y$25:AF$25)),$X20,0)</f>
        <v>0</v>
      </c>
      <c r="AH20" s="564">
        <f>IF(AND(SUM(AH$5:AH19)=0,$X20&lt;&gt;0,SUM($X$5:$X19)=SUM($Y$25:AG$25)),$X20,0)</f>
        <v>0</v>
      </c>
      <c r="AI20" s="564">
        <f>IF(AND(SUM(AI$5:AI19)=0,$X20&lt;&gt;0,SUM($X$5:$X19)=SUM($Y$25:AH$25)),$X20,0)</f>
        <v>0</v>
      </c>
      <c r="AJ20" s="564">
        <f>IF(AND(SUM(AJ$5:AJ19)=0,$X20&lt;&gt;0,SUM($X$5:$X19)=SUM($Y$25:AI$25)),$X20,0)</f>
        <v>0</v>
      </c>
      <c r="AK20" s="564">
        <f>IF(AND(SUM(AK$5:AK19)=0,$X20&lt;&gt;0,SUM($X$5:$X19)=SUM($Y$25:AJ$25)),$X20,0)</f>
        <v>0</v>
      </c>
      <c r="AL20" s="564">
        <f>IF(AND(SUM(AL$5:AL19)=0,$X20&lt;&gt;0,SUM($X$5:$X19)=SUM($Y$25:AK$25)),$X20,0)</f>
        <v>0</v>
      </c>
      <c r="AM20" s="564">
        <f>IF(AND(SUM(AM$5:AM19)=0,$X20&lt;&gt;0,SUM($X$5:$X19)=SUM($Y$25:AL$25)),$X20,0)</f>
        <v>0</v>
      </c>
      <c r="AN20" s="564">
        <f>IF(AND(SUM(AN$5:AN19)=0,$X20&lt;&gt;0,SUM($X$5:$X19)=SUM($Y$25:AM$25)),$X20,0)</f>
        <v>0</v>
      </c>
      <c r="AO20" s="564">
        <f>IF(AND(SUM(AO$5:AO19)=0,$X20&lt;&gt;0,SUM($X$5:$X19)=SUM($Y$25:AN$25)),$X20,0)</f>
        <v>0</v>
      </c>
      <c r="AP20" s="564">
        <f>IF(AND(SUM(AP$5:AP19)=0,$X20&lt;&gt;0,SUM($X$5:$X19)=SUM($Y$25:AO$25)),$X20,0)</f>
        <v>0</v>
      </c>
      <c r="AQ20" s="564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4">
        <f t="shared" si="4"/>
        <v>0</v>
      </c>
      <c r="Y21" s="564">
        <f>IF(AND(SUM($Y$5:Y20)=0,X21&lt;&gt;0),X21,0)</f>
        <v>0</v>
      </c>
      <c r="Z21" s="564">
        <f>IF(AND(SUM($Z$5:Z20)=0,$X21&lt;&gt;0,SUM($X$5:X20)=Y$25),$X21,0)</f>
        <v>0</v>
      </c>
      <c r="AA21" s="564">
        <f>IF(AND(SUM(AA$5:AA20)=0,$X21&lt;&gt;0,SUM($X$5:$X20)=SUM($Y$25:Z$25)),$X21,0)</f>
        <v>0</v>
      </c>
      <c r="AB21" s="564">
        <f>IF(AND(SUM(AB$5:AB20)=0,$X21&lt;&gt;0,SUM($X$5:$X20)=SUM($Y$25:AA$25)),$X21,0)</f>
        <v>0</v>
      </c>
      <c r="AC21" s="564">
        <f>IF(AND(SUM(AC$5:AC20)=0,$X21&lt;&gt;0,SUM($X$5:$X20)=SUM($Y$25:AB$25)),$X21,0)</f>
        <v>0</v>
      </c>
      <c r="AD21" s="564">
        <f>IF(AND(SUM(AD$5:AD20)=0,$X21&lt;&gt;0,SUM($X$5:$X20)=SUM($Y$25:AC$25)),$X21,0)</f>
        <v>0</v>
      </c>
      <c r="AE21" s="564">
        <f>IF(AND(SUM(AE$5:AE20)=0,$X21&lt;&gt;0,SUM($X$5:$X20)=SUM($Y$25:AD$25)),$X21,0)</f>
        <v>0</v>
      </c>
      <c r="AF21" s="564">
        <f>IF(AND(SUM(AF$5:AF20)=0,$X21&lt;&gt;0,SUM($X$5:$X20)=SUM($Y$25:AE$25)),$X21,0)</f>
        <v>0</v>
      </c>
      <c r="AG21" s="564">
        <f>IF(AND(SUM(AG$5:AG20)=0,$X21&lt;&gt;0,SUM($X$5:$X20)=SUM($Y$25:AF$25)),$X21,0)</f>
        <v>0</v>
      </c>
      <c r="AH21" s="564">
        <f>IF(AND(SUM(AH$5:AH20)=0,$X21&lt;&gt;0,SUM($X$5:$X20)=SUM($Y$25:AG$25)),$X21,0)</f>
        <v>0</v>
      </c>
      <c r="AI21" s="564">
        <f>IF(AND(SUM(AI$5:AI20)=0,$X21&lt;&gt;0,SUM($X$5:$X20)=SUM($Y$25:AH$25)),$X21,0)</f>
        <v>0</v>
      </c>
      <c r="AJ21" s="564">
        <f>IF(AND(SUM(AJ$5:AJ20)=0,$X21&lt;&gt;0,SUM($X$5:$X20)=SUM($Y$25:AI$25)),$X21,0)</f>
        <v>0</v>
      </c>
      <c r="AK21" s="564">
        <f>IF(AND(SUM(AK$5:AK20)=0,$X21&lt;&gt;0,SUM($X$5:$X20)=SUM($Y$25:AJ$25)),$X21,0)</f>
        <v>0</v>
      </c>
      <c r="AL21" s="564">
        <f>IF(AND(SUM(AL$5:AL20)=0,$X21&lt;&gt;0,SUM($X$5:$X20)=SUM($Y$25:AK$25)),$X21,0)</f>
        <v>0</v>
      </c>
      <c r="AM21" s="564">
        <f>IF(AND(SUM(AM$5:AM20)=0,$X21&lt;&gt;0,SUM($X$5:$X20)=SUM($Y$25:AL$25)),$X21,0)</f>
        <v>0</v>
      </c>
      <c r="AN21" s="564">
        <f>IF(AND(SUM(AN$5:AN20)=0,$X21&lt;&gt;0,SUM($X$5:$X20)=SUM($Y$25:AM$25)),$X21,0)</f>
        <v>0</v>
      </c>
      <c r="AO21" s="564">
        <f>IF(AND(SUM(AO$5:AO20)=0,$X21&lt;&gt;0,SUM($X$5:$X20)=SUM($Y$25:AN$25)),$X21,0)</f>
        <v>0</v>
      </c>
      <c r="AP21" s="564">
        <f>IF(AND(SUM(AP$5:AP20)=0,$X21&lt;&gt;0,SUM($X$5:$X20)=SUM($Y$25:AO$25)),$X21,0)</f>
        <v>0</v>
      </c>
      <c r="AQ21" s="564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4">
        <f t="shared" si="4"/>
        <v>0</v>
      </c>
      <c r="Y22" s="564">
        <f>IF(AND(SUM($Y$5:Y21)=0,X22&lt;&gt;0),X22,0)</f>
        <v>0</v>
      </c>
      <c r="Z22" s="564">
        <f>IF(AND(SUM($Z$5:Z21)=0,$X22&lt;&gt;0,SUM($X$5:X21)=Y$25),$X22,0)</f>
        <v>0</v>
      </c>
      <c r="AA22" s="564">
        <f>IF(AND(SUM(AA$5:AA21)=0,$X22&lt;&gt;0,SUM($X$5:$X21)=SUM($Y$25:Z$25)),$X22,0)</f>
        <v>0</v>
      </c>
      <c r="AB22" s="564">
        <f>IF(AND(SUM(AB$5:AB21)=0,$X22&lt;&gt;0,SUM($X$5:$X21)=SUM($Y$25:AA$25)),$X22,0)</f>
        <v>0</v>
      </c>
      <c r="AC22" s="564">
        <f>IF(AND(SUM(AC$5:AC21)=0,$X22&lt;&gt;0,SUM($X$5:$X21)=SUM($Y$25:AB$25)),$X22,0)</f>
        <v>0</v>
      </c>
      <c r="AD22" s="564">
        <f>IF(AND(SUM(AD$5:AD21)=0,$X22&lt;&gt;0,SUM($X$5:$X21)=SUM($Y$25:AC$25)),$X22,0)</f>
        <v>0</v>
      </c>
      <c r="AE22" s="564">
        <f>IF(AND(SUM(AE$5:AE21)=0,$X22&lt;&gt;0,SUM($X$5:$X21)=SUM($Y$25:AD$25)),$X22,0)</f>
        <v>0</v>
      </c>
      <c r="AF22" s="564">
        <f>IF(AND(SUM(AF$5:AF21)=0,$X22&lt;&gt;0,SUM($X$5:$X21)=SUM($Y$25:AE$25)),$X22,0)</f>
        <v>0</v>
      </c>
      <c r="AG22" s="564">
        <f>IF(AND(SUM(AG$5:AG21)=0,$X22&lt;&gt;0,SUM($X$5:$X21)=SUM($Y$25:AF$25)),$X22,0)</f>
        <v>0</v>
      </c>
      <c r="AH22" s="564">
        <f>IF(AND(SUM(AH$5:AH21)=0,$X22&lt;&gt;0,SUM($X$5:$X21)=SUM($Y$25:AG$25)),$X22,0)</f>
        <v>0</v>
      </c>
      <c r="AI22" s="564">
        <f>IF(AND(SUM(AI$5:AI21)=0,$X22&lt;&gt;0,SUM($X$5:$X21)=SUM($Y$25:AH$25)),$X22,0)</f>
        <v>0</v>
      </c>
      <c r="AJ22" s="564">
        <f>IF(AND(SUM(AJ$5:AJ21)=0,$X22&lt;&gt;0,SUM($X$5:$X21)=SUM($Y$25:AI$25)),$X22,0)</f>
        <v>0</v>
      </c>
      <c r="AK22" s="564">
        <f>IF(AND(SUM(AK$5:AK21)=0,$X22&lt;&gt;0,SUM($X$5:$X21)=SUM($Y$25:AJ$25)),$X22,0)</f>
        <v>0</v>
      </c>
      <c r="AL22" s="564">
        <f>IF(AND(SUM(AL$5:AL21)=0,$X22&lt;&gt;0,SUM($X$5:$X21)=SUM($Y$25:AK$25)),$X22,0)</f>
        <v>0</v>
      </c>
      <c r="AM22" s="564">
        <f>IF(AND(SUM(AM$5:AM21)=0,$X22&lt;&gt;0,SUM($X$5:$X21)=SUM($Y$25:AL$25)),$X22,0)</f>
        <v>0</v>
      </c>
      <c r="AN22" s="564">
        <f>IF(AND(SUM(AN$5:AN21)=0,$X22&lt;&gt;0,SUM($X$5:$X21)=SUM($Y$25:AM$25)),$X22,0)</f>
        <v>0</v>
      </c>
      <c r="AO22" s="564">
        <f>IF(AND(SUM(AO$5:AO21)=0,$X22&lt;&gt;0,SUM($X$5:$X21)=SUM($Y$25:AN$25)),$X22,0)</f>
        <v>0</v>
      </c>
      <c r="AP22" s="564">
        <f>IF(AND(SUM(AP$5:AP21)=0,$X22&lt;&gt;0,SUM($X$5:$X21)=SUM($Y$25:AO$25)),$X22,0)</f>
        <v>0</v>
      </c>
      <c r="AQ22" s="564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4">
        <f t="shared" si="4"/>
        <v>0</v>
      </c>
      <c r="Y23" s="564">
        <f>IF(AND(SUM($Y$5:Y22)=0,X23&lt;&gt;0),X23,0)</f>
        <v>0</v>
      </c>
      <c r="Z23" s="564">
        <f>IF(AND(SUM($Z$5:Z22)=0,$X23&lt;&gt;0,SUM($X$5:X22)=Y$25),$X23,0)</f>
        <v>0</v>
      </c>
      <c r="AA23" s="564">
        <f>IF(AND(SUM(AA$5:AA22)=0,$X23&lt;&gt;0,SUM($X$5:$X22)=SUM($Y$25:Z$25)),$X23,0)</f>
        <v>0</v>
      </c>
      <c r="AB23" s="564">
        <f>IF(AND(SUM(AB$5:AB22)=0,$X23&lt;&gt;0,SUM($X$5:$X22)=SUM($Y$25:AA$25)),$X23,0)</f>
        <v>0</v>
      </c>
      <c r="AC23" s="564">
        <f>IF(AND(SUM(AC$5:AC22)=0,$X23&lt;&gt;0,SUM($X$5:$X22)=SUM($Y$25:AB$25)),$X23,0)</f>
        <v>0</v>
      </c>
      <c r="AD23" s="564">
        <f>IF(AND(SUM(AD$5:AD22)=0,$X23&lt;&gt;0,SUM($X$5:$X22)=SUM($Y$25:AC$25)),$X23,0)</f>
        <v>0</v>
      </c>
      <c r="AE23" s="564">
        <f>IF(AND(SUM(AE$5:AE22)=0,$X23&lt;&gt;0,SUM($X$5:$X22)=SUM($Y$25:AD$25)),$X23,0)</f>
        <v>0</v>
      </c>
      <c r="AF23" s="564">
        <f>IF(AND(SUM(AF$5:AF22)=0,$X23&lt;&gt;0,SUM($X$5:$X22)=SUM($Y$25:AE$25)),$X23,0)</f>
        <v>0</v>
      </c>
      <c r="AG23" s="564">
        <f>IF(AND(SUM(AG$5:AG22)=0,$X23&lt;&gt;0,SUM($X$5:$X22)=SUM($Y$25:AF$25)),$X23,0)</f>
        <v>0</v>
      </c>
      <c r="AH23" s="564">
        <f>IF(AND(SUM(AH$5:AH22)=0,$X23&lt;&gt;0,SUM($X$5:$X22)=SUM($Y$25:AG$25)),$X23,0)</f>
        <v>0</v>
      </c>
      <c r="AI23" s="564">
        <f>IF(AND(SUM(AI$5:AI22)=0,$X23&lt;&gt;0,SUM($X$5:$X22)=SUM($Y$25:AH$25)),$X23,0)</f>
        <v>0</v>
      </c>
      <c r="AJ23" s="564">
        <f>IF(AND(SUM(AJ$5:AJ22)=0,$X23&lt;&gt;0,SUM($X$5:$X22)=SUM($Y$25:AI$25)),$X23,0)</f>
        <v>0</v>
      </c>
      <c r="AK23" s="564">
        <f>IF(AND(SUM(AK$5:AK22)=0,$X23&lt;&gt;0,SUM($X$5:$X22)=SUM($Y$25:AJ$25)),$X23,0)</f>
        <v>0</v>
      </c>
      <c r="AL23" s="564">
        <f>IF(AND(SUM(AL$5:AL22)=0,$X23&lt;&gt;0,SUM($X$5:$X22)=SUM($Y$25:AK$25)),$X23,0)</f>
        <v>0</v>
      </c>
      <c r="AM23" s="564">
        <f>IF(AND(SUM(AM$5:AM22)=0,$X23&lt;&gt;0,SUM($X$5:$X22)=SUM($Y$25:AL$25)),$X23,0)</f>
        <v>0</v>
      </c>
      <c r="AN23" s="564">
        <f>IF(AND(SUM(AN$5:AN22)=0,$X23&lt;&gt;0,SUM($X$5:$X22)=SUM($Y$25:AM$25)),$X23,0)</f>
        <v>0</v>
      </c>
      <c r="AO23" s="564">
        <f>IF(AND(SUM(AO$5:AO22)=0,$X23&lt;&gt;0,SUM($X$5:$X22)=SUM($Y$25:AN$25)),$X23,0)</f>
        <v>0</v>
      </c>
      <c r="AP23" s="564">
        <f>IF(AND(SUM(AP$5:AP22)=0,$X23&lt;&gt;0,SUM($X$5:$X22)=SUM($Y$25:AO$25)),$X23,0)</f>
        <v>0</v>
      </c>
      <c r="AQ23" s="564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972</v>
      </c>
      <c r="Y25" s="565">
        <f>SUM(Y5:Y23)</f>
        <v>0</v>
      </c>
      <c r="Z25" s="565">
        <f t="shared" ref="Z25:AQ25" si="21">SUM(Z5:Z23)</f>
        <v>0</v>
      </c>
      <c r="AA25" s="565">
        <f t="shared" si="21"/>
        <v>0</v>
      </c>
      <c r="AB25" s="565">
        <f t="shared" si="21"/>
        <v>0</v>
      </c>
      <c r="AC25" s="565">
        <f t="shared" si="21"/>
        <v>0</v>
      </c>
      <c r="AD25" s="565">
        <f t="shared" si="21"/>
        <v>0</v>
      </c>
      <c r="AE25" s="565">
        <f t="shared" si="21"/>
        <v>0</v>
      </c>
      <c r="AF25" s="565">
        <f t="shared" si="21"/>
        <v>0</v>
      </c>
      <c r="AG25" s="565">
        <f t="shared" si="21"/>
        <v>0</v>
      </c>
      <c r="AH25" s="565">
        <f t="shared" si="21"/>
        <v>0</v>
      </c>
      <c r="AI25" s="565">
        <f t="shared" si="21"/>
        <v>0</v>
      </c>
      <c r="AJ25" s="565">
        <f t="shared" si="21"/>
        <v>0</v>
      </c>
      <c r="AK25" s="565">
        <f t="shared" si="21"/>
        <v>0</v>
      </c>
      <c r="AL25" s="565">
        <f t="shared" si="21"/>
        <v>0</v>
      </c>
      <c r="AM25" s="565">
        <f t="shared" si="21"/>
        <v>0</v>
      </c>
      <c r="AN25" s="565">
        <f t="shared" si="21"/>
        <v>0</v>
      </c>
      <c r="AO25" s="565">
        <f t="shared" si="21"/>
        <v>0</v>
      </c>
      <c r="AP25" s="565">
        <f t="shared" si="21"/>
        <v>0</v>
      </c>
      <c r="AQ25" s="565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7" t="str">
        <f t="shared" ref="Y26:AQ26" ca="1" si="22">INDIRECT("A"&amp;(N(Y25)+26))&amp;" "&amp;INDIRECT("B"&amp;(N(Y25)+26))</f>
        <v xml:space="preserve">8.0 </v>
      </c>
      <c r="Z26" s="567" t="str">
        <f t="shared" ca="1" si="22"/>
        <v xml:space="preserve">8.0 </v>
      </c>
      <c r="AA26" s="567" t="str">
        <f t="shared" ca="1" si="22"/>
        <v xml:space="preserve">8.0 </v>
      </c>
      <c r="AB26" s="567" t="str">
        <f t="shared" ca="1" si="22"/>
        <v xml:space="preserve">8.0 </v>
      </c>
      <c r="AC26" s="567" t="str">
        <f t="shared" ca="1" si="22"/>
        <v xml:space="preserve">8.0 </v>
      </c>
      <c r="AD26" s="567" t="str">
        <f t="shared" ca="1" si="22"/>
        <v xml:space="preserve">8.0 </v>
      </c>
      <c r="AE26" s="567" t="str">
        <f t="shared" ca="1" si="22"/>
        <v xml:space="preserve">8.0 </v>
      </c>
      <c r="AF26" s="567" t="str">
        <f t="shared" ca="1" si="22"/>
        <v xml:space="preserve">8.0 </v>
      </c>
      <c r="AG26" s="567" t="str">
        <f t="shared" ca="1" si="22"/>
        <v xml:space="preserve">8.0 </v>
      </c>
      <c r="AH26" s="567" t="str">
        <f t="shared" ca="1" si="22"/>
        <v xml:space="preserve">8.0 </v>
      </c>
      <c r="AI26" s="567" t="str">
        <f t="shared" ca="1" si="22"/>
        <v xml:space="preserve">8.0 </v>
      </c>
      <c r="AJ26" s="567" t="str">
        <f t="shared" ca="1" si="22"/>
        <v xml:space="preserve">8.0 </v>
      </c>
      <c r="AK26" s="567" t="str">
        <f t="shared" ca="1" si="22"/>
        <v xml:space="preserve">8.0 </v>
      </c>
      <c r="AL26" s="567" t="str">
        <f t="shared" ca="1" si="22"/>
        <v xml:space="preserve">8.0 </v>
      </c>
      <c r="AM26" s="567" t="str">
        <f t="shared" ca="1" si="22"/>
        <v xml:space="preserve">8.0 </v>
      </c>
      <c r="AN26" s="567" t="str">
        <f t="shared" ca="1" si="22"/>
        <v xml:space="preserve">8.0 </v>
      </c>
      <c r="AO26" s="567" t="str">
        <f t="shared" ca="1" si="22"/>
        <v xml:space="preserve">8.0 </v>
      </c>
      <c r="AP26" s="567" t="str">
        <f t="shared" ca="1" si="22"/>
        <v xml:space="preserve">8.0 </v>
      </c>
      <c r="AQ26" s="567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8" t="str">
        <f>IF(Y25&gt;0,Y26,"")</f>
        <v/>
      </c>
      <c r="Z27" s="568" t="str">
        <f t="shared" ref="Z27:AQ27" si="23">IF(Z25&gt;0,Z26,"")</f>
        <v/>
      </c>
      <c r="AA27" s="568" t="str">
        <f t="shared" si="23"/>
        <v/>
      </c>
      <c r="AB27" s="568" t="str">
        <f t="shared" si="23"/>
        <v/>
      </c>
      <c r="AC27" s="568" t="str">
        <f t="shared" si="23"/>
        <v/>
      </c>
      <c r="AD27" s="568" t="str">
        <f t="shared" si="23"/>
        <v/>
      </c>
      <c r="AE27" s="568" t="str">
        <f t="shared" si="23"/>
        <v/>
      </c>
      <c r="AF27" s="568" t="str">
        <f t="shared" si="23"/>
        <v/>
      </c>
      <c r="AG27" s="568" t="str">
        <f t="shared" si="23"/>
        <v/>
      </c>
      <c r="AH27" s="568" t="str">
        <f t="shared" si="23"/>
        <v/>
      </c>
      <c r="AI27" s="568" t="str">
        <f t="shared" si="23"/>
        <v/>
      </c>
      <c r="AJ27" s="568" t="str">
        <f t="shared" si="23"/>
        <v/>
      </c>
      <c r="AK27" s="568" t="str">
        <f t="shared" si="23"/>
        <v/>
      </c>
      <c r="AL27" s="568" t="str">
        <f t="shared" si="23"/>
        <v/>
      </c>
      <c r="AM27" s="568" t="str">
        <f t="shared" si="23"/>
        <v/>
      </c>
      <c r="AN27" s="568" t="str">
        <f t="shared" si="23"/>
        <v/>
      </c>
      <c r="AO27" s="568" t="str">
        <f t="shared" si="23"/>
        <v/>
      </c>
      <c r="AP27" s="568" t="str">
        <f t="shared" si="23"/>
        <v/>
      </c>
      <c r="AQ27" s="568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A30" s="234">
        <f>COUNTA($A$31:$A$49)-COUNTIF($A$31:$A$49,0)</f>
        <v>2</v>
      </c>
      <c r="I30" s="645" t="e">
        <f ca="1">INDIRECT("$I$31:$I$"&amp;30+$A$30)</f>
        <v>#VALUE!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2" t="str">
        <f>'Фактические расходы'!$A$13</f>
        <v>${pp}</v>
      </c>
      <c r="B31" s="562" t="str">
        <f>'Фактические расходы'!$B$13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расходы'!$T$13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69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2" t="str">
        <f>'Фактические расходы'!$A$14</f>
        <v>Всего расходов</v>
      </c>
      <c r="B32" s="562">
        <f>'Фактические расходы'!$B$14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расходы'!$T$14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69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2">
        <f>'Фактические расходы'!$A$15</f>
        <v>0</v>
      </c>
      <c r="B33" s="562">
        <f>'Фактические расходы'!$B$15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расходы'!$T$15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69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2">
        <f>'Фактические расходы'!$A$16</f>
        <v>0</v>
      </c>
      <c r="B34" s="562">
        <f>'Фактические расходы'!$B$16</f>
        <v>0</v>
      </c>
      <c r="C34" s="342">
        <f ca="1">SUMIF('Авансовый отчёт'!$DE$76:$DE$98,B34,'Авансовый отчёт'!$AS$76:$BC$98)</f>
        <v>0</v>
      </c>
      <c r="D34" s="563"/>
      <c r="E34" s="342">
        <f>'Фактические расходы'!$T$16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69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2">
        <f>'Фактические расходы'!$A$17</f>
        <v>0</v>
      </c>
      <c r="B35" s="562">
        <f>'Фактические расходы'!$B$17</f>
        <v>0</v>
      </c>
      <c r="C35" s="342">
        <f ca="1">SUMIF('Авансовый отчёт'!$DE$76:$DE$98,B35,'Авансовый отчёт'!$AS$76:$BC$98)</f>
        <v>0</v>
      </c>
      <c r="D35" s="563"/>
      <c r="E35" s="342">
        <f>'Фактические расходы'!$T$17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69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2">
        <f>'Фактические расходы'!$A$18</f>
        <v>0</v>
      </c>
      <c r="B36" s="562">
        <f>'Фактические расходы'!$B$18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расходы'!$T$18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69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2">
        <f>'Фактические расходы'!$A$19</f>
        <v>0</v>
      </c>
      <c r="B37" s="562">
        <f>'Фактические расходы'!$B$19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расходы'!$T$19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69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2">
        <f>'Фактические расходы'!$A$20</f>
        <v>0</v>
      </c>
      <c r="B38" s="562">
        <f>'Фактические расходы'!$B$20</f>
        <v>0</v>
      </c>
      <c r="C38" s="342">
        <f ca="1">SUMIF('Авансовый отчёт'!$DE$76:$DE$98,B38,'Авансовый отчёт'!$AS$76:$BC$98)</f>
        <v>0</v>
      </c>
      <c r="D38" s="563"/>
      <c r="E38" s="342">
        <f>'Фактические расходы'!$T$20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69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2">
        <f>'Фактические расходы'!$A$21</f>
        <v>0</v>
      </c>
      <c r="B39" s="562">
        <f>'Фактические расходы'!$B$21</f>
        <v>0</v>
      </c>
      <c r="C39" s="342">
        <f ca="1">SUMIF('Авансовый отчёт'!$DE$76:$DE$98,B39,'Авансовый отчёт'!$AS$76:$BC$98)</f>
        <v>0</v>
      </c>
      <c r="D39" s="563"/>
      <c r="E39" s="342">
        <f>'Фактические расходы'!$T$21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69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2">
        <f>'Фактические расходы'!$A$22</f>
        <v>0</v>
      </c>
      <c r="B40" s="562">
        <f>'Фактические расходы'!$B$22</f>
        <v>0</v>
      </c>
      <c r="C40" s="342">
        <f ca="1">SUMIF('Авансовый отчёт'!$DE$76:$DE$98,B40,'Авансовый отчёт'!$AS$76:$BC$98)</f>
        <v>0</v>
      </c>
      <c r="D40" s="563"/>
      <c r="E40" s="342">
        <f>'Фактические расходы'!$T$22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69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2">
        <f>'Фактические расходы'!$A$23</f>
        <v>0</v>
      </c>
      <c r="B41" s="562">
        <f>'Фактические расходы'!$B$23</f>
        <v>0</v>
      </c>
      <c r="C41" s="342">
        <f ca="1">SUMIF('Авансовый отчёт'!$DE$76:$DE$98,B41,'Авансовый отчёт'!$AS$76:$BC$98)</f>
        <v>0</v>
      </c>
      <c r="D41" s="563"/>
      <c r="E41" s="342">
        <f>'Фактические расходы'!$T$23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69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2">
        <f>'Фактические расходы'!$A$24</f>
        <v>0</v>
      </c>
      <c r="B42" s="562">
        <f>'Фактические расходы'!$B$24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расходы'!$T$24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69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2">
        <f>'Фактические расходы'!$A$25</f>
        <v>0</v>
      </c>
      <c r="B43" s="562">
        <f>'Фактические расходы'!$B$25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расходы'!$T$25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69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2">
        <f>'Фактические расходы'!$A$26</f>
        <v>0</v>
      </c>
      <c r="B44" s="562">
        <f>'Фактические расходы'!$B$26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расходы'!$T$26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69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2">
        <f>'Фактические расходы'!$A$27</f>
        <v>0</v>
      </c>
      <c r="B45" s="562">
        <f>'Фактические расходы'!$B$27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расходы'!$T$27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69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2">
        <f>'Фактические расходы'!$A$28</f>
        <v>0</v>
      </c>
      <c r="B46" s="562">
        <f>'Фактические расходы'!$B$28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расходы'!$T$28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69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2">
        <f>'Фактические расходы'!$A$29</f>
        <v>0</v>
      </c>
      <c r="B47" s="562">
        <f>'Фактические расходы'!$B$29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расходы'!$T$29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69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2">
        <f>'Фактические расходы'!$A$30</f>
        <v>0</v>
      </c>
      <c r="B48" s="562">
        <f>'Фактические расходы'!$B$30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расходы'!$T$30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69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2">
        <f>'Фактические расходы'!$A$31</f>
        <v>0</v>
      </c>
      <c r="B49" s="562">
        <f>'Фактические расходы'!$B$31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расходы'!$T$31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69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2" t="s">
        <v>980</v>
      </c>
      <c r="B52" s="1362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981</v>
      </c>
      <c r="C53" s="234" t="s">
        <v>1028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982</v>
      </c>
      <c r="C54" s="234" t="s">
        <v>1029</v>
      </c>
      <c r="I54" s="234" t="s">
        <v>979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983</v>
      </c>
      <c r="C55" s="234" t="s">
        <v>1030</v>
      </c>
      <c r="D55" s="583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8">
        <f>D55-DATE(H55,G55,1)+1</f>
        <v>0</v>
      </c>
      <c r="G55" s="578" t="str">
        <f>IF(MONTH(D55)&lt;10,"0"&amp;MONTH(D55),MONTH(D55))</f>
        <v>01</v>
      </c>
      <c r="H55" s="578">
        <f>YEAR(D55)</f>
        <v>1900</v>
      </c>
      <c r="I55" s="585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984</v>
      </c>
      <c r="C56" s="663" t="s">
        <v>1031</v>
      </c>
      <c r="D56" s="584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8">
        <f t="shared" ref="F56:F64" si="40">D56-DATE(H56,G56,1)+1</f>
        <v>0</v>
      </c>
      <c r="G56" s="578" t="str">
        <f t="shared" ref="G56:G64" si="41">IF(MONTH(D56)&lt;10,"0"&amp;MONTH(D56),MONTH(D56))</f>
        <v>01</v>
      </c>
      <c r="H56" s="578">
        <f t="shared" ref="H56:H64" si="42">YEAR(D56)</f>
        <v>1900</v>
      </c>
      <c r="I56" s="585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985</v>
      </c>
      <c r="C57" s="663" t="s">
        <v>1032</v>
      </c>
      <c r="D57" s="584">
        <f>IF(('Аренда ТС'!$CM$258)&gt;DATE(1900,1,1),'Аренда ТС'!$CM$258,0)</f>
        <v>0</v>
      </c>
      <c r="E57" s="234" t="str">
        <f t="shared" si="39"/>
        <v>0</v>
      </c>
      <c r="F57" s="578">
        <f t="shared" si="40"/>
        <v>0</v>
      </c>
      <c r="G57" s="578" t="str">
        <f t="shared" si="41"/>
        <v>01</v>
      </c>
      <c r="H57" s="578">
        <f t="shared" si="42"/>
        <v>1900</v>
      </c>
      <c r="I57" s="585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986</v>
      </c>
      <c r="C58" s="663" t="s">
        <v>1033</v>
      </c>
      <c r="D58" s="584">
        <f>IF(('Аренда ТС'!$EI$258)&gt;DATE(1900,1,1),'Аренда ТС'!$EI$258,0)</f>
        <v>0</v>
      </c>
      <c r="E58" s="234" t="str">
        <f t="shared" si="39"/>
        <v>0</v>
      </c>
      <c r="F58" s="578">
        <f t="shared" si="40"/>
        <v>0</v>
      </c>
      <c r="G58" s="578" t="str">
        <f t="shared" si="41"/>
        <v>01</v>
      </c>
      <c r="H58" s="578">
        <f t="shared" si="42"/>
        <v>1900</v>
      </c>
      <c r="I58" s="585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987</v>
      </c>
      <c r="C59" s="663" t="s">
        <v>1034</v>
      </c>
      <c r="D59" s="584">
        <f>IF(('Оказание услуг'!$AQ$188)&gt;DATE(1900,1,1),'Оказание услуг'!$AQ$188,0)</f>
        <v>0</v>
      </c>
      <c r="E59" s="234" t="str">
        <f t="shared" si="39"/>
        <v>0</v>
      </c>
      <c r="F59" s="578">
        <f t="shared" si="40"/>
        <v>0</v>
      </c>
      <c r="G59" s="578" t="str">
        <f t="shared" si="41"/>
        <v>01</v>
      </c>
      <c r="H59" s="578">
        <f t="shared" si="42"/>
        <v>1900</v>
      </c>
      <c r="I59" s="585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988</v>
      </c>
      <c r="C60" s="663" t="s">
        <v>1035</v>
      </c>
      <c r="D60" s="584">
        <f>IF(('Оказание услуг'!$CM$188)&gt;DATE(1900,1,1),'Оказание услуг'!$CM$188,0)</f>
        <v>0</v>
      </c>
      <c r="E60" s="234" t="str">
        <f t="shared" si="39"/>
        <v>0</v>
      </c>
      <c r="F60" s="578">
        <f t="shared" si="40"/>
        <v>0</v>
      </c>
      <c r="G60" s="578" t="str">
        <f t="shared" si="41"/>
        <v>01</v>
      </c>
      <c r="H60" s="578">
        <f t="shared" si="42"/>
        <v>1900</v>
      </c>
      <c r="I60" s="585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989</v>
      </c>
      <c r="C61" s="663" t="s">
        <v>1036</v>
      </c>
      <c r="D61" s="584">
        <f>IF(('Оказание услуг'!$EI$188)&gt;DATE(1900,1,1),'Оказание услуг'!$EI$188,0)</f>
        <v>0</v>
      </c>
      <c r="E61" s="234" t="str">
        <f t="shared" si="39"/>
        <v>0</v>
      </c>
      <c r="F61" s="578">
        <f t="shared" si="40"/>
        <v>0</v>
      </c>
      <c r="G61" s="578" t="str">
        <f t="shared" si="41"/>
        <v>01</v>
      </c>
      <c r="H61" s="578">
        <f t="shared" si="42"/>
        <v>1900</v>
      </c>
      <c r="I61" s="585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990</v>
      </c>
      <c r="C62" s="663" t="s">
        <v>1037</v>
      </c>
      <c r="D62" s="584">
        <f>IF(('Выполнение работ'!$AQ$189)&gt;DATE(1900,1,1),'Выполнение работ'!$AQ$189,0)</f>
        <v>0</v>
      </c>
      <c r="E62" s="234" t="str">
        <f t="shared" si="39"/>
        <v>0</v>
      </c>
      <c r="F62" s="578">
        <f t="shared" si="40"/>
        <v>0</v>
      </c>
      <c r="G62" s="578" t="str">
        <f t="shared" si="41"/>
        <v>01</v>
      </c>
      <c r="H62" s="578">
        <f t="shared" si="42"/>
        <v>1900</v>
      </c>
      <c r="I62" s="585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991</v>
      </c>
      <c r="C63" s="663" t="s">
        <v>1039</v>
      </c>
      <c r="D63" s="584">
        <f>IF(('Выполнение работ'!$CM$189)&gt;DATE(1900,1,1),'Выполнение работ'!$CM$189,0)</f>
        <v>0</v>
      </c>
      <c r="E63" s="234" t="str">
        <f t="shared" si="39"/>
        <v>0</v>
      </c>
      <c r="F63" s="578">
        <f t="shared" si="40"/>
        <v>0</v>
      </c>
      <c r="G63" s="578" t="str">
        <f t="shared" si="41"/>
        <v>01</v>
      </c>
      <c r="H63" s="578">
        <f t="shared" si="42"/>
        <v>1900</v>
      </c>
      <c r="I63" s="585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992</v>
      </c>
      <c r="C64" s="663" t="s">
        <v>1038</v>
      </c>
      <c r="D64" s="584">
        <f>IF(('Выполнение работ'!$EI$189)&gt;DATE(1900,1,1),'Выполнение работ'!$EI$189,0)</f>
        <v>0</v>
      </c>
      <c r="E64" s="234" t="str">
        <f t="shared" si="39"/>
        <v>0</v>
      </c>
      <c r="F64" s="578">
        <f t="shared" si="40"/>
        <v>0</v>
      </c>
      <c r="G64" s="578" t="str">
        <f t="shared" si="41"/>
        <v>01</v>
      </c>
      <c r="H64" s="578">
        <f t="shared" si="42"/>
        <v>1900</v>
      </c>
      <c r="I64" s="585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2" t="s">
        <v>993</v>
      </c>
      <c r="B66" s="1362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6">
        <f>'Аренда ТС'!O5</f>
        <v>0</v>
      </c>
      <c r="B67" s="587" t="str">
        <f>IF(D67&lt;10,"0"&amp;D67,D67)</f>
        <v>00</v>
      </c>
      <c r="C67" s="448" t="s">
        <v>994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6">
        <f>'Аренда ТС'!BK5</f>
        <v>0</v>
      </c>
      <c r="B68" s="587" t="str">
        <f t="shared" ref="B68:B75" ca="1" si="48">IF(D68&lt;10,"0"&amp;D68,D68)</f>
        <v>00</v>
      </c>
      <c r="C68" s="448" t="s">
        <v>994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6">
        <f>'Аренда ТС'!DG5</f>
        <v>0</v>
      </c>
      <c r="B69" s="587" t="str">
        <f t="shared" ca="1" si="48"/>
        <v>00</v>
      </c>
      <c r="C69" s="448" t="s">
        <v>994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6">
        <f>'Оказание услуг'!$O$5</f>
        <v>0</v>
      </c>
      <c r="B70" s="587" t="str">
        <f t="shared" ca="1" si="48"/>
        <v>00</v>
      </c>
      <c r="C70" s="448" t="s">
        <v>995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6">
        <f>'Оказание услуг'!BK5</f>
        <v>0</v>
      </c>
      <c r="B71" s="587" t="str">
        <f t="shared" ca="1" si="48"/>
        <v>00</v>
      </c>
      <c r="C71" s="448" t="s">
        <v>995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6">
        <f>'Оказание услуг'!DG5</f>
        <v>0</v>
      </c>
      <c r="B72" s="587" t="str">
        <f t="shared" ca="1" si="48"/>
        <v>00</v>
      </c>
      <c r="C72" s="448" t="s">
        <v>995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6">
        <f>'Выполнение работ'!O5</f>
        <v>0</v>
      </c>
      <c r="B73" s="587" t="str">
        <f t="shared" ca="1" si="48"/>
        <v>00</v>
      </c>
      <c r="C73" s="448" t="s">
        <v>996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6">
        <f>'Выполнение работ'!BK5</f>
        <v>0</v>
      </c>
      <c r="B74" s="587" t="str">
        <f t="shared" ca="1" si="48"/>
        <v>00</v>
      </c>
      <c r="C74" s="448" t="s">
        <v>996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6">
        <f>'Выполнение работ'!DG5</f>
        <v>0</v>
      </c>
      <c r="B75" s="587" t="str">
        <f t="shared" ca="1" si="48"/>
        <v>00</v>
      </c>
      <c r="C75" s="448" t="s">
        <v>996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/>
      <c r="G79" s="234" t="s">
        <v>1011</v>
      </c>
      <c r="I79" s="448" t="s">
        <v>1012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INDIRECT("$A$131")</f>
        <v>${pp}</v>
      </c>
      <c r="B80" s="458" t="str">
        <f ca="1">INDIRECT("$B$131")</f>
        <v>${rashod}</v>
      </c>
      <c r="C80" s="458" t="str">
        <f ca="1">INDIRECT("$C$131")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INDIRECT("$A$132")</f>
        <v>0</v>
      </c>
      <c r="B81" s="458">
        <f ca="1">INDIRECT("$B$132")</f>
        <v>0</v>
      </c>
      <c r="C81" s="458">
        <f ca="1">INDIRECT("$C$132")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INDIRECT("$A$133")</f>
        <v>0</v>
      </c>
      <c r="B82" s="458">
        <f ca="1">INDIRECT("$B$133")</f>
        <v>0</v>
      </c>
      <c r="C82" s="458">
        <f ca="1">INDIRECT("$C$133")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INDIRECT("$A$134")</f>
        <v>0</v>
      </c>
      <c r="B83" s="458">
        <f ca="1">INDIRECT("$B$134")</f>
        <v>0</v>
      </c>
      <c r="C83" s="458">
        <f ca="1">INDIRECT("$C$134")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INDIRECT("$A$135")</f>
        <v>0</v>
      </c>
      <c r="B84" s="458">
        <f ca="1">INDIRECT("$B$135")</f>
        <v>0</v>
      </c>
      <c r="C84" s="458">
        <f ca="1">INDIRECT("$C$135")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INDIRECT("$A$136")</f>
        <v>0</v>
      </c>
      <c r="B85" s="458">
        <f ca="1">INDIRECT("$B$136")</f>
        <v>0</v>
      </c>
      <c r="C85" s="458">
        <f ca="1">INDIRECT("$C$136")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INDIRECT("$A$137")</f>
        <v>0</v>
      </c>
      <c r="B86" s="458">
        <f ca="1">INDIRECT("$B$137")</f>
        <v>0</v>
      </c>
      <c r="C86" s="458">
        <f ca="1">INDIRECT("$C$137")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INDIRECT("$A$138")</f>
        <v>0</v>
      </c>
      <c r="B87" s="458">
        <f ca="1">INDIRECT("$B$138")</f>
        <v>0</v>
      </c>
      <c r="C87" s="458">
        <f ca="1">INDIRECT("$C$138")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INDIRECT("$A$139")</f>
        <v>0</v>
      </c>
      <c r="B88" s="458">
        <f ca="1">INDIRECT("$B$139")</f>
        <v>0</v>
      </c>
      <c r="C88" s="458">
        <f ca="1">INDIRECT("$C$139")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INDIRECT("$A$140")</f>
        <v>0</v>
      </c>
      <c r="B89" s="458">
        <f ca="1">INDIRECT("$B$140")</f>
        <v>0</v>
      </c>
      <c r="C89" s="458">
        <f ca="1">INDIRECT("$C$140")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INDIRECT("$A$141")</f>
        <v>0</v>
      </c>
      <c r="B90" s="458">
        <f ca="1">INDIRECT("$B$141")</f>
        <v>0</v>
      </c>
      <c r="C90" s="458">
        <f ca="1">INDIRECT("$C$141")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INDIRECT("$A$142")</f>
        <v>0</v>
      </c>
      <c r="B91" s="458">
        <f ca="1">INDIRECT("$B$142")</f>
        <v>0</v>
      </c>
      <c r="C91" s="458">
        <f ca="1">INDIRECT("$C$142")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INDIRECT("$A$143")</f>
        <v>0</v>
      </c>
      <c r="B92" s="458">
        <f ca="1">INDIRECT("$B$143")</f>
        <v>0</v>
      </c>
      <c r="C92" s="458">
        <f ca="1">INDIRECT("$C$143")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INDIRECT("$A$144")</f>
        <v>0</v>
      </c>
      <c r="B93" s="458">
        <f ca="1">INDIRECT("$B$144")</f>
        <v>0</v>
      </c>
      <c r="C93" s="458">
        <f ca="1">INDIRECT("$C$144")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1013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1014</v>
      </c>
      <c r="B96" s="497">
        <f>'Аренда ТС'!$AF$274</f>
        <v>0</v>
      </c>
      <c r="C96" s="586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1015</v>
      </c>
      <c r="B97" s="497">
        <f>'Аренда ТС'!$CB$274</f>
        <v>0</v>
      </c>
      <c r="C97" s="586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1016</v>
      </c>
      <c r="B98" s="497">
        <f>'Аренда ТС'!$DX$274</f>
        <v>0</v>
      </c>
      <c r="C98" s="586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1017</v>
      </c>
      <c r="B99" s="497">
        <f>'Оказание услуг'!$AF$204</f>
        <v>0</v>
      </c>
      <c r="C99" s="586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1018</v>
      </c>
      <c r="B100" s="497">
        <f>'Оказание услуг'!$CB$204</f>
        <v>0</v>
      </c>
      <c r="C100" s="586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1019</v>
      </c>
      <c r="B101" s="497">
        <f>'Оказание услуг'!$DX$204</f>
        <v>0</v>
      </c>
      <c r="C101" s="586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1020</v>
      </c>
      <c r="B102" s="497">
        <f>'Выполнение работ'!$AF$205</f>
        <v>0</v>
      </c>
      <c r="C102" s="586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1021</v>
      </c>
      <c r="B103" s="497">
        <f>'Выполнение работ'!$CB$205</f>
        <v>0</v>
      </c>
      <c r="C103" s="586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1022</v>
      </c>
      <c r="B104" s="497">
        <f>'Выполнение работ'!$DX$205</f>
        <v>0</v>
      </c>
      <c r="C104" s="586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5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5"/>
      <c r="J106" s="451"/>
      <c r="K106" s="451"/>
      <c r="L106" s="451"/>
      <c r="M106" s="451"/>
      <c r="N106" s="451"/>
    </row>
    <row r="107" spans="1:21">
      <c r="A107" s="495"/>
      <c r="J107" s="234"/>
      <c r="K107" s="1359" t="s">
        <v>966</v>
      </c>
      <c r="L107" s="1359"/>
      <c r="M107" s="1359"/>
      <c r="N107" s="1359"/>
      <c r="O107" s="1359"/>
      <c r="P107" s="234" t="s">
        <v>34</v>
      </c>
      <c r="Q107" s="234" t="s">
        <v>35</v>
      </c>
    </row>
    <row r="108" spans="1:21">
      <c r="A108" s="234" t="s">
        <v>279</v>
      </c>
      <c r="D108" s="448" t="s">
        <v>976</v>
      </c>
      <c r="E108" s="448" t="s">
        <v>977</v>
      </c>
      <c r="F108" s="448" t="s">
        <v>975</v>
      </c>
      <c r="I108" s="559" t="s">
        <v>967</v>
      </c>
      <c r="J108" s="234"/>
      <c r="K108" s="234" t="s">
        <v>968</v>
      </c>
      <c r="L108" s="234"/>
      <c r="M108" s="234" t="s">
        <v>969</v>
      </c>
      <c r="N108" s="234"/>
      <c r="O108" s="234" t="s">
        <v>390</v>
      </c>
      <c r="S108" s="448" t="s">
        <v>974</v>
      </c>
      <c r="T108" s="448" t="s">
        <v>975</v>
      </c>
      <c r="U108" s="448"/>
    </row>
    <row r="109" spans="1:21">
      <c r="A109" s="486" t="str">
        <f>'Фактические расходы'!$A$13</f>
        <v>${pp}</v>
      </c>
      <c r="B109" s="486" t="str">
        <f>'Фактические расходы'!$B$13</f>
        <v>${rashod}</v>
      </c>
      <c r="C109" s="234" t="str">
        <f>'Фактические расходы'!$T$13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0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8">
        <f>K109+M109+P109+Q109</f>
        <v>0</v>
      </c>
      <c r="P109" s="558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6" t="str">
        <f>'Фактические расходы'!$A$14</f>
        <v>Всего расходов</v>
      </c>
      <c r="B110" s="486">
        <f>'Фактические расходы'!$B$14</f>
        <v>0</v>
      </c>
      <c r="C110" s="234">
        <f>'Фактические расходы'!$T$14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0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8">
        <f t="shared" ref="O110:O127" si="84">K110+M110+P110+Q110</f>
        <v>0</v>
      </c>
      <c r="P110" s="558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6">
        <f>'Фактические расходы'!$A$15</f>
        <v>0</v>
      </c>
      <c r="B111" s="486">
        <f>'Фактические расходы'!$B$15</f>
        <v>0</v>
      </c>
      <c r="C111" s="234">
        <f>'Фактические расходы'!$T$15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0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8">
        <f t="shared" si="84"/>
        <v>0</v>
      </c>
      <c r="P111" s="558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6">
        <f>'Фактические расходы'!$A$16</f>
        <v>0</v>
      </c>
      <c r="B112" s="486">
        <f>'Фактические расходы'!$B$16</f>
        <v>0</v>
      </c>
      <c r="C112" s="234">
        <f>'Фактические расходы'!$T$16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0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8">
        <f t="shared" si="84"/>
        <v>0</v>
      </c>
      <c r="P112" s="558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6">
        <f>'Фактические расходы'!$A$17</f>
        <v>0</v>
      </c>
      <c r="B113" s="486">
        <f>'Фактические расходы'!$B$17</f>
        <v>0</v>
      </c>
      <c r="C113" s="234">
        <f>'Фактические расходы'!$T$17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0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8">
        <f t="shared" si="84"/>
        <v>0</v>
      </c>
      <c r="P113" s="558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6">
        <f>'Фактические расходы'!$A$18</f>
        <v>0</v>
      </c>
      <c r="B114" s="486">
        <f>'Фактические расходы'!$B$18</f>
        <v>0</v>
      </c>
      <c r="C114" s="234">
        <f>'Фактические расходы'!$T$18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0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8">
        <f t="shared" si="84"/>
        <v>0</v>
      </c>
      <c r="P114" s="558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6">
        <f>'Фактические расходы'!$A$19</f>
        <v>0</v>
      </c>
      <c r="B115" s="486">
        <f>'Фактические расходы'!$B$19</f>
        <v>0</v>
      </c>
      <c r="C115" s="234">
        <f>'Фактические расходы'!$T$19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0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8">
        <f t="shared" si="84"/>
        <v>0</v>
      </c>
      <c r="P115" s="558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6">
        <f>'Фактические расходы'!$A$20</f>
        <v>0</v>
      </c>
      <c r="B116" s="486">
        <f>'Фактические расходы'!$B$20</f>
        <v>0</v>
      </c>
      <c r="C116" s="234">
        <f>'Фактические расходы'!$T$20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0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8">
        <f t="shared" si="84"/>
        <v>0</v>
      </c>
      <c r="P116" s="558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6">
        <f>'Фактические расходы'!$A$21</f>
        <v>0</v>
      </c>
      <c r="B117" s="486">
        <f>'Фактические расходы'!$B$21</f>
        <v>0</v>
      </c>
      <c r="C117" s="234">
        <f>'Фактические расходы'!$T$21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0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8">
        <f t="shared" si="84"/>
        <v>0</v>
      </c>
      <c r="P117" s="558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6">
        <f>'Фактические расходы'!$A$22</f>
        <v>0</v>
      </c>
      <c r="B118" s="486">
        <f>'Фактические расходы'!$B$22</f>
        <v>0</v>
      </c>
      <c r="C118" s="234">
        <f>'Фактические расходы'!$T$22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0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8">
        <f t="shared" si="84"/>
        <v>0</v>
      </c>
      <c r="P118" s="558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6">
        <f>'Фактические расходы'!$A$23</f>
        <v>0</v>
      </c>
      <c r="B119" s="486">
        <f>'Фактические расходы'!$B$23</f>
        <v>0</v>
      </c>
      <c r="C119" s="234">
        <f>'Фактические расходы'!$T$23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0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8">
        <f t="shared" si="84"/>
        <v>0</v>
      </c>
      <c r="P119" s="558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6">
        <f>'Фактические расходы'!$A$24</f>
        <v>0</v>
      </c>
      <c r="B120" s="486">
        <f>'Фактические расходы'!$B$24</f>
        <v>0</v>
      </c>
      <c r="C120" s="234">
        <f>'Фактические расходы'!$T$24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0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8">
        <f t="shared" si="84"/>
        <v>0</v>
      </c>
      <c r="P120" s="558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6">
        <f>'Фактические расходы'!$A$25</f>
        <v>0</v>
      </c>
      <c r="B121" s="486">
        <f>'Фактические расходы'!$B$25</f>
        <v>0</v>
      </c>
      <c r="C121" s="234">
        <f>'Фактические расходы'!$T$25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0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8">
        <f t="shared" si="84"/>
        <v>0</v>
      </c>
      <c r="P121" s="558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6">
        <f>'Фактические расходы'!$A$26</f>
        <v>0</v>
      </c>
      <c r="B122" s="486">
        <f>'Фактические расходы'!$B$26</f>
        <v>0</v>
      </c>
      <c r="C122" s="234">
        <f>'Фактические расходы'!$T$26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0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8">
        <f t="shared" si="84"/>
        <v>0</v>
      </c>
      <c r="P122" s="558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6">
        <f>'Фактические расходы'!$A$27</f>
        <v>0</v>
      </c>
      <c r="B123" s="486">
        <f>'Фактические расходы'!$B$27</f>
        <v>0</v>
      </c>
      <c r="C123" s="234">
        <f>'Фактические расходы'!$T$27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0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8">
        <f t="shared" si="84"/>
        <v>0</v>
      </c>
      <c r="P123" s="558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6">
        <f>'Фактические расходы'!$A$28</f>
        <v>0</v>
      </c>
      <c r="B124" s="486">
        <f>'Фактические расходы'!$B$28</f>
        <v>0</v>
      </c>
      <c r="C124" s="234">
        <f>'Фактические расходы'!$T$28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0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8">
        <f t="shared" si="84"/>
        <v>0</v>
      </c>
      <c r="P124" s="558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6">
        <f>'Фактические расходы'!$A$29</f>
        <v>0</v>
      </c>
      <c r="B125" s="486">
        <f>'Фактические расходы'!$B$29</f>
        <v>0</v>
      </c>
      <c r="C125" s="234">
        <f>'Фактические расходы'!$T$29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0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8">
        <f t="shared" si="84"/>
        <v>0</v>
      </c>
      <c r="P125" s="558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6">
        <f>'Фактические расходы'!$A$30</f>
        <v>0</v>
      </c>
      <c r="B126" s="486">
        <f>'Фактические расходы'!$B$30</f>
        <v>0</v>
      </c>
      <c r="C126" s="234">
        <f>'Фактические расходы'!$T$30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0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8">
        <f t="shared" si="84"/>
        <v>0</v>
      </c>
      <c r="P126" s="558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6">
        <f>'Фактические расходы'!$A$31</f>
        <v>0</v>
      </c>
      <c r="B127" s="486">
        <f>'Фактические расходы'!$B$31</f>
        <v>0</v>
      </c>
      <c r="C127" s="234">
        <f>'Фактические расходы'!$T$31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0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8">
        <f t="shared" si="84"/>
        <v>0</v>
      </c>
      <c r="P127" s="558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8">
        <f>IF(NOT('Настройки ТИК'!$C$14="не участник зарплатного проекта"),SUM(K109:K127),SUM(O109:O127)-SUM(M109:M127))</f>
        <v>0</v>
      </c>
      <c r="AQ129" s="495"/>
    </row>
    <row r="130" spans="1:43">
      <c r="A130" s="642">
        <f ca="1">COUNTA(INDIRECT("$A$131:$A$144"))</f>
        <v>1</v>
      </c>
      <c r="B130" s="642"/>
      <c r="C130" s="642">
        <f ca="1">SUM(INDIRECT("$C$131:$C$144"))</f>
        <v>0</v>
      </c>
      <c r="D130" s="643"/>
      <c r="E130" s="643"/>
      <c r="F130" s="643"/>
      <c r="G130" s="643"/>
      <c r="H130" s="643"/>
      <c r="I130" s="643"/>
      <c r="J130" s="643"/>
      <c r="K130" s="643"/>
      <c r="L130" s="643"/>
      <c r="M130" s="643"/>
      <c r="N130" s="643"/>
      <c r="O130" s="643"/>
      <c r="P130" s="643"/>
      <c r="Q130" s="643"/>
      <c r="R130" s="643"/>
      <c r="S130" s="643"/>
      <c r="T130" s="643"/>
      <c r="U130" s="643"/>
      <c r="V130" s="643"/>
      <c r="W130" s="643"/>
      <c r="X130" s="643"/>
      <c r="Y130" s="643"/>
      <c r="Z130" s="643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4" t="s">
        <v>399</v>
      </c>
    </row>
    <row r="131" spans="1:43">
      <c r="A131" s="604" t="s">
        <v>961</v>
      </c>
      <c r="B131" s="604" t="s">
        <v>907</v>
      </c>
      <c r="C131" s="604" t="s">
        <v>962</v>
      </c>
      <c r="D131" s="495"/>
      <c r="J131" s="234"/>
      <c r="K131" s="234"/>
      <c r="L131" s="234"/>
      <c r="M131" s="234"/>
      <c r="N131" s="234"/>
      <c r="AQ131" s="641" t="s">
        <v>399</v>
      </c>
    </row>
    <row r="132" spans="1:43">
      <c r="J132" s="234"/>
      <c r="K132" s="234"/>
      <c r="L132" s="234"/>
      <c r="M132" s="234"/>
      <c r="N132" s="234"/>
      <c r="AQ132" s="495"/>
    </row>
    <row r="133" spans="1:43">
      <c r="J133" s="234"/>
      <c r="K133" s="234"/>
      <c r="L133" s="234"/>
      <c r="M133" s="234"/>
      <c r="N133" s="234"/>
      <c r="AQ133" s="495"/>
    </row>
    <row r="134" spans="1:43">
      <c r="J134" s="234"/>
      <c r="K134" s="234"/>
      <c r="L134" s="234"/>
      <c r="M134" s="234"/>
      <c r="N134" s="234"/>
      <c r="AQ134" s="495"/>
    </row>
    <row r="135" spans="1:43">
      <c r="J135" s="234"/>
      <c r="K135" s="234"/>
      <c r="L135" s="234"/>
      <c r="M135" s="234"/>
      <c r="N135" s="234"/>
      <c r="AQ135" s="495"/>
    </row>
    <row r="136" spans="1:43">
      <c r="J136" s="234"/>
      <c r="K136" s="234"/>
      <c r="L136" s="234"/>
      <c r="M136" s="234"/>
      <c r="N136" s="234"/>
      <c r="AQ136" s="495"/>
    </row>
    <row r="137" spans="1:43">
      <c r="J137" s="234"/>
      <c r="K137" s="234"/>
      <c r="L137" s="234"/>
      <c r="M137" s="234"/>
      <c r="N137" s="234"/>
      <c r="AQ137" s="495"/>
    </row>
    <row r="138" spans="1:43">
      <c r="J138" s="234"/>
      <c r="K138" s="234"/>
      <c r="L138" s="234"/>
      <c r="M138" s="234"/>
      <c r="N138" s="234"/>
      <c r="AQ138" s="495"/>
    </row>
    <row r="139" spans="1:43">
      <c r="J139" s="234"/>
      <c r="K139" s="234"/>
      <c r="L139" s="234"/>
      <c r="M139" s="234"/>
      <c r="N139" s="234"/>
      <c r="AQ139" s="495"/>
    </row>
    <row r="140" spans="1:43">
      <c r="J140" s="234"/>
      <c r="K140" s="234"/>
      <c r="L140" s="234"/>
      <c r="M140" s="234"/>
      <c r="N140" s="234"/>
      <c r="AQ140" s="495"/>
    </row>
    <row r="141" spans="1:43">
      <c r="J141" s="234"/>
      <c r="K141" s="234"/>
      <c r="L141" s="234"/>
      <c r="M141" s="234"/>
      <c r="N141" s="234"/>
      <c r="AQ141" s="495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password="C09F" sheet="1" objects="1" scenarios="1"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topLeftCell="A3" zoomScaleNormal="100" zoomScaleSheetLayoutView="115" workbookViewId="0">
      <selection activeCell="A7" sqref="A7:E7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hidden="1" customWidth="1"/>
    <col min="17" max="17" width="12.5703125" style="235" hidden="1" customWidth="1"/>
    <col min="18" max="21" width="9.140625" style="235" hidden="1" customWidth="1"/>
    <col min="22" max="22" width="9.140625" style="235" customWidth="1"/>
    <col min="23" max="16384" width="9.140625" style="235"/>
  </cols>
  <sheetData>
    <row r="3" spans="1:21" ht="15.75">
      <c r="A3" s="1363" t="s">
        <v>279</v>
      </c>
      <c r="B3" s="1363"/>
      <c r="C3" s="1363"/>
      <c r="D3" s="1363"/>
      <c r="E3" s="1363"/>
      <c r="F3" s="1363"/>
      <c r="G3" s="1363"/>
      <c r="H3" s="1363"/>
      <c r="I3" s="1363"/>
      <c r="J3" s="1363"/>
      <c r="K3" s="1363"/>
    </row>
    <row r="4" spans="1:21" ht="15.75">
      <c r="A4" s="1363" t="s">
        <v>460</v>
      </c>
      <c r="B4" s="1363"/>
      <c r="C4" s="1363"/>
      <c r="D4" s="1363"/>
      <c r="E4" s="1363"/>
      <c r="F4" s="1363"/>
      <c r="G4" s="1363"/>
      <c r="H4" s="1363"/>
      <c r="I4" s="1363"/>
      <c r="J4" s="1363"/>
      <c r="K4" s="1363"/>
    </row>
    <row r="5" spans="1:21" ht="15.75">
      <c r="A5" s="692" t="s">
        <v>461</v>
      </c>
      <c r="B5" s="692"/>
      <c r="C5" s="692"/>
      <c r="D5" s="692"/>
      <c r="E5" s="692"/>
      <c r="F5" s="692"/>
      <c r="G5" s="692"/>
      <c r="H5" s="692"/>
      <c r="I5" s="692"/>
      <c r="J5" s="692"/>
      <c r="K5" s="692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6">
        <f ca="1">COUNTIF($P$12:$P$52,'Настройки УИК'!$R$2)</f>
        <v>19</v>
      </c>
    </row>
    <row r="7" spans="1:21" ht="30.75" customHeight="1">
      <c r="A7" s="1364" t="s">
        <v>462</v>
      </c>
      <c r="B7" s="1365"/>
      <c r="C7" s="1365"/>
      <c r="D7" s="1365"/>
      <c r="E7" s="1366"/>
      <c r="F7" s="1367">
        <f>'Настройки УИК'!J5</f>
        <v>0</v>
      </c>
      <c r="G7" s="1367"/>
      <c r="H7" s="1367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4" t="s">
        <v>459</v>
      </c>
      <c r="B9" s="1375"/>
      <c r="C9" s="1375"/>
      <c r="D9" s="1376"/>
      <c r="E9" s="1377">
        <f>'Настройки ТИК'!B9</f>
        <v>0</v>
      </c>
      <c r="F9" s="1377"/>
      <c r="G9" s="1377"/>
      <c r="H9" s="1377"/>
      <c r="I9" s="1377"/>
      <c r="J9" s="1377"/>
      <c r="K9" s="1377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8" t="s">
        <v>260</v>
      </c>
      <c r="B11" s="1368"/>
      <c r="C11" s="1368"/>
      <c r="D11" s="1368"/>
      <c r="E11" s="1368"/>
      <c r="F11" s="1368"/>
      <c r="G11" s="1368"/>
      <c r="H11" s="1368"/>
      <c r="I11" s="1368"/>
      <c r="J11" s="242" t="s">
        <v>271</v>
      </c>
      <c r="K11" s="242" t="s">
        <v>272</v>
      </c>
    </row>
    <row r="12" spans="1:21">
      <c r="A12" s="1371" t="s">
        <v>399</v>
      </c>
      <c r="B12" s="1368"/>
      <c r="C12" s="1368"/>
      <c r="D12" s="1368"/>
      <c r="E12" s="1368"/>
      <c r="F12" s="1368"/>
      <c r="G12" s="1368"/>
      <c r="H12" s="1368"/>
      <c r="I12" s="1368"/>
      <c r="J12" s="423" t="s">
        <v>400</v>
      </c>
      <c r="K12" s="423" t="s">
        <v>401</v>
      </c>
    </row>
    <row r="13" spans="1:21" ht="33" customHeight="1">
      <c r="A13" s="555" t="s">
        <v>961</v>
      </c>
      <c r="B13" s="1372" t="s">
        <v>907</v>
      </c>
      <c r="C13" s="1372"/>
      <c r="D13" s="1372"/>
      <c r="E13" s="1372"/>
      <c r="F13" s="1372"/>
      <c r="G13" s="1372"/>
      <c r="H13" s="1372"/>
      <c r="I13" s="1373"/>
      <c r="J13" s="579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0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8">
        <f ca="1">OFFSET($M$13:$M$13,0,0)</f>
        <v>0</v>
      </c>
      <c r="M13" s="581"/>
      <c r="N13" s="558">
        <f>'Настройки ТИК'!$C$55</f>
        <v>0</v>
      </c>
      <c r="O13" s="234"/>
      <c r="P13" s="234">
        <f>'Настройки УИК'!$R$2</f>
        <v>0</v>
      </c>
      <c r="Q13" s="410" t="s">
        <v>973</v>
      </c>
      <c r="R13" s="234">
        <f>'Настройки УИК'!$R$2</f>
        <v>0</v>
      </c>
      <c r="S13" s="234">
        <f>'Настройки ТИК'!$H$9</f>
        <v>0</v>
      </c>
      <c r="T13" s="234" t="s">
        <v>963</v>
      </c>
    </row>
    <row r="14" spans="1:21">
      <c r="A14" s="1369" t="s">
        <v>267</v>
      </c>
      <c r="B14" s="1369"/>
      <c r="C14" s="1369"/>
      <c r="D14" s="1369"/>
      <c r="E14" s="1369"/>
      <c r="F14" s="1369"/>
      <c r="G14" s="1369"/>
      <c r="H14" s="1369"/>
      <c r="I14" s="1370"/>
      <c r="J14" s="556">
        <f ca="1">SUMIF(Смета!$A$18:$A$37,INDIRECT("A"&amp;(MROUND(N($U$6),1)+13)),Смета!$J$18:$J$37)</f>
        <v>0</v>
      </c>
      <c r="K14" s="557">
        <f>'В авансовый отчет'!$O$129</f>
        <v>0</v>
      </c>
      <c r="L14" s="618">
        <v>1</v>
      </c>
      <c r="M14" s="581">
        <f>'В авансовый отчет'!O109</f>
        <v>0</v>
      </c>
      <c r="N14" s="576">
        <f ca="1">COUNTIF(Смета!$A$18:$A$37,INDIRECT("P"&amp;(MROUND(N($U$6),1)+13)))</f>
        <v>0</v>
      </c>
      <c r="O14" s="576" t="str">
        <f ca="1">IF(INDIRECT("T"&amp;(MROUND(N(IF(NOT($Q$13=""),$Q$13,($U$6+2))),1)+12))="","",INDIRECT("T"&amp;(MROUND(N(IF(NOT($Q$13=""),$Q$13,($U$6+2))),1)+12)))</f>
        <v/>
      </c>
      <c r="P14" s="576" t="str">
        <f ca="1">INDIRECT("A"&amp;(13))</f>
        <v>${pp}</v>
      </c>
      <c r="Q14" s="410"/>
    </row>
    <row r="15" spans="1:21">
      <c r="L15" s="618">
        <v>2</v>
      </c>
      <c r="M15" s="581">
        <f>'В авансовый отчет'!O110</f>
        <v>0</v>
      </c>
      <c r="N15" s="576">
        <f ca="1">COUNTIF(Смета!$A$18:$A$37,INDIRECT("P"&amp;(MROUND(N($U$6),1)+14)))</f>
        <v>0</v>
      </c>
      <c r="O15" s="576" t="str">
        <f ca="1">IF(INDIRECT("T"&amp;(MROUND(N(IF(NOT($Q$14=""),$Q$14,($U$6+2))),1)+12))="","",INDIRECT("T"&amp;(MROUND(N(IF(NOT($Q$14=""),$Q$14,($U$6+2))),1)+12)))</f>
        <v/>
      </c>
      <c r="P15" s="576" t="str">
        <f ca="1">INDIRECT("A"&amp;(14))</f>
        <v>Всего расходов</v>
      </c>
      <c r="Q15" s="410"/>
    </row>
    <row r="16" spans="1:21">
      <c r="L16" s="618">
        <v>3</v>
      </c>
      <c r="M16" s="581">
        <f>'В авансовый отчет'!O111</f>
        <v>0</v>
      </c>
      <c r="N16" s="576">
        <f ca="1">COUNTIF(Смета!$A$18:$A$37,INDIRECT("P"&amp;(MROUND(N($U$6),1)+15)))</f>
        <v>0</v>
      </c>
      <c r="O16" s="576" t="str">
        <f ca="1">IF(INDIRECT("T"&amp;(MROUND(N(IF(NOT($Q$15=""),$Q$15,($U$6+2))),1)+12))="","",INDIRECT("T"&amp;(MROUND(N(IF(NOT($Q$15=""),$Q$15,($U$6+2))),1)+12)))</f>
        <v/>
      </c>
      <c r="P16" s="576">
        <f ca="1">INDIRECT("A"&amp;(15))</f>
        <v>0</v>
      </c>
      <c r="Q16" s="410"/>
    </row>
    <row r="17" spans="1:21">
      <c r="L17" s="618">
        <v>4</v>
      </c>
      <c r="M17" s="581">
        <f>'В авансовый отчет'!O112</f>
        <v>0</v>
      </c>
      <c r="N17" s="576">
        <f ca="1">COUNTIF(Смета!$A$18:$A$37,INDIRECT("P"&amp;(MROUND(N($U$6),1)+16)))</f>
        <v>0</v>
      </c>
      <c r="O17" s="576" t="str">
        <f ca="1">IF(INDIRECT("T"&amp;(MROUND(N(IF(NOT($Q$16=""),$Q$16,($U$6+2))),1)+12))="","",INDIRECT("T"&amp;(MROUND(N(IF(NOT($Q$16=""),$Q$16,($U$6+2))),1)+12)))</f>
        <v/>
      </c>
      <c r="P17" s="576">
        <f ca="1">INDIRECT("A"&amp;(16))</f>
        <v>0</v>
      </c>
      <c r="Q17" s="410"/>
    </row>
    <row r="18" spans="1:21">
      <c r="A18" s="582"/>
      <c r="B18" s="582"/>
      <c r="C18" s="582"/>
      <c r="D18" s="582"/>
      <c r="E18" s="582"/>
      <c r="F18" s="582"/>
      <c r="G18" s="582"/>
      <c r="H18" s="582"/>
      <c r="I18" s="582"/>
      <c r="J18" s="582"/>
      <c r="K18" s="582"/>
      <c r="L18" s="618">
        <v>5</v>
      </c>
      <c r="M18" s="581">
        <f>'В авансовый отчет'!O113</f>
        <v>0</v>
      </c>
      <c r="N18" s="576">
        <f ca="1">COUNTIF(Смета!$A$18:$A$37,INDIRECT("P"&amp;(MROUND(N($U$6),1)+17)))</f>
        <v>0</v>
      </c>
      <c r="O18" s="576" t="str">
        <f ca="1">IF(INDIRECT("T"&amp;(MROUND(N(IF(NOT($Q$17=""),$Q$17,($U$6+2))),1)+12))="","",INDIRECT("T"&amp;(MROUND(N(IF(NOT($Q$17=""),$Q$17,($U$6+2))),1)+12)))</f>
        <v/>
      </c>
      <c r="P18" s="576">
        <f ca="1">INDIRECT("A"&amp;(17))</f>
        <v>0</v>
      </c>
      <c r="Q18" s="410"/>
    </row>
    <row r="19" spans="1:21">
      <c r="A19" s="582"/>
      <c r="B19" s="582"/>
      <c r="C19" s="582"/>
      <c r="D19" s="582"/>
      <c r="E19" s="582"/>
      <c r="F19" s="582"/>
      <c r="G19" s="582"/>
      <c r="H19" s="582"/>
      <c r="I19" s="582"/>
      <c r="J19" s="582"/>
      <c r="K19" s="582"/>
      <c r="L19" s="618">
        <v>6</v>
      </c>
      <c r="M19" s="581">
        <f>'В авансовый отчет'!O114</f>
        <v>0</v>
      </c>
      <c r="N19" s="576">
        <f ca="1">COUNTIF(Смета!$A$18:$A$37,INDIRECT("P"&amp;(MROUND(N($U$6),1)+18)))</f>
        <v>0</v>
      </c>
      <c r="O19" s="576" t="str">
        <f ca="1">IF(INDIRECT("T"&amp;(MROUND(N(IF(NOT($Q$18=""),$Q$18,($U$6+2))),1)+12))="","",INDIRECT("T"&amp;(MROUND(N(IF(NOT($Q$18=""),$Q$18,($U$6+2))),1)+12)))</f>
        <v/>
      </c>
      <c r="P19" s="576">
        <f ca="1">INDIRECT("A"&amp;(18))</f>
        <v>0</v>
      </c>
      <c r="Q19" s="410"/>
    </row>
    <row r="20" spans="1:21">
      <c r="A20" s="582"/>
      <c r="B20" s="582"/>
      <c r="C20" s="582"/>
      <c r="D20" s="582"/>
      <c r="E20" s="582"/>
      <c r="F20" s="582"/>
      <c r="G20" s="582"/>
      <c r="H20" s="582"/>
      <c r="I20" s="582"/>
      <c r="J20" s="582"/>
      <c r="K20" s="582"/>
      <c r="L20" s="618">
        <v>7</v>
      </c>
      <c r="M20" s="581">
        <f>'В авансовый отчет'!O115</f>
        <v>0</v>
      </c>
      <c r="N20" s="576">
        <f ca="1">COUNTIF(Смета!$A$18:$A$37,INDIRECT("P"&amp;(MROUND(N($U$6),1)+19)))</f>
        <v>0</v>
      </c>
      <c r="O20" s="576" t="str">
        <f ca="1">IF(INDIRECT("T"&amp;(MROUND(N(IF(NOT($Q$19=""),$Q$19,($U$6+2))),1)+12))="","",INDIRECT("T"&amp;(MROUND(N(IF(NOT($Q$19=""),$Q$19,($U$6+2))),1)+12)))</f>
        <v/>
      </c>
      <c r="P20" s="576">
        <f ca="1">INDIRECT("A"&amp;(19))</f>
        <v>0</v>
      </c>
      <c r="Q20" s="410"/>
    </row>
    <row r="21" spans="1:21">
      <c r="A21" s="582"/>
      <c r="B21" s="582"/>
      <c r="C21" s="582"/>
      <c r="D21" s="582"/>
      <c r="E21" s="582"/>
      <c r="F21" s="582"/>
      <c r="G21" s="582"/>
      <c r="H21" s="582"/>
      <c r="I21" s="582"/>
      <c r="J21" s="582"/>
      <c r="K21" s="582"/>
      <c r="L21" s="618">
        <v>8</v>
      </c>
      <c r="M21" s="581">
        <f>'В авансовый отчет'!O116</f>
        <v>0</v>
      </c>
      <c r="N21" s="576">
        <f ca="1">COUNTIF(Смета!$A$18:$A$37,INDIRECT("P"&amp;(MROUND(N($U$6),1)+20)))</f>
        <v>0</v>
      </c>
      <c r="O21" s="576" t="str">
        <f ca="1">IF(INDIRECT("T"&amp;(MROUND(N(IF(NOT($Q$20=""),$Q$20,($U$6+2))),1)+12))="","",INDIRECT("T"&amp;(MROUND(N(IF(NOT($Q$20=""),$Q$20,($U$6+2))),1)+12)))</f>
        <v/>
      </c>
      <c r="P21" s="576">
        <f ca="1">INDIRECT("A"&amp;(20))</f>
        <v>0</v>
      </c>
      <c r="Q21" s="410"/>
    </row>
    <row r="22" spans="1:21">
      <c r="A22" s="582"/>
      <c r="B22" s="582"/>
      <c r="C22" s="582"/>
      <c r="D22" s="582"/>
      <c r="E22" s="582"/>
      <c r="F22" s="582"/>
      <c r="G22" s="582"/>
      <c r="H22" s="582"/>
      <c r="I22" s="582"/>
      <c r="J22" s="582"/>
      <c r="K22" s="582"/>
      <c r="L22" s="618">
        <v>9</v>
      </c>
      <c r="M22" s="581">
        <f>'В авансовый отчет'!O117</f>
        <v>0</v>
      </c>
      <c r="N22" s="576">
        <f ca="1">COUNTIF(Смета!$A$18:$A$37,INDIRECT("P"&amp;(MROUND(N($U$6),1)+21)))</f>
        <v>0</v>
      </c>
      <c r="O22" s="576" t="str">
        <f ca="1">IF(INDIRECT("T"&amp;(MROUND(N(IF(NOT($Q$21=""),$Q$21,($U$6+2))),1)+12))="","",INDIRECT("T"&amp;(MROUND(N(IF(NOT($Q$21=""),$Q$21,($U$6+2))),1)+12)))</f>
        <v/>
      </c>
      <c r="P22" s="576">
        <f ca="1">INDIRECT("A"&amp;(21))</f>
        <v>0</v>
      </c>
      <c r="Q22" s="410"/>
    </row>
    <row r="23" spans="1:21">
      <c r="A23" s="582"/>
      <c r="B23" s="582"/>
      <c r="C23" s="582"/>
      <c r="D23" s="582"/>
      <c r="E23" s="582"/>
      <c r="F23" s="582"/>
      <c r="G23" s="582"/>
      <c r="H23" s="582"/>
      <c r="I23" s="582"/>
      <c r="J23" s="582"/>
      <c r="K23" s="582"/>
      <c r="L23" s="618">
        <v>10</v>
      </c>
      <c r="M23" s="581">
        <f>'В авансовый отчет'!O118</f>
        <v>0</v>
      </c>
      <c r="N23" s="576">
        <f ca="1">COUNTIF(Смета!$A$18:$A$37,INDIRECT("P"&amp;(MROUND(N($U$6),1)+22)))</f>
        <v>0</v>
      </c>
      <c r="O23" s="576" t="str">
        <f ca="1">IF(INDIRECT("T"&amp;(MROUND(N(IF(NOT($Q$22=""),$Q$22,($U$6+2))),1)+12))="","",INDIRECT("T"&amp;(MROUND(N(IF(NOT($Q$22=""),$Q$22,($U$6+2))),1)+12)))</f>
        <v/>
      </c>
      <c r="P23" s="576">
        <f ca="1">INDIRECT("A"&amp;(22))</f>
        <v>0</v>
      </c>
      <c r="Q23" s="410"/>
    </row>
    <row r="24" spans="1:21">
      <c r="A24" s="582"/>
      <c r="B24" s="582"/>
      <c r="C24" s="582"/>
      <c r="D24" s="582"/>
      <c r="E24" s="582"/>
      <c r="F24" s="582"/>
      <c r="G24" s="582"/>
      <c r="H24" s="582"/>
      <c r="I24" s="582"/>
      <c r="J24" s="582"/>
      <c r="K24" s="582"/>
      <c r="L24" s="618">
        <v>11</v>
      </c>
      <c r="M24" s="581">
        <f>'В авансовый отчет'!O119</f>
        <v>0</v>
      </c>
      <c r="N24" s="576">
        <f ca="1">COUNTIF(Смета!$A$18:$A$37,INDIRECT("P"&amp;(MROUND(N($U$6),1)+23)))</f>
        <v>0</v>
      </c>
      <c r="O24" s="576" t="str">
        <f ca="1">IF(INDIRECT("T"&amp;(MROUND(N(IF(NOT($Q$23=""),$Q$23,($U$6+2))),1)+12))="","",INDIRECT("T"&amp;(MROUND(N(IF(NOT($Q$23=""),$Q$23,($U$6+2))),1)+12)))</f>
        <v/>
      </c>
      <c r="P24" s="576">
        <f ca="1">INDIRECT("A"&amp;(23))</f>
        <v>0</v>
      </c>
      <c r="Q24" s="410"/>
    </row>
    <row r="25" spans="1:21">
      <c r="A25" s="582"/>
      <c r="B25" s="582"/>
      <c r="D25" s="582"/>
      <c r="E25" s="582"/>
      <c r="F25" s="582"/>
      <c r="G25" s="582"/>
      <c r="H25" s="582"/>
      <c r="I25" s="582"/>
      <c r="J25" s="582"/>
      <c r="K25" s="582"/>
      <c r="L25" s="618">
        <v>12</v>
      </c>
      <c r="M25" s="581">
        <f>'В авансовый отчет'!O120</f>
        <v>0</v>
      </c>
      <c r="N25" s="576">
        <f ca="1">COUNTIF(Смета!$A$18:$A$37,INDIRECT("P"&amp;(MROUND(N($U$6),1)+24)))</f>
        <v>0</v>
      </c>
      <c r="O25" s="576" t="str">
        <f ca="1">IF(INDIRECT("T"&amp;(MROUND(N(IF(NOT($Q$24=""),$Q$24,($U$6+2))),1)+12))="","",INDIRECT("T"&amp;(MROUND(N(IF(NOT($Q$24=""),$Q$24,($U$6+2))),1)+12)))</f>
        <v/>
      </c>
      <c r="P25" s="576">
        <f ca="1">INDIRECT("A"&amp;(24))</f>
        <v>0</v>
      </c>
      <c r="Q25" s="410"/>
      <c r="U25" s="619">
        <f>'Настройки ТИК'!$C$14</f>
        <v>0</v>
      </c>
    </row>
    <row r="26" spans="1:21">
      <c r="A26" s="582"/>
      <c r="B26" s="582"/>
      <c r="C26" s="582"/>
      <c r="D26" s="582"/>
      <c r="E26" s="582"/>
      <c r="F26" s="582"/>
      <c r="G26" s="582"/>
      <c r="H26" s="582"/>
      <c r="I26" s="582"/>
      <c r="J26" s="582"/>
      <c r="K26" s="582"/>
      <c r="L26" s="618">
        <v>13</v>
      </c>
      <c r="M26" s="581">
        <f>'В авансовый отчет'!O121</f>
        <v>0</v>
      </c>
      <c r="N26" s="576">
        <f ca="1">COUNTIF(Смета!$A$18:$A$37,INDIRECT("P"&amp;(MROUND(N($U$6),1)+25)))</f>
        <v>0</v>
      </c>
      <c r="O26" s="576" t="str">
        <f ca="1">IF(INDIRECT("T"&amp;(MROUND(N(IF(NOT($Q$25=""),$Q$25,($U$6+2))),1)+12))="","",INDIRECT("T"&amp;(MROUND(N(IF(NOT($Q$25=""),$Q$25,($U$6+2))),1)+12)))</f>
        <v/>
      </c>
      <c r="P26" s="576">
        <f ca="1">INDIRECT("A"&amp;(25))</f>
        <v>0</v>
      </c>
      <c r="Q26" s="410"/>
    </row>
    <row r="27" spans="1:21">
      <c r="A27" s="582"/>
      <c r="B27" s="582"/>
      <c r="C27" s="582"/>
      <c r="D27" s="582"/>
      <c r="E27" s="582"/>
      <c r="F27" s="582"/>
      <c r="G27" s="582"/>
      <c r="H27" s="582"/>
      <c r="I27" s="582"/>
      <c r="J27" s="582"/>
      <c r="K27" s="582"/>
      <c r="L27" s="618">
        <v>14</v>
      </c>
      <c r="M27" s="581">
        <f>'В авансовый отчет'!O122</f>
        <v>0</v>
      </c>
      <c r="N27" s="576">
        <f ca="1">COUNTIF(Смета!$A$18:$A$37,INDIRECT("P"&amp;(MROUND(N($U$6),1)+26)))</f>
        <v>0</v>
      </c>
      <c r="O27" s="576" t="str">
        <f ca="1">IF(INDIRECT("T"&amp;(MROUND(N(IF(NOT($Q$26=""),$Q$26,($U$6+2))),1)+12))="","",INDIRECT("T"&amp;(MROUND(N(IF(NOT($Q$26=""),$Q$26,($U$6+2))),1)+12)))</f>
        <v/>
      </c>
      <c r="P27" s="576">
        <f ca="1">INDIRECT("A"&amp;(26))</f>
        <v>0</v>
      </c>
      <c r="Q27" s="410"/>
    </row>
    <row r="28" spans="1:21">
      <c r="A28" s="582"/>
      <c r="B28" s="582"/>
      <c r="C28" s="582"/>
      <c r="D28" s="582"/>
      <c r="E28" s="582"/>
      <c r="F28" s="582"/>
      <c r="G28" s="582"/>
      <c r="H28" s="582"/>
      <c r="I28" s="582"/>
      <c r="J28" s="582"/>
      <c r="K28" s="582"/>
      <c r="L28" s="618">
        <v>15</v>
      </c>
      <c r="M28" s="581">
        <f>'В авансовый отчет'!O123</f>
        <v>0</v>
      </c>
      <c r="N28" s="576">
        <f ca="1">COUNTIF(Смета!$A$18:$A$37,INDIRECT("P"&amp;(MROUND(N($U$6),1)+27)))</f>
        <v>0</v>
      </c>
      <c r="O28" s="576" t="str">
        <f ca="1">IF(INDIRECT("T"&amp;(MROUND(N(IF(NOT($Q$27=""),$Q$27,($U$6+2))),1)+12))="","",INDIRECT("T"&amp;(MROUND(N(IF(NOT($Q$27=""),$Q$27,($U$6+2))),1)+12)))</f>
        <v/>
      </c>
      <c r="P28" s="576">
        <f ca="1">INDIRECT("A"&amp;(27))</f>
        <v>0</v>
      </c>
      <c r="Q28" s="410"/>
    </row>
    <row r="29" spans="1:21">
      <c r="A29" s="582"/>
      <c r="B29" s="582"/>
      <c r="C29" s="582"/>
      <c r="D29" s="582"/>
      <c r="E29" s="582"/>
      <c r="F29" s="582"/>
      <c r="G29" s="582"/>
      <c r="H29" s="582"/>
      <c r="I29" s="582"/>
      <c r="J29" s="582"/>
      <c r="K29" s="582"/>
      <c r="L29" s="618">
        <v>16</v>
      </c>
      <c r="M29" s="581">
        <f>'В авансовый отчет'!O124</f>
        <v>0</v>
      </c>
      <c r="N29" s="576">
        <f ca="1">COUNTIF(Смета!$A$18:$A$37,INDIRECT("P"&amp;(MROUND(N($U$6),1)+28)))</f>
        <v>0</v>
      </c>
      <c r="O29" s="576" t="str">
        <f ca="1">IF(INDIRECT("T"&amp;(MROUND(N(IF(NOT($Q$28=""),$Q$28,($U$6+2))),1)+12))="","",INDIRECT("T"&amp;(MROUND(N(IF(NOT($Q$28=""),$Q$28,($U$6+2))),1)+12)))</f>
        <v/>
      </c>
      <c r="P29" s="576">
        <f ca="1">INDIRECT("A"&amp;(28))</f>
        <v>0</v>
      </c>
      <c r="Q29" s="410"/>
    </row>
    <row r="30" spans="1:21">
      <c r="A30" s="582"/>
      <c r="B30" s="582"/>
      <c r="C30" s="582"/>
      <c r="D30" s="582"/>
      <c r="E30" s="582"/>
      <c r="F30" s="582"/>
      <c r="G30" s="582"/>
      <c r="H30" s="582"/>
      <c r="I30" s="582"/>
      <c r="J30" s="582"/>
      <c r="K30" s="582"/>
      <c r="L30" s="618">
        <v>17</v>
      </c>
      <c r="M30" s="581">
        <f>'В авансовый отчет'!O125</f>
        <v>0</v>
      </c>
      <c r="N30" s="576">
        <f ca="1">COUNTIF(Смета!$A$18:$A$37,INDIRECT("P"&amp;(MROUND(N($U$6),1)+29)))</f>
        <v>0</v>
      </c>
      <c r="O30" s="576" t="str">
        <f ca="1">IF(INDIRECT("T"&amp;(MROUND(N(IF(NOT($Q$29=""),$Q$29,($U$6+2))),1)+12))="","",INDIRECT("T"&amp;(MROUND(N(IF(NOT($Q$29=""),$Q$29,($U$6+2))),1)+12)))</f>
        <v/>
      </c>
      <c r="P30" s="576">
        <f ca="1">INDIRECT("A"&amp;(29))</f>
        <v>0</v>
      </c>
      <c r="Q30" s="410"/>
    </row>
    <row r="31" spans="1:21">
      <c r="A31" s="582"/>
      <c r="B31" s="582"/>
      <c r="C31" s="582"/>
      <c r="D31" s="582"/>
      <c r="E31" s="582"/>
      <c r="F31" s="582"/>
      <c r="G31" s="582"/>
      <c r="H31" s="582"/>
      <c r="I31" s="582"/>
      <c r="J31" s="582"/>
      <c r="K31" s="582"/>
      <c r="L31" s="618">
        <v>18</v>
      </c>
      <c r="M31" s="581">
        <f>'В авансовый отчет'!O126</f>
        <v>0</v>
      </c>
      <c r="N31" s="576">
        <f ca="1">COUNTIF(Смета!$A$18:$A$37,INDIRECT("P"&amp;(MROUND(N($U$6),1)+30)))</f>
        <v>0</v>
      </c>
      <c r="O31" s="576" t="str">
        <f ca="1">IF(INDIRECT("T"&amp;(MROUND(N(IF(NOT($Q$30=""),$Q$30,($U$6+2))),1)+12))="","",INDIRECT("T"&amp;(MROUND(N(IF(NOT($Q$30=""),$Q$30,($U$6+2))),1)+12)))</f>
        <v/>
      </c>
      <c r="P31" s="576">
        <f ca="1">INDIRECT("A"&amp;(30))</f>
        <v>0</v>
      </c>
      <c r="Q31" s="410"/>
    </row>
    <row r="32" spans="1:21">
      <c r="A32" s="582"/>
      <c r="B32" s="582"/>
      <c r="C32" s="582"/>
      <c r="D32" s="582"/>
      <c r="E32" s="582"/>
      <c r="F32" s="582"/>
      <c r="G32" s="582"/>
      <c r="H32" s="582"/>
      <c r="I32" s="582"/>
      <c r="J32" s="582"/>
      <c r="K32" s="582"/>
      <c r="L32" s="618">
        <v>19</v>
      </c>
      <c r="M32" s="581">
        <f>'В авансовый отчет'!O127</f>
        <v>0</v>
      </c>
      <c r="N32" s="576">
        <f ca="1">COUNTIF(Смета!$A$18:$A$37,INDIRECT("P"&amp;(MROUND(N($U$6),1)+31)))</f>
        <v>0</v>
      </c>
      <c r="O32" s="576" t="str">
        <f ca="1">IF(INDIRECT("T"&amp;(MROUND(N(IF(NOT($Q$31=""),$Q$31,($U$6+2))),1)+12))="","",INDIRECT("T"&amp;(MROUND(N(IF(NOT($Q$31=""),$Q$31,($U$6+2))),1)+12)))</f>
        <v/>
      </c>
      <c r="P32" s="576">
        <f ca="1">INDIRECT("A"&amp;(31))</f>
        <v>0</v>
      </c>
      <c r="Q32" s="410"/>
    </row>
    <row r="33" spans="1:21">
      <c r="A33" s="582"/>
      <c r="B33" s="582"/>
      <c r="C33" s="582"/>
      <c r="D33" s="582"/>
      <c r="E33" s="582"/>
      <c r="F33" s="582"/>
      <c r="G33" s="582"/>
      <c r="H33" s="582"/>
      <c r="I33" s="582"/>
      <c r="J33" s="582"/>
      <c r="K33" s="582"/>
      <c r="L33" s="582"/>
      <c r="M33" s="582"/>
      <c r="N33" s="576">
        <f ca="1">COUNTIF(Смета!$A$18:$A$37,INDIRECT("P"&amp;(MROUND(N($U$6),1)+32)))</f>
        <v>0</v>
      </c>
      <c r="O33" s="576" t="str">
        <f ca="1">IF(INDIRECT("T"&amp;(MROUND(N(IF(NOT($Q$32=""),$Q$32,($U$6+2))),1)+12))="","",INDIRECT("T"&amp;(MROUND(N(IF(NOT($Q$32=""),$Q$32,($U$6+2))),1)+12)))</f>
        <v/>
      </c>
      <c r="P33" s="576">
        <f ca="1">INDIRECT("A"&amp;(32))</f>
        <v>0</v>
      </c>
      <c r="U33" s="582">
        <v>1</v>
      </c>
    </row>
    <row r="34" spans="1:21">
      <c r="B34" s="582"/>
      <c r="C34" s="582"/>
      <c r="D34" s="582"/>
      <c r="E34" s="582"/>
      <c r="F34" s="582"/>
      <c r="G34" s="582"/>
      <c r="H34" s="582"/>
      <c r="I34" s="582"/>
      <c r="J34" s="582"/>
      <c r="K34" s="582"/>
      <c r="L34" s="582"/>
      <c r="M34" s="582"/>
      <c r="U34" s="235">
        <v>1</v>
      </c>
    </row>
    <row r="35" spans="1:21">
      <c r="A35" s="582"/>
      <c r="B35" s="582"/>
      <c r="C35" s="582"/>
      <c r="D35" s="582"/>
      <c r="E35" s="582"/>
      <c r="F35" s="582"/>
      <c r="G35" s="582"/>
      <c r="H35" s="582"/>
      <c r="I35" s="582"/>
      <c r="J35" s="582"/>
      <c r="K35" s="582"/>
      <c r="L35" s="582"/>
      <c r="M35" s="582"/>
    </row>
    <row r="36" spans="1:21">
      <c r="A36" s="582"/>
      <c r="B36" s="582"/>
      <c r="C36" s="582"/>
      <c r="D36" s="582"/>
      <c r="E36" s="582"/>
      <c r="F36" s="582"/>
      <c r="G36" s="582"/>
      <c r="H36" s="582"/>
      <c r="I36" s="582"/>
      <c r="J36" s="582"/>
      <c r="K36" s="582"/>
      <c r="L36" s="582"/>
      <c r="M36" s="582"/>
    </row>
    <row r="37" spans="1:21">
      <c r="A37" s="582"/>
      <c r="B37" s="582"/>
      <c r="C37" s="582"/>
      <c r="D37" s="582"/>
      <c r="E37" s="582"/>
      <c r="F37" s="582"/>
      <c r="G37" s="582"/>
      <c r="H37" s="582"/>
      <c r="I37" s="582"/>
      <c r="J37" s="582"/>
      <c r="K37" s="582"/>
      <c r="L37" s="582"/>
      <c r="M37" s="582"/>
    </row>
    <row r="38" spans="1:21">
      <c r="A38" s="582"/>
      <c r="B38" s="582"/>
      <c r="C38" s="582"/>
      <c r="D38" s="582"/>
      <c r="E38" s="582"/>
      <c r="F38" s="582"/>
      <c r="G38" s="582"/>
      <c r="H38" s="582"/>
      <c r="I38" s="582"/>
      <c r="J38" s="582"/>
      <c r="K38" s="582"/>
      <c r="L38" s="582"/>
      <c r="M38" s="582"/>
    </row>
    <row r="39" spans="1:21">
      <c r="A39" s="582"/>
      <c r="B39" s="582"/>
      <c r="C39" s="582"/>
      <c r="D39" s="582"/>
      <c r="E39" s="582"/>
      <c r="F39" s="582"/>
      <c r="G39" s="582"/>
      <c r="H39" s="582"/>
      <c r="I39" s="582"/>
      <c r="J39" s="582"/>
      <c r="K39" s="582"/>
      <c r="L39" s="582"/>
      <c r="M39" s="582"/>
    </row>
    <row r="40" spans="1:21">
      <c r="A40" s="582"/>
      <c r="B40" s="582"/>
      <c r="C40" s="582"/>
      <c r="D40" s="582"/>
      <c r="E40" s="582"/>
      <c r="F40" s="582"/>
      <c r="G40" s="582"/>
      <c r="H40" s="582"/>
      <c r="I40" s="582"/>
      <c r="J40" s="582"/>
      <c r="K40" s="582"/>
      <c r="L40" s="582"/>
      <c r="M40" s="582"/>
    </row>
    <row r="41" spans="1:21">
      <c r="A41" s="582"/>
      <c r="B41" s="582"/>
      <c r="C41" s="582"/>
      <c r="D41" s="582"/>
      <c r="E41" s="582"/>
      <c r="F41" s="582"/>
      <c r="G41" s="582"/>
      <c r="H41" s="582"/>
      <c r="I41" s="582"/>
      <c r="J41" s="582"/>
      <c r="K41" s="582"/>
      <c r="L41" s="582"/>
      <c r="M41" s="582"/>
    </row>
    <row r="42" spans="1:21">
      <c r="A42" s="582"/>
      <c r="B42" s="582"/>
      <c r="C42" s="582"/>
      <c r="D42" s="582"/>
      <c r="E42" s="582"/>
      <c r="F42" s="582"/>
      <c r="G42" s="582"/>
      <c r="H42" s="582"/>
      <c r="I42" s="582"/>
      <c r="J42" s="582"/>
      <c r="K42" s="582"/>
      <c r="L42" s="582"/>
      <c r="M42" s="582"/>
    </row>
  </sheetData>
  <sheetProtection password="C09F" sheet="1" objects="1" scenarios="1"/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11" priority="13" stopIfTrue="1">
      <formula>IF($K13&gt;$J13,TRUE,FALSE)</formula>
    </cfRule>
  </conditionalFormatting>
  <conditionalFormatting sqref="J13:K32">
    <cfRule type="expression" dxfId="10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49"/>
      <c r="CQ1" s="1549"/>
      <c r="CR1" s="1549"/>
      <c r="CS1" s="1549"/>
      <c r="CT1" s="1549"/>
      <c r="CU1" s="1549"/>
      <c r="CV1" s="1549"/>
      <c r="CW1" s="1549"/>
      <c r="CX1" s="1549"/>
      <c r="CY1" s="1549"/>
      <c r="CZ1" s="1549"/>
      <c r="DA1" s="1549"/>
      <c r="DB1" s="1549"/>
      <c r="DC1" s="1549"/>
      <c r="DD1" s="1549"/>
      <c r="DE1" s="1549"/>
      <c r="DF1" s="1549"/>
      <c r="DG1" s="1549"/>
      <c r="DH1" s="1549"/>
      <c r="DI1" s="1549"/>
      <c r="DJ1" s="1549"/>
      <c r="DK1" s="1549"/>
      <c r="DL1" s="1549"/>
      <c r="DM1" s="1549"/>
      <c r="DN1" s="1549"/>
      <c r="DO1" s="1549"/>
      <c r="DP1" s="1549"/>
      <c r="DQ1" s="1549"/>
      <c r="DR1" s="1549"/>
      <c r="DS1" s="1549"/>
      <c r="DT1" s="1549"/>
      <c r="DU1" s="1549"/>
      <c r="DV1" s="1549"/>
      <c r="DW1" s="1549"/>
      <c r="DX1" s="1549"/>
      <c r="DY1" s="1549"/>
      <c r="DZ1" s="1549"/>
      <c r="EA1" s="1549"/>
      <c r="EB1" s="1549"/>
      <c r="EC1" s="1549"/>
      <c r="ED1" s="1549"/>
      <c r="EE1" s="1549"/>
      <c r="EF1" s="1549"/>
      <c r="EG1" s="1549"/>
      <c r="EH1" s="1549"/>
      <c r="EI1" s="1549"/>
      <c r="EJ1" s="1549"/>
      <c r="EK1" s="1549"/>
      <c r="EL1" s="1549"/>
      <c r="EM1" s="1549"/>
      <c r="EN1" s="1549"/>
      <c r="EO1" s="1549"/>
      <c r="EP1" s="1549"/>
      <c r="EQ1" s="1549"/>
      <c r="ER1" s="1549"/>
      <c r="ES1" s="1549"/>
      <c r="ET1" s="1549"/>
      <c r="EU1" s="1549"/>
      <c r="EV1" s="1549"/>
      <c r="EW1" s="1549"/>
      <c r="EX1" s="1549"/>
      <c r="EY1" s="1549"/>
      <c r="EZ1" s="1549"/>
      <c r="FA1" s="1549"/>
      <c r="FB1" s="1549"/>
      <c r="FC1" s="1549"/>
      <c r="FD1" s="1549"/>
    </row>
    <row r="2" spans="1:163" s="247" customFormat="1" ht="12.75" customHeight="1">
      <c r="CP2" s="1550"/>
      <c r="CQ2" s="1550"/>
      <c r="CR2" s="1550"/>
      <c r="CS2" s="1550"/>
      <c r="CT2" s="1550"/>
      <c r="CU2" s="1550"/>
      <c r="CV2" s="1550"/>
      <c r="CW2" s="1550"/>
      <c r="CX2" s="1550"/>
      <c r="CY2" s="1550"/>
      <c r="CZ2" s="1550"/>
      <c r="DA2" s="1550"/>
      <c r="DB2" s="1550"/>
      <c r="DC2" s="1550"/>
      <c r="DD2" s="1550"/>
      <c r="DE2" s="1550"/>
      <c r="DF2" s="1550"/>
      <c r="DG2" s="1550"/>
      <c r="DH2" s="1550"/>
      <c r="DI2" s="1550"/>
      <c r="DJ2" s="1550"/>
      <c r="DK2" s="1550"/>
      <c r="DL2" s="1550"/>
      <c r="DM2" s="1550"/>
      <c r="DN2" s="1550"/>
      <c r="DO2" s="1550"/>
      <c r="DP2" s="1550"/>
      <c r="DQ2" s="1550"/>
      <c r="DR2" s="1550"/>
      <c r="DS2" s="1550"/>
      <c r="DT2" s="1550"/>
      <c r="DU2" s="1550"/>
      <c r="DV2" s="1550"/>
      <c r="DW2" s="1550"/>
      <c r="DX2" s="1550"/>
      <c r="DY2" s="1550"/>
      <c r="DZ2" s="1550"/>
      <c r="EA2" s="1550"/>
      <c r="EB2" s="1550"/>
      <c r="EC2" s="1550"/>
      <c r="ED2" s="1550"/>
      <c r="EE2" s="1550"/>
      <c r="EF2" s="1550"/>
      <c r="EG2" s="1550"/>
      <c r="EH2" s="1550"/>
      <c r="EI2" s="1550"/>
      <c r="EJ2" s="1550"/>
      <c r="EK2" s="1550"/>
      <c r="EL2" s="1550"/>
      <c r="EM2" s="1550"/>
      <c r="EN2" s="1550"/>
      <c r="EO2" s="1550"/>
      <c r="EP2" s="1550"/>
      <c r="EQ2" s="1550"/>
      <c r="ER2" s="1550"/>
      <c r="ES2" s="1550"/>
      <c r="ET2" s="1550"/>
      <c r="EU2" s="1550"/>
      <c r="EV2" s="1550"/>
      <c r="EW2" s="1550"/>
      <c r="EX2" s="1550"/>
      <c r="EY2" s="1550"/>
      <c r="EZ2" s="1550"/>
      <c r="FA2" s="1550"/>
      <c r="FB2" s="1550"/>
      <c r="FC2" s="1550"/>
      <c r="FD2" s="1550"/>
    </row>
    <row r="3" spans="1:163">
      <c r="CP3" s="1551"/>
      <c r="CQ3" s="1551"/>
      <c r="CR3" s="1551"/>
      <c r="CS3" s="1551"/>
      <c r="CT3" s="1551"/>
      <c r="CU3" s="1551"/>
      <c r="CV3" s="1551"/>
      <c r="CW3" s="1551"/>
      <c r="CX3" s="1551"/>
      <c r="CY3" s="1551"/>
      <c r="CZ3" s="1551"/>
      <c r="DA3" s="1551"/>
      <c r="DB3" s="1551"/>
      <c r="DC3" s="1551"/>
      <c r="DD3" s="1551"/>
      <c r="DE3" s="1551"/>
      <c r="DF3" s="1551"/>
      <c r="DG3" s="1551"/>
      <c r="DH3" s="1551"/>
      <c r="DI3" s="1551"/>
      <c r="DJ3" s="1551"/>
      <c r="DK3" s="1551"/>
      <c r="DL3" s="1551"/>
      <c r="DM3" s="1551"/>
      <c r="DN3" s="1551"/>
      <c r="DO3" s="1551"/>
      <c r="DP3" s="1551"/>
      <c r="DQ3" s="1551"/>
      <c r="DR3" s="1551"/>
      <c r="DS3" s="1551"/>
      <c r="DT3" s="1551"/>
      <c r="DU3" s="1551"/>
      <c r="DV3" s="1551"/>
      <c r="DW3" s="1551"/>
      <c r="DX3" s="1551"/>
      <c r="DY3" s="1551"/>
      <c r="DZ3" s="1551"/>
      <c r="EA3" s="1551"/>
      <c r="EB3" s="1551"/>
      <c r="EC3" s="1551"/>
      <c r="ED3" s="1551"/>
      <c r="EE3" s="1551"/>
      <c r="EF3" s="1551"/>
      <c r="EG3" s="1551"/>
      <c r="EH3" s="1551"/>
      <c r="EI3" s="1551"/>
      <c r="EJ3" s="1551"/>
      <c r="EK3" s="1551"/>
      <c r="EL3" s="1551"/>
      <c r="EM3" s="1551"/>
      <c r="EN3" s="1551"/>
      <c r="EO3" s="1551"/>
      <c r="EP3" s="1551"/>
      <c r="EQ3" s="1551"/>
      <c r="ER3" s="1551"/>
      <c r="ES3" s="1551"/>
      <c r="ET3" s="1551"/>
      <c r="EU3" s="1551"/>
      <c r="EV3" s="1551"/>
      <c r="EW3" s="1551"/>
      <c r="EX3" s="1551"/>
      <c r="EY3" s="1551"/>
      <c r="EZ3" s="1551"/>
      <c r="FA3" s="1551"/>
      <c r="FB3" s="1551"/>
      <c r="FC3" s="1551"/>
      <c r="FD3" s="1551"/>
    </row>
    <row r="4" spans="1:163">
      <c r="A4" s="549"/>
    </row>
    <row r="6" spans="1:163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</row>
    <row r="7" spans="1:163" ht="16.5" customHeight="1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3"/>
      <c r="BV7" s="1553"/>
      <c r="BW7" s="1553"/>
      <c r="BX7" s="1553"/>
      <c r="BY7" s="1553"/>
      <c r="BZ7" s="1553"/>
      <c r="CA7" s="1553"/>
      <c r="CB7" s="1553"/>
      <c r="CC7" s="1553"/>
      <c r="CD7" s="1553"/>
      <c r="CE7" s="1553"/>
      <c r="CF7" s="1553"/>
      <c r="CG7" s="1553"/>
      <c r="CH7" s="1553"/>
      <c r="CI7" s="1553"/>
      <c r="CJ7" s="1553"/>
      <c r="CK7" s="1553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8" t="s">
        <v>491</v>
      </c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</row>
    <row r="9" spans="1:163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</row>
    <row r="10" spans="1:163" ht="6" customHeight="1">
      <c r="A10" s="153" t="s">
        <v>281</v>
      </c>
    </row>
    <row r="11" spans="1:163" ht="15.75" customHeight="1" thickBot="1"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</row>
    <row r="12" spans="1:163" ht="25.5" customHeight="1"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74" t="s">
        <v>180</v>
      </c>
      <c r="DH12" s="1574"/>
      <c r="DI12" s="1574"/>
      <c r="DJ12" s="1574"/>
      <c r="DK12" s="1574"/>
      <c r="EO12" s="248"/>
      <c r="EQ12" s="1544"/>
      <c r="ER12" s="1545"/>
      <c r="ES12" s="1545"/>
      <c r="ET12" s="1545"/>
      <c r="EU12" s="1545"/>
      <c r="EV12" s="1545"/>
      <c r="EW12" s="1545"/>
      <c r="EX12" s="1545"/>
      <c r="EY12" s="1545"/>
      <c r="EZ12" s="1545"/>
      <c r="FA12" s="1545"/>
      <c r="FB12" s="1545"/>
      <c r="FC12" s="1545"/>
      <c r="FD12" s="1546"/>
      <c r="FF12" s="154" t="str">
        <f>IF(LOWER(LEFT($CA$12,3))="янв","01","")</f>
        <v/>
      </c>
    </row>
    <row r="13" spans="1:163" ht="14.25" customHeight="1">
      <c r="EO13" s="248"/>
      <c r="EQ13" s="1531"/>
      <c r="ER13" s="1532"/>
      <c r="ES13" s="1532"/>
      <c r="ET13" s="1532"/>
      <c r="EU13" s="1532"/>
      <c r="EV13" s="1532"/>
      <c r="EW13" s="1532"/>
      <c r="EX13" s="1532"/>
      <c r="EY13" s="1532"/>
      <c r="EZ13" s="1532"/>
      <c r="FA13" s="1532"/>
      <c r="FB13" s="1532"/>
      <c r="FC13" s="1532"/>
      <c r="FD13" s="1533"/>
      <c r="FF13" s="154" t="str">
        <f>IF(LOWER(LEFT($CA$12,3))="фев","02","")</f>
        <v/>
      </c>
    </row>
    <row r="14" spans="1:163" ht="14.25" customHeight="1">
      <c r="EO14" s="248"/>
      <c r="EQ14" s="1534"/>
      <c r="ER14" s="1535"/>
      <c r="ES14" s="1535"/>
      <c r="ET14" s="1535"/>
      <c r="EU14" s="1535"/>
      <c r="EV14" s="1535"/>
      <c r="EW14" s="1535"/>
      <c r="EX14" s="1535"/>
      <c r="EY14" s="1535"/>
      <c r="EZ14" s="1535"/>
      <c r="FA14" s="1535"/>
      <c r="FB14" s="1535"/>
      <c r="FC14" s="1535"/>
      <c r="FD14" s="1536"/>
      <c r="FF14" s="154" t="str">
        <f>IF(LOWER(LEFT($CA$12,3))="мар","03","")</f>
        <v/>
      </c>
    </row>
    <row r="15" spans="1:163" ht="14.25" customHeight="1">
      <c r="EO15" s="248"/>
      <c r="EQ15" s="1534"/>
      <c r="ER15" s="1535"/>
      <c r="ES15" s="1535"/>
      <c r="ET15" s="1535"/>
      <c r="EU15" s="1535"/>
      <c r="EV15" s="1535"/>
      <c r="EW15" s="1535"/>
      <c r="EX15" s="1535"/>
      <c r="EY15" s="1535"/>
      <c r="EZ15" s="1535"/>
      <c r="FA15" s="1535"/>
      <c r="FB15" s="1535"/>
      <c r="FC15" s="1535"/>
      <c r="FD15" s="1536"/>
      <c r="FF15" s="154" t="str">
        <f>IF(LOWER(LEFT($CA$12,3))="апр","04","")</f>
        <v/>
      </c>
    </row>
    <row r="16" spans="1:163" ht="43.5" customHeight="1">
      <c r="A16" s="154" t="s">
        <v>283</v>
      </c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847"/>
      <c r="DQ16" s="847"/>
      <c r="DR16" s="847"/>
      <c r="DS16" s="847"/>
      <c r="DT16" s="847"/>
      <c r="DU16" s="847"/>
      <c r="DV16" s="847"/>
      <c r="DW16" s="847"/>
      <c r="DX16" s="847"/>
      <c r="DY16" s="847"/>
      <c r="DZ16" s="847"/>
      <c r="EO16" s="248"/>
      <c r="EQ16" s="1537"/>
      <c r="ER16" s="1538"/>
      <c r="ES16" s="1538"/>
      <c r="ET16" s="1538"/>
      <c r="EU16" s="1538"/>
      <c r="EV16" s="1538"/>
      <c r="EW16" s="1538"/>
      <c r="EX16" s="1538"/>
      <c r="EY16" s="1538"/>
      <c r="EZ16" s="1538"/>
      <c r="FA16" s="1538"/>
      <c r="FB16" s="1538"/>
      <c r="FC16" s="1538"/>
      <c r="FD16" s="1539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73" t="s">
        <v>466</v>
      </c>
      <c r="T17" s="1573"/>
      <c r="U17" s="1573"/>
      <c r="V17" s="1573"/>
      <c r="W17" s="1573"/>
      <c r="X17" s="1573"/>
      <c r="Y17" s="1573"/>
      <c r="Z17" s="1573"/>
      <c r="AA17" s="1573"/>
      <c r="AB17" s="1573"/>
      <c r="AC17" s="1573"/>
      <c r="AD17" s="1573"/>
      <c r="AE17" s="1573"/>
      <c r="AF17" s="1573"/>
      <c r="AG17" s="1573"/>
      <c r="AH17" s="1573"/>
      <c r="AI17" s="1573"/>
      <c r="AJ17" s="1573"/>
      <c r="AK17" s="1573"/>
      <c r="AL17" s="1573"/>
      <c r="AM17" s="1573"/>
      <c r="AN17" s="1573"/>
      <c r="AO17" s="1573"/>
      <c r="AP17" s="1573"/>
      <c r="AQ17" s="1573"/>
      <c r="AR17" s="1573"/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1573"/>
      <c r="BD17" s="1573"/>
      <c r="BE17" s="1573"/>
      <c r="BF17" s="1573"/>
      <c r="BG17" s="1573"/>
      <c r="BH17" s="1573"/>
      <c r="BI17" s="1573"/>
      <c r="BJ17" s="1573"/>
      <c r="BK17" s="1573"/>
      <c r="BL17" s="1573"/>
      <c r="BM17" s="1573"/>
      <c r="BN17" s="1573"/>
      <c r="BO17" s="1573"/>
      <c r="BP17" s="1573"/>
      <c r="BQ17" s="1573"/>
      <c r="BR17" s="1573"/>
      <c r="BS17" s="1573"/>
      <c r="BT17" s="1573"/>
      <c r="BU17" s="1573"/>
      <c r="BV17" s="1573"/>
      <c r="BW17" s="1573"/>
      <c r="BX17" s="1573"/>
      <c r="BY17" s="1573"/>
      <c r="BZ17" s="1573"/>
      <c r="CA17" s="1573"/>
      <c r="CB17" s="1573"/>
      <c r="CC17" s="1573"/>
      <c r="CD17" s="1573"/>
      <c r="CE17" s="1573"/>
      <c r="CF17" s="1573"/>
      <c r="CG17" s="1573"/>
      <c r="CH17" s="1573"/>
      <c r="CI17" s="1573"/>
      <c r="CJ17" s="1573"/>
      <c r="CK17" s="1573"/>
      <c r="CL17" s="1573"/>
      <c r="CM17" s="1573"/>
      <c r="CN17" s="1573"/>
      <c r="CO17" s="1573"/>
      <c r="CP17" s="1573"/>
      <c r="CQ17" s="1573"/>
      <c r="CR17" s="1573"/>
      <c r="CS17" s="1573"/>
      <c r="CT17" s="1573"/>
      <c r="CU17" s="1573"/>
      <c r="CV17" s="1573"/>
      <c r="CW17" s="1573"/>
      <c r="CX17" s="1573"/>
      <c r="CY17" s="1573"/>
      <c r="CZ17" s="1573"/>
      <c r="DA17" s="1573"/>
      <c r="DB17" s="1573"/>
      <c r="DC17" s="1573"/>
      <c r="DD17" s="1573"/>
      <c r="DE17" s="1573"/>
      <c r="DF17" s="1573"/>
      <c r="DG17" s="1573"/>
      <c r="DH17" s="1573"/>
      <c r="DI17" s="1573"/>
      <c r="DJ17" s="1573"/>
      <c r="DK17" s="1573"/>
      <c r="DL17" s="1573"/>
      <c r="DM17" s="1573"/>
      <c r="DN17" s="1573"/>
      <c r="DO17" s="1573"/>
      <c r="DP17" s="1573"/>
      <c r="DQ17" s="1573"/>
      <c r="DR17" s="1573"/>
      <c r="DS17" s="1573"/>
      <c r="DT17" s="1573"/>
      <c r="DU17" s="1573"/>
      <c r="DV17" s="1573"/>
      <c r="DW17" s="1573"/>
      <c r="DX17" s="1573"/>
      <c r="DY17" s="1573"/>
      <c r="DZ17" s="1573"/>
      <c r="EO17" s="248"/>
      <c r="EQ17" s="1531"/>
      <c r="ER17" s="1532"/>
      <c r="ES17" s="1532"/>
      <c r="ET17" s="1532"/>
      <c r="EU17" s="1532"/>
      <c r="EV17" s="1532"/>
      <c r="EW17" s="1532"/>
      <c r="EX17" s="1532"/>
      <c r="EY17" s="1532"/>
      <c r="EZ17" s="1532"/>
      <c r="FA17" s="1532"/>
      <c r="FB17" s="1532"/>
      <c r="FC17" s="1532"/>
      <c r="FD17" s="1533"/>
      <c r="FF17" s="154" t="str">
        <f>IF(LOWER(LEFT($CA$12,3))="июн","06","")</f>
        <v/>
      </c>
    </row>
    <row r="18" spans="1:162" ht="12.75" customHeight="1">
      <c r="EO18" s="248"/>
      <c r="EQ18" s="1534"/>
      <c r="ER18" s="1535"/>
      <c r="ES18" s="1535"/>
      <c r="ET18" s="1535"/>
      <c r="EU18" s="1535"/>
      <c r="EV18" s="1535"/>
      <c r="EW18" s="1535"/>
      <c r="EX18" s="1535"/>
      <c r="EY18" s="1535"/>
      <c r="EZ18" s="1535"/>
      <c r="FA18" s="1535"/>
      <c r="FB18" s="1535"/>
      <c r="FC18" s="1535"/>
      <c r="FD18" s="1536"/>
      <c r="FF18" s="154" t="str">
        <f>IF(LOWER(LEFT($CA$12,3))="июл","07","")</f>
        <v/>
      </c>
    </row>
    <row r="19" spans="1:162" s="152" customFormat="1" ht="12.75" customHeight="1">
      <c r="EO19" s="248"/>
      <c r="EQ19" s="1534"/>
      <c r="ER19" s="1535"/>
      <c r="ES19" s="1535"/>
      <c r="ET19" s="1535"/>
      <c r="EU19" s="1535"/>
      <c r="EV19" s="1535"/>
      <c r="EW19" s="1535"/>
      <c r="EX19" s="1535"/>
      <c r="EY19" s="1535"/>
      <c r="EZ19" s="1535"/>
      <c r="FA19" s="1535"/>
      <c r="FB19" s="1535"/>
      <c r="FC19" s="1535"/>
      <c r="FD19" s="1536"/>
      <c r="FF19" s="154" t="str">
        <f>IF(LOWER(LEFT($CA$12,3))="авг","08","")</f>
        <v/>
      </c>
    </row>
    <row r="20" spans="1:162" ht="14.25" customHeight="1">
      <c r="EO20" s="248"/>
      <c r="EQ20" s="1534"/>
      <c r="ER20" s="1535"/>
      <c r="ES20" s="1535"/>
      <c r="ET20" s="1535"/>
      <c r="EU20" s="1535"/>
      <c r="EV20" s="1535"/>
      <c r="EW20" s="1535"/>
      <c r="EX20" s="1535"/>
      <c r="EY20" s="1535"/>
      <c r="EZ20" s="1535"/>
      <c r="FA20" s="1535"/>
      <c r="FB20" s="1535"/>
      <c r="FC20" s="1535"/>
      <c r="FD20" s="1536"/>
      <c r="FF20" s="154" t="str">
        <f>IF(LOWER(LEFT($CA$12,3))="сен","09","")</f>
        <v/>
      </c>
    </row>
    <row r="21" spans="1:162" ht="59.25" customHeight="1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847"/>
      <c r="DQ21" s="847"/>
      <c r="DR21" s="847"/>
      <c r="DS21" s="847"/>
      <c r="DT21" s="847"/>
      <c r="DU21" s="847"/>
      <c r="DV21" s="847"/>
      <c r="DW21" s="847"/>
      <c r="DX21" s="847"/>
      <c r="DY21" s="847"/>
      <c r="DZ21" s="847"/>
      <c r="EO21" s="248"/>
      <c r="EQ21" s="1534"/>
      <c r="ER21" s="1535"/>
      <c r="ES21" s="1535"/>
      <c r="ET21" s="1535"/>
      <c r="EU21" s="1535"/>
      <c r="EV21" s="1535"/>
      <c r="EW21" s="1535"/>
      <c r="EX21" s="1535"/>
      <c r="EY21" s="1535"/>
      <c r="EZ21" s="1535"/>
      <c r="FA21" s="1535"/>
      <c r="FB21" s="1535"/>
      <c r="FC21" s="1535"/>
      <c r="FD21" s="1536"/>
      <c r="FF21" s="154" t="str">
        <f>IF(LOWER(LEFT($CA$12,3))="окт","10","")</f>
        <v/>
      </c>
    </row>
    <row r="22" spans="1:162" ht="14.25" customHeight="1">
      <c r="EO22" s="248"/>
      <c r="EQ22" s="1537"/>
      <c r="ER22" s="1538"/>
      <c r="ES22" s="1538"/>
      <c r="ET22" s="1538"/>
      <c r="EU22" s="1538"/>
      <c r="EV22" s="1538"/>
      <c r="EW22" s="1538"/>
      <c r="EX22" s="1538"/>
      <c r="EY22" s="1538"/>
      <c r="EZ22" s="1538"/>
      <c r="FA22" s="1538"/>
      <c r="FB22" s="1538"/>
      <c r="FC22" s="1538"/>
      <c r="FD22" s="1539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</row>
    <row r="30" spans="1:162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</row>
    <row r="31" spans="1:162" ht="63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5" t="s">
        <v>291</v>
      </c>
      <c r="CU31" s="1526"/>
      <c r="CV31" s="1526"/>
      <c r="CW31" s="1526"/>
      <c r="CX31" s="1526"/>
      <c r="CY31" s="1526"/>
      <c r="CZ31" s="1526"/>
      <c r="DA31" s="1526"/>
      <c r="DB31" s="1526"/>
      <c r="DC31" s="1526"/>
      <c r="DD31" s="1526"/>
      <c r="DE31" s="1526"/>
      <c r="DF31" s="1526"/>
      <c r="DG31" s="1526"/>
      <c r="DH31" s="1526"/>
      <c r="DI31" s="1526"/>
      <c r="DJ31" s="1527"/>
      <c r="DK31" s="1522" t="s">
        <v>292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4"/>
      <c r="DZ31" s="1522" t="s">
        <v>472</v>
      </c>
      <c r="EA31" s="1523"/>
      <c r="EB31" s="1523"/>
      <c r="EC31" s="1523"/>
      <c r="ED31" s="1523"/>
      <c r="EE31" s="1523"/>
      <c r="EF31" s="1523"/>
      <c r="EG31" s="1523"/>
      <c r="EH31" s="1523"/>
      <c r="EI31" s="1523"/>
      <c r="EJ31" s="1523"/>
      <c r="EK31" s="1523"/>
      <c r="EL31" s="1523"/>
      <c r="EM31" s="1523"/>
      <c r="EN31" s="1523"/>
      <c r="EO31" s="1524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</row>
    <row r="32" spans="1:162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3"/>
      <c r="DZ32" s="1501" t="s">
        <v>404</v>
      </c>
      <c r="EA32" s="1502"/>
      <c r="EB32" s="1502"/>
      <c r="EC32" s="1502"/>
      <c r="ED32" s="1502"/>
      <c r="EE32" s="1502"/>
      <c r="EF32" s="1502"/>
      <c r="EG32" s="1502"/>
      <c r="EH32" s="1502"/>
      <c r="EI32" s="1502"/>
      <c r="EJ32" s="1502"/>
      <c r="EK32" s="1502"/>
      <c r="EL32" s="1502"/>
      <c r="EM32" s="1502"/>
      <c r="EN32" s="1502"/>
      <c r="EO32" s="1503"/>
      <c r="EP32" s="1501" t="s">
        <v>405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</row>
    <row r="33" spans="1:163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7"/>
      <c r="DZ33" s="1425"/>
      <c r="EA33" s="1426"/>
      <c r="EB33" s="1426"/>
      <c r="EC33" s="1426"/>
      <c r="ED33" s="1426"/>
      <c r="EE33" s="1426"/>
      <c r="EF33" s="1426"/>
      <c r="EG33" s="1426"/>
      <c r="EH33" s="1426"/>
      <c r="EI33" s="1426"/>
      <c r="EJ33" s="1426"/>
      <c r="EK33" s="1426"/>
      <c r="EL33" s="1426"/>
      <c r="EM33" s="1426"/>
      <c r="EN33" s="1426"/>
      <c r="EO33" s="1427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49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3"/>
      <c r="DZ34" s="1401"/>
      <c r="EA34" s="1402"/>
      <c r="EB34" s="1402"/>
      <c r="EC34" s="1402"/>
      <c r="ED34" s="1402"/>
      <c r="EE34" s="1402"/>
      <c r="EF34" s="1402"/>
      <c r="EG34" s="1402"/>
      <c r="EH34" s="1402"/>
      <c r="EI34" s="1402"/>
      <c r="EJ34" s="1402"/>
      <c r="EK34" s="1402"/>
      <c r="EL34" s="1402"/>
      <c r="EM34" s="1402"/>
      <c r="EN34" s="1402"/>
      <c r="EO34" s="1403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49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3"/>
      <c r="DZ35" s="1401"/>
      <c r="EA35" s="1402"/>
      <c r="EB35" s="1402"/>
      <c r="EC35" s="1402"/>
      <c r="ED35" s="1402"/>
      <c r="EE35" s="1402"/>
      <c r="EF35" s="1402"/>
      <c r="EG35" s="1402"/>
      <c r="EH35" s="1402"/>
      <c r="EI35" s="1402"/>
      <c r="EJ35" s="1402"/>
      <c r="EK35" s="1402"/>
      <c r="EL35" s="1402"/>
      <c r="EM35" s="1402"/>
      <c r="EN35" s="1402"/>
      <c r="EO35" s="1403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49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9"/>
      <c r="DZ36" s="1447"/>
      <c r="EA36" s="1448"/>
      <c r="EB36" s="1448"/>
      <c r="EC36" s="1448"/>
      <c r="ED36" s="1448"/>
      <c r="EE36" s="1448"/>
      <c r="EF36" s="1448"/>
      <c r="EG36" s="1448"/>
      <c r="EH36" s="1448"/>
      <c r="EI36" s="1448"/>
      <c r="EJ36" s="1448"/>
      <c r="EK36" s="1448"/>
      <c r="EL36" s="1448"/>
      <c r="EM36" s="1448"/>
      <c r="EN36" s="1448"/>
      <c r="EO36" s="1449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549"/>
    </row>
    <row r="37" spans="1:163" ht="17.25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8"/>
      <c r="DZ37" s="1466"/>
      <c r="EA37" s="1467"/>
      <c r="EB37" s="1467"/>
      <c r="EC37" s="1467"/>
      <c r="ED37" s="1467"/>
      <c r="EE37" s="1467"/>
      <c r="EF37" s="1467"/>
      <c r="EG37" s="1467"/>
      <c r="EH37" s="1467"/>
      <c r="EI37" s="1467"/>
      <c r="EJ37" s="1467"/>
      <c r="EK37" s="1467"/>
      <c r="EL37" s="1467"/>
      <c r="EM37" s="1467"/>
      <c r="EN37" s="1467"/>
      <c r="EO37" s="1468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549"/>
    </row>
    <row r="38" spans="1:163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3"/>
      <c r="DZ38" s="1401"/>
      <c r="EA38" s="1402"/>
      <c r="EB38" s="1402"/>
      <c r="EC38" s="1402"/>
      <c r="ED38" s="1402"/>
      <c r="EE38" s="1402"/>
      <c r="EF38" s="1402"/>
      <c r="EG38" s="1402"/>
      <c r="EH38" s="1402"/>
      <c r="EI38" s="1402"/>
      <c r="EJ38" s="1402"/>
      <c r="EK38" s="1402"/>
      <c r="EL38" s="1402"/>
      <c r="EM38" s="1402"/>
      <c r="EN38" s="1402"/>
      <c r="EO38" s="1403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49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3"/>
      <c r="DZ39" s="1401"/>
      <c r="EA39" s="1402"/>
      <c r="EB39" s="1402"/>
      <c r="EC39" s="1402"/>
      <c r="ED39" s="1402"/>
      <c r="EE39" s="1402"/>
      <c r="EF39" s="1402"/>
      <c r="EG39" s="1402"/>
      <c r="EH39" s="1402"/>
      <c r="EI39" s="1402"/>
      <c r="EJ39" s="1402"/>
      <c r="EK39" s="1402"/>
      <c r="EL39" s="1402"/>
      <c r="EM39" s="1402"/>
      <c r="EN39" s="1402"/>
      <c r="EO39" s="1403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49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3"/>
      <c r="DZ40" s="1401"/>
      <c r="EA40" s="1402"/>
      <c r="EB40" s="1402"/>
      <c r="EC40" s="1402"/>
      <c r="ED40" s="1402"/>
      <c r="EE40" s="1402"/>
      <c r="EF40" s="1402"/>
      <c r="EG40" s="1402"/>
      <c r="EH40" s="1402"/>
      <c r="EI40" s="1402"/>
      <c r="EJ40" s="1402"/>
      <c r="EK40" s="1402"/>
      <c r="EL40" s="1402"/>
      <c r="EM40" s="1402"/>
      <c r="EN40" s="1402"/>
      <c r="EO40" s="140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549"/>
    </row>
    <row r="41" spans="1:163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2"/>
      <c r="DZ41" s="1380"/>
      <c r="EA41" s="1381"/>
      <c r="EB41" s="1381"/>
      <c r="EC41" s="1381"/>
      <c r="ED41" s="1381"/>
      <c r="EE41" s="1381"/>
      <c r="EF41" s="1381"/>
      <c r="EG41" s="1381"/>
      <c r="EH41" s="1381"/>
      <c r="EI41" s="1381"/>
      <c r="EJ41" s="1381"/>
      <c r="EK41" s="1381"/>
      <c r="EL41" s="1381"/>
      <c r="EM41" s="1381"/>
      <c r="EN41" s="1381"/>
      <c r="EO41" s="1382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49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419" t="s">
        <v>305</v>
      </c>
      <c r="AW47" s="1420"/>
      <c r="AX47" s="1420"/>
      <c r="AY47" s="1420"/>
      <c r="AZ47" s="1420"/>
      <c r="BA47" s="1420"/>
      <c r="BB47" s="1420"/>
      <c r="BC47" s="1420"/>
      <c r="BD47" s="1420"/>
      <c r="BE47" s="1420"/>
      <c r="BF47" s="1420"/>
      <c r="BG47" s="1420"/>
      <c r="BH47" s="1420"/>
      <c r="BI47" s="1420"/>
      <c r="BJ47" s="1420"/>
      <c r="BK47" s="1420"/>
      <c r="BL47" s="1420"/>
      <c r="BM47" s="1420"/>
      <c r="BN47" s="1420"/>
      <c r="BO47" s="1420"/>
      <c r="BP47" s="1420"/>
      <c r="BQ47" s="1420"/>
      <c r="BR47" s="1420"/>
      <c r="BS47" s="1420"/>
      <c r="BT47" s="1420"/>
      <c r="BU47" s="1420"/>
      <c r="BV47" s="1420"/>
      <c r="BW47" s="1420"/>
      <c r="BX47" s="1420"/>
      <c r="BY47" s="1420"/>
      <c r="BZ47" s="1420"/>
      <c r="CA47" s="1420"/>
      <c r="CB47" s="1420"/>
      <c r="CC47" s="1420"/>
      <c r="CD47" s="1420"/>
      <c r="CE47" s="1420"/>
      <c r="CF47" s="1420"/>
      <c r="CG47" s="1420"/>
      <c r="CH47" s="1420"/>
      <c r="CI47" s="1420"/>
      <c r="CJ47" s="1420"/>
      <c r="CK47" s="1420"/>
      <c r="CL47" s="1420"/>
      <c r="CM47" s="1420"/>
      <c r="CN47" s="1420"/>
      <c r="CO47" s="1420"/>
      <c r="CP47" s="1420"/>
      <c r="CQ47" s="1420"/>
      <c r="CR47" s="1420"/>
      <c r="CS47" s="1420"/>
      <c r="CT47" s="1420"/>
      <c r="CU47" s="1420"/>
      <c r="CV47" s="1420"/>
      <c r="CW47" s="1420"/>
      <c r="CX47" s="1420"/>
      <c r="CY47" s="1420"/>
      <c r="CZ47" s="1420"/>
      <c r="DA47" s="1420"/>
      <c r="DB47" s="1420"/>
      <c r="DC47" s="1420"/>
      <c r="DD47" s="1420"/>
      <c r="DE47" s="1420"/>
      <c r="DF47" s="1420"/>
      <c r="DG47" s="1420"/>
      <c r="DH47" s="1420"/>
      <c r="DI47" s="1420"/>
      <c r="DJ47" s="1420"/>
      <c r="DK47" s="1420"/>
      <c r="DL47" s="1420"/>
      <c r="DM47" s="1420"/>
      <c r="DN47" s="1420"/>
      <c r="DO47" s="1420"/>
      <c r="DP47" s="1420"/>
      <c r="DQ47" s="1420"/>
      <c r="DR47" s="1420"/>
      <c r="DS47" s="1420"/>
      <c r="DT47" s="1420"/>
      <c r="DU47" s="1420"/>
      <c r="DV47" s="1420"/>
      <c r="DW47" s="1420"/>
      <c r="DX47" s="1420"/>
      <c r="DY47" s="1420"/>
      <c r="DZ47" s="1420"/>
      <c r="EA47" s="1420"/>
      <c r="EB47" s="1420"/>
      <c r="EC47" s="1420"/>
      <c r="ED47" s="1420"/>
      <c r="EE47" s="1420"/>
      <c r="EF47" s="1420"/>
      <c r="EG47" s="1420"/>
      <c r="EH47" s="1420"/>
      <c r="EI47" s="1420"/>
      <c r="EJ47" s="1420"/>
      <c r="EK47" s="1420"/>
      <c r="EL47" s="1420"/>
      <c r="EM47" s="1420"/>
      <c r="EN47" s="1420"/>
      <c r="EO47" s="1420"/>
      <c r="EP47" s="1420"/>
      <c r="EQ47" s="1420"/>
      <c r="ER47" s="1420"/>
      <c r="ES47" s="1420"/>
      <c r="ET47" s="1420"/>
      <c r="EU47" s="1420"/>
      <c r="EV47" s="1420"/>
      <c r="EW47" s="1420"/>
      <c r="EX47" s="1420"/>
      <c r="EY47" s="1420"/>
      <c r="EZ47" s="1420"/>
      <c r="FA47" s="1420"/>
      <c r="FB47" s="1420"/>
      <c r="FC47" s="1420"/>
      <c r="FD47" s="1421"/>
    </row>
    <row r="48" spans="1:163" ht="24.75" customHeight="1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9" t="s">
        <v>306</v>
      </c>
      <c r="AW48" s="1420"/>
      <c r="AX48" s="1420"/>
      <c r="AY48" s="1420"/>
      <c r="AZ48" s="1420"/>
      <c r="BA48" s="1420"/>
      <c r="BB48" s="1420"/>
      <c r="BC48" s="1420"/>
      <c r="BD48" s="1420"/>
      <c r="BE48" s="1420"/>
      <c r="BF48" s="1420"/>
      <c r="BG48" s="1420"/>
      <c r="BH48" s="1420"/>
      <c r="BI48" s="1420"/>
      <c r="BJ48" s="1420"/>
      <c r="BK48" s="1420"/>
      <c r="BL48" s="1420"/>
      <c r="BM48" s="1420"/>
      <c r="BN48" s="1420"/>
      <c r="BO48" s="1420"/>
      <c r="BP48" s="1420"/>
      <c r="BQ48" s="1420"/>
      <c r="BR48" s="1420"/>
      <c r="BS48" s="1420"/>
      <c r="BT48" s="1420"/>
      <c r="BU48" s="1420"/>
      <c r="BV48" s="1420"/>
      <c r="BW48" s="1420"/>
      <c r="BX48" s="1420"/>
      <c r="BY48" s="1420"/>
      <c r="BZ48" s="1420"/>
      <c r="CA48" s="1420"/>
      <c r="CB48" s="1420"/>
      <c r="CC48" s="1420"/>
      <c r="CD48" s="1420"/>
      <c r="CE48" s="1420"/>
      <c r="CF48" s="1420"/>
      <c r="CG48" s="1420"/>
      <c r="CH48" s="1420"/>
      <c r="CI48" s="1420"/>
      <c r="CJ48" s="1420"/>
      <c r="CK48" s="1420"/>
      <c r="CL48" s="1420"/>
      <c r="CM48" s="1420"/>
      <c r="CN48" s="1420"/>
      <c r="CO48" s="1420"/>
      <c r="CP48" s="1420"/>
      <c r="CQ48" s="1420"/>
      <c r="CR48" s="1420"/>
      <c r="CS48" s="1420"/>
      <c r="CT48" s="1420"/>
      <c r="CU48" s="1420"/>
      <c r="CV48" s="1420"/>
      <c r="CW48" s="1420"/>
      <c r="CX48" s="1420"/>
      <c r="CY48" s="1420"/>
      <c r="CZ48" s="1421"/>
      <c r="DA48" s="1410" t="s">
        <v>307</v>
      </c>
      <c r="DB48" s="1411"/>
      <c r="DC48" s="1411"/>
      <c r="DD48" s="1411"/>
      <c r="DE48" s="1411"/>
      <c r="DF48" s="1411"/>
      <c r="DG48" s="1411"/>
      <c r="DH48" s="1411"/>
      <c r="DI48" s="1411"/>
      <c r="DJ48" s="1411"/>
      <c r="DK48" s="1412"/>
      <c r="DL48" s="1419" t="s">
        <v>475</v>
      </c>
      <c r="DM48" s="1420"/>
      <c r="DN48" s="1420"/>
      <c r="DO48" s="1420"/>
      <c r="DP48" s="1420"/>
      <c r="DQ48" s="1420"/>
      <c r="DR48" s="1420"/>
      <c r="DS48" s="1420"/>
      <c r="DT48" s="1420"/>
      <c r="DU48" s="1420"/>
      <c r="DV48" s="1420"/>
      <c r="DW48" s="1420"/>
      <c r="DX48" s="1420"/>
      <c r="DY48" s="1420"/>
      <c r="DZ48" s="1420"/>
      <c r="EA48" s="1420"/>
      <c r="EB48" s="1420"/>
      <c r="EC48" s="1420"/>
      <c r="ED48" s="1420"/>
      <c r="EE48" s="1420"/>
      <c r="EF48" s="1420"/>
      <c r="EG48" s="1420"/>
      <c r="EH48" s="1420"/>
      <c r="EI48" s="1420"/>
      <c r="EJ48" s="1420"/>
      <c r="EK48" s="1420"/>
      <c r="EL48" s="1420"/>
      <c r="EM48" s="1420"/>
      <c r="EN48" s="1420"/>
      <c r="EO48" s="1420"/>
      <c r="EP48" s="1420"/>
      <c r="EQ48" s="1420"/>
      <c r="ER48" s="1420"/>
      <c r="ES48" s="1421"/>
      <c r="ET48" s="1410" t="s">
        <v>479</v>
      </c>
      <c r="EU48" s="1411"/>
      <c r="EV48" s="1411"/>
      <c r="EW48" s="1411"/>
      <c r="EX48" s="1411"/>
      <c r="EY48" s="1411"/>
      <c r="EZ48" s="1411"/>
      <c r="FA48" s="1411"/>
      <c r="FB48" s="1411"/>
      <c r="FC48" s="1411"/>
      <c r="FD48" s="1412"/>
    </row>
    <row r="49" spans="1:163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0" t="s">
        <v>308</v>
      </c>
      <c r="AW49" s="1411"/>
      <c r="AX49" s="1411"/>
      <c r="AY49" s="1411"/>
      <c r="AZ49" s="1411"/>
      <c r="BA49" s="1411"/>
      <c r="BB49" s="1411"/>
      <c r="BC49" s="1411"/>
      <c r="BD49" s="1411"/>
      <c r="BE49" s="1412"/>
      <c r="BF49" s="1419" t="s">
        <v>309</v>
      </c>
      <c r="BG49" s="1420"/>
      <c r="BH49" s="1420"/>
      <c r="BI49" s="1420"/>
      <c r="BJ49" s="1420"/>
      <c r="BK49" s="1420"/>
      <c r="BL49" s="1420"/>
      <c r="BM49" s="1420"/>
      <c r="BN49" s="1420"/>
      <c r="BO49" s="1420"/>
      <c r="BP49" s="1420"/>
      <c r="BQ49" s="1420"/>
      <c r="BR49" s="1420"/>
      <c r="BS49" s="1420"/>
      <c r="BT49" s="1420"/>
      <c r="BU49" s="1420"/>
      <c r="BV49" s="1420"/>
      <c r="BW49" s="1420"/>
      <c r="BX49" s="1420"/>
      <c r="BY49" s="1420"/>
      <c r="BZ49" s="1420"/>
      <c r="CA49" s="1420"/>
      <c r="CB49" s="1420"/>
      <c r="CC49" s="1420"/>
      <c r="CD49" s="1420"/>
      <c r="CE49" s="1420"/>
      <c r="CF49" s="1420"/>
      <c r="CG49" s="1420"/>
      <c r="CH49" s="1420"/>
      <c r="CI49" s="1420"/>
      <c r="CJ49" s="1420"/>
      <c r="CK49" s="1420"/>
      <c r="CL49" s="1420"/>
      <c r="CM49" s="1420"/>
      <c r="CN49" s="1420"/>
      <c r="CO49" s="1420"/>
      <c r="CP49" s="1420"/>
      <c r="CQ49" s="1420"/>
      <c r="CR49" s="1420"/>
      <c r="CS49" s="1420"/>
      <c r="CT49" s="1420"/>
      <c r="CU49" s="1420"/>
      <c r="CV49" s="1420"/>
      <c r="CW49" s="1420"/>
      <c r="CX49" s="1420"/>
      <c r="CY49" s="1420"/>
      <c r="CZ49" s="1421"/>
      <c r="DA49" s="1413"/>
      <c r="DB49" s="1414"/>
      <c r="DC49" s="1414"/>
      <c r="DD49" s="1414"/>
      <c r="DE49" s="1414"/>
      <c r="DF49" s="1414"/>
      <c r="DG49" s="1414"/>
      <c r="DH49" s="1414"/>
      <c r="DI49" s="1414"/>
      <c r="DJ49" s="1414"/>
      <c r="DK49" s="1415"/>
      <c r="DL49" s="1410" t="s">
        <v>308</v>
      </c>
      <c r="DM49" s="1411"/>
      <c r="DN49" s="1411"/>
      <c r="DO49" s="1411"/>
      <c r="DP49" s="1411"/>
      <c r="DQ49" s="1411"/>
      <c r="DR49" s="1411"/>
      <c r="DS49" s="1411"/>
      <c r="DT49" s="1411"/>
      <c r="DU49" s="1412"/>
      <c r="DV49" s="1420" t="s">
        <v>309</v>
      </c>
      <c r="DW49" s="1420"/>
      <c r="DX49" s="1420"/>
      <c r="DY49" s="1420"/>
      <c r="DZ49" s="1420"/>
      <c r="EA49" s="1420"/>
      <c r="EB49" s="1420"/>
      <c r="EC49" s="1420"/>
      <c r="ED49" s="1420"/>
      <c r="EE49" s="1420"/>
      <c r="EF49" s="1420"/>
      <c r="EG49" s="1420"/>
      <c r="EH49" s="1420"/>
      <c r="EI49" s="1420"/>
      <c r="EJ49" s="1420"/>
      <c r="EK49" s="1420"/>
      <c r="EL49" s="1420"/>
      <c r="EM49" s="1420"/>
      <c r="EN49" s="1420"/>
      <c r="EO49" s="1420"/>
      <c r="EP49" s="1420"/>
      <c r="EQ49" s="1420"/>
      <c r="ER49" s="1420"/>
      <c r="ES49" s="1421"/>
      <c r="ET49" s="1413"/>
      <c r="EU49" s="1414"/>
      <c r="EV49" s="1414"/>
      <c r="EW49" s="1414"/>
      <c r="EX49" s="1414"/>
      <c r="EY49" s="1414"/>
      <c r="EZ49" s="1414"/>
      <c r="FA49" s="1414"/>
      <c r="FB49" s="1414"/>
      <c r="FC49" s="1414"/>
      <c r="FD49" s="1415"/>
    </row>
    <row r="50" spans="1:163" ht="66.7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8"/>
      <c r="BF50" s="1419" t="s">
        <v>310</v>
      </c>
      <c r="BG50" s="1420"/>
      <c r="BH50" s="1420"/>
      <c r="BI50" s="1420"/>
      <c r="BJ50" s="1420"/>
      <c r="BK50" s="1420"/>
      <c r="BL50" s="1420"/>
      <c r="BM50" s="1420"/>
      <c r="BN50" s="1420"/>
      <c r="BO50" s="1420"/>
      <c r="BP50" s="1420"/>
      <c r="BQ50" s="1421"/>
      <c r="BR50" s="1419" t="s">
        <v>311</v>
      </c>
      <c r="BS50" s="1420"/>
      <c r="BT50" s="1420"/>
      <c r="BU50" s="1420"/>
      <c r="BV50" s="1420"/>
      <c r="BW50" s="1420"/>
      <c r="BX50" s="1420"/>
      <c r="BY50" s="1420"/>
      <c r="BZ50" s="1420"/>
      <c r="CA50" s="1420"/>
      <c r="CB50" s="1421"/>
      <c r="CC50" s="1419" t="s">
        <v>476</v>
      </c>
      <c r="CD50" s="1420"/>
      <c r="CE50" s="1420"/>
      <c r="CF50" s="1420"/>
      <c r="CG50" s="1420"/>
      <c r="CH50" s="1420"/>
      <c r="CI50" s="1420"/>
      <c r="CJ50" s="1420"/>
      <c r="CK50" s="1420"/>
      <c r="CL50" s="1420"/>
      <c r="CM50" s="1420"/>
      <c r="CN50" s="1420"/>
      <c r="CO50" s="1421"/>
      <c r="CP50" s="1419" t="s">
        <v>477</v>
      </c>
      <c r="CQ50" s="1420"/>
      <c r="CR50" s="1420"/>
      <c r="CS50" s="1420"/>
      <c r="CT50" s="1420"/>
      <c r="CU50" s="1420"/>
      <c r="CV50" s="1420"/>
      <c r="CW50" s="1420"/>
      <c r="CX50" s="1420"/>
      <c r="CY50" s="1420"/>
      <c r="CZ50" s="1421"/>
      <c r="DA50" s="1416"/>
      <c r="DB50" s="1417"/>
      <c r="DC50" s="1417"/>
      <c r="DD50" s="1417"/>
      <c r="DE50" s="1417"/>
      <c r="DF50" s="1417"/>
      <c r="DG50" s="1417"/>
      <c r="DH50" s="1417"/>
      <c r="DI50" s="1417"/>
      <c r="DJ50" s="1417"/>
      <c r="DK50" s="1418"/>
      <c r="DL50" s="1416"/>
      <c r="DM50" s="1417"/>
      <c r="DN50" s="1417"/>
      <c r="DO50" s="1417"/>
      <c r="DP50" s="1417"/>
      <c r="DQ50" s="1417"/>
      <c r="DR50" s="1417"/>
      <c r="DS50" s="1417"/>
      <c r="DT50" s="1417"/>
      <c r="DU50" s="1418"/>
      <c r="DV50" s="1419" t="s">
        <v>478</v>
      </c>
      <c r="DW50" s="1420"/>
      <c r="DX50" s="1420"/>
      <c r="DY50" s="1420"/>
      <c r="DZ50" s="1420"/>
      <c r="EA50" s="1420"/>
      <c r="EB50" s="1420"/>
      <c r="EC50" s="1420"/>
      <c r="ED50" s="1420"/>
      <c r="EE50" s="1420"/>
      <c r="EF50" s="1420"/>
      <c r="EG50" s="1420"/>
      <c r="EH50" s="1421"/>
      <c r="EI50" s="1419" t="s">
        <v>477</v>
      </c>
      <c r="EJ50" s="1420"/>
      <c r="EK50" s="1420"/>
      <c r="EL50" s="1420"/>
      <c r="EM50" s="1420"/>
      <c r="EN50" s="1420"/>
      <c r="EO50" s="1420"/>
      <c r="EP50" s="1420"/>
      <c r="EQ50" s="1420"/>
      <c r="ER50" s="1420"/>
      <c r="ES50" s="1421"/>
      <c r="ET50" s="1416"/>
      <c r="EU50" s="1417"/>
      <c r="EV50" s="1417"/>
      <c r="EW50" s="1417"/>
      <c r="EX50" s="1417"/>
      <c r="EY50" s="1417"/>
      <c r="EZ50" s="1417"/>
      <c r="FA50" s="1417"/>
      <c r="FB50" s="1417"/>
      <c r="FC50" s="1417"/>
      <c r="FD50" s="1418"/>
    </row>
    <row r="51" spans="1:163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9"/>
      <c r="BF51" s="1407" t="s">
        <v>403</v>
      </c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407" t="s">
        <v>404</v>
      </c>
      <c r="BS51" s="1408"/>
      <c r="BT51" s="1408"/>
      <c r="BU51" s="1408"/>
      <c r="BV51" s="1408"/>
      <c r="BW51" s="1408"/>
      <c r="BX51" s="1408"/>
      <c r="BY51" s="1408"/>
      <c r="BZ51" s="1408"/>
      <c r="CA51" s="1408"/>
      <c r="CB51" s="1409"/>
      <c r="CC51" s="1407" t="s">
        <v>405</v>
      </c>
      <c r="CD51" s="1408"/>
      <c r="CE51" s="1408"/>
      <c r="CF51" s="1408"/>
      <c r="CG51" s="1408"/>
      <c r="CH51" s="1408"/>
      <c r="CI51" s="1408"/>
      <c r="CJ51" s="1408"/>
      <c r="CK51" s="1408"/>
      <c r="CL51" s="1408"/>
      <c r="CM51" s="1408"/>
      <c r="CN51" s="1408"/>
      <c r="CO51" s="1409"/>
      <c r="CP51" s="1407" t="s">
        <v>406</v>
      </c>
      <c r="CQ51" s="1408"/>
      <c r="CR51" s="1408"/>
      <c r="CS51" s="1408"/>
      <c r="CT51" s="1408"/>
      <c r="CU51" s="1408"/>
      <c r="CV51" s="1408"/>
      <c r="CW51" s="1408"/>
      <c r="CX51" s="1408"/>
      <c r="CY51" s="1408"/>
      <c r="CZ51" s="1409"/>
      <c r="DA51" s="1407" t="s">
        <v>407</v>
      </c>
      <c r="DB51" s="1408"/>
      <c r="DC51" s="1408"/>
      <c r="DD51" s="1408"/>
      <c r="DE51" s="1408"/>
      <c r="DF51" s="1408"/>
      <c r="DG51" s="1408"/>
      <c r="DH51" s="1408"/>
      <c r="DI51" s="1408"/>
      <c r="DJ51" s="1408"/>
      <c r="DK51" s="1409"/>
      <c r="DL51" s="1407" t="s">
        <v>408</v>
      </c>
      <c r="DM51" s="1408"/>
      <c r="DN51" s="1408"/>
      <c r="DO51" s="1408"/>
      <c r="DP51" s="1408"/>
      <c r="DQ51" s="1408"/>
      <c r="DR51" s="1408"/>
      <c r="DS51" s="1408"/>
      <c r="DT51" s="1408"/>
      <c r="DU51" s="1409"/>
      <c r="DV51" s="1407" t="s">
        <v>409</v>
      </c>
      <c r="DW51" s="1408"/>
      <c r="DX51" s="1408"/>
      <c r="DY51" s="1408"/>
      <c r="DZ51" s="1408"/>
      <c r="EA51" s="1408"/>
      <c r="EB51" s="1408"/>
      <c r="EC51" s="1408"/>
      <c r="ED51" s="1408"/>
      <c r="EE51" s="1408"/>
      <c r="EF51" s="1408"/>
      <c r="EG51" s="1408"/>
      <c r="EH51" s="1409"/>
      <c r="EI51" s="1407" t="s">
        <v>410</v>
      </c>
      <c r="EJ51" s="1408"/>
      <c r="EK51" s="1408"/>
      <c r="EL51" s="1408"/>
      <c r="EM51" s="1408"/>
      <c r="EN51" s="1408"/>
      <c r="EO51" s="1408"/>
      <c r="EP51" s="1408"/>
      <c r="EQ51" s="1408"/>
      <c r="ER51" s="1408"/>
      <c r="ES51" s="1409"/>
      <c r="ET51" s="1407" t="s">
        <v>411</v>
      </c>
      <c r="EU51" s="1408"/>
      <c r="EV51" s="1408"/>
      <c r="EW51" s="1408"/>
      <c r="EX51" s="1408"/>
      <c r="EY51" s="1408"/>
      <c r="EZ51" s="1408"/>
      <c r="FA51" s="1408"/>
      <c r="FB51" s="1408"/>
      <c r="FC51" s="1408"/>
      <c r="FD51" s="1409"/>
    </row>
    <row r="52" spans="1:163" ht="36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3"/>
      <c r="AL52" s="1453">
        <f>ET52</f>
        <v>0</v>
      </c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25"/>
      <c r="AW52" s="1426"/>
      <c r="AX52" s="1426"/>
      <c r="AY52" s="1426"/>
      <c r="AZ52" s="1426"/>
      <c r="BA52" s="1426"/>
      <c r="BB52" s="1426"/>
      <c r="BC52" s="1426"/>
      <c r="BD52" s="1426"/>
      <c r="BE52" s="1427"/>
      <c r="BF52" s="1425"/>
      <c r="BG52" s="1426"/>
      <c r="BH52" s="1426"/>
      <c r="BI52" s="1426"/>
      <c r="BJ52" s="1426"/>
      <c r="BK52" s="1426"/>
      <c r="BL52" s="1426"/>
      <c r="BM52" s="1426"/>
      <c r="BN52" s="1426"/>
      <c r="BO52" s="1426"/>
      <c r="BP52" s="1426"/>
      <c r="BQ52" s="1427"/>
      <c r="BR52" s="1425"/>
      <c r="BS52" s="1426"/>
      <c r="BT52" s="1426"/>
      <c r="BU52" s="1426"/>
      <c r="BV52" s="1426"/>
      <c r="BW52" s="1426"/>
      <c r="BX52" s="1426"/>
      <c r="BY52" s="1426"/>
      <c r="BZ52" s="1426"/>
      <c r="CA52" s="1426"/>
      <c r="CB52" s="1427"/>
      <c r="CC52" s="1425"/>
      <c r="CD52" s="1426"/>
      <c r="CE52" s="1426"/>
      <c r="CF52" s="1426"/>
      <c r="CG52" s="1426"/>
      <c r="CH52" s="1426"/>
      <c r="CI52" s="1426"/>
      <c r="CJ52" s="1426"/>
      <c r="CK52" s="1426"/>
      <c r="CL52" s="1426"/>
      <c r="CM52" s="1426"/>
      <c r="CN52" s="1426"/>
      <c r="CO52" s="1427"/>
      <c r="CP52" s="1425"/>
      <c r="CQ52" s="1426"/>
      <c r="CR52" s="1426"/>
      <c r="CS52" s="1426"/>
      <c r="CT52" s="1426"/>
      <c r="CU52" s="1426"/>
      <c r="CV52" s="1426"/>
      <c r="CW52" s="1426"/>
      <c r="CX52" s="1426"/>
      <c r="CY52" s="1426"/>
      <c r="CZ52" s="1427"/>
      <c r="DA52" s="1425"/>
      <c r="DB52" s="1426"/>
      <c r="DC52" s="1426"/>
      <c r="DD52" s="1426"/>
      <c r="DE52" s="1426"/>
      <c r="DF52" s="1426"/>
      <c r="DG52" s="1426"/>
      <c r="DH52" s="1426"/>
      <c r="DI52" s="1426"/>
      <c r="DJ52" s="1426"/>
      <c r="DK52" s="1427"/>
      <c r="DL52" s="1426"/>
      <c r="DM52" s="1426"/>
      <c r="DN52" s="1426"/>
      <c r="DO52" s="1426"/>
      <c r="DP52" s="1426"/>
      <c r="DQ52" s="1426"/>
      <c r="DR52" s="1426"/>
      <c r="DS52" s="1426"/>
      <c r="DT52" s="1426"/>
      <c r="DU52" s="1427"/>
      <c r="DV52" s="1425"/>
      <c r="DW52" s="1426"/>
      <c r="DX52" s="1426"/>
      <c r="DY52" s="1426"/>
      <c r="DZ52" s="1426"/>
      <c r="EA52" s="1426"/>
      <c r="EB52" s="1426"/>
      <c r="EC52" s="1426"/>
      <c r="ED52" s="1426"/>
      <c r="EE52" s="1426"/>
      <c r="EF52" s="1426"/>
      <c r="EG52" s="1426"/>
      <c r="EH52" s="1427"/>
      <c r="EI52" s="1425"/>
      <c r="EJ52" s="1426"/>
      <c r="EK52" s="1426"/>
      <c r="EL52" s="1426"/>
      <c r="EM52" s="1426"/>
      <c r="EN52" s="1426"/>
      <c r="EO52" s="1426"/>
      <c r="EP52" s="1426"/>
      <c r="EQ52" s="1426"/>
      <c r="ER52" s="1426"/>
      <c r="ES52" s="1427"/>
      <c r="ET52" s="1453">
        <f>ET53+ET54</f>
        <v>0</v>
      </c>
      <c r="EU52" s="1454"/>
      <c r="EV52" s="1454"/>
      <c r="EW52" s="1454"/>
      <c r="EX52" s="1454"/>
      <c r="EY52" s="1454"/>
      <c r="EZ52" s="1454"/>
      <c r="FA52" s="1454"/>
      <c r="FB52" s="1454"/>
      <c r="FC52" s="1454"/>
      <c r="FD52" s="1458"/>
      <c r="FE52" s="549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62" t="s">
        <v>954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3"/>
      <c r="N53" s="1463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3"/>
      <c r="Z53" s="1463"/>
      <c r="AA53" s="1463"/>
      <c r="AB53" s="1463"/>
      <c r="AC53" s="1463"/>
      <c r="AD53" s="1463"/>
      <c r="AE53" s="1464"/>
      <c r="AF53" s="1444" t="s">
        <v>314</v>
      </c>
      <c r="AG53" s="1445"/>
      <c r="AH53" s="1445"/>
      <c r="AI53" s="1445"/>
      <c r="AJ53" s="1445"/>
      <c r="AK53" s="1446"/>
      <c r="AL53" s="1450">
        <f>ET53</f>
        <v>0</v>
      </c>
      <c r="AM53" s="1451"/>
      <c r="AN53" s="1451"/>
      <c r="AO53" s="1451"/>
      <c r="AP53" s="1451"/>
      <c r="AQ53" s="1451"/>
      <c r="AR53" s="1451"/>
      <c r="AS53" s="1451"/>
      <c r="AT53" s="1451"/>
      <c r="AU53" s="1451"/>
      <c r="AV53" s="1447"/>
      <c r="AW53" s="1448"/>
      <c r="AX53" s="1448"/>
      <c r="AY53" s="1448"/>
      <c r="AZ53" s="1448"/>
      <c r="BA53" s="1448"/>
      <c r="BB53" s="1448"/>
      <c r="BC53" s="1448"/>
      <c r="BD53" s="1448"/>
      <c r="BE53" s="1449"/>
      <c r="BF53" s="1447"/>
      <c r="BG53" s="1448"/>
      <c r="BH53" s="1448"/>
      <c r="BI53" s="1448"/>
      <c r="BJ53" s="1448"/>
      <c r="BK53" s="1448"/>
      <c r="BL53" s="1448"/>
      <c r="BM53" s="1448"/>
      <c r="BN53" s="1448"/>
      <c r="BO53" s="1448"/>
      <c r="BP53" s="1448"/>
      <c r="BQ53" s="1449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9"/>
      <c r="CC53" s="1447"/>
      <c r="CD53" s="1448"/>
      <c r="CE53" s="1448"/>
      <c r="CF53" s="1448"/>
      <c r="CG53" s="1448"/>
      <c r="CH53" s="1448"/>
      <c r="CI53" s="1448"/>
      <c r="CJ53" s="1448"/>
      <c r="CK53" s="1448"/>
      <c r="CL53" s="1448"/>
      <c r="CM53" s="1448"/>
      <c r="CN53" s="1448"/>
      <c r="CO53" s="1449"/>
      <c r="CP53" s="1447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9"/>
      <c r="DA53" s="1447"/>
      <c r="DB53" s="1448"/>
      <c r="DC53" s="1448"/>
      <c r="DD53" s="1448"/>
      <c r="DE53" s="1448"/>
      <c r="DF53" s="1448"/>
      <c r="DG53" s="1448"/>
      <c r="DH53" s="1448"/>
      <c r="DI53" s="1448"/>
      <c r="DJ53" s="1448"/>
      <c r="DK53" s="1449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9"/>
      <c r="DV53" s="1447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9"/>
      <c r="EI53" s="1447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72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2"/>
      <c r="EV53" s="1472"/>
      <c r="EW53" s="1472"/>
      <c r="EX53" s="1472"/>
      <c r="EY53" s="1472"/>
      <c r="EZ53" s="1472"/>
      <c r="FA53" s="1472"/>
      <c r="FB53" s="1472"/>
      <c r="FC53" s="1472"/>
      <c r="FD53" s="1472"/>
      <c r="FE53" s="549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404" t="s">
        <v>315</v>
      </c>
      <c r="B54" s="1405"/>
      <c r="C54" s="1405"/>
      <c r="D54" s="1405"/>
      <c r="E54" s="1405"/>
      <c r="F54" s="1405"/>
      <c r="G54" s="1405"/>
      <c r="H54" s="1405"/>
      <c r="I54" s="1405"/>
      <c r="J54" s="1405"/>
      <c r="K54" s="1405"/>
      <c r="L54" s="1405"/>
      <c r="M54" s="1405"/>
      <c r="N54" s="1405"/>
      <c r="O54" s="1405"/>
      <c r="P54" s="1405"/>
      <c r="Q54" s="1405"/>
      <c r="R54" s="1405"/>
      <c r="S54" s="1405"/>
      <c r="T54" s="1405"/>
      <c r="U54" s="1405"/>
      <c r="V54" s="1405"/>
      <c r="W54" s="1405"/>
      <c r="X54" s="1405"/>
      <c r="Y54" s="1405"/>
      <c r="Z54" s="1405"/>
      <c r="AA54" s="1405"/>
      <c r="AB54" s="1405"/>
      <c r="AC54" s="1405"/>
      <c r="AD54" s="1405"/>
      <c r="AE54" s="1406"/>
      <c r="AF54" s="1433" t="s">
        <v>316</v>
      </c>
      <c r="AG54" s="1434"/>
      <c r="AH54" s="1434"/>
      <c r="AI54" s="1434"/>
      <c r="AJ54" s="1434"/>
      <c r="AK54" s="1435"/>
      <c r="AL54" s="1429">
        <f>ET54</f>
        <v>0</v>
      </c>
      <c r="AM54" s="1430"/>
      <c r="AN54" s="1430"/>
      <c r="AO54" s="1430"/>
      <c r="AP54" s="1430"/>
      <c r="AQ54" s="1430"/>
      <c r="AR54" s="1430"/>
      <c r="AS54" s="1430"/>
      <c r="AT54" s="1430"/>
      <c r="AU54" s="1430"/>
      <c r="AV54" s="1401"/>
      <c r="AW54" s="1402"/>
      <c r="AX54" s="1402"/>
      <c r="AY54" s="1402"/>
      <c r="AZ54" s="1402"/>
      <c r="BA54" s="1402"/>
      <c r="BB54" s="1402"/>
      <c r="BC54" s="1402"/>
      <c r="BD54" s="1402"/>
      <c r="BE54" s="1403"/>
      <c r="BF54" s="1401"/>
      <c r="BG54" s="1402"/>
      <c r="BH54" s="1402"/>
      <c r="BI54" s="1402"/>
      <c r="BJ54" s="1402"/>
      <c r="BK54" s="1402"/>
      <c r="BL54" s="1402"/>
      <c r="BM54" s="1402"/>
      <c r="BN54" s="1402"/>
      <c r="BO54" s="1402"/>
      <c r="BP54" s="1402"/>
      <c r="BQ54" s="1403"/>
      <c r="BR54" s="1401"/>
      <c r="BS54" s="1402"/>
      <c r="BT54" s="1402"/>
      <c r="BU54" s="1402"/>
      <c r="BV54" s="1402"/>
      <c r="BW54" s="1402"/>
      <c r="BX54" s="1402"/>
      <c r="BY54" s="1402"/>
      <c r="BZ54" s="1402"/>
      <c r="CA54" s="1402"/>
      <c r="CB54" s="1403"/>
      <c r="CC54" s="1401"/>
      <c r="CD54" s="1402"/>
      <c r="CE54" s="1402"/>
      <c r="CF54" s="1402"/>
      <c r="CG54" s="1402"/>
      <c r="CH54" s="1402"/>
      <c r="CI54" s="1402"/>
      <c r="CJ54" s="1402"/>
      <c r="CK54" s="1402"/>
      <c r="CL54" s="1402"/>
      <c r="CM54" s="1402"/>
      <c r="CN54" s="1402"/>
      <c r="CO54" s="1403"/>
      <c r="CP54" s="1401"/>
      <c r="CQ54" s="1402"/>
      <c r="CR54" s="1402"/>
      <c r="CS54" s="1402"/>
      <c r="CT54" s="1402"/>
      <c r="CU54" s="1402"/>
      <c r="CV54" s="1402"/>
      <c r="CW54" s="1402"/>
      <c r="CX54" s="1402"/>
      <c r="CY54" s="1402"/>
      <c r="CZ54" s="1403"/>
      <c r="DA54" s="1401"/>
      <c r="DB54" s="1402"/>
      <c r="DC54" s="1402"/>
      <c r="DD54" s="1402"/>
      <c r="DE54" s="1402"/>
      <c r="DF54" s="1402"/>
      <c r="DG54" s="1402"/>
      <c r="DH54" s="1402"/>
      <c r="DI54" s="1402"/>
      <c r="DJ54" s="1402"/>
      <c r="DK54" s="1403"/>
      <c r="DL54" s="1402"/>
      <c r="DM54" s="1402"/>
      <c r="DN54" s="1402"/>
      <c r="DO54" s="1402"/>
      <c r="DP54" s="1402"/>
      <c r="DQ54" s="1402"/>
      <c r="DR54" s="1402"/>
      <c r="DS54" s="1402"/>
      <c r="DT54" s="1402"/>
      <c r="DU54" s="1403"/>
      <c r="DV54" s="1401"/>
      <c r="DW54" s="1402"/>
      <c r="DX54" s="1402"/>
      <c r="DY54" s="1402"/>
      <c r="DZ54" s="1402"/>
      <c r="EA54" s="1402"/>
      <c r="EB54" s="1402"/>
      <c r="EC54" s="1402"/>
      <c r="ED54" s="1402"/>
      <c r="EE54" s="1402"/>
      <c r="EF54" s="1402"/>
      <c r="EG54" s="1402"/>
      <c r="EH54" s="1403"/>
      <c r="EI54" s="1401"/>
      <c r="EJ54" s="1402"/>
      <c r="EK54" s="1402"/>
      <c r="EL54" s="1402"/>
      <c r="EM54" s="1402"/>
      <c r="EN54" s="1402"/>
      <c r="EO54" s="1402"/>
      <c r="EP54" s="1402"/>
      <c r="EQ54" s="1402"/>
      <c r="ER54" s="1402"/>
      <c r="ES54" s="1403"/>
      <c r="ET54" s="1472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2"/>
      <c r="EV54" s="1472"/>
      <c r="EW54" s="1472"/>
      <c r="EX54" s="1472"/>
      <c r="EY54" s="1472"/>
      <c r="EZ54" s="1472"/>
      <c r="FA54" s="1472"/>
      <c r="FB54" s="1472"/>
      <c r="FC54" s="1472"/>
      <c r="FD54" s="1472"/>
      <c r="FE54" s="549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404" t="s">
        <v>317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318</v>
      </c>
      <c r="AG55" s="1434"/>
      <c r="AH55" s="1434"/>
      <c r="AI55" s="1434"/>
      <c r="AJ55" s="1434"/>
      <c r="AK55" s="1435"/>
      <c r="AL55" s="1401"/>
      <c r="AM55" s="1402"/>
      <c r="AN55" s="1402"/>
      <c r="AO55" s="1402"/>
      <c r="AP55" s="1402"/>
      <c r="AQ55" s="1402"/>
      <c r="AR55" s="1402"/>
      <c r="AS55" s="1402"/>
      <c r="AT55" s="1402"/>
      <c r="AU55" s="1403"/>
      <c r="AV55" s="1401"/>
      <c r="AW55" s="1402"/>
      <c r="AX55" s="1402"/>
      <c r="AY55" s="1402"/>
      <c r="AZ55" s="1402"/>
      <c r="BA55" s="1402"/>
      <c r="BB55" s="1402"/>
      <c r="BC55" s="1402"/>
      <c r="BD55" s="1402"/>
      <c r="BE55" s="1403"/>
      <c r="BF55" s="1401"/>
      <c r="BG55" s="1402"/>
      <c r="BH55" s="1402"/>
      <c r="BI55" s="1402"/>
      <c r="BJ55" s="1402"/>
      <c r="BK55" s="1402"/>
      <c r="BL55" s="1402"/>
      <c r="BM55" s="1402"/>
      <c r="BN55" s="1402"/>
      <c r="BO55" s="1402"/>
      <c r="BP55" s="1402"/>
      <c r="BQ55" s="1403"/>
      <c r="BR55" s="1401"/>
      <c r="BS55" s="1402"/>
      <c r="BT55" s="1402"/>
      <c r="BU55" s="1402"/>
      <c r="BV55" s="1402"/>
      <c r="BW55" s="1402"/>
      <c r="BX55" s="1402"/>
      <c r="BY55" s="1402"/>
      <c r="BZ55" s="1402"/>
      <c r="CA55" s="1402"/>
      <c r="CB55" s="1403"/>
      <c r="CC55" s="1401"/>
      <c r="CD55" s="1402"/>
      <c r="CE55" s="1402"/>
      <c r="CF55" s="1402"/>
      <c r="CG55" s="1402"/>
      <c r="CH55" s="1402"/>
      <c r="CI55" s="1402"/>
      <c r="CJ55" s="1402"/>
      <c r="CK55" s="1402"/>
      <c r="CL55" s="1402"/>
      <c r="CM55" s="1402"/>
      <c r="CN55" s="1402"/>
      <c r="CO55" s="1403"/>
      <c r="CP55" s="1401"/>
      <c r="CQ55" s="1402"/>
      <c r="CR55" s="1402"/>
      <c r="CS55" s="1402"/>
      <c r="CT55" s="1402"/>
      <c r="CU55" s="1402"/>
      <c r="CV55" s="1402"/>
      <c r="CW55" s="1402"/>
      <c r="CX55" s="1402"/>
      <c r="CY55" s="1402"/>
      <c r="CZ55" s="1403"/>
      <c r="DA55" s="1401"/>
      <c r="DB55" s="1402"/>
      <c r="DC55" s="1402"/>
      <c r="DD55" s="1402"/>
      <c r="DE55" s="1402"/>
      <c r="DF55" s="1402"/>
      <c r="DG55" s="1402"/>
      <c r="DH55" s="1402"/>
      <c r="DI55" s="1402"/>
      <c r="DJ55" s="1402"/>
      <c r="DK55" s="1403"/>
      <c r="DL55" s="1402"/>
      <c r="DM55" s="1402"/>
      <c r="DN55" s="1402"/>
      <c r="DO55" s="1402"/>
      <c r="DP55" s="1402"/>
      <c r="DQ55" s="1402"/>
      <c r="DR55" s="1402"/>
      <c r="DS55" s="1402"/>
      <c r="DT55" s="1402"/>
      <c r="DU55" s="1403"/>
      <c r="DV55" s="1401"/>
      <c r="DW55" s="1402"/>
      <c r="DX55" s="1402"/>
      <c r="DY55" s="1402"/>
      <c r="DZ55" s="1402"/>
      <c r="EA55" s="1402"/>
      <c r="EB55" s="1402"/>
      <c r="EC55" s="1402"/>
      <c r="ED55" s="1402"/>
      <c r="EE55" s="1402"/>
      <c r="EF55" s="1402"/>
      <c r="EG55" s="1402"/>
      <c r="EH55" s="1403"/>
      <c r="EI55" s="1401"/>
      <c r="EJ55" s="1402"/>
      <c r="EK55" s="1402"/>
      <c r="EL55" s="1402"/>
      <c r="EM55" s="1402"/>
      <c r="EN55" s="1402"/>
      <c r="EO55" s="1402"/>
      <c r="EP55" s="1402"/>
      <c r="EQ55" s="1402"/>
      <c r="ER55" s="1402"/>
      <c r="ES55" s="1403"/>
      <c r="ET55" s="1401"/>
      <c r="EU55" s="1402"/>
      <c r="EV55" s="1402"/>
      <c r="EW55" s="1402"/>
      <c r="EX55" s="1402"/>
      <c r="EY55" s="1402"/>
      <c r="EZ55" s="1402"/>
      <c r="FA55" s="1402"/>
      <c r="FB55" s="1402"/>
      <c r="FC55" s="1402"/>
      <c r="FD55" s="1432"/>
      <c r="FE55" s="549"/>
    </row>
    <row r="56" spans="1:163" ht="27.75" customHeight="1">
      <c r="A56" s="1404" t="s">
        <v>319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320</v>
      </c>
      <c r="AG56" s="1434"/>
      <c r="AH56" s="1434"/>
      <c r="AI56" s="1434"/>
      <c r="AJ56" s="1434"/>
      <c r="AK56" s="1435"/>
      <c r="AL56" s="1401"/>
      <c r="AM56" s="1402"/>
      <c r="AN56" s="1402"/>
      <c r="AO56" s="1402"/>
      <c r="AP56" s="1402"/>
      <c r="AQ56" s="1402"/>
      <c r="AR56" s="1402"/>
      <c r="AS56" s="1402"/>
      <c r="AT56" s="1402"/>
      <c r="AU56" s="1403"/>
      <c r="AV56" s="1401"/>
      <c r="AW56" s="1402"/>
      <c r="AX56" s="1402"/>
      <c r="AY56" s="1402"/>
      <c r="AZ56" s="1402"/>
      <c r="BA56" s="1402"/>
      <c r="BB56" s="1402"/>
      <c r="BC56" s="1402"/>
      <c r="BD56" s="1402"/>
      <c r="BE56" s="1403"/>
      <c r="BF56" s="1401"/>
      <c r="BG56" s="1402"/>
      <c r="BH56" s="1402"/>
      <c r="BI56" s="1402"/>
      <c r="BJ56" s="1402"/>
      <c r="BK56" s="1402"/>
      <c r="BL56" s="1402"/>
      <c r="BM56" s="1402"/>
      <c r="BN56" s="1402"/>
      <c r="BO56" s="1402"/>
      <c r="BP56" s="1402"/>
      <c r="BQ56" s="1403"/>
      <c r="BR56" s="1401"/>
      <c r="BS56" s="1402"/>
      <c r="BT56" s="1402"/>
      <c r="BU56" s="1402"/>
      <c r="BV56" s="1402"/>
      <c r="BW56" s="1402"/>
      <c r="BX56" s="1402"/>
      <c r="BY56" s="1402"/>
      <c r="BZ56" s="1402"/>
      <c r="CA56" s="1402"/>
      <c r="CB56" s="1403"/>
      <c r="CC56" s="1401"/>
      <c r="CD56" s="1402"/>
      <c r="CE56" s="1402"/>
      <c r="CF56" s="1402"/>
      <c r="CG56" s="1402"/>
      <c r="CH56" s="1402"/>
      <c r="CI56" s="1402"/>
      <c r="CJ56" s="1402"/>
      <c r="CK56" s="1402"/>
      <c r="CL56" s="1402"/>
      <c r="CM56" s="1402"/>
      <c r="CN56" s="1402"/>
      <c r="CO56" s="1403"/>
      <c r="CP56" s="1401"/>
      <c r="CQ56" s="1402"/>
      <c r="CR56" s="1402"/>
      <c r="CS56" s="1402"/>
      <c r="CT56" s="1402"/>
      <c r="CU56" s="1402"/>
      <c r="CV56" s="1402"/>
      <c r="CW56" s="1402"/>
      <c r="CX56" s="1402"/>
      <c r="CY56" s="1402"/>
      <c r="CZ56" s="1403"/>
      <c r="DA56" s="1401"/>
      <c r="DB56" s="1402"/>
      <c r="DC56" s="1402"/>
      <c r="DD56" s="1402"/>
      <c r="DE56" s="1402"/>
      <c r="DF56" s="1402"/>
      <c r="DG56" s="1402"/>
      <c r="DH56" s="1402"/>
      <c r="DI56" s="1402"/>
      <c r="DJ56" s="1402"/>
      <c r="DK56" s="1403"/>
      <c r="DL56" s="1402"/>
      <c r="DM56" s="1402"/>
      <c r="DN56" s="1402"/>
      <c r="DO56" s="1402"/>
      <c r="DP56" s="1402"/>
      <c r="DQ56" s="1402"/>
      <c r="DR56" s="1402"/>
      <c r="DS56" s="1402"/>
      <c r="DT56" s="1402"/>
      <c r="DU56" s="1403"/>
      <c r="DV56" s="1401"/>
      <c r="DW56" s="1402"/>
      <c r="DX56" s="1402"/>
      <c r="DY56" s="1402"/>
      <c r="DZ56" s="1402"/>
      <c r="EA56" s="1402"/>
      <c r="EB56" s="1402"/>
      <c r="EC56" s="1402"/>
      <c r="ED56" s="1402"/>
      <c r="EE56" s="1402"/>
      <c r="EF56" s="1402"/>
      <c r="EG56" s="1402"/>
      <c r="EH56" s="1403"/>
      <c r="EI56" s="1401"/>
      <c r="EJ56" s="1402"/>
      <c r="EK56" s="1402"/>
      <c r="EL56" s="1402"/>
      <c r="EM56" s="1402"/>
      <c r="EN56" s="1402"/>
      <c r="EO56" s="1402"/>
      <c r="EP56" s="1402"/>
      <c r="EQ56" s="1402"/>
      <c r="ER56" s="1402"/>
      <c r="ES56" s="1403"/>
      <c r="ET56" s="1401"/>
      <c r="EU56" s="1402"/>
      <c r="EV56" s="1402"/>
      <c r="EW56" s="1402"/>
      <c r="EX56" s="1402"/>
      <c r="EY56" s="1402"/>
      <c r="EZ56" s="1402"/>
      <c r="FA56" s="1402"/>
      <c r="FB56" s="1402"/>
      <c r="FC56" s="1402"/>
      <c r="FD56" s="1432"/>
      <c r="FE56" s="549"/>
    </row>
    <row r="57" spans="1:163" ht="27.75" customHeight="1">
      <c r="A57" s="1404" t="s">
        <v>321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322</v>
      </c>
      <c r="AG57" s="1434"/>
      <c r="AH57" s="1434"/>
      <c r="AI57" s="1434"/>
      <c r="AJ57" s="1434"/>
      <c r="AK57" s="1435"/>
      <c r="AL57" s="1429">
        <f>ET57</f>
        <v>0</v>
      </c>
      <c r="AM57" s="1430"/>
      <c r="AN57" s="1430"/>
      <c r="AO57" s="1430"/>
      <c r="AP57" s="1430"/>
      <c r="AQ57" s="1430"/>
      <c r="AR57" s="1430"/>
      <c r="AS57" s="1430"/>
      <c r="AT57" s="1430"/>
      <c r="AU57" s="1430"/>
      <c r="AV57" s="1401"/>
      <c r="AW57" s="1402"/>
      <c r="AX57" s="1402"/>
      <c r="AY57" s="1402"/>
      <c r="AZ57" s="1402"/>
      <c r="BA57" s="1402"/>
      <c r="BB57" s="1402"/>
      <c r="BC57" s="1402"/>
      <c r="BD57" s="1402"/>
      <c r="BE57" s="1403"/>
      <c r="BF57" s="1401"/>
      <c r="BG57" s="1402"/>
      <c r="BH57" s="1402"/>
      <c r="BI57" s="1402"/>
      <c r="BJ57" s="1402"/>
      <c r="BK57" s="1402"/>
      <c r="BL57" s="1402"/>
      <c r="BM57" s="1402"/>
      <c r="BN57" s="1402"/>
      <c r="BO57" s="1402"/>
      <c r="BP57" s="1402"/>
      <c r="BQ57" s="1403"/>
      <c r="BR57" s="1401"/>
      <c r="BS57" s="1402"/>
      <c r="BT57" s="1402"/>
      <c r="BU57" s="1402"/>
      <c r="BV57" s="1402"/>
      <c r="BW57" s="1402"/>
      <c r="BX57" s="1402"/>
      <c r="BY57" s="1402"/>
      <c r="BZ57" s="1402"/>
      <c r="CA57" s="1402"/>
      <c r="CB57" s="1403"/>
      <c r="CC57" s="1401"/>
      <c r="CD57" s="1402"/>
      <c r="CE57" s="1402"/>
      <c r="CF57" s="1402"/>
      <c r="CG57" s="1402"/>
      <c r="CH57" s="1402"/>
      <c r="CI57" s="1402"/>
      <c r="CJ57" s="1402"/>
      <c r="CK57" s="1402"/>
      <c r="CL57" s="1402"/>
      <c r="CM57" s="1402"/>
      <c r="CN57" s="1402"/>
      <c r="CO57" s="1403"/>
      <c r="CP57" s="1401"/>
      <c r="CQ57" s="1402"/>
      <c r="CR57" s="1402"/>
      <c r="CS57" s="1402"/>
      <c r="CT57" s="1402"/>
      <c r="CU57" s="1402"/>
      <c r="CV57" s="1402"/>
      <c r="CW57" s="1402"/>
      <c r="CX57" s="1402"/>
      <c r="CY57" s="1402"/>
      <c r="CZ57" s="1403"/>
      <c r="DA57" s="1401"/>
      <c r="DB57" s="1402"/>
      <c r="DC57" s="1402"/>
      <c r="DD57" s="1402"/>
      <c r="DE57" s="1402"/>
      <c r="DF57" s="1402"/>
      <c r="DG57" s="1402"/>
      <c r="DH57" s="1402"/>
      <c r="DI57" s="1402"/>
      <c r="DJ57" s="1402"/>
      <c r="DK57" s="1403"/>
      <c r="DL57" s="1402"/>
      <c r="DM57" s="1402"/>
      <c r="DN57" s="1402"/>
      <c r="DO57" s="1402"/>
      <c r="DP57" s="1402"/>
      <c r="DQ57" s="1402"/>
      <c r="DR57" s="1402"/>
      <c r="DS57" s="1402"/>
      <c r="DT57" s="1402"/>
      <c r="DU57" s="1403"/>
      <c r="DV57" s="1401"/>
      <c r="DW57" s="1402"/>
      <c r="DX57" s="1402"/>
      <c r="DY57" s="1402"/>
      <c r="DZ57" s="1402"/>
      <c r="EA57" s="1402"/>
      <c r="EB57" s="1402"/>
      <c r="EC57" s="1402"/>
      <c r="ED57" s="1402"/>
      <c r="EE57" s="1402"/>
      <c r="EF57" s="1402"/>
      <c r="EG57" s="1402"/>
      <c r="EH57" s="1403"/>
      <c r="EI57" s="1401"/>
      <c r="EJ57" s="1402"/>
      <c r="EK57" s="1402"/>
      <c r="EL57" s="1402"/>
      <c r="EM57" s="1402"/>
      <c r="EN57" s="1402"/>
      <c r="EO57" s="1402"/>
      <c r="EP57" s="1402"/>
      <c r="EQ57" s="1402"/>
      <c r="ER57" s="1402"/>
      <c r="ES57" s="1403"/>
      <c r="ET57" s="1472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2"/>
      <c r="EV57" s="1472"/>
      <c r="EW57" s="1472"/>
      <c r="EX57" s="1472"/>
      <c r="EY57" s="1472"/>
      <c r="EZ57" s="1472"/>
      <c r="FA57" s="1472"/>
      <c r="FB57" s="1472"/>
      <c r="FC57" s="1472"/>
      <c r="FD57" s="1472"/>
      <c r="FE57" s="549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75" t="s">
        <v>263</v>
      </c>
      <c r="B58" s="1476"/>
      <c r="C58" s="1476"/>
      <c r="D58" s="1476"/>
      <c r="E58" s="1476"/>
      <c r="F58" s="1476"/>
      <c r="G58" s="1476"/>
      <c r="H58" s="1476"/>
      <c r="I58" s="1476"/>
      <c r="J58" s="1476"/>
      <c r="K58" s="1476"/>
      <c r="L58" s="1476"/>
      <c r="M58" s="1476"/>
      <c r="N58" s="1476"/>
      <c r="O58" s="1476"/>
      <c r="P58" s="1476"/>
      <c r="Q58" s="1476"/>
      <c r="R58" s="1476"/>
      <c r="S58" s="1476"/>
      <c r="T58" s="1476"/>
      <c r="U58" s="1476"/>
      <c r="V58" s="1476"/>
      <c r="W58" s="1476"/>
      <c r="X58" s="1476"/>
      <c r="Y58" s="1476"/>
      <c r="Z58" s="1476"/>
      <c r="AA58" s="1476"/>
      <c r="AB58" s="1476"/>
      <c r="AC58" s="1476"/>
      <c r="AD58" s="1476"/>
      <c r="AE58" s="1477"/>
      <c r="AF58" s="1444" t="s">
        <v>323</v>
      </c>
      <c r="AG58" s="1445"/>
      <c r="AH58" s="1445"/>
      <c r="AI58" s="1445"/>
      <c r="AJ58" s="1445"/>
      <c r="AK58" s="1446"/>
      <c r="AL58" s="1447"/>
      <c r="AM58" s="1448"/>
      <c r="AN58" s="1448"/>
      <c r="AO58" s="1448"/>
      <c r="AP58" s="1448"/>
      <c r="AQ58" s="1448"/>
      <c r="AR58" s="1448"/>
      <c r="AS58" s="1448"/>
      <c r="AT58" s="1448"/>
      <c r="AU58" s="1449"/>
      <c r="AV58" s="1447"/>
      <c r="AW58" s="1448"/>
      <c r="AX58" s="1448"/>
      <c r="AY58" s="1448"/>
      <c r="AZ58" s="1448"/>
      <c r="BA58" s="1448"/>
      <c r="BB58" s="1448"/>
      <c r="BC58" s="1448"/>
      <c r="BD58" s="1448"/>
      <c r="BE58" s="1449"/>
      <c r="BF58" s="1447"/>
      <c r="BG58" s="1448"/>
      <c r="BH58" s="1448"/>
      <c r="BI58" s="1448"/>
      <c r="BJ58" s="1448"/>
      <c r="BK58" s="1448"/>
      <c r="BL58" s="1448"/>
      <c r="BM58" s="1448"/>
      <c r="BN58" s="1448"/>
      <c r="BO58" s="1448"/>
      <c r="BP58" s="1448"/>
      <c r="BQ58" s="1449"/>
      <c r="BR58" s="1447"/>
      <c r="BS58" s="1448"/>
      <c r="BT58" s="1448"/>
      <c r="BU58" s="1448"/>
      <c r="BV58" s="1448"/>
      <c r="BW58" s="1448"/>
      <c r="BX58" s="1448"/>
      <c r="BY58" s="1448"/>
      <c r="BZ58" s="1448"/>
      <c r="CA58" s="1448"/>
      <c r="CB58" s="1449"/>
      <c r="CC58" s="1447"/>
      <c r="CD58" s="1448"/>
      <c r="CE58" s="1448"/>
      <c r="CF58" s="1448"/>
      <c r="CG58" s="1448"/>
      <c r="CH58" s="1448"/>
      <c r="CI58" s="1448"/>
      <c r="CJ58" s="1448"/>
      <c r="CK58" s="1448"/>
      <c r="CL58" s="1448"/>
      <c r="CM58" s="1448"/>
      <c r="CN58" s="1448"/>
      <c r="CO58" s="1449"/>
      <c r="CP58" s="1447"/>
      <c r="CQ58" s="1448"/>
      <c r="CR58" s="1448"/>
      <c r="CS58" s="1448"/>
      <c r="CT58" s="1448"/>
      <c r="CU58" s="1448"/>
      <c r="CV58" s="1448"/>
      <c r="CW58" s="1448"/>
      <c r="CX58" s="1448"/>
      <c r="CY58" s="1448"/>
      <c r="CZ58" s="1449"/>
      <c r="DA58" s="1447"/>
      <c r="DB58" s="1448"/>
      <c r="DC58" s="1448"/>
      <c r="DD58" s="1448"/>
      <c r="DE58" s="1448"/>
      <c r="DF58" s="1448"/>
      <c r="DG58" s="1448"/>
      <c r="DH58" s="1448"/>
      <c r="DI58" s="1448"/>
      <c r="DJ58" s="1448"/>
      <c r="DK58" s="1449"/>
      <c r="DL58" s="1448"/>
      <c r="DM58" s="1448"/>
      <c r="DN58" s="1448"/>
      <c r="DO58" s="1448"/>
      <c r="DP58" s="1448"/>
      <c r="DQ58" s="1448"/>
      <c r="DR58" s="1448"/>
      <c r="DS58" s="1448"/>
      <c r="DT58" s="1448"/>
      <c r="DU58" s="1449"/>
      <c r="DV58" s="1447"/>
      <c r="DW58" s="1448"/>
      <c r="DX58" s="1448"/>
      <c r="DY58" s="1448"/>
      <c r="DZ58" s="1448"/>
      <c r="EA58" s="1448"/>
      <c r="EB58" s="1448"/>
      <c r="EC58" s="1448"/>
      <c r="ED58" s="1448"/>
      <c r="EE58" s="1448"/>
      <c r="EF58" s="1448"/>
      <c r="EG58" s="1448"/>
      <c r="EH58" s="1449"/>
      <c r="EI58" s="1447"/>
      <c r="EJ58" s="1448"/>
      <c r="EK58" s="1448"/>
      <c r="EL58" s="1448"/>
      <c r="EM58" s="1448"/>
      <c r="EN58" s="1448"/>
      <c r="EO58" s="1448"/>
      <c r="EP58" s="1448"/>
      <c r="EQ58" s="1448"/>
      <c r="ER58" s="1448"/>
      <c r="ES58" s="1449"/>
      <c r="ET58" s="1447"/>
      <c r="EU58" s="1448"/>
      <c r="EV58" s="1448"/>
      <c r="EW58" s="1448"/>
      <c r="EX58" s="1448"/>
      <c r="EY58" s="1448"/>
      <c r="EZ58" s="1448"/>
      <c r="FA58" s="1448"/>
      <c r="FB58" s="1448"/>
      <c r="FC58" s="1448"/>
      <c r="FD58" s="1473"/>
      <c r="FE58" s="549"/>
    </row>
    <row r="59" spans="1:163" ht="28.5" customHeight="1">
      <c r="A59" s="1469" t="s">
        <v>324</v>
      </c>
      <c r="B59" s="1470"/>
      <c r="C59" s="1470"/>
      <c r="D59" s="1470"/>
      <c r="E59" s="1470"/>
      <c r="F59" s="1470"/>
      <c r="G59" s="1470"/>
      <c r="H59" s="1470"/>
      <c r="I59" s="1470"/>
      <c r="J59" s="1470"/>
      <c r="K59" s="1470"/>
      <c r="L59" s="1470"/>
      <c r="M59" s="1470"/>
      <c r="N59" s="1470"/>
      <c r="O59" s="1470"/>
      <c r="P59" s="1470"/>
      <c r="Q59" s="1470"/>
      <c r="R59" s="1470"/>
      <c r="S59" s="1470"/>
      <c r="T59" s="1470"/>
      <c r="U59" s="1470"/>
      <c r="V59" s="1470"/>
      <c r="W59" s="1470"/>
      <c r="X59" s="1470"/>
      <c r="Y59" s="1470"/>
      <c r="Z59" s="1470"/>
      <c r="AA59" s="1470"/>
      <c r="AB59" s="1470"/>
      <c r="AC59" s="1470"/>
      <c r="AD59" s="1470"/>
      <c r="AE59" s="1471"/>
      <c r="AF59" s="1478"/>
      <c r="AG59" s="1479"/>
      <c r="AH59" s="1479"/>
      <c r="AI59" s="1479"/>
      <c r="AJ59" s="1479"/>
      <c r="AK59" s="1480"/>
      <c r="AL59" s="1466"/>
      <c r="AM59" s="1467"/>
      <c r="AN59" s="1467"/>
      <c r="AO59" s="1467"/>
      <c r="AP59" s="1467"/>
      <c r="AQ59" s="1467"/>
      <c r="AR59" s="1467"/>
      <c r="AS59" s="1467"/>
      <c r="AT59" s="1467"/>
      <c r="AU59" s="1468"/>
      <c r="AV59" s="1466"/>
      <c r="AW59" s="1467"/>
      <c r="AX59" s="1467"/>
      <c r="AY59" s="1467"/>
      <c r="AZ59" s="1467"/>
      <c r="BA59" s="1467"/>
      <c r="BB59" s="1467"/>
      <c r="BC59" s="1467"/>
      <c r="BD59" s="1467"/>
      <c r="BE59" s="1468"/>
      <c r="BF59" s="1466"/>
      <c r="BG59" s="1467"/>
      <c r="BH59" s="1467"/>
      <c r="BI59" s="1467"/>
      <c r="BJ59" s="1467"/>
      <c r="BK59" s="1467"/>
      <c r="BL59" s="1467"/>
      <c r="BM59" s="1467"/>
      <c r="BN59" s="1467"/>
      <c r="BO59" s="1467"/>
      <c r="BP59" s="1467"/>
      <c r="BQ59" s="1468"/>
      <c r="BR59" s="1466"/>
      <c r="BS59" s="1467"/>
      <c r="BT59" s="1467"/>
      <c r="BU59" s="1467"/>
      <c r="BV59" s="1467"/>
      <c r="BW59" s="1467"/>
      <c r="BX59" s="1467"/>
      <c r="BY59" s="1467"/>
      <c r="BZ59" s="1467"/>
      <c r="CA59" s="1467"/>
      <c r="CB59" s="1468"/>
      <c r="CC59" s="1466"/>
      <c r="CD59" s="1467"/>
      <c r="CE59" s="1467"/>
      <c r="CF59" s="1467"/>
      <c r="CG59" s="1467"/>
      <c r="CH59" s="1467"/>
      <c r="CI59" s="1467"/>
      <c r="CJ59" s="1467"/>
      <c r="CK59" s="1467"/>
      <c r="CL59" s="1467"/>
      <c r="CM59" s="1467"/>
      <c r="CN59" s="1467"/>
      <c r="CO59" s="1468"/>
      <c r="CP59" s="1466"/>
      <c r="CQ59" s="1467"/>
      <c r="CR59" s="1467"/>
      <c r="CS59" s="1467"/>
      <c r="CT59" s="1467"/>
      <c r="CU59" s="1467"/>
      <c r="CV59" s="1467"/>
      <c r="CW59" s="1467"/>
      <c r="CX59" s="1467"/>
      <c r="CY59" s="1467"/>
      <c r="CZ59" s="1468"/>
      <c r="DA59" s="1466"/>
      <c r="DB59" s="1467"/>
      <c r="DC59" s="1467"/>
      <c r="DD59" s="1467"/>
      <c r="DE59" s="1467"/>
      <c r="DF59" s="1467"/>
      <c r="DG59" s="1467"/>
      <c r="DH59" s="1467"/>
      <c r="DI59" s="1467"/>
      <c r="DJ59" s="1467"/>
      <c r="DK59" s="1468"/>
      <c r="DL59" s="1467"/>
      <c r="DM59" s="1467"/>
      <c r="DN59" s="1467"/>
      <c r="DO59" s="1467"/>
      <c r="DP59" s="1467"/>
      <c r="DQ59" s="1467"/>
      <c r="DR59" s="1467"/>
      <c r="DS59" s="1467"/>
      <c r="DT59" s="1467"/>
      <c r="DU59" s="1468"/>
      <c r="DV59" s="1466"/>
      <c r="DW59" s="1467"/>
      <c r="DX59" s="1467"/>
      <c r="DY59" s="1467"/>
      <c r="DZ59" s="1467"/>
      <c r="EA59" s="1467"/>
      <c r="EB59" s="1467"/>
      <c r="EC59" s="1467"/>
      <c r="ED59" s="1467"/>
      <c r="EE59" s="1467"/>
      <c r="EF59" s="1467"/>
      <c r="EG59" s="1467"/>
      <c r="EH59" s="1468"/>
      <c r="EI59" s="1466"/>
      <c r="EJ59" s="1467"/>
      <c r="EK59" s="1467"/>
      <c r="EL59" s="1467"/>
      <c r="EM59" s="1467"/>
      <c r="EN59" s="1467"/>
      <c r="EO59" s="1467"/>
      <c r="EP59" s="1467"/>
      <c r="EQ59" s="1467"/>
      <c r="ER59" s="1467"/>
      <c r="ES59" s="1468"/>
      <c r="ET59" s="1466"/>
      <c r="EU59" s="1467"/>
      <c r="EV59" s="1467"/>
      <c r="EW59" s="1467"/>
      <c r="EX59" s="1467"/>
      <c r="EY59" s="1467"/>
      <c r="EZ59" s="1467"/>
      <c r="FA59" s="1467"/>
      <c r="FB59" s="1467"/>
      <c r="FC59" s="1467"/>
      <c r="FD59" s="1474"/>
      <c r="FE59" s="549"/>
    </row>
    <row r="60" spans="1:163" ht="26.25" customHeight="1" thickBot="1">
      <c r="A60" s="1404" t="s">
        <v>325</v>
      </c>
      <c r="B60" s="1405"/>
      <c r="C60" s="1405"/>
      <c r="D60" s="1405"/>
      <c r="E60" s="1405"/>
      <c r="F60" s="1405"/>
      <c r="G60" s="1405"/>
      <c r="H60" s="1405"/>
      <c r="I60" s="1405"/>
      <c r="J60" s="1405"/>
      <c r="K60" s="1405"/>
      <c r="L60" s="1405"/>
      <c r="M60" s="1405"/>
      <c r="N60" s="1405"/>
      <c r="O60" s="1405"/>
      <c r="P60" s="1405"/>
      <c r="Q60" s="1405"/>
      <c r="R60" s="1405"/>
      <c r="S60" s="1405"/>
      <c r="T60" s="1405"/>
      <c r="U60" s="1405"/>
      <c r="V60" s="1405"/>
      <c r="W60" s="1405"/>
      <c r="X60" s="1405"/>
      <c r="Y60" s="1405"/>
      <c r="Z60" s="1405"/>
      <c r="AA60" s="1405"/>
      <c r="AB60" s="1405"/>
      <c r="AC60" s="1405"/>
      <c r="AD60" s="1405"/>
      <c r="AE60" s="1406"/>
      <c r="AF60" s="1436" t="s">
        <v>326</v>
      </c>
      <c r="AG60" s="1437"/>
      <c r="AH60" s="1437"/>
      <c r="AI60" s="1437"/>
      <c r="AJ60" s="1437"/>
      <c r="AK60" s="1438"/>
      <c r="AL60" s="1380"/>
      <c r="AM60" s="1381"/>
      <c r="AN60" s="1381"/>
      <c r="AO60" s="1381"/>
      <c r="AP60" s="1381"/>
      <c r="AQ60" s="1381"/>
      <c r="AR60" s="1381"/>
      <c r="AS60" s="1381"/>
      <c r="AT60" s="1381"/>
      <c r="AU60" s="1382"/>
      <c r="AV60" s="1380"/>
      <c r="AW60" s="1381"/>
      <c r="AX60" s="1381"/>
      <c r="AY60" s="1381"/>
      <c r="AZ60" s="1381"/>
      <c r="BA60" s="1381"/>
      <c r="BB60" s="1381"/>
      <c r="BC60" s="1381"/>
      <c r="BD60" s="1381"/>
      <c r="BE60" s="1382"/>
      <c r="BF60" s="1380"/>
      <c r="BG60" s="1381"/>
      <c r="BH60" s="1381"/>
      <c r="BI60" s="1381"/>
      <c r="BJ60" s="1381"/>
      <c r="BK60" s="1381"/>
      <c r="BL60" s="1381"/>
      <c r="BM60" s="1381"/>
      <c r="BN60" s="1381"/>
      <c r="BO60" s="1381"/>
      <c r="BP60" s="1381"/>
      <c r="BQ60" s="1382"/>
      <c r="BR60" s="1380"/>
      <c r="BS60" s="1381"/>
      <c r="BT60" s="1381"/>
      <c r="BU60" s="1381"/>
      <c r="BV60" s="1381"/>
      <c r="BW60" s="1381"/>
      <c r="BX60" s="1381"/>
      <c r="BY60" s="1381"/>
      <c r="BZ60" s="1381"/>
      <c r="CA60" s="1381"/>
      <c r="CB60" s="1382"/>
      <c r="CC60" s="1380"/>
      <c r="CD60" s="1381"/>
      <c r="CE60" s="1381"/>
      <c r="CF60" s="1381"/>
      <c r="CG60" s="1381"/>
      <c r="CH60" s="1381"/>
      <c r="CI60" s="1381"/>
      <c r="CJ60" s="1381"/>
      <c r="CK60" s="1381"/>
      <c r="CL60" s="1381"/>
      <c r="CM60" s="1381"/>
      <c r="CN60" s="1381"/>
      <c r="CO60" s="1382"/>
      <c r="CP60" s="1380"/>
      <c r="CQ60" s="1381"/>
      <c r="CR60" s="1381"/>
      <c r="CS60" s="1381"/>
      <c r="CT60" s="1381"/>
      <c r="CU60" s="1381"/>
      <c r="CV60" s="1381"/>
      <c r="CW60" s="1381"/>
      <c r="CX60" s="1381"/>
      <c r="CY60" s="1381"/>
      <c r="CZ60" s="1382"/>
      <c r="DA60" s="1380"/>
      <c r="DB60" s="1381"/>
      <c r="DC60" s="1381"/>
      <c r="DD60" s="1381"/>
      <c r="DE60" s="1381"/>
      <c r="DF60" s="1381"/>
      <c r="DG60" s="1381"/>
      <c r="DH60" s="1381"/>
      <c r="DI60" s="1381"/>
      <c r="DJ60" s="1381"/>
      <c r="DK60" s="1382"/>
      <c r="DL60" s="1381"/>
      <c r="DM60" s="1381"/>
      <c r="DN60" s="1381"/>
      <c r="DO60" s="1381"/>
      <c r="DP60" s="1381"/>
      <c r="DQ60" s="1381"/>
      <c r="DR60" s="1381"/>
      <c r="DS60" s="1381"/>
      <c r="DT60" s="1381"/>
      <c r="DU60" s="1382"/>
      <c r="DV60" s="1380"/>
      <c r="DW60" s="1381"/>
      <c r="DX60" s="1381"/>
      <c r="DY60" s="1381"/>
      <c r="DZ60" s="1381"/>
      <c r="EA60" s="1381"/>
      <c r="EB60" s="1381"/>
      <c r="EC60" s="1381"/>
      <c r="ED60" s="1381"/>
      <c r="EE60" s="1381"/>
      <c r="EF60" s="1381"/>
      <c r="EG60" s="1381"/>
      <c r="EH60" s="1382"/>
      <c r="EI60" s="1380"/>
      <c r="EJ60" s="1381"/>
      <c r="EK60" s="1381"/>
      <c r="EL60" s="1381"/>
      <c r="EM60" s="1381"/>
      <c r="EN60" s="1381"/>
      <c r="EO60" s="1381"/>
      <c r="EP60" s="1381"/>
      <c r="EQ60" s="1381"/>
      <c r="ER60" s="1381"/>
      <c r="ES60" s="1382"/>
      <c r="ET60" s="1380"/>
      <c r="EU60" s="1381"/>
      <c r="EV60" s="1381"/>
      <c r="EW60" s="1381"/>
      <c r="EX60" s="1381"/>
      <c r="EY60" s="1381"/>
      <c r="EZ60" s="1381"/>
      <c r="FA60" s="1381"/>
      <c r="FB60" s="1381"/>
      <c r="FC60" s="1381"/>
      <c r="FD60" s="1398"/>
      <c r="FE60" s="549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10" t="s">
        <v>197</v>
      </c>
      <c r="B64" s="1411"/>
      <c r="C64" s="1411"/>
      <c r="D64" s="1411"/>
      <c r="E64" s="1411"/>
      <c r="F64" s="1411"/>
      <c r="G64" s="1411"/>
      <c r="H64" s="1411"/>
      <c r="I64" s="1411"/>
      <c r="J64" s="1411"/>
      <c r="K64" s="1411"/>
      <c r="L64" s="1411"/>
      <c r="M64" s="1411"/>
      <c r="N64" s="1411"/>
      <c r="O64" s="1411"/>
      <c r="P64" s="1411"/>
      <c r="Q64" s="1411"/>
      <c r="R64" s="1411"/>
      <c r="S64" s="1411"/>
      <c r="T64" s="1411"/>
      <c r="U64" s="1411"/>
      <c r="V64" s="1411"/>
      <c r="W64" s="1411"/>
      <c r="X64" s="1411"/>
      <c r="Y64" s="1411"/>
      <c r="Z64" s="1411"/>
      <c r="AA64" s="1411"/>
      <c r="AB64" s="1411"/>
      <c r="AC64" s="1411"/>
      <c r="AD64" s="1411"/>
      <c r="AE64" s="1412"/>
      <c r="AF64" s="1410" t="s">
        <v>288</v>
      </c>
      <c r="AG64" s="1411"/>
      <c r="AH64" s="1411"/>
      <c r="AI64" s="1411"/>
      <c r="AJ64" s="1411"/>
      <c r="AK64" s="1412"/>
      <c r="AL64" s="1410" t="s">
        <v>304</v>
      </c>
      <c r="AM64" s="1411"/>
      <c r="AN64" s="1411"/>
      <c r="AO64" s="1411"/>
      <c r="AP64" s="1411"/>
      <c r="AQ64" s="1411"/>
      <c r="AR64" s="1411"/>
      <c r="AS64" s="1411"/>
      <c r="AT64" s="1411"/>
      <c r="AU64" s="1412"/>
      <c r="AV64" s="1419" t="s">
        <v>305</v>
      </c>
      <c r="AW64" s="1420"/>
      <c r="AX64" s="1420"/>
      <c r="AY64" s="1420"/>
      <c r="AZ64" s="1420"/>
      <c r="BA64" s="1420"/>
      <c r="BB64" s="1420"/>
      <c r="BC64" s="1420"/>
      <c r="BD64" s="1420"/>
      <c r="BE64" s="1420"/>
      <c r="BF64" s="1420"/>
      <c r="BG64" s="1420"/>
      <c r="BH64" s="1420"/>
      <c r="BI64" s="1420"/>
      <c r="BJ64" s="1420"/>
      <c r="BK64" s="1420"/>
      <c r="BL64" s="1420"/>
      <c r="BM64" s="1420"/>
      <c r="BN64" s="1420"/>
      <c r="BO64" s="1420"/>
      <c r="BP64" s="1420"/>
      <c r="BQ64" s="1420"/>
      <c r="BR64" s="1420"/>
      <c r="BS64" s="1420"/>
      <c r="BT64" s="1420"/>
      <c r="BU64" s="1420"/>
      <c r="BV64" s="1420"/>
      <c r="BW64" s="1420"/>
      <c r="BX64" s="1420"/>
      <c r="BY64" s="1420"/>
      <c r="BZ64" s="1420"/>
      <c r="CA64" s="1420"/>
      <c r="CB64" s="1420"/>
      <c r="CC64" s="1420"/>
      <c r="CD64" s="1420"/>
      <c r="CE64" s="1420"/>
      <c r="CF64" s="1420"/>
      <c r="CG64" s="1420"/>
      <c r="CH64" s="1420"/>
      <c r="CI64" s="1420"/>
      <c r="CJ64" s="1420"/>
      <c r="CK64" s="1420"/>
      <c r="CL64" s="1420"/>
      <c r="CM64" s="1420"/>
      <c r="CN64" s="1420"/>
      <c r="CO64" s="1420"/>
      <c r="CP64" s="1420"/>
      <c r="CQ64" s="1420"/>
      <c r="CR64" s="1420"/>
      <c r="CS64" s="1420"/>
      <c r="CT64" s="1420"/>
      <c r="CU64" s="1420"/>
      <c r="CV64" s="1420"/>
      <c r="CW64" s="1420"/>
      <c r="CX64" s="1420"/>
      <c r="CY64" s="1420"/>
      <c r="CZ64" s="1420"/>
      <c r="DA64" s="1420"/>
      <c r="DB64" s="1420"/>
      <c r="DC64" s="1420"/>
      <c r="DD64" s="1420"/>
      <c r="DE64" s="1420"/>
      <c r="DF64" s="1420"/>
      <c r="DG64" s="1420"/>
      <c r="DH64" s="1420"/>
      <c r="DI64" s="1420"/>
      <c r="DJ64" s="1420"/>
      <c r="DK64" s="1420"/>
      <c r="DL64" s="1420"/>
      <c r="DM64" s="1420"/>
      <c r="DN64" s="1420"/>
      <c r="DO64" s="1420"/>
      <c r="DP64" s="1420"/>
      <c r="DQ64" s="1420"/>
      <c r="DR64" s="1420"/>
      <c r="DS64" s="1420"/>
      <c r="DT64" s="1420"/>
      <c r="DU64" s="1420"/>
      <c r="DV64" s="1420"/>
      <c r="DW64" s="1420"/>
      <c r="DX64" s="1420"/>
      <c r="DY64" s="1420"/>
      <c r="DZ64" s="1420"/>
      <c r="EA64" s="1420"/>
      <c r="EB64" s="1420"/>
      <c r="EC64" s="1420"/>
      <c r="ED64" s="1420"/>
      <c r="EE64" s="1420"/>
      <c r="EF64" s="1420"/>
      <c r="EG64" s="1420"/>
      <c r="EH64" s="1420"/>
      <c r="EI64" s="1420"/>
      <c r="EJ64" s="1420"/>
      <c r="EK64" s="1420"/>
      <c r="EL64" s="1420"/>
      <c r="EM64" s="1420"/>
      <c r="EN64" s="1420"/>
      <c r="EO64" s="1420"/>
      <c r="EP64" s="1420"/>
      <c r="EQ64" s="1420"/>
      <c r="ER64" s="1420"/>
      <c r="ES64" s="1420"/>
      <c r="ET64" s="1420"/>
      <c r="EU64" s="1420"/>
      <c r="EV64" s="1420"/>
      <c r="EW64" s="1420"/>
      <c r="EX64" s="1420"/>
      <c r="EY64" s="1420"/>
      <c r="EZ64" s="1420"/>
      <c r="FA64" s="1420"/>
      <c r="FB64" s="1420"/>
      <c r="FC64" s="1420"/>
      <c r="FD64" s="1421"/>
    </row>
    <row r="65" spans="1:163" ht="23.25" customHeight="1">
      <c r="A65" s="1413"/>
      <c r="B65" s="1414"/>
      <c r="C65" s="1414"/>
      <c r="D65" s="1414"/>
      <c r="E65" s="1414"/>
      <c r="F65" s="1414"/>
      <c r="G65" s="1414"/>
      <c r="H65" s="1414"/>
      <c r="I65" s="1414"/>
      <c r="J65" s="1414"/>
      <c r="K65" s="1414"/>
      <c r="L65" s="1414"/>
      <c r="M65" s="1414"/>
      <c r="N65" s="1414"/>
      <c r="O65" s="1414"/>
      <c r="P65" s="1414"/>
      <c r="Q65" s="1414"/>
      <c r="R65" s="1414"/>
      <c r="S65" s="1414"/>
      <c r="T65" s="1414"/>
      <c r="U65" s="1414"/>
      <c r="V65" s="1414"/>
      <c r="W65" s="1414"/>
      <c r="X65" s="1414"/>
      <c r="Y65" s="1414"/>
      <c r="Z65" s="1414"/>
      <c r="AA65" s="1414"/>
      <c r="AB65" s="1414"/>
      <c r="AC65" s="1414"/>
      <c r="AD65" s="1414"/>
      <c r="AE65" s="1415"/>
      <c r="AF65" s="1413"/>
      <c r="AG65" s="1414"/>
      <c r="AH65" s="1414"/>
      <c r="AI65" s="1414"/>
      <c r="AJ65" s="1414"/>
      <c r="AK65" s="1415"/>
      <c r="AL65" s="1413"/>
      <c r="AM65" s="1414"/>
      <c r="AN65" s="1414"/>
      <c r="AO65" s="1414"/>
      <c r="AP65" s="1414"/>
      <c r="AQ65" s="1414"/>
      <c r="AR65" s="1414"/>
      <c r="AS65" s="1414"/>
      <c r="AT65" s="1414"/>
      <c r="AU65" s="1415"/>
      <c r="AV65" s="1419" t="s">
        <v>306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1"/>
      <c r="DA65" s="1410" t="s">
        <v>307</v>
      </c>
      <c r="DB65" s="1411"/>
      <c r="DC65" s="1411"/>
      <c r="DD65" s="1411"/>
      <c r="DE65" s="1411"/>
      <c r="DF65" s="1411"/>
      <c r="DG65" s="1411"/>
      <c r="DH65" s="1411"/>
      <c r="DI65" s="1411"/>
      <c r="DJ65" s="1411"/>
      <c r="DK65" s="1412"/>
      <c r="DL65" s="1419" t="s">
        <v>475</v>
      </c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1"/>
      <c r="ET65" s="1410" t="s">
        <v>479</v>
      </c>
      <c r="EU65" s="1411"/>
      <c r="EV65" s="1411"/>
      <c r="EW65" s="1411"/>
      <c r="EX65" s="1411"/>
      <c r="EY65" s="1411"/>
      <c r="EZ65" s="1411"/>
      <c r="FA65" s="1411"/>
      <c r="FB65" s="1411"/>
      <c r="FC65" s="1411"/>
      <c r="FD65" s="1412"/>
    </row>
    <row r="66" spans="1:163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410" t="s">
        <v>308</v>
      </c>
      <c r="AW66" s="1411"/>
      <c r="AX66" s="1411"/>
      <c r="AY66" s="1411"/>
      <c r="AZ66" s="1411"/>
      <c r="BA66" s="1411"/>
      <c r="BB66" s="1411"/>
      <c r="BC66" s="1411"/>
      <c r="BD66" s="1411"/>
      <c r="BE66" s="1412"/>
      <c r="BF66" s="1419" t="s">
        <v>309</v>
      </c>
      <c r="BG66" s="1420"/>
      <c r="BH66" s="1420"/>
      <c r="BI66" s="1420"/>
      <c r="BJ66" s="1420"/>
      <c r="BK66" s="1420"/>
      <c r="BL66" s="1420"/>
      <c r="BM66" s="1420"/>
      <c r="BN66" s="1420"/>
      <c r="BO66" s="1420"/>
      <c r="BP66" s="1420"/>
      <c r="BQ66" s="1420"/>
      <c r="BR66" s="1420"/>
      <c r="BS66" s="1420"/>
      <c r="BT66" s="1420"/>
      <c r="BU66" s="1420"/>
      <c r="BV66" s="1420"/>
      <c r="BW66" s="1420"/>
      <c r="BX66" s="1420"/>
      <c r="BY66" s="1420"/>
      <c r="BZ66" s="1420"/>
      <c r="CA66" s="1420"/>
      <c r="CB66" s="1420"/>
      <c r="CC66" s="1420"/>
      <c r="CD66" s="1420"/>
      <c r="CE66" s="1420"/>
      <c r="CF66" s="1420"/>
      <c r="CG66" s="1420"/>
      <c r="CH66" s="1420"/>
      <c r="CI66" s="1420"/>
      <c r="CJ66" s="1420"/>
      <c r="CK66" s="1420"/>
      <c r="CL66" s="1420"/>
      <c r="CM66" s="1420"/>
      <c r="CN66" s="1420"/>
      <c r="CO66" s="1420"/>
      <c r="CP66" s="1420"/>
      <c r="CQ66" s="1420"/>
      <c r="CR66" s="1420"/>
      <c r="CS66" s="1420"/>
      <c r="CT66" s="1420"/>
      <c r="CU66" s="1420"/>
      <c r="CV66" s="1420"/>
      <c r="CW66" s="1420"/>
      <c r="CX66" s="1420"/>
      <c r="CY66" s="1420"/>
      <c r="CZ66" s="1421"/>
      <c r="DA66" s="1413"/>
      <c r="DB66" s="1414"/>
      <c r="DC66" s="1414"/>
      <c r="DD66" s="1414"/>
      <c r="DE66" s="1414"/>
      <c r="DF66" s="1414"/>
      <c r="DG66" s="1414"/>
      <c r="DH66" s="1414"/>
      <c r="DI66" s="1414"/>
      <c r="DJ66" s="1414"/>
      <c r="DK66" s="1415"/>
      <c r="DL66" s="1410" t="s">
        <v>308</v>
      </c>
      <c r="DM66" s="1411"/>
      <c r="DN66" s="1411"/>
      <c r="DO66" s="1411"/>
      <c r="DP66" s="1411"/>
      <c r="DQ66" s="1411"/>
      <c r="DR66" s="1411"/>
      <c r="DS66" s="1411"/>
      <c r="DT66" s="1411"/>
      <c r="DU66" s="1412"/>
      <c r="DV66" s="1420" t="s">
        <v>309</v>
      </c>
      <c r="DW66" s="1420"/>
      <c r="DX66" s="1420"/>
      <c r="DY66" s="1420"/>
      <c r="DZ66" s="1420"/>
      <c r="EA66" s="1420"/>
      <c r="EB66" s="1420"/>
      <c r="EC66" s="1420"/>
      <c r="ED66" s="1420"/>
      <c r="EE66" s="1420"/>
      <c r="EF66" s="1420"/>
      <c r="EG66" s="1420"/>
      <c r="EH66" s="1420"/>
      <c r="EI66" s="1420"/>
      <c r="EJ66" s="1420"/>
      <c r="EK66" s="1420"/>
      <c r="EL66" s="1420"/>
      <c r="EM66" s="1420"/>
      <c r="EN66" s="1420"/>
      <c r="EO66" s="1420"/>
      <c r="EP66" s="1420"/>
      <c r="EQ66" s="1420"/>
      <c r="ER66" s="1420"/>
      <c r="ES66" s="1421"/>
      <c r="ET66" s="1413"/>
      <c r="EU66" s="1414"/>
      <c r="EV66" s="1414"/>
      <c r="EW66" s="1414"/>
      <c r="EX66" s="1414"/>
      <c r="EY66" s="1414"/>
      <c r="EZ66" s="1414"/>
      <c r="FA66" s="1414"/>
      <c r="FB66" s="1414"/>
      <c r="FC66" s="1414"/>
      <c r="FD66" s="1415"/>
    </row>
    <row r="67" spans="1:163" ht="67.5" customHeight="1">
      <c r="A67" s="1416"/>
      <c r="B67" s="1417"/>
      <c r="C67" s="1417"/>
      <c r="D67" s="1417"/>
      <c r="E67" s="1417"/>
      <c r="F67" s="1417"/>
      <c r="G67" s="1417"/>
      <c r="H67" s="1417"/>
      <c r="I67" s="1417"/>
      <c r="J67" s="1417"/>
      <c r="K67" s="1417"/>
      <c r="L67" s="1417"/>
      <c r="M67" s="1417"/>
      <c r="N67" s="1417"/>
      <c r="O67" s="1417"/>
      <c r="P67" s="1417"/>
      <c r="Q67" s="1417"/>
      <c r="R67" s="1417"/>
      <c r="S67" s="1417"/>
      <c r="T67" s="1417"/>
      <c r="U67" s="1417"/>
      <c r="V67" s="1417"/>
      <c r="W67" s="1417"/>
      <c r="X67" s="1417"/>
      <c r="Y67" s="1417"/>
      <c r="Z67" s="1417"/>
      <c r="AA67" s="1417"/>
      <c r="AB67" s="1417"/>
      <c r="AC67" s="1417"/>
      <c r="AD67" s="1417"/>
      <c r="AE67" s="1418"/>
      <c r="AF67" s="1416"/>
      <c r="AG67" s="1417"/>
      <c r="AH67" s="1417"/>
      <c r="AI67" s="1417"/>
      <c r="AJ67" s="1417"/>
      <c r="AK67" s="1418"/>
      <c r="AL67" s="1416"/>
      <c r="AM67" s="1417"/>
      <c r="AN67" s="1417"/>
      <c r="AO67" s="1417"/>
      <c r="AP67" s="1417"/>
      <c r="AQ67" s="1417"/>
      <c r="AR67" s="1417"/>
      <c r="AS67" s="1417"/>
      <c r="AT67" s="1417"/>
      <c r="AU67" s="1418"/>
      <c r="AV67" s="1416"/>
      <c r="AW67" s="1417"/>
      <c r="AX67" s="1417"/>
      <c r="AY67" s="1417"/>
      <c r="AZ67" s="1417"/>
      <c r="BA67" s="1417"/>
      <c r="BB67" s="1417"/>
      <c r="BC67" s="1417"/>
      <c r="BD67" s="1417"/>
      <c r="BE67" s="1418"/>
      <c r="BF67" s="1419" t="s">
        <v>310</v>
      </c>
      <c r="BG67" s="1420"/>
      <c r="BH67" s="1420"/>
      <c r="BI67" s="1420"/>
      <c r="BJ67" s="1420"/>
      <c r="BK67" s="1420"/>
      <c r="BL67" s="1420"/>
      <c r="BM67" s="1420"/>
      <c r="BN67" s="1420"/>
      <c r="BO67" s="1420"/>
      <c r="BP67" s="1420"/>
      <c r="BQ67" s="1421"/>
      <c r="BR67" s="1419" t="s">
        <v>311</v>
      </c>
      <c r="BS67" s="1420"/>
      <c r="BT67" s="1420"/>
      <c r="BU67" s="1420"/>
      <c r="BV67" s="1420"/>
      <c r="BW67" s="1420"/>
      <c r="BX67" s="1420"/>
      <c r="BY67" s="1420"/>
      <c r="BZ67" s="1420"/>
      <c r="CA67" s="1420"/>
      <c r="CB67" s="1421"/>
      <c r="CC67" s="1419" t="s">
        <v>476</v>
      </c>
      <c r="CD67" s="1420"/>
      <c r="CE67" s="1420"/>
      <c r="CF67" s="1420"/>
      <c r="CG67" s="1420"/>
      <c r="CH67" s="1420"/>
      <c r="CI67" s="1420"/>
      <c r="CJ67" s="1420"/>
      <c r="CK67" s="1420"/>
      <c r="CL67" s="1420"/>
      <c r="CM67" s="1420"/>
      <c r="CN67" s="1420"/>
      <c r="CO67" s="1421"/>
      <c r="CP67" s="1419" t="s">
        <v>477</v>
      </c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1"/>
      <c r="DA67" s="1416"/>
      <c r="DB67" s="1417"/>
      <c r="DC67" s="1417"/>
      <c r="DD67" s="1417"/>
      <c r="DE67" s="1417"/>
      <c r="DF67" s="1417"/>
      <c r="DG67" s="1417"/>
      <c r="DH67" s="1417"/>
      <c r="DI67" s="1417"/>
      <c r="DJ67" s="1417"/>
      <c r="DK67" s="1418"/>
      <c r="DL67" s="1416"/>
      <c r="DM67" s="1417"/>
      <c r="DN67" s="1417"/>
      <c r="DO67" s="1417"/>
      <c r="DP67" s="1417"/>
      <c r="DQ67" s="1417"/>
      <c r="DR67" s="1417"/>
      <c r="DS67" s="1417"/>
      <c r="DT67" s="1417"/>
      <c r="DU67" s="1418"/>
      <c r="DV67" s="1419" t="s">
        <v>478</v>
      </c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1"/>
      <c r="EI67" s="1419" t="s">
        <v>477</v>
      </c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416"/>
      <c r="EU67" s="1417"/>
      <c r="EV67" s="1417"/>
      <c r="EW67" s="1417"/>
      <c r="EX67" s="1417"/>
      <c r="EY67" s="1417"/>
      <c r="EZ67" s="1417"/>
      <c r="FA67" s="1417"/>
      <c r="FB67" s="1417"/>
      <c r="FC67" s="1417"/>
      <c r="FD67" s="1418"/>
    </row>
    <row r="68" spans="1:163" ht="16.5" thickBot="1">
      <c r="A68" s="1422" t="s">
        <v>399</v>
      </c>
      <c r="B68" s="1423"/>
      <c r="C68" s="1423"/>
      <c r="D68" s="1423"/>
      <c r="E68" s="1423"/>
      <c r="F68" s="1423"/>
      <c r="G68" s="1423"/>
      <c r="H68" s="1423"/>
      <c r="I68" s="1423"/>
      <c r="J68" s="1423"/>
      <c r="K68" s="1423"/>
      <c r="L68" s="1423"/>
      <c r="M68" s="1423"/>
      <c r="N68" s="1423"/>
      <c r="O68" s="1423"/>
      <c r="P68" s="1423"/>
      <c r="Q68" s="1423"/>
      <c r="R68" s="1423"/>
      <c r="S68" s="1423"/>
      <c r="T68" s="1423"/>
      <c r="U68" s="1423"/>
      <c r="V68" s="1423"/>
      <c r="W68" s="1423"/>
      <c r="X68" s="1423"/>
      <c r="Y68" s="1423"/>
      <c r="Z68" s="1423"/>
      <c r="AA68" s="1423"/>
      <c r="AB68" s="1423"/>
      <c r="AC68" s="1423"/>
      <c r="AD68" s="1423"/>
      <c r="AE68" s="1424"/>
      <c r="AF68" s="1407" t="s">
        <v>400</v>
      </c>
      <c r="AG68" s="1408"/>
      <c r="AH68" s="1408"/>
      <c r="AI68" s="1408"/>
      <c r="AJ68" s="1408"/>
      <c r="AK68" s="1409"/>
      <c r="AL68" s="1455" t="s">
        <v>401</v>
      </c>
      <c r="AM68" s="1456"/>
      <c r="AN68" s="1456"/>
      <c r="AO68" s="1456"/>
      <c r="AP68" s="1456"/>
      <c r="AQ68" s="1456"/>
      <c r="AR68" s="1456"/>
      <c r="AS68" s="1456"/>
      <c r="AT68" s="1456"/>
      <c r="AU68" s="1457"/>
      <c r="AV68" s="1455" t="s">
        <v>402</v>
      </c>
      <c r="AW68" s="1456"/>
      <c r="AX68" s="1456"/>
      <c r="AY68" s="1456"/>
      <c r="AZ68" s="1456"/>
      <c r="BA68" s="1456"/>
      <c r="BB68" s="1456"/>
      <c r="BC68" s="1456"/>
      <c r="BD68" s="1456"/>
      <c r="BE68" s="1457"/>
      <c r="BF68" s="1455" t="s">
        <v>403</v>
      </c>
      <c r="BG68" s="1456"/>
      <c r="BH68" s="1456"/>
      <c r="BI68" s="1456"/>
      <c r="BJ68" s="1456"/>
      <c r="BK68" s="1456"/>
      <c r="BL68" s="1456"/>
      <c r="BM68" s="1456"/>
      <c r="BN68" s="1456"/>
      <c r="BO68" s="1456"/>
      <c r="BP68" s="1456"/>
      <c r="BQ68" s="1457"/>
      <c r="BR68" s="1455" t="s">
        <v>404</v>
      </c>
      <c r="BS68" s="1456"/>
      <c r="BT68" s="1456"/>
      <c r="BU68" s="1456"/>
      <c r="BV68" s="1456"/>
      <c r="BW68" s="1456"/>
      <c r="BX68" s="1456"/>
      <c r="BY68" s="1456"/>
      <c r="BZ68" s="1456"/>
      <c r="CA68" s="1456"/>
      <c r="CB68" s="1457"/>
      <c r="CC68" s="1455" t="s">
        <v>405</v>
      </c>
      <c r="CD68" s="1456"/>
      <c r="CE68" s="1456"/>
      <c r="CF68" s="1456"/>
      <c r="CG68" s="1456"/>
      <c r="CH68" s="1456"/>
      <c r="CI68" s="1456"/>
      <c r="CJ68" s="1456"/>
      <c r="CK68" s="1456"/>
      <c r="CL68" s="1456"/>
      <c r="CM68" s="1456"/>
      <c r="CN68" s="1456"/>
      <c r="CO68" s="1457"/>
      <c r="CP68" s="1455" t="s">
        <v>406</v>
      </c>
      <c r="CQ68" s="1456"/>
      <c r="CR68" s="1456"/>
      <c r="CS68" s="1456"/>
      <c r="CT68" s="1456"/>
      <c r="CU68" s="1456"/>
      <c r="CV68" s="1456"/>
      <c r="CW68" s="1456"/>
      <c r="CX68" s="1456"/>
      <c r="CY68" s="1456"/>
      <c r="CZ68" s="1457"/>
      <c r="DA68" s="1455" t="s">
        <v>407</v>
      </c>
      <c r="DB68" s="1456"/>
      <c r="DC68" s="1456"/>
      <c r="DD68" s="1456"/>
      <c r="DE68" s="1456"/>
      <c r="DF68" s="1456"/>
      <c r="DG68" s="1456"/>
      <c r="DH68" s="1456"/>
      <c r="DI68" s="1456"/>
      <c r="DJ68" s="1456"/>
      <c r="DK68" s="1457"/>
      <c r="DL68" s="1455" t="s">
        <v>408</v>
      </c>
      <c r="DM68" s="1456"/>
      <c r="DN68" s="1456"/>
      <c r="DO68" s="1456"/>
      <c r="DP68" s="1456"/>
      <c r="DQ68" s="1456"/>
      <c r="DR68" s="1456"/>
      <c r="DS68" s="1456"/>
      <c r="DT68" s="1456"/>
      <c r="DU68" s="1457"/>
      <c r="DV68" s="1455" t="s">
        <v>409</v>
      </c>
      <c r="DW68" s="1456"/>
      <c r="DX68" s="1456"/>
      <c r="DY68" s="1456"/>
      <c r="DZ68" s="1456"/>
      <c r="EA68" s="1456"/>
      <c r="EB68" s="1456"/>
      <c r="EC68" s="1456"/>
      <c r="ED68" s="1456"/>
      <c r="EE68" s="1456"/>
      <c r="EF68" s="1456"/>
      <c r="EG68" s="1456"/>
      <c r="EH68" s="1457"/>
      <c r="EI68" s="1455" t="s">
        <v>410</v>
      </c>
      <c r="EJ68" s="1456"/>
      <c r="EK68" s="1456"/>
      <c r="EL68" s="1456"/>
      <c r="EM68" s="1456"/>
      <c r="EN68" s="1456"/>
      <c r="EO68" s="1456"/>
      <c r="EP68" s="1456"/>
      <c r="EQ68" s="1456"/>
      <c r="ER68" s="1456"/>
      <c r="ES68" s="1457"/>
      <c r="ET68" s="1455" t="s">
        <v>411</v>
      </c>
      <c r="EU68" s="1456"/>
      <c r="EV68" s="1456"/>
      <c r="EW68" s="1456"/>
      <c r="EX68" s="1456"/>
      <c r="EY68" s="1456"/>
      <c r="EZ68" s="1456"/>
      <c r="FA68" s="1456"/>
      <c r="FB68" s="1456"/>
      <c r="FC68" s="1456"/>
      <c r="FD68" s="1457"/>
    </row>
    <row r="69" spans="1:163">
      <c r="A69" s="1404" t="s">
        <v>328</v>
      </c>
      <c r="B69" s="1405"/>
      <c r="C69" s="1405"/>
      <c r="D69" s="1405"/>
      <c r="E69" s="1405"/>
      <c r="F69" s="1405"/>
      <c r="G69" s="1405"/>
      <c r="H69" s="1405"/>
      <c r="I69" s="1405"/>
      <c r="J69" s="1405"/>
      <c r="K69" s="1405"/>
      <c r="L69" s="1405"/>
      <c r="M69" s="1405"/>
      <c r="N69" s="1405"/>
      <c r="O69" s="1405"/>
      <c r="P69" s="1405"/>
      <c r="Q69" s="1405"/>
      <c r="R69" s="1405"/>
      <c r="S69" s="1405"/>
      <c r="T69" s="1405"/>
      <c r="U69" s="1405"/>
      <c r="V69" s="1405"/>
      <c r="W69" s="1405"/>
      <c r="X69" s="1405"/>
      <c r="Y69" s="1405"/>
      <c r="Z69" s="1405"/>
      <c r="AA69" s="1405"/>
      <c r="AB69" s="1405"/>
      <c r="AC69" s="1405"/>
      <c r="AD69" s="1405"/>
      <c r="AE69" s="1406"/>
      <c r="AF69" s="1441" t="s">
        <v>329</v>
      </c>
      <c r="AG69" s="1442"/>
      <c r="AH69" s="1442"/>
      <c r="AI69" s="1442"/>
      <c r="AJ69" s="1442"/>
      <c r="AK69" s="1443"/>
      <c r="AL69" s="1453">
        <f>ET69</f>
        <v>0</v>
      </c>
      <c r="AM69" s="1454"/>
      <c r="AN69" s="1454"/>
      <c r="AO69" s="1454"/>
      <c r="AP69" s="1454"/>
      <c r="AQ69" s="1454"/>
      <c r="AR69" s="1454"/>
      <c r="AS69" s="1454"/>
      <c r="AT69" s="1454"/>
      <c r="AU69" s="1454"/>
      <c r="AV69" s="1425"/>
      <c r="AW69" s="1426"/>
      <c r="AX69" s="1426"/>
      <c r="AY69" s="1426"/>
      <c r="AZ69" s="1426"/>
      <c r="BA69" s="1426"/>
      <c r="BB69" s="1426"/>
      <c r="BC69" s="1426"/>
      <c r="BD69" s="1426"/>
      <c r="BE69" s="1427"/>
      <c r="BF69" s="1425"/>
      <c r="BG69" s="1426"/>
      <c r="BH69" s="1426"/>
      <c r="BI69" s="1426"/>
      <c r="BJ69" s="1426"/>
      <c r="BK69" s="1426"/>
      <c r="BL69" s="1426"/>
      <c r="BM69" s="1426"/>
      <c r="BN69" s="1426"/>
      <c r="BO69" s="1426"/>
      <c r="BP69" s="1426"/>
      <c r="BQ69" s="1427"/>
      <c r="BR69" s="1425"/>
      <c r="BS69" s="1426"/>
      <c r="BT69" s="1426"/>
      <c r="BU69" s="1426"/>
      <c r="BV69" s="1426"/>
      <c r="BW69" s="1426"/>
      <c r="BX69" s="1426"/>
      <c r="BY69" s="1426"/>
      <c r="BZ69" s="1426"/>
      <c r="CA69" s="1426"/>
      <c r="CB69" s="1427"/>
      <c r="CC69" s="1425"/>
      <c r="CD69" s="1426"/>
      <c r="CE69" s="1426"/>
      <c r="CF69" s="1426"/>
      <c r="CG69" s="1426"/>
      <c r="CH69" s="1426"/>
      <c r="CI69" s="1426"/>
      <c r="CJ69" s="1426"/>
      <c r="CK69" s="1426"/>
      <c r="CL69" s="1426"/>
      <c r="CM69" s="1426"/>
      <c r="CN69" s="1426"/>
      <c r="CO69" s="1427"/>
      <c r="CP69" s="1425"/>
      <c r="CQ69" s="1426"/>
      <c r="CR69" s="1426"/>
      <c r="CS69" s="1426"/>
      <c r="CT69" s="1426"/>
      <c r="CU69" s="1426"/>
      <c r="CV69" s="1426"/>
      <c r="CW69" s="1426"/>
      <c r="CX69" s="1426"/>
      <c r="CY69" s="1426"/>
      <c r="CZ69" s="1427"/>
      <c r="DA69" s="1425"/>
      <c r="DB69" s="1426"/>
      <c r="DC69" s="1426"/>
      <c r="DD69" s="1426"/>
      <c r="DE69" s="1426"/>
      <c r="DF69" s="1426"/>
      <c r="DG69" s="1426"/>
      <c r="DH69" s="1426"/>
      <c r="DI69" s="1426"/>
      <c r="DJ69" s="1426"/>
      <c r="DK69" s="1427"/>
      <c r="DL69" s="1426"/>
      <c r="DM69" s="1426"/>
      <c r="DN69" s="1426"/>
      <c r="DO69" s="1426"/>
      <c r="DP69" s="1426"/>
      <c r="DQ69" s="1426"/>
      <c r="DR69" s="1426"/>
      <c r="DS69" s="1426"/>
      <c r="DT69" s="1426"/>
      <c r="DU69" s="1427"/>
      <c r="DV69" s="1425"/>
      <c r="DW69" s="1426"/>
      <c r="DX69" s="1426"/>
      <c r="DY69" s="1426"/>
      <c r="DZ69" s="1426"/>
      <c r="EA69" s="1426"/>
      <c r="EB69" s="1426"/>
      <c r="EC69" s="1426"/>
      <c r="ED69" s="1426"/>
      <c r="EE69" s="1426"/>
      <c r="EF69" s="1426"/>
      <c r="EG69" s="1426"/>
      <c r="EH69" s="1427"/>
      <c r="EI69" s="1425"/>
      <c r="EJ69" s="1426"/>
      <c r="EK69" s="1426"/>
      <c r="EL69" s="1426"/>
      <c r="EM69" s="1426"/>
      <c r="EN69" s="1426"/>
      <c r="EO69" s="1426"/>
      <c r="EP69" s="1426"/>
      <c r="EQ69" s="1426"/>
      <c r="ER69" s="1426"/>
      <c r="ES69" s="1427"/>
      <c r="ET69" s="146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5"/>
      <c r="EV69" s="1465"/>
      <c r="EW69" s="1465"/>
      <c r="EX69" s="1465"/>
      <c r="EY69" s="1465"/>
      <c r="EZ69" s="1465"/>
      <c r="FA69" s="1465"/>
      <c r="FB69" s="1465"/>
      <c r="FC69" s="1465"/>
      <c r="FD69" s="1465"/>
      <c r="FE69" s="549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62" t="s">
        <v>955</v>
      </c>
      <c r="B70" s="1463"/>
      <c r="C70" s="1463"/>
      <c r="D70" s="1463"/>
      <c r="E70" s="1463"/>
      <c r="F70" s="1463"/>
      <c r="G70" s="1463"/>
      <c r="H70" s="1463"/>
      <c r="I70" s="1463"/>
      <c r="J70" s="1463"/>
      <c r="K70" s="1463"/>
      <c r="L70" s="1463"/>
      <c r="M70" s="1463"/>
      <c r="N70" s="1463"/>
      <c r="O70" s="1463"/>
      <c r="P70" s="1463"/>
      <c r="Q70" s="1463"/>
      <c r="R70" s="1463"/>
      <c r="S70" s="1463"/>
      <c r="T70" s="1463"/>
      <c r="U70" s="1463"/>
      <c r="V70" s="1463"/>
      <c r="W70" s="1463"/>
      <c r="X70" s="1463"/>
      <c r="Y70" s="1463"/>
      <c r="Z70" s="1463"/>
      <c r="AA70" s="1463"/>
      <c r="AB70" s="1463"/>
      <c r="AC70" s="1463"/>
      <c r="AD70" s="1463"/>
      <c r="AE70" s="1464"/>
      <c r="AF70" s="1444" t="s">
        <v>330</v>
      </c>
      <c r="AG70" s="1445"/>
      <c r="AH70" s="1445"/>
      <c r="AI70" s="1445"/>
      <c r="AJ70" s="1445"/>
      <c r="AK70" s="1446"/>
      <c r="AL70" s="1450">
        <f>ET70</f>
        <v>0</v>
      </c>
      <c r="AM70" s="1451"/>
      <c r="AN70" s="1451"/>
      <c r="AO70" s="1451"/>
      <c r="AP70" s="1451"/>
      <c r="AQ70" s="1451"/>
      <c r="AR70" s="1451"/>
      <c r="AS70" s="1451"/>
      <c r="AT70" s="1451"/>
      <c r="AU70" s="1451"/>
      <c r="AV70" s="1447"/>
      <c r="AW70" s="1448"/>
      <c r="AX70" s="1448"/>
      <c r="AY70" s="1448"/>
      <c r="AZ70" s="1448"/>
      <c r="BA70" s="1448"/>
      <c r="BB70" s="1448"/>
      <c r="BC70" s="1448"/>
      <c r="BD70" s="1448"/>
      <c r="BE70" s="1449"/>
      <c r="BF70" s="1447"/>
      <c r="BG70" s="1448"/>
      <c r="BH70" s="1448"/>
      <c r="BI70" s="1448"/>
      <c r="BJ70" s="1448"/>
      <c r="BK70" s="1448"/>
      <c r="BL70" s="1448"/>
      <c r="BM70" s="1448"/>
      <c r="BN70" s="1448"/>
      <c r="BO70" s="1448"/>
      <c r="BP70" s="1448"/>
      <c r="BQ70" s="1449"/>
      <c r="BR70" s="1447"/>
      <c r="BS70" s="1448"/>
      <c r="BT70" s="1448"/>
      <c r="BU70" s="1448"/>
      <c r="BV70" s="1448"/>
      <c r="BW70" s="1448"/>
      <c r="BX70" s="1448"/>
      <c r="BY70" s="1448"/>
      <c r="BZ70" s="1448"/>
      <c r="CA70" s="1448"/>
      <c r="CB70" s="1449"/>
      <c r="CC70" s="1447"/>
      <c r="CD70" s="1448"/>
      <c r="CE70" s="1448"/>
      <c r="CF70" s="1448"/>
      <c r="CG70" s="1448"/>
      <c r="CH70" s="1448"/>
      <c r="CI70" s="1448"/>
      <c r="CJ70" s="1448"/>
      <c r="CK70" s="1448"/>
      <c r="CL70" s="1448"/>
      <c r="CM70" s="1448"/>
      <c r="CN70" s="1448"/>
      <c r="CO70" s="1449"/>
      <c r="CP70" s="1447"/>
      <c r="CQ70" s="1448"/>
      <c r="CR70" s="1448"/>
      <c r="CS70" s="1448"/>
      <c r="CT70" s="1448"/>
      <c r="CU70" s="1448"/>
      <c r="CV70" s="1448"/>
      <c r="CW70" s="1448"/>
      <c r="CX70" s="1448"/>
      <c r="CY70" s="1448"/>
      <c r="CZ70" s="1449"/>
      <c r="DA70" s="1447"/>
      <c r="DB70" s="1448"/>
      <c r="DC70" s="1448"/>
      <c r="DD70" s="1448"/>
      <c r="DE70" s="1448"/>
      <c r="DF70" s="1448"/>
      <c r="DG70" s="1448"/>
      <c r="DH70" s="1448"/>
      <c r="DI70" s="1448"/>
      <c r="DJ70" s="1448"/>
      <c r="DK70" s="1449"/>
      <c r="DL70" s="1448"/>
      <c r="DM70" s="1448"/>
      <c r="DN70" s="1448"/>
      <c r="DO70" s="1448"/>
      <c r="DP70" s="1448"/>
      <c r="DQ70" s="1448"/>
      <c r="DR70" s="1448"/>
      <c r="DS70" s="1448"/>
      <c r="DT70" s="1448"/>
      <c r="DU70" s="1449"/>
      <c r="DV70" s="1447"/>
      <c r="DW70" s="1448"/>
      <c r="DX70" s="1448"/>
      <c r="DY70" s="1448"/>
      <c r="DZ70" s="1448"/>
      <c r="EA70" s="1448"/>
      <c r="EB70" s="1448"/>
      <c r="EC70" s="1448"/>
      <c r="ED70" s="1448"/>
      <c r="EE70" s="1448"/>
      <c r="EF70" s="1448"/>
      <c r="EG70" s="1448"/>
      <c r="EH70" s="1449"/>
      <c r="EI70" s="1447"/>
      <c r="EJ70" s="1448"/>
      <c r="EK70" s="1448"/>
      <c r="EL70" s="1448"/>
      <c r="EM70" s="1448"/>
      <c r="EN70" s="1448"/>
      <c r="EO70" s="1448"/>
      <c r="EP70" s="1448"/>
      <c r="EQ70" s="1448"/>
      <c r="ER70" s="1448"/>
      <c r="ES70" s="1449"/>
      <c r="ET70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30"/>
      <c r="EV70" s="1430"/>
      <c r="EW70" s="1430"/>
      <c r="EX70" s="1430"/>
      <c r="EY70" s="1430"/>
      <c r="EZ70" s="1430"/>
      <c r="FA70" s="1430"/>
      <c r="FB70" s="1430"/>
      <c r="FC70" s="1430"/>
      <c r="FD70" s="1431"/>
      <c r="FE70" s="549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404" t="s">
        <v>331</v>
      </c>
      <c r="B71" s="1405"/>
      <c r="C71" s="1405"/>
      <c r="D71" s="1405"/>
      <c r="E71" s="1405"/>
      <c r="F71" s="1405"/>
      <c r="G71" s="1405"/>
      <c r="H71" s="1405"/>
      <c r="I71" s="1405"/>
      <c r="J71" s="1405"/>
      <c r="K71" s="1405"/>
      <c r="L71" s="1405"/>
      <c r="M71" s="1405"/>
      <c r="N71" s="1405"/>
      <c r="O71" s="1405"/>
      <c r="P71" s="1405"/>
      <c r="Q71" s="1405"/>
      <c r="R71" s="1405"/>
      <c r="S71" s="1405"/>
      <c r="T71" s="1405"/>
      <c r="U71" s="1405"/>
      <c r="V71" s="1405"/>
      <c r="W71" s="1405"/>
      <c r="X71" s="1405"/>
      <c r="Y71" s="1405"/>
      <c r="Z71" s="1405"/>
      <c r="AA71" s="1405"/>
      <c r="AB71" s="1405"/>
      <c r="AC71" s="1405"/>
      <c r="AD71" s="1405"/>
      <c r="AE71" s="1406"/>
      <c r="AF71" s="1433" t="s">
        <v>332</v>
      </c>
      <c r="AG71" s="1434"/>
      <c r="AH71" s="1434"/>
      <c r="AI71" s="1434"/>
      <c r="AJ71" s="1434"/>
      <c r="AK71" s="1435"/>
      <c r="AL71" s="1401"/>
      <c r="AM71" s="1402"/>
      <c r="AN71" s="1402"/>
      <c r="AO71" s="1402"/>
      <c r="AP71" s="1402"/>
      <c r="AQ71" s="1402"/>
      <c r="AR71" s="1402"/>
      <c r="AS71" s="1402"/>
      <c r="AT71" s="1402"/>
      <c r="AU71" s="1403"/>
      <c r="AV71" s="1401"/>
      <c r="AW71" s="1402"/>
      <c r="AX71" s="1402"/>
      <c r="AY71" s="1402"/>
      <c r="AZ71" s="1402"/>
      <c r="BA71" s="1402"/>
      <c r="BB71" s="1402"/>
      <c r="BC71" s="1402"/>
      <c r="BD71" s="1402"/>
      <c r="BE71" s="1403"/>
      <c r="BF71" s="1401"/>
      <c r="BG71" s="1402"/>
      <c r="BH71" s="1402"/>
      <c r="BI71" s="1402"/>
      <c r="BJ71" s="1402"/>
      <c r="BK71" s="1402"/>
      <c r="BL71" s="1402"/>
      <c r="BM71" s="1402"/>
      <c r="BN71" s="1402"/>
      <c r="BO71" s="1402"/>
      <c r="BP71" s="1402"/>
      <c r="BQ71" s="1403"/>
      <c r="BR71" s="1401"/>
      <c r="BS71" s="1402"/>
      <c r="BT71" s="1402"/>
      <c r="BU71" s="1402"/>
      <c r="BV71" s="1402"/>
      <c r="BW71" s="1402"/>
      <c r="BX71" s="1402"/>
      <c r="BY71" s="1402"/>
      <c r="BZ71" s="1402"/>
      <c r="CA71" s="1402"/>
      <c r="CB71" s="1403"/>
      <c r="CC71" s="1401"/>
      <c r="CD71" s="1402"/>
      <c r="CE71" s="1402"/>
      <c r="CF71" s="1402"/>
      <c r="CG71" s="1402"/>
      <c r="CH71" s="1402"/>
      <c r="CI71" s="1402"/>
      <c r="CJ71" s="1402"/>
      <c r="CK71" s="1402"/>
      <c r="CL71" s="1402"/>
      <c r="CM71" s="1402"/>
      <c r="CN71" s="1402"/>
      <c r="CO71" s="1403"/>
      <c r="CP71" s="1401"/>
      <c r="CQ71" s="1402"/>
      <c r="CR71" s="1402"/>
      <c r="CS71" s="1402"/>
      <c r="CT71" s="1402"/>
      <c r="CU71" s="1402"/>
      <c r="CV71" s="1402"/>
      <c r="CW71" s="1402"/>
      <c r="CX71" s="1402"/>
      <c r="CY71" s="1402"/>
      <c r="CZ71" s="1403"/>
      <c r="DA71" s="1401"/>
      <c r="DB71" s="1402"/>
      <c r="DC71" s="1402"/>
      <c r="DD71" s="1402"/>
      <c r="DE71" s="1402"/>
      <c r="DF71" s="1402"/>
      <c r="DG71" s="1402"/>
      <c r="DH71" s="1402"/>
      <c r="DI71" s="1402"/>
      <c r="DJ71" s="1402"/>
      <c r="DK71" s="1403"/>
      <c r="DL71" s="1402"/>
      <c r="DM71" s="1402"/>
      <c r="DN71" s="1402"/>
      <c r="DO71" s="1402"/>
      <c r="DP71" s="1402"/>
      <c r="DQ71" s="1402"/>
      <c r="DR71" s="1402"/>
      <c r="DS71" s="1402"/>
      <c r="DT71" s="1402"/>
      <c r="DU71" s="1403"/>
      <c r="DV71" s="1401"/>
      <c r="DW71" s="1402"/>
      <c r="DX71" s="1402"/>
      <c r="DY71" s="1402"/>
      <c r="DZ71" s="1402"/>
      <c r="EA71" s="1402"/>
      <c r="EB71" s="1402"/>
      <c r="EC71" s="1402"/>
      <c r="ED71" s="1402"/>
      <c r="EE71" s="1402"/>
      <c r="EF71" s="1402"/>
      <c r="EG71" s="1402"/>
      <c r="EH71" s="1403"/>
      <c r="EI71" s="1401"/>
      <c r="EJ71" s="1402"/>
      <c r="EK71" s="1402"/>
      <c r="EL71" s="1402"/>
      <c r="EM71" s="1402"/>
      <c r="EN71" s="1402"/>
      <c r="EO71" s="1402"/>
      <c r="EP71" s="1402"/>
      <c r="EQ71" s="1402"/>
      <c r="ER71" s="1402"/>
      <c r="ES71" s="1403"/>
      <c r="ET71" s="1402"/>
      <c r="EU71" s="1402"/>
      <c r="EV71" s="1402"/>
      <c r="EW71" s="1402"/>
      <c r="EX71" s="1402"/>
      <c r="EY71" s="1402"/>
      <c r="EZ71" s="1402"/>
      <c r="FA71" s="1402"/>
      <c r="FB71" s="1402"/>
      <c r="FC71" s="1402"/>
      <c r="FD71" s="1432"/>
    </row>
    <row r="72" spans="1:163">
      <c r="A72" s="1404" t="s">
        <v>276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333</v>
      </c>
      <c r="AG72" s="1434"/>
      <c r="AH72" s="1434"/>
      <c r="AI72" s="1434"/>
      <c r="AJ72" s="1434"/>
      <c r="AK72" s="1435"/>
      <c r="AL72" s="1429">
        <f>ET72</f>
        <v>0</v>
      </c>
      <c r="AM72" s="1430"/>
      <c r="AN72" s="1430"/>
      <c r="AO72" s="1430"/>
      <c r="AP72" s="1430"/>
      <c r="AQ72" s="1430"/>
      <c r="AR72" s="1430"/>
      <c r="AS72" s="1430"/>
      <c r="AT72" s="1430"/>
      <c r="AU72" s="1430"/>
      <c r="AV72" s="1401"/>
      <c r="AW72" s="1402"/>
      <c r="AX72" s="1402"/>
      <c r="AY72" s="1402"/>
      <c r="AZ72" s="1402"/>
      <c r="BA72" s="1402"/>
      <c r="BB72" s="1402"/>
      <c r="BC72" s="1402"/>
      <c r="BD72" s="1402"/>
      <c r="BE72" s="1403"/>
      <c r="BF72" s="1401"/>
      <c r="BG72" s="1402"/>
      <c r="BH72" s="1402"/>
      <c r="BI72" s="1402"/>
      <c r="BJ72" s="1402"/>
      <c r="BK72" s="1402"/>
      <c r="BL72" s="1402"/>
      <c r="BM72" s="1402"/>
      <c r="BN72" s="1402"/>
      <c r="BO72" s="1402"/>
      <c r="BP72" s="1402"/>
      <c r="BQ72" s="1403"/>
      <c r="BR72" s="1401"/>
      <c r="BS72" s="1402"/>
      <c r="BT72" s="1402"/>
      <c r="BU72" s="1402"/>
      <c r="BV72" s="1402"/>
      <c r="BW72" s="1402"/>
      <c r="BX72" s="1402"/>
      <c r="BY72" s="1402"/>
      <c r="BZ72" s="1402"/>
      <c r="CA72" s="1402"/>
      <c r="CB72" s="1403"/>
      <c r="CC72" s="1401"/>
      <c r="CD72" s="1402"/>
      <c r="CE72" s="1402"/>
      <c r="CF72" s="1402"/>
      <c r="CG72" s="1402"/>
      <c r="CH72" s="1402"/>
      <c r="CI72" s="1402"/>
      <c r="CJ72" s="1402"/>
      <c r="CK72" s="1402"/>
      <c r="CL72" s="1402"/>
      <c r="CM72" s="1402"/>
      <c r="CN72" s="1402"/>
      <c r="CO72" s="1403"/>
      <c r="CP72" s="1401"/>
      <c r="CQ72" s="1402"/>
      <c r="CR72" s="1402"/>
      <c r="CS72" s="1402"/>
      <c r="CT72" s="1402"/>
      <c r="CU72" s="1402"/>
      <c r="CV72" s="1402"/>
      <c r="CW72" s="1402"/>
      <c r="CX72" s="1402"/>
      <c r="CY72" s="1402"/>
      <c r="CZ72" s="1403"/>
      <c r="DA72" s="1401"/>
      <c r="DB72" s="1402"/>
      <c r="DC72" s="1402"/>
      <c r="DD72" s="1402"/>
      <c r="DE72" s="1402"/>
      <c r="DF72" s="1402"/>
      <c r="DG72" s="1402"/>
      <c r="DH72" s="1402"/>
      <c r="DI72" s="1402"/>
      <c r="DJ72" s="1402"/>
      <c r="DK72" s="1403"/>
      <c r="DL72" s="1402"/>
      <c r="DM72" s="1402"/>
      <c r="DN72" s="1402"/>
      <c r="DO72" s="1402"/>
      <c r="DP72" s="1402"/>
      <c r="DQ72" s="1402"/>
      <c r="DR72" s="1402"/>
      <c r="DS72" s="1402"/>
      <c r="DT72" s="1402"/>
      <c r="DU72" s="1403"/>
      <c r="DV72" s="1401"/>
      <c r="DW72" s="1402"/>
      <c r="DX72" s="1402"/>
      <c r="DY72" s="1402"/>
      <c r="DZ72" s="1402"/>
      <c r="EA72" s="1402"/>
      <c r="EB72" s="1402"/>
      <c r="EC72" s="1402"/>
      <c r="ED72" s="1402"/>
      <c r="EE72" s="1402"/>
      <c r="EF72" s="1402"/>
      <c r="EG72" s="1402"/>
      <c r="EH72" s="1403"/>
      <c r="EI72" s="1401"/>
      <c r="EJ72" s="1402"/>
      <c r="EK72" s="1402"/>
      <c r="EL72" s="1402"/>
      <c r="EM72" s="1402"/>
      <c r="EN72" s="1402"/>
      <c r="EO72" s="1402"/>
      <c r="EP72" s="1402"/>
      <c r="EQ72" s="1402"/>
      <c r="ER72" s="1402"/>
      <c r="ES72" s="1403"/>
      <c r="ET72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30"/>
      <c r="EV72" s="1430"/>
      <c r="EW72" s="1430"/>
      <c r="EX72" s="1430"/>
      <c r="EY72" s="1430"/>
      <c r="EZ72" s="1430"/>
      <c r="FA72" s="1430"/>
      <c r="FB72" s="1430"/>
      <c r="FC72" s="1430"/>
      <c r="FD72" s="1431"/>
      <c r="FE72" s="549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404" t="s">
        <v>334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335</v>
      </c>
      <c r="AG73" s="1434"/>
      <c r="AH73" s="1434"/>
      <c r="AI73" s="1434"/>
      <c r="AJ73" s="1434"/>
      <c r="AK73" s="1435"/>
      <c r="AL73" s="1401"/>
      <c r="AM73" s="1402"/>
      <c r="AN73" s="1402"/>
      <c r="AO73" s="1402"/>
      <c r="AP73" s="1402"/>
      <c r="AQ73" s="1402"/>
      <c r="AR73" s="1402"/>
      <c r="AS73" s="1402"/>
      <c r="AT73" s="1402"/>
      <c r="AU73" s="1403"/>
      <c r="AV73" s="1401"/>
      <c r="AW73" s="1402"/>
      <c r="AX73" s="1402"/>
      <c r="AY73" s="1402"/>
      <c r="AZ73" s="1402"/>
      <c r="BA73" s="1402"/>
      <c r="BB73" s="1402"/>
      <c r="BC73" s="1402"/>
      <c r="BD73" s="1402"/>
      <c r="BE73" s="1403"/>
      <c r="BF73" s="1401"/>
      <c r="BG73" s="1402"/>
      <c r="BH73" s="1402"/>
      <c r="BI73" s="1402"/>
      <c r="BJ73" s="1402"/>
      <c r="BK73" s="1402"/>
      <c r="BL73" s="1402"/>
      <c r="BM73" s="1402"/>
      <c r="BN73" s="1402"/>
      <c r="BO73" s="1402"/>
      <c r="BP73" s="1402"/>
      <c r="BQ73" s="1403"/>
      <c r="BR73" s="1401"/>
      <c r="BS73" s="1402"/>
      <c r="BT73" s="1402"/>
      <c r="BU73" s="1402"/>
      <c r="BV73" s="1402"/>
      <c r="BW73" s="1402"/>
      <c r="BX73" s="1402"/>
      <c r="BY73" s="1402"/>
      <c r="BZ73" s="1402"/>
      <c r="CA73" s="1402"/>
      <c r="CB73" s="1403"/>
      <c r="CC73" s="1401"/>
      <c r="CD73" s="1402"/>
      <c r="CE73" s="1402"/>
      <c r="CF73" s="1402"/>
      <c r="CG73" s="1402"/>
      <c r="CH73" s="1402"/>
      <c r="CI73" s="1402"/>
      <c r="CJ73" s="1402"/>
      <c r="CK73" s="1402"/>
      <c r="CL73" s="1402"/>
      <c r="CM73" s="1402"/>
      <c r="CN73" s="1402"/>
      <c r="CO73" s="1403"/>
      <c r="CP73" s="1401"/>
      <c r="CQ73" s="1402"/>
      <c r="CR73" s="1402"/>
      <c r="CS73" s="1402"/>
      <c r="CT73" s="1402"/>
      <c r="CU73" s="1402"/>
      <c r="CV73" s="1402"/>
      <c r="CW73" s="1402"/>
      <c r="CX73" s="1402"/>
      <c r="CY73" s="1402"/>
      <c r="CZ73" s="1403"/>
      <c r="DA73" s="1401"/>
      <c r="DB73" s="1402"/>
      <c r="DC73" s="1402"/>
      <c r="DD73" s="1402"/>
      <c r="DE73" s="1402"/>
      <c r="DF73" s="1402"/>
      <c r="DG73" s="1402"/>
      <c r="DH73" s="1402"/>
      <c r="DI73" s="1402"/>
      <c r="DJ73" s="1402"/>
      <c r="DK73" s="1403"/>
      <c r="DL73" s="1402"/>
      <c r="DM73" s="1402"/>
      <c r="DN73" s="1402"/>
      <c r="DO73" s="1402"/>
      <c r="DP73" s="1402"/>
      <c r="DQ73" s="1402"/>
      <c r="DR73" s="1402"/>
      <c r="DS73" s="1402"/>
      <c r="DT73" s="1402"/>
      <c r="DU73" s="1403"/>
      <c r="DV73" s="1401"/>
      <c r="DW73" s="1402"/>
      <c r="DX73" s="1402"/>
      <c r="DY73" s="1402"/>
      <c r="DZ73" s="1402"/>
      <c r="EA73" s="1402"/>
      <c r="EB73" s="1402"/>
      <c r="EC73" s="1402"/>
      <c r="ED73" s="1402"/>
      <c r="EE73" s="1402"/>
      <c r="EF73" s="1402"/>
      <c r="EG73" s="1402"/>
      <c r="EH73" s="1403"/>
      <c r="EI73" s="1401"/>
      <c r="EJ73" s="1402"/>
      <c r="EK73" s="1402"/>
      <c r="EL73" s="1402"/>
      <c r="EM73" s="1402"/>
      <c r="EN73" s="1402"/>
      <c r="EO73" s="1402"/>
      <c r="EP73" s="1402"/>
      <c r="EQ73" s="1402"/>
      <c r="ER73" s="1402"/>
      <c r="ES73" s="1403"/>
      <c r="ET73" s="1402"/>
      <c r="EU73" s="1402"/>
      <c r="EV73" s="1402"/>
      <c r="EW73" s="1402"/>
      <c r="EX73" s="1402"/>
      <c r="EY73" s="1402"/>
      <c r="EZ73" s="1402"/>
      <c r="FA73" s="1402"/>
      <c r="FB73" s="1402"/>
      <c r="FC73" s="1402"/>
      <c r="FD73" s="1432"/>
    </row>
    <row r="74" spans="1:163">
      <c r="A74" s="1404" t="s">
        <v>277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336</v>
      </c>
      <c r="AG74" s="1434"/>
      <c r="AH74" s="1434"/>
      <c r="AI74" s="1434"/>
      <c r="AJ74" s="1434"/>
      <c r="AK74" s="1435"/>
      <c r="AL74" s="1429">
        <f>ET74</f>
        <v>0</v>
      </c>
      <c r="AM74" s="1430"/>
      <c r="AN74" s="1430"/>
      <c r="AO74" s="1430"/>
      <c r="AP74" s="1430"/>
      <c r="AQ74" s="1430"/>
      <c r="AR74" s="1430"/>
      <c r="AS74" s="1430"/>
      <c r="AT74" s="1430"/>
      <c r="AU74" s="1430"/>
      <c r="AV74" s="1401"/>
      <c r="AW74" s="1402"/>
      <c r="AX74" s="1402"/>
      <c r="AY74" s="1402"/>
      <c r="AZ74" s="1402"/>
      <c r="BA74" s="1402"/>
      <c r="BB74" s="1402"/>
      <c r="BC74" s="1402"/>
      <c r="BD74" s="1402"/>
      <c r="BE74" s="1403"/>
      <c r="BF74" s="1401"/>
      <c r="BG74" s="1402"/>
      <c r="BH74" s="1402"/>
      <c r="BI74" s="1402"/>
      <c r="BJ74" s="1402"/>
      <c r="BK74" s="1402"/>
      <c r="BL74" s="1402"/>
      <c r="BM74" s="1402"/>
      <c r="BN74" s="1402"/>
      <c r="BO74" s="1402"/>
      <c r="BP74" s="1402"/>
      <c r="BQ74" s="1403"/>
      <c r="BR74" s="1401"/>
      <c r="BS74" s="1402"/>
      <c r="BT74" s="1402"/>
      <c r="BU74" s="1402"/>
      <c r="BV74" s="1402"/>
      <c r="BW74" s="1402"/>
      <c r="BX74" s="1402"/>
      <c r="BY74" s="1402"/>
      <c r="BZ74" s="1402"/>
      <c r="CA74" s="1402"/>
      <c r="CB74" s="1403"/>
      <c r="CC74" s="1401"/>
      <c r="CD74" s="1402"/>
      <c r="CE74" s="1402"/>
      <c r="CF74" s="1402"/>
      <c r="CG74" s="1402"/>
      <c r="CH74" s="1402"/>
      <c r="CI74" s="1402"/>
      <c r="CJ74" s="1402"/>
      <c r="CK74" s="1402"/>
      <c r="CL74" s="1402"/>
      <c r="CM74" s="1402"/>
      <c r="CN74" s="1402"/>
      <c r="CO74" s="1403"/>
      <c r="CP74" s="1401"/>
      <c r="CQ74" s="1402"/>
      <c r="CR74" s="1402"/>
      <c r="CS74" s="1402"/>
      <c r="CT74" s="1402"/>
      <c r="CU74" s="1402"/>
      <c r="CV74" s="1402"/>
      <c r="CW74" s="1402"/>
      <c r="CX74" s="1402"/>
      <c r="CY74" s="1402"/>
      <c r="CZ74" s="1403"/>
      <c r="DA74" s="1401"/>
      <c r="DB74" s="1402"/>
      <c r="DC74" s="1402"/>
      <c r="DD74" s="1402"/>
      <c r="DE74" s="1402"/>
      <c r="DF74" s="1402"/>
      <c r="DG74" s="1402"/>
      <c r="DH74" s="1402"/>
      <c r="DI74" s="1402"/>
      <c r="DJ74" s="1402"/>
      <c r="DK74" s="1403"/>
      <c r="DL74" s="1402"/>
      <c r="DM74" s="1402"/>
      <c r="DN74" s="1402"/>
      <c r="DO74" s="1402"/>
      <c r="DP74" s="1402"/>
      <c r="DQ74" s="1402"/>
      <c r="DR74" s="1402"/>
      <c r="DS74" s="1402"/>
      <c r="DT74" s="1402"/>
      <c r="DU74" s="1403"/>
      <c r="DV74" s="1401"/>
      <c r="DW74" s="1402"/>
      <c r="DX74" s="1402"/>
      <c r="DY74" s="1402"/>
      <c r="DZ74" s="1402"/>
      <c r="EA74" s="1402"/>
      <c r="EB74" s="1402"/>
      <c r="EC74" s="1402"/>
      <c r="ED74" s="1402"/>
      <c r="EE74" s="1402"/>
      <c r="EF74" s="1402"/>
      <c r="EG74" s="1402"/>
      <c r="EH74" s="1403"/>
      <c r="EI74" s="1401"/>
      <c r="EJ74" s="1402"/>
      <c r="EK74" s="1402"/>
      <c r="EL74" s="1402"/>
      <c r="EM74" s="1402"/>
      <c r="EN74" s="1402"/>
      <c r="EO74" s="1402"/>
      <c r="EP74" s="1402"/>
      <c r="EQ74" s="1402"/>
      <c r="ER74" s="1402"/>
      <c r="ES74" s="1403"/>
      <c r="ET74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30"/>
      <c r="EV74" s="1430"/>
      <c r="EW74" s="1430"/>
      <c r="EX74" s="1430"/>
      <c r="EY74" s="1430"/>
      <c r="EZ74" s="1430"/>
      <c r="FA74" s="1430"/>
      <c r="FB74" s="1430"/>
      <c r="FC74" s="1430"/>
      <c r="FD74" s="1431"/>
      <c r="FE74" s="549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404" t="s">
        <v>337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338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447"/>
      <c r="AW75" s="1448"/>
      <c r="AX75" s="1448"/>
      <c r="AY75" s="1448"/>
      <c r="AZ75" s="1448"/>
      <c r="BA75" s="1448"/>
      <c r="BB75" s="1448"/>
      <c r="BC75" s="1448"/>
      <c r="BD75" s="1448"/>
      <c r="BE75" s="1449"/>
      <c r="BF75" s="1447"/>
      <c r="BG75" s="1448"/>
      <c r="BH75" s="1448"/>
      <c r="BI75" s="1448"/>
      <c r="BJ75" s="1448"/>
      <c r="BK75" s="1448"/>
      <c r="BL75" s="1448"/>
      <c r="BM75" s="1448"/>
      <c r="BN75" s="1448"/>
      <c r="BO75" s="1448"/>
      <c r="BP75" s="1448"/>
      <c r="BQ75" s="1449"/>
      <c r="BR75" s="1447"/>
      <c r="BS75" s="1448"/>
      <c r="BT75" s="1448"/>
      <c r="BU75" s="1448"/>
      <c r="BV75" s="1448"/>
      <c r="BW75" s="1448"/>
      <c r="BX75" s="1448"/>
      <c r="BY75" s="1448"/>
      <c r="BZ75" s="1448"/>
      <c r="CA75" s="1448"/>
      <c r="CB75" s="1449"/>
      <c r="CC75" s="1447"/>
      <c r="CD75" s="1448"/>
      <c r="CE75" s="1448"/>
      <c r="CF75" s="1448"/>
      <c r="CG75" s="1448"/>
      <c r="CH75" s="1448"/>
      <c r="CI75" s="1448"/>
      <c r="CJ75" s="1448"/>
      <c r="CK75" s="1448"/>
      <c r="CL75" s="1448"/>
      <c r="CM75" s="1448"/>
      <c r="CN75" s="1448"/>
      <c r="CO75" s="1449"/>
      <c r="CP75" s="1447"/>
      <c r="CQ75" s="1448"/>
      <c r="CR75" s="1448"/>
      <c r="CS75" s="1448"/>
      <c r="CT75" s="1448"/>
      <c r="CU75" s="1448"/>
      <c r="CV75" s="1448"/>
      <c r="CW75" s="1448"/>
      <c r="CX75" s="1448"/>
      <c r="CY75" s="1448"/>
      <c r="CZ75" s="1449"/>
      <c r="DA75" s="1447"/>
      <c r="DB75" s="1448"/>
      <c r="DC75" s="1448"/>
      <c r="DD75" s="1448"/>
      <c r="DE75" s="1448"/>
      <c r="DF75" s="1448"/>
      <c r="DG75" s="1448"/>
      <c r="DH75" s="1448"/>
      <c r="DI75" s="1448"/>
      <c r="DJ75" s="1448"/>
      <c r="DK75" s="1449"/>
      <c r="DL75" s="1448"/>
      <c r="DM75" s="1448"/>
      <c r="DN75" s="1448"/>
      <c r="DO75" s="1448"/>
      <c r="DP75" s="1448"/>
      <c r="DQ75" s="1448"/>
      <c r="DR75" s="1448"/>
      <c r="DS75" s="1448"/>
      <c r="DT75" s="1448"/>
      <c r="DU75" s="1449"/>
      <c r="DV75" s="1447"/>
      <c r="DW75" s="1448"/>
      <c r="DX75" s="1448"/>
      <c r="DY75" s="1448"/>
      <c r="DZ75" s="1448"/>
      <c r="EA75" s="1448"/>
      <c r="EB75" s="1448"/>
      <c r="EC75" s="1448"/>
      <c r="ED75" s="1448"/>
      <c r="EE75" s="1448"/>
      <c r="EF75" s="1448"/>
      <c r="EG75" s="1448"/>
      <c r="EH75" s="1449"/>
      <c r="EI75" s="1447"/>
      <c r="EJ75" s="1448"/>
      <c r="EK75" s="1448"/>
      <c r="EL75" s="1448"/>
      <c r="EM75" s="1448"/>
      <c r="EN75" s="1448"/>
      <c r="EO75" s="1448"/>
      <c r="EP75" s="1448"/>
      <c r="EQ75" s="1448"/>
      <c r="ER75" s="1448"/>
      <c r="ES75" s="1449"/>
      <c r="ET75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49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62" t="s">
        <v>952</v>
      </c>
      <c r="B76" s="1463"/>
      <c r="C76" s="1463"/>
      <c r="D76" s="1463"/>
      <c r="E76" s="1463"/>
      <c r="F76" s="1463"/>
      <c r="G76" s="1463"/>
      <c r="H76" s="1463"/>
      <c r="I76" s="1463"/>
      <c r="J76" s="1463"/>
      <c r="K76" s="1463"/>
      <c r="L76" s="1463"/>
      <c r="M76" s="1463"/>
      <c r="N76" s="1463"/>
      <c r="O76" s="1463"/>
      <c r="P76" s="1463"/>
      <c r="Q76" s="1463"/>
      <c r="R76" s="1463"/>
      <c r="S76" s="1463"/>
      <c r="T76" s="1463"/>
      <c r="U76" s="1463"/>
      <c r="V76" s="1463"/>
      <c r="W76" s="1463"/>
      <c r="X76" s="1463"/>
      <c r="Y76" s="1463"/>
      <c r="Z76" s="1463"/>
      <c r="AA76" s="1463"/>
      <c r="AB76" s="1463"/>
      <c r="AC76" s="1463"/>
      <c r="AD76" s="1463"/>
      <c r="AE76" s="1464"/>
      <c r="AF76" s="1444" t="s">
        <v>339</v>
      </c>
      <c r="AG76" s="1445"/>
      <c r="AH76" s="1445"/>
      <c r="AI76" s="1445"/>
      <c r="AJ76" s="1445"/>
      <c r="AK76" s="1446"/>
      <c r="AL76" s="1447"/>
      <c r="AM76" s="1448"/>
      <c r="AN76" s="1448"/>
      <c r="AO76" s="1448"/>
      <c r="AP76" s="1448"/>
      <c r="AQ76" s="1448"/>
      <c r="AR76" s="1448"/>
      <c r="AS76" s="1448"/>
      <c r="AT76" s="1448"/>
      <c r="AU76" s="1449"/>
      <c r="AV76" s="1447"/>
      <c r="AW76" s="1448"/>
      <c r="AX76" s="1448"/>
      <c r="AY76" s="1448"/>
      <c r="AZ76" s="1448"/>
      <c r="BA76" s="1448"/>
      <c r="BB76" s="1448"/>
      <c r="BC76" s="1448"/>
      <c r="BD76" s="1448"/>
      <c r="BE76" s="1449"/>
      <c r="BF76" s="1447"/>
      <c r="BG76" s="1448"/>
      <c r="BH76" s="1448"/>
      <c r="BI76" s="1448"/>
      <c r="BJ76" s="1448"/>
      <c r="BK76" s="1448"/>
      <c r="BL76" s="1448"/>
      <c r="BM76" s="1448"/>
      <c r="BN76" s="1448"/>
      <c r="BO76" s="1448"/>
      <c r="BP76" s="1448"/>
      <c r="BQ76" s="1449"/>
      <c r="BR76" s="1447"/>
      <c r="BS76" s="1448"/>
      <c r="BT76" s="1448"/>
      <c r="BU76" s="1448"/>
      <c r="BV76" s="1448"/>
      <c r="BW76" s="1448"/>
      <c r="BX76" s="1448"/>
      <c r="BY76" s="1448"/>
      <c r="BZ76" s="1448"/>
      <c r="CA76" s="1448"/>
      <c r="CB76" s="1449"/>
      <c r="CC76" s="1447"/>
      <c r="CD76" s="1448"/>
      <c r="CE76" s="1448"/>
      <c r="CF76" s="1448"/>
      <c r="CG76" s="1448"/>
      <c r="CH76" s="1448"/>
      <c r="CI76" s="1448"/>
      <c r="CJ76" s="1448"/>
      <c r="CK76" s="1448"/>
      <c r="CL76" s="1448"/>
      <c r="CM76" s="1448"/>
      <c r="CN76" s="1448"/>
      <c r="CO76" s="1449"/>
      <c r="CP76" s="1447"/>
      <c r="CQ76" s="1448"/>
      <c r="CR76" s="1448"/>
      <c r="CS76" s="1448"/>
      <c r="CT76" s="1448"/>
      <c r="CU76" s="1448"/>
      <c r="CV76" s="1448"/>
      <c r="CW76" s="1448"/>
      <c r="CX76" s="1448"/>
      <c r="CY76" s="1448"/>
      <c r="CZ76" s="1449"/>
      <c r="DA76" s="1447"/>
      <c r="DB76" s="1448"/>
      <c r="DC76" s="1448"/>
      <c r="DD76" s="1448"/>
      <c r="DE76" s="1448"/>
      <c r="DF76" s="1448"/>
      <c r="DG76" s="1448"/>
      <c r="DH76" s="1448"/>
      <c r="DI76" s="1448"/>
      <c r="DJ76" s="1448"/>
      <c r="DK76" s="1449"/>
      <c r="DL76" s="1448"/>
      <c r="DM76" s="1448"/>
      <c r="DN76" s="1448"/>
      <c r="DO76" s="1448"/>
      <c r="DP76" s="1448"/>
      <c r="DQ76" s="1448"/>
      <c r="DR76" s="1448"/>
      <c r="DS76" s="1448"/>
      <c r="DT76" s="1448"/>
      <c r="DU76" s="1449"/>
      <c r="DV76" s="1447"/>
      <c r="DW76" s="1448"/>
      <c r="DX76" s="1448"/>
      <c r="DY76" s="1448"/>
      <c r="DZ76" s="1448"/>
      <c r="EA76" s="1448"/>
      <c r="EB76" s="1448"/>
      <c r="EC76" s="1448"/>
      <c r="ED76" s="1448"/>
      <c r="EE76" s="1448"/>
      <c r="EF76" s="1448"/>
      <c r="EG76" s="1448"/>
      <c r="EH76" s="1449"/>
      <c r="EI76" s="1447"/>
      <c r="EJ76" s="1448"/>
      <c r="EK76" s="1448"/>
      <c r="EL76" s="1448"/>
      <c r="EM76" s="1448"/>
      <c r="EN76" s="1448"/>
      <c r="EO76" s="1448"/>
      <c r="EP76" s="1448"/>
      <c r="EQ76" s="1448"/>
      <c r="ER76" s="1448"/>
      <c r="ES76" s="1449"/>
      <c r="ET76" s="1401"/>
      <c r="EU76" s="1402"/>
      <c r="EV76" s="1402"/>
      <c r="EW76" s="1402"/>
      <c r="EX76" s="1402"/>
      <c r="EY76" s="1402"/>
      <c r="EZ76" s="1402"/>
      <c r="FA76" s="1402"/>
      <c r="FB76" s="1402"/>
      <c r="FC76" s="1402"/>
      <c r="FD76" s="1432"/>
    </row>
    <row r="77" spans="1:163" ht="26.25" customHeight="1">
      <c r="A77" s="1404" t="s">
        <v>340</v>
      </c>
      <c r="B77" s="1405"/>
      <c r="C77" s="1405"/>
      <c r="D77" s="1405"/>
      <c r="E77" s="1405"/>
      <c r="F77" s="1405"/>
      <c r="G77" s="1405"/>
      <c r="H77" s="1405"/>
      <c r="I77" s="1405"/>
      <c r="J77" s="1405"/>
      <c r="K77" s="1405"/>
      <c r="L77" s="1405"/>
      <c r="M77" s="1405"/>
      <c r="N77" s="1405"/>
      <c r="O77" s="1405"/>
      <c r="P77" s="1405"/>
      <c r="Q77" s="1405"/>
      <c r="R77" s="1405"/>
      <c r="S77" s="1405"/>
      <c r="T77" s="1405"/>
      <c r="U77" s="1405"/>
      <c r="V77" s="1405"/>
      <c r="W77" s="1405"/>
      <c r="X77" s="1405"/>
      <c r="Y77" s="1405"/>
      <c r="Z77" s="1405"/>
      <c r="AA77" s="1405"/>
      <c r="AB77" s="1405"/>
      <c r="AC77" s="1405"/>
      <c r="AD77" s="1405"/>
      <c r="AE77" s="1406"/>
      <c r="AF77" s="1433" t="s">
        <v>341</v>
      </c>
      <c r="AG77" s="1434"/>
      <c r="AH77" s="1434"/>
      <c r="AI77" s="1434"/>
      <c r="AJ77" s="1434"/>
      <c r="AK77" s="1435"/>
      <c r="AL77" s="1401"/>
      <c r="AM77" s="1402"/>
      <c r="AN77" s="1402"/>
      <c r="AO77" s="1402"/>
      <c r="AP77" s="1402"/>
      <c r="AQ77" s="1402"/>
      <c r="AR77" s="1402"/>
      <c r="AS77" s="1402"/>
      <c r="AT77" s="1402"/>
      <c r="AU77" s="1403"/>
      <c r="AV77" s="1401"/>
      <c r="AW77" s="1402"/>
      <c r="AX77" s="1402"/>
      <c r="AY77" s="1402"/>
      <c r="AZ77" s="1402"/>
      <c r="BA77" s="1402"/>
      <c r="BB77" s="1402"/>
      <c r="BC77" s="1402"/>
      <c r="BD77" s="1402"/>
      <c r="BE77" s="1403"/>
      <c r="BF77" s="1401"/>
      <c r="BG77" s="1402"/>
      <c r="BH77" s="1402"/>
      <c r="BI77" s="1402"/>
      <c r="BJ77" s="1402"/>
      <c r="BK77" s="1402"/>
      <c r="BL77" s="1402"/>
      <c r="BM77" s="1402"/>
      <c r="BN77" s="1402"/>
      <c r="BO77" s="1402"/>
      <c r="BP77" s="1402"/>
      <c r="BQ77" s="1403"/>
      <c r="BR77" s="1401"/>
      <c r="BS77" s="1402"/>
      <c r="BT77" s="1402"/>
      <c r="BU77" s="1402"/>
      <c r="BV77" s="1402"/>
      <c r="BW77" s="1402"/>
      <c r="BX77" s="1402"/>
      <c r="BY77" s="1402"/>
      <c r="BZ77" s="1402"/>
      <c r="CA77" s="1402"/>
      <c r="CB77" s="1403"/>
      <c r="CC77" s="1401"/>
      <c r="CD77" s="1402"/>
      <c r="CE77" s="1402"/>
      <c r="CF77" s="1402"/>
      <c r="CG77" s="1402"/>
      <c r="CH77" s="1402"/>
      <c r="CI77" s="1402"/>
      <c r="CJ77" s="1402"/>
      <c r="CK77" s="1402"/>
      <c r="CL77" s="1402"/>
      <c r="CM77" s="1402"/>
      <c r="CN77" s="1402"/>
      <c r="CO77" s="1403"/>
      <c r="CP77" s="1401"/>
      <c r="CQ77" s="1402"/>
      <c r="CR77" s="1402"/>
      <c r="CS77" s="1402"/>
      <c r="CT77" s="1402"/>
      <c r="CU77" s="1402"/>
      <c r="CV77" s="1402"/>
      <c r="CW77" s="1402"/>
      <c r="CX77" s="1402"/>
      <c r="CY77" s="1402"/>
      <c r="CZ77" s="1403"/>
      <c r="DA77" s="1401"/>
      <c r="DB77" s="1402"/>
      <c r="DC77" s="1402"/>
      <c r="DD77" s="1402"/>
      <c r="DE77" s="1402"/>
      <c r="DF77" s="1402"/>
      <c r="DG77" s="1402"/>
      <c r="DH77" s="1402"/>
      <c r="DI77" s="1402"/>
      <c r="DJ77" s="1402"/>
      <c r="DK77" s="1403"/>
      <c r="DL77" s="1402"/>
      <c r="DM77" s="1402"/>
      <c r="DN77" s="1402"/>
      <c r="DO77" s="1402"/>
      <c r="DP77" s="1402"/>
      <c r="DQ77" s="1402"/>
      <c r="DR77" s="1402"/>
      <c r="DS77" s="1402"/>
      <c r="DT77" s="1402"/>
      <c r="DU77" s="1403"/>
      <c r="DV77" s="1401"/>
      <c r="DW77" s="1402"/>
      <c r="DX77" s="1402"/>
      <c r="DY77" s="1402"/>
      <c r="DZ77" s="1402"/>
      <c r="EA77" s="1402"/>
      <c r="EB77" s="1402"/>
      <c r="EC77" s="1402"/>
      <c r="ED77" s="1402"/>
      <c r="EE77" s="1402"/>
      <c r="EF77" s="1402"/>
      <c r="EG77" s="1402"/>
      <c r="EH77" s="1403"/>
      <c r="EI77" s="1401"/>
      <c r="EJ77" s="1402"/>
      <c r="EK77" s="1402"/>
      <c r="EL77" s="1402"/>
      <c r="EM77" s="1402"/>
      <c r="EN77" s="1402"/>
      <c r="EO77" s="1402"/>
      <c r="EP77" s="1402"/>
      <c r="EQ77" s="1402"/>
      <c r="ER77" s="1402"/>
      <c r="ES77" s="1403"/>
      <c r="ET77" s="1401"/>
      <c r="EU77" s="1402"/>
      <c r="EV77" s="1402"/>
      <c r="EW77" s="1402"/>
      <c r="EX77" s="1402"/>
      <c r="EY77" s="1402"/>
      <c r="EZ77" s="1402"/>
      <c r="FA77" s="1402"/>
      <c r="FB77" s="1402"/>
      <c r="FC77" s="1402"/>
      <c r="FD77" s="1432"/>
    </row>
    <row r="78" spans="1:163">
      <c r="A78" s="1404" t="s">
        <v>261</v>
      </c>
      <c r="B78" s="1405"/>
      <c r="C78" s="1405"/>
      <c r="D78" s="1405"/>
      <c r="E78" s="1405"/>
      <c r="F78" s="1405"/>
      <c r="G78" s="1405"/>
      <c r="H78" s="1405"/>
      <c r="I78" s="1405"/>
      <c r="J78" s="1405"/>
      <c r="K78" s="1405"/>
      <c r="L78" s="1405"/>
      <c r="M78" s="1405"/>
      <c r="N78" s="1405"/>
      <c r="O78" s="1405"/>
      <c r="P78" s="1405"/>
      <c r="Q78" s="1405"/>
      <c r="R78" s="1405"/>
      <c r="S78" s="1405"/>
      <c r="T78" s="1405"/>
      <c r="U78" s="1405"/>
      <c r="V78" s="1405"/>
      <c r="W78" s="1405"/>
      <c r="X78" s="1405"/>
      <c r="Y78" s="1405"/>
      <c r="Z78" s="1405"/>
      <c r="AA78" s="1405"/>
      <c r="AB78" s="1405"/>
      <c r="AC78" s="1405"/>
      <c r="AD78" s="1405"/>
      <c r="AE78" s="1406"/>
      <c r="AF78" s="1433" t="s">
        <v>342</v>
      </c>
      <c r="AG78" s="1434"/>
      <c r="AH78" s="1434"/>
      <c r="AI78" s="1434"/>
      <c r="AJ78" s="1434"/>
      <c r="AK78" s="1435"/>
      <c r="AL78" s="1429">
        <f>ET78</f>
        <v>0</v>
      </c>
      <c r="AM78" s="1430"/>
      <c r="AN78" s="1430"/>
      <c r="AO78" s="1430"/>
      <c r="AP78" s="1430"/>
      <c r="AQ78" s="1430"/>
      <c r="AR78" s="1430"/>
      <c r="AS78" s="1430"/>
      <c r="AT78" s="1430"/>
      <c r="AU78" s="1430"/>
      <c r="AV78" s="1401"/>
      <c r="AW78" s="1402"/>
      <c r="AX78" s="1402"/>
      <c r="AY78" s="1402"/>
      <c r="AZ78" s="1402"/>
      <c r="BA78" s="1402"/>
      <c r="BB78" s="1402"/>
      <c r="BC78" s="1402"/>
      <c r="BD78" s="1402"/>
      <c r="BE78" s="1403"/>
      <c r="BF78" s="1401"/>
      <c r="BG78" s="1402"/>
      <c r="BH78" s="1402"/>
      <c r="BI78" s="1402"/>
      <c r="BJ78" s="1402"/>
      <c r="BK78" s="1402"/>
      <c r="BL78" s="1402"/>
      <c r="BM78" s="1402"/>
      <c r="BN78" s="1402"/>
      <c r="BO78" s="1402"/>
      <c r="BP78" s="1402"/>
      <c r="BQ78" s="1403"/>
      <c r="BR78" s="1401"/>
      <c r="BS78" s="1402"/>
      <c r="BT78" s="1402"/>
      <c r="BU78" s="1402"/>
      <c r="BV78" s="1402"/>
      <c r="BW78" s="1402"/>
      <c r="BX78" s="1402"/>
      <c r="BY78" s="1402"/>
      <c r="BZ78" s="1402"/>
      <c r="CA78" s="1402"/>
      <c r="CB78" s="1403"/>
      <c r="CC78" s="1401"/>
      <c r="CD78" s="1402"/>
      <c r="CE78" s="1402"/>
      <c r="CF78" s="1402"/>
      <c r="CG78" s="1402"/>
      <c r="CH78" s="1402"/>
      <c r="CI78" s="1402"/>
      <c r="CJ78" s="1402"/>
      <c r="CK78" s="1402"/>
      <c r="CL78" s="1402"/>
      <c r="CM78" s="1402"/>
      <c r="CN78" s="1402"/>
      <c r="CO78" s="1403"/>
      <c r="CP78" s="1401"/>
      <c r="CQ78" s="1402"/>
      <c r="CR78" s="1402"/>
      <c r="CS78" s="1402"/>
      <c r="CT78" s="1402"/>
      <c r="CU78" s="1402"/>
      <c r="CV78" s="1402"/>
      <c r="CW78" s="1402"/>
      <c r="CX78" s="1402"/>
      <c r="CY78" s="1402"/>
      <c r="CZ78" s="1403"/>
      <c r="DA78" s="1401"/>
      <c r="DB78" s="1402"/>
      <c r="DC78" s="1402"/>
      <c r="DD78" s="1402"/>
      <c r="DE78" s="1402"/>
      <c r="DF78" s="1402"/>
      <c r="DG78" s="1402"/>
      <c r="DH78" s="1402"/>
      <c r="DI78" s="1402"/>
      <c r="DJ78" s="1402"/>
      <c r="DK78" s="1403"/>
      <c r="DL78" s="1402"/>
      <c r="DM78" s="1402"/>
      <c r="DN78" s="1402"/>
      <c r="DO78" s="1402"/>
      <c r="DP78" s="1402"/>
      <c r="DQ78" s="1402"/>
      <c r="DR78" s="1402"/>
      <c r="DS78" s="1402"/>
      <c r="DT78" s="1402"/>
      <c r="DU78" s="1403"/>
      <c r="DV78" s="1401"/>
      <c r="DW78" s="1402"/>
      <c r="DX78" s="1402"/>
      <c r="DY78" s="1402"/>
      <c r="DZ78" s="1402"/>
      <c r="EA78" s="1402"/>
      <c r="EB78" s="1402"/>
      <c r="EC78" s="1402"/>
      <c r="ED78" s="1402"/>
      <c r="EE78" s="1402"/>
      <c r="EF78" s="1402"/>
      <c r="EG78" s="1402"/>
      <c r="EH78" s="1403"/>
      <c r="EI78" s="1401"/>
      <c r="EJ78" s="1402"/>
      <c r="EK78" s="1402"/>
      <c r="EL78" s="1402"/>
      <c r="EM78" s="1402"/>
      <c r="EN78" s="1402"/>
      <c r="EO78" s="1402"/>
      <c r="EP78" s="1402"/>
      <c r="EQ78" s="1402"/>
      <c r="ER78" s="1402"/>
      <c r="ES78" s="1403"/>
      <c r="ET78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30"/>
      <c r="EV78" s="1430"/>
      <c r="EW78" s="1430"/>
      <c r="EX78" s="1430"/>
      <c r="EY78" s="1430"/>
      <c r="EZ78" s="1430"/>
      <c r="FA78" s="1430"/>
      <c r="FB78" s="1430"/>
      <c r="FC78" s="1430"/>
      <c r="FD78" s="1431"/>
      <c r="FE78" s="549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404" t="s">
        <v>262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343</v>
      </c>
      <c r="AG79" s="1434"/>
      <c r="AH79" s="1434"/>
      <c r="AI79" s="1434"/>
      <c r="AJ79" s="1434"/>
      <c r="AK79" s="1435"/>
      <c r="AL79" s="1429">
        <f>ET79</f>
        <v>0</v>
      </c>
      <c r="AM79" s="1430"/>
      <c r="AN79" s="1430"/>
      <c r="AO79" s="1430"/>
      <c r="AP79" s="1430"/>
      <c r="AQ79" s="1430"/>
      <c r="AR79" s="1430"/>
      <c r="AS79" s="1430"/>
      <c r="AT79" s="1430"/>
      <c r="AU79" s="1430"/>
      <c r="AV79" s="1401"/>
      <c r="AW79" s="1402"/>
      <c r="AX79" s="1402"/>
      <c r="AY79" s="1402"/>
      <c r="AZ79" s="1402"/>
      <c r="BA79" s="1402"/>
      <c r="BB79" s="1402"/>
      <c r="BC79" s="1402"/>
      <c r="BD79" s="1402"/>
      <c r="BE79" s="1403"/>
      <c r="BF79" s="1401"/>
      <c r="BG79" s="1402"/>
      <c r="BH79" s="1402"/>
      <c r="BI79" s="1402"/>
      <c r="BJ79" s="1402"/>
      <c r="BK79" s="1402"/>
      <c r="BL79" s="1402"/>
      <c r="BM79" s="1402"/>
      <c r="BN79" s="1402"/>
      <c r="BO79" s="1402"/>
      <c r="BP79" s="1402"/>
      <c r="BQ79" s="1403"/>
      <c r="BR79" s="1401"/>
      <c r="BS79" s="1402"/>
      <c r="BT79" s="1402"/>
      <c r="BU79" s="1402"/>
      <c r="BV79" s="1402"/>
      <c r="BW79" s="1402"/>
      <c r="BX79" s="1402"/>
      <c r="BY79" s="1402"/>
      <c r="BZ79" s="1402"/>
      <c r="CA79" s="1402"/>
      <c r="CB79" s="1403"/>
      <c r="CC79" s="1401"/>
      <c r="CD79" s="1402"/>
      <c r="CE79" s="1402"/>
      <c r="CF79" s="1402"/>
      <c r="CG79" s="1402"/>
      <c r="CH79" s="1402"/>
      <c r="CI79" s="1402"/>
      <c r="CJ79" s="1402"/>
      <c r="CK79" s="1402"/>
      <c r="CL79" s="1402"/>
      <c r="CM79" s="1402"/>
      <c r="CN79" s="1402"/>
      <c r="CO79" s="1403"/>
      <c r="CP79" s="1401"/>
      <c r="CQ79" s="1402"/>
      <c r="CR79" s="1402"/>
      <c r="CS79" s="1402"/>
      <c r="CT79" s="1402"/>
      <c r="CU79" s="1402"/>
      <c r="CV79" s="1402"/>
      <c r="CW79" s="1402"/>
      <c r="CX79" s="1402"/>
      <c r="CY79" s="1402"/>
      <c r="CZ79" s="1403"/>
      <c r="DA79" s="1401"/>
      <c r="DB79" s="1402"/>
      <c r="DC79" s="1402"/>
      <c r="DD79" s="1402"/>
      <c r="DE79" s="1402"/>
      <c r="DF79" s="1402"/>
      <c r="DG79" s="1402"/>
      <c r="DH79" s="1402"/>
      <c r="DI79" s="1402"/>
      <c r="DJ79" s="1402"/>
      <c r="DK79" s="1403"/>
      <c r="DL79" s="1402"/>
      <c r="DM79" s="1402"/>
      <c r="DN79" s="1402"/>
      <c r="DO79" s="1402"/>
      <c r="DP79" s="1402"/>
      <c r="DQ79" s="1402"/>
      <c r="DR79" s="1402"/>
      <c r="DS79" s="1402"/>
      <c r="DT79" s="1402"/>
      <c r="DU79" s="1403"/>
      <c r="DV79" s="1401"/>
      <c r="DW79" s="1402"/>
      <c r="DX79" s="1402"/>
      <c r="DY79" s="1402"/>
      <c r="DZ79" s="1402"/>
      <c r="EA79" s="1402"/>
      <c r="EB79" s="1402"/>
      <c r="EC79" s="1402"/>
      <c r="ED79" s="1402"/>
      <c r="EE79" s="1402"/>
      <c r="EF79" s="1402"/>
      <c r="EG79" s="1402"/>
      <c r="EH79" s="1403"/>
      <c r="EI79" s="1401"/>
      <c r="EJ79" s="1402"/>
      <c r="EK79" s="1402"/>
      <c r="EL79" s="1402"/>
      <c r="EM79" s="1402"/>
      <c r="EN79" s="1402"/>
      <c r="EO79" s="1402"/>
      <c r="EP79" s="1402"/>
      <c r="EQ79" s="1402"/>
      <c r="ER79" s="1402"/>
      <c r="ES79" s="1403"/>
      <c r="ET79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30"/>
      <c r="EV79" s="1430"/>
      <c r="EW79" s="1430"/>
      <c r="EX79" s="1430"/>
      <c r="EY79" s="1430"/>
      <c r="EZ79" s="1430"/>
      <c r="FA79" s="1430"/>
      <c r="FB79" s="1430"/>
      <c r="FC79" s="1430"/>
      <c r="FD79" s="1431"/>
      <c r="FE79" s="549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404" t="s">
        <v>344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345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401"/>
      <c r="AW80" s="1402"/>
      <c r="AX80" s="1402"/>
      <c r="AY80" s="1402"/>
      <c r="AZ80" s="1402"/>
      <c r="BA80" s="1402"/>
      <c r="BB80" s="1402"/>
      <c r="BC80" s="1402"/>
      <c r="BD80" s="1402"/>
      <c r="BE80" s="1403"/>
      <c r="BF80" s="1401"/>
      <c r="BG80" s="1402"/>
      <c r="BH80" s="1402"/>
      <c r="BI80" s="1402"/>
      <c r="BJ80" s="1402"/>
      <c r="BK80" s="1402"/>
      <c r="BL80" s="1402"/>
      <c r="BM80" s="1402"/>
      <c r="BN80" s="1402"/>
      <c r="BO80" s="1402"/>
      <c r="BP80" s="1402"/>
      <c r="BQ80" s="1403"/>
      <c r="BR80" s="1401"/>
      <c r="BS80" s="1402"/>
      <c r="BT80" s="1402"/>
      <c r="BU80" s="1402"/>
      <c r="BV80" s="1402"/>
      <c r="BW80" s="1402"/>
      <c r="BX80" s="1402"/>
      <c r="BY80" s="1402"/>
      <c r="BZ80" s="1402"/>
      <c r="CA80" s="1402"/>
      <c r="CB80" s="1403"/>
      <c r="CC80" s="1401"/>
      <c r="CD80" s="1402"/>
      <c r="CE80" s="1402"/>
      <c r="CF80" s="1402"/>
      <c r="CG80" s="1402"/>
      <c r="CH80" s="1402"/>
      <c r="CI80" s="1402"/>
      <c r="CJ80" s="1402"/>
      <c r="CK80" s="1402"/>
      <c r="CL80" s="1402"/>
      <c r="CM80" s="1402"/>
      <c r="CN80" s="1402"/>
      <c r="CO80" s="1403"/>
      <c r="CP80" s="1401"/>
      <c r="CQ80" s="1402"/>
      <c r="CR80" s="1402"/>
      <c r="CS80" s="1402"/>
      <c r="CT80" s="1402"/>
      <c r="CU80" s="1402"/>
      <c r="CV80" s="1402"/>
      <c r="CW80" s="1402"/>
      <c r="CX80" s="1402"/>
      <c r="CY80" s="1402"/>
      <c r="CZ80" s="1403"/>
      <c r="DA80" s="1401"/>
      <c r="DB80" s="1402"/>
      <c r="DC80" s="1402"/>
      <c r="DD80" s="1402"/>
      <c r="DE80" s="1402"/>
      <c r="DF80" s="1402"/>
      <c r="DG80" s="1402"/>
      <c r="DH80" s="1402"/>
      <c r="DI80" s="1402"/>
      <c r="DJ80" s="1402"/>
      <c r="DK80" s="1403"/>
      <c r="DL80" s="1402"/>
      <c r="DM80" s="1402"/>
      <c r="DN80" s="1402"/>
      <c r="DO80" s="1402"/>
      <c r="DP80" s="1402"/>
      <c r="DQ80" s="1402"/>
      <c r="DR80" s="1402"/>
      <c r="DS80" s="1402"/>
      <c r="DT80" s="1402"/>
      <c r="DU80" s="1403"/>
      <c r="DV80" s="1401"/>
      <c r="DW80" s="1402"/>
      <c r="DX80" s="1402"/>
      <c r="DY80" s="1402"/>
      <c r="DZ80" s="1402"/>
      <c r="EA80" s="1402"/>
      <c r="EB80" s="1402"/>
      <c r="EC80" s="1402"/>
      <c r="ED80" s="1402"/>
      <c r="EE80" s="1402"/>
      <c r="EF80" s="1402"/>
      <c r="EG80" s="1402"/>
      <c r="EH80" s="1403"/>
      <c r="EI80" s="1401"/>
      <c r="EJ80" s="1402"/>
      <c r="EK80" s="1402"/>
      <c r="EL80" s="1402"/>
      <c r="EM80" s="1402"/>
      <c r="EN80" s="1402"/>
      <c r="EO80" s="1402"/>
      <c r="EP80" s="1402"/>
      <c r="EQ80" s="1402"/>
      <c r="ER80" s="1402"/>
      <c r="ES80" s="1403"/>
      <c r="ET80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49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59" t="s">
        <v>953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  <c r="L81" s="1460"/>
      <c r="M81" s="1460"/>
      <c r="N81" s="1460"/>
      <c r="O81" s="1460"/>
      <c r="P81" s="1460"/>
      <c r="Q81" s="1460"/>
      <c r="R81" s="1460"/>
      <c r="S81" s="1460"/>
      <c r="T81" s="1460"/>
      <c r="U81" s="1460"/>
      <c r="V81" s="1460"/>
      <c r="W81" s="1460"/>
      <c r="X81" s="1460"/>
      <c r="Y81" s="1460"/>
      <c r="Z81" s="1460"/>
      <c r="AA81" s="1460"/>
      <c r="AB81" s="1460"/>
      <c r="AC81" s="1460"/>
      <c r="AD81" s="1460"/>
      <c r="AE81" s="1461"/>
      <c r="AF81" s="1436" t="s">
        <v>346</v>
      </c>
      <c r="AG81" s="1437"/>
      <c r="AH81" s="1437"/>
      <c r="AI81" s="1437"/>
      <c r="AJ81" s="1437"/>
      <c r="AK81" s="1438"/>
      <c r="AL81" s="1380"/>
      <c r="AM81" s="1381"/>
      <c r="AN81" s="1381"/>
      <c r="AO81" s="1381"/>
      <c r="AP81" s="1381"/>
      <c r="AQ81" s="1381"/>
      <c r="AR81" s="1381"/>
      <c r="AS81" s="1381"/>
      <c r="AT81" s="1381"/>
      <c r="AU81" s="1382"/>
      <c r="AV81" s="1380"/>
      <c r="AW81" s="1381"/>
      <c r="AX81" s="1381"/>
      <c r="AY81" s="1381"/>
      <c r="AZ81" s="1381"/>
      <c r="BA81" s="1381"/>
      <c r="BB81" s="1381"/>
      <c r="BC81" s="1381"/>
      <c r="BD81" s="1381"/>
      <c r="BE81" s="1382"/>
      <c r="BF81" s="1380"/>
      <c r="BG81" s="1381"/>
      <c r="BH81" s="1381"/>
      <c r="BI81" s="1381"/>
      <c r="BJ81" s="1381"/>
      <c r="BK81" s="1381"/>
      <c r="BL81" s="1381"/>
      <c r="BM81" s="1381"/>
      <c r="BN81" s="1381"/>
      <c r="BO81" s="1381"/>
      <c r="BP81" s="1381"/>
      <c r="BQ81" s="1382"/>
      <c r="BR81" s="1380"/>
      <c r="BS81" s="1381"/>
      <c r="BT81" s="1381"/>
      <c r="BU81" s="1381"/>
      <c r="BV81" s="1381"/>
      <c r="BW81" s="1381"/>
      <c r="BX81" s="1381"/>
      <c r="BY81" s="1381"/>
      <c r="BZ81" s="1381"/>
      <c r="CA81" s="1381"/>
      <c r="CB81" s="1382"/>
      <c r="CC81" s="1380"/>
      <c r="CD81" s="1381"/>
      <c r="CE81" s="1381"/>
      <c r="CF81" s="1381"/>
      <c r="CG81" s="1381"/>
      <c r="CH81" s="1381"/>
      <c r="CI81" s="1381"/>
      <c r="CJ81" s="1381"/>
      <c r="CK81" s="1381"/>
      <c r="CL81" s="1381"/>
      <c r="CM81" s="1381"/>
      <c r="CN81" s="1381"/>
      <c r="CO81" s="1382"/>
      <c r="CP81" s="1380"/>
      <c r="CQ81" s="1381"/>
      <c r="CR81" s="1381"/>
      <c r="CS81" s="1381"/>
      <c r="CT81" s="1381"/>
      <c r="CU81" s="1381"/>
      <c r="CV81" s="1381"/>
      <c r="CW81" s="1381"/>
      <c r="CX81" s="1381"/>
      <c r="CY81" s="1381"/>
      <c r="CZ81" s="1382"/>
      <c r="DA81" s="1380"/>
      <c r="DB81" s="1381"/>
      <c r="DC81" s="1381"/>
      <c r="DD81" s="1381"/>
      <c r="DE81" s="1381"/>
      <c r="DF81" s="1381"/>
      <c r="DG81" s="1381"/>
      <c r="DH81" s="1381"/>
      <c r="DI81" s="1381"/>
      <c r="DJ81" s="1381"/>
      <c r="DK81" s="1382"/>
      <c r="DL81" s="1381"/>
      <c r="DM81" s="1381"/>
      <c r="DN81" s="1381"/>
      <c r="DO81" s="1381"/>
      <c r="DP81" s="1381"/>
      <c r="DQ81" s="1381"/>
      <c r="DR81" s="1381"/>
      <c r="DS81" s="1381"/>
      <c r="DT81" s="1381"/>
      <c r="DU81" s="1382"/>
      <c r="DV81" s="1380"/>
      <c r="DW81" s="1381"/>
      <c r="DX81" s="1381"/>
      <c r="DY81" s="1381"/>
      <c r="DZ81" s="1381"/>
      <c r="EA81" s="1381"/>
      <c r="EB81" s="1381"/>
      <c r="EC81" s="1381"/>
      <c r="ED81" s="1381"/>
      <c r="EE81" s="1381"/>
      <c r="EF81" s="1381"/>
      <c r="EG81" s="1381"/>
      <c r="EH81" s="1382"/>
      <c r="EI81" s="1380"/>
      <c r="EJ81" s="1381"/>
      <c r="EK81" s="1381"/>
      <c r="EL81" s="1381"/>
      <c r="EM81" s="1381"/>
      <c r="EN81" s="1381"/>
      <c r="EO81" s="1381"/>
      <c r="EP81" s="1381"/>
      <c r="EQ81" s="1381"/>
      <c r="ER81" s="1381"/>
      <c r="ES81" s="1382"/>
      <c r="ET81" s="1380"/>
      <c r="EU81" s="1381"/>
      <c r="EV81" s="1381"/>
      <c r="EW81" s="1381"/>
      <c r="EX81" s="1381"/>
      <c r="EY81" s="1381"/>
      <c r="EZ81" s="1381"/>
      <c r="FA81" s="1381"/>
      <c r="FB81" s="1381"/>
      <c r="FC81" s="1381"/>
      <c r="FD81" s="1398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10" t="s">
        <v>197</v>
      </c>
      <c r="B85" s="1411"/>
      <c r="C85" s="1411"/>
      <c r="D85" s="1411"/>
      <c r="E85" s="1411"/>
      <c r="F85" s="1411"/>
      <c r="G85" s="1411"/>
      <c r="H85" s="1411"/>
      <c r="I85" s="1411"/>
      <c r="J85" s="1411"/>
      <c r="K85" s="1411"/>
      <c r="L85" s="1411"/>
      <c r="M85" s="1411"/>
      <c r="N85" s="1411"/>
      <c r="O85" s="1411"/>
      <c r="P85" s="1411"/>
      <c r="Q85" s="1411"/>
      <c r="R85" s="1411"/>
      <c r="S85" s="1411"/>
      <c r="T85" s="1411"/>
      <c r="U85" s="1411"/>
      <c r="V85" s="1411"/>
      <c r="W85" s="1411"/>
      <c r="X85" s="1411"/>
      <c r="Y85" s="1411"/>
      <c r="Z85" s="1411"/>
      <c r="AA85" s="1411"/>
      <c r="AB85" s="1411"/>
      <c r="AC85" s="1411"/>
      <c r="AD85" s="1411"/>
      <c r="AE85" s="1412"/>
      <c r="AF85" s="1410" t="s">
        <v>288</v>
      </c>
      <c r="AG85" s="1411"/>
      <c r="AH85" s="1411"/>
      <c r="AI85" s="1411"/>
      <c r="AJ85" s="1411"/>
      <c r="AK85" s="1412"/>
      <c r="AL85" s="1410" t="s">
        <v>304</v>
      </c>
      <c r="AM85" s="1411"/>
      <c r="AN85" s="1411"/>
      <c r="AO85" s="1411"/>
      <c r="AP85" s="1411"/>
      <c r="AQ85" s="1411"/>
      <c r="AR85" s="1411"/>
      <c r="AS85" s="1411"/>
      <c r="AT85" s="1411"/>
      <c r="AU85" s="1412"/>
      <c r="AV85" s="1419" t="s">
        <v>305</v>
      </c>
      <c r="AW85" s="1420"/>
      <c r="AX85" s="1420"/>
      <c r="AY85" s="1420"/>
      <c r="AZ85" s="1420"/>
      <c r="BA85" s="1420"/>
      <c r="BB85" s="1420"/>
      <c r="BC85" s="1420"/>
      <c r="BD85" s="1420"/>
      <c r="BE85" s="1420"/>
      <c r="BF85" s="1420"/>
      <c r="BG85" s="1420"/>
      <c r="BH85" s="1420"/>
      <c r="BI85" s="1420"/>
      <c r="BJ85" s="1420"/>
      <c r="BK85" s="1420"/>
      <c r="BL85" s="1420"/>
      <c r="BM85" s="1420"/>
      <c r="BN85" s="1420"/>
      <c r="BO85" s="1420"/>
      <c r="BP85" s="1420"/>
      <c r="BQ85" s="1420"/>
      <c r="BR85" s="1420"/>
      <c r="BS85" s="1420"/>
      <c r="BT85" s="1420"/>
      <c r="BU85" s="1420"/>
      <c r="BV85" s="1420"/>
      <c r="BW85" s="1420"/>
      <c r="BX85" s="1420"/>
      <c r="BY85" s="1420"/>
      <c r="BZ85" s="1420"/>
      <c r="CA85" s="1420"/>
      <c r="CB85" s="1420"/>
      <c r="CC85" s="1420"/>
      <c r="CD85" s="1420"/>
      <c r="CE85" s="1420"/>
      <c r="CF85" s="1420"/>
      <c r="CG85" s="1420"/>
      <c r="CH85" s="1420"/>
      <c r="CI85" s="1420"/>
      <c r="CJ85" s="1420"/>
      <c r="CK85" s="1420"/>
      <c r="CL85" s="1420"/>
      <c r="CM85" s="1420"/>
      <c r="CN85" s="1420"/>
      <c r="CO85" s="1420"/>
      <c r="CP85" s="1420"/>
      <c r="CQ85" s="1420"/>
      <c r="CR85" s="1420"/>
      <c r="CS85" s="1420"/>
      <c r="CT85" s="1420"/>
      <c r="CU85" s="1420"/>
      <c r="CV85" s="1420"/>
      <c r="CW85" s="1420"/>
      <c r="CX85" s="1420"/>
      <c r="CY85" s="1420"/>
      <c r="CZ85" s="1420"/>
      <c r="DA85" s="1420"/>
      <c r="DB85" s="1420"/>
      <c r="DC85" s="1420"/>
      <c r="DD85" s="1420"/>
      <c r="DE85" s="1420"/>
      <c r="DF85" s="1420"/>
      <c r="DG85" s="1420"/>
      <c r="DH85" s="1420"/>
      <c r="DI85" s="1420"/>
      <c r="DJ85" s="1420"/>
      <c r="DK85" s="1420"/>
      <c r="DL85" s="1420"/>
      <c r="DM85" s="1420"/>
      <c r="DN85" s="1420"/>
      <c r="DO85" s="1420"/>
      <c r="DP85" s="1420"/>
      <c r="DQ85" s="1420"/>
      <c r="DR85" s="1420"/>
      <c r="DS85" s="1420"/>
      <c r="DT85" s="1420"/>
      <c r="DU85" s="1420"/>
      <c r="DV85" s="1420"/>
      <c r="DW85" s="1420"/>
      <c r="DX85" s="1420"/>
      <c r="DY85" s="1420"/>
      <c r="DZ85" s="1420"/>
      <c r="EA85" s="1420"/>
      <c r="EB85" s="1420"/>
      <c r="EC85" s="1420"/>
      <c r="ED85" s="1420"/>
      <c r="EE85" s="1420"/>
      <c r="EF85" s="1420"/>
      <c r="EG85" s="1420"/>
      <c r="EH85" s="1420"/>
      <c r="EI85" s="1420"/>
      <c r="EJ85" s="1420"/>
      <c r="EK85" s="1420"/>
      <c r="EL85" s="1420"/>
      <c r="EM85" s="1420"/>
      <c r="EN85" s="1420"/>
      <c r="EO85" s="1420"/>
      <c r="EP85" s="1420"/>
      <c r="EQ85" s="1420"/>
      <c r="ER85" s="1420"/>
      <c r="ES85" s="1420"/>
      <c r="ET85" s="1420"/>
      <c r="EU85" s="1420"/>
      <c r="EV85" s="1420"/>
      <c r="EW85" s="1420"/>
      <c r="EX85" s="1420"/>
      <c r="EY85" s="1420"/>
      <c r="EZ85" s="1420"/>
      <c r="FA85" s="1420"/>
      <c r="FB85" s="1420"/>
      <c r="FC85" s="1420"/>
      <c r="FD85" s="1421"/>
    </row>
    <row r="86" spans="1:163" ht="21" customHeight="1">
      <c r="A86" s="1413"/>
      <c r="B86" s="1414"/>
      <c r="C86" s="1414"/>
      <c r="D86" s="1414"/>
      <c r="E86" s="1414"/>
      <c r="F86" s="1414"/>
      <c r="G86" s="1414"/>
      <c r="H86" s="1414"/>
      <c r="I86" s="1414"/>
      <c r="J86" s="1414"/>
      <c r="K86" s="1414"/>
      <c r="L86" s="1414"/>
      <c r="M86" s="1414"/>
      <c r="N86" s="1414"/>
      <c r="O86" s="1414"/>
      <c r="P86" s="1414"/>
      <c r="Q86" s="1414"/>
      <c r="R86" s="1414"/>
      <c r="S86" s="1414"/>
      <c r="T86" s="1414"/>
      <c r="U86" s="1414"/>
      <c r="V86" s="1414"/>
      <c r="W86" s="1414"/>
      <c r="X86" s="1414"/>
      <c r="Y86" s="1414"/>
      <c r="Z86" s="1414"/>
      <c r="AA86" s="1414"/>
      <c r="AB86" s="1414"/>
      <c r="AC86" s="1414"/>
      <c r="AD86" s="1414"/>
      <c r="AE86" s="1415"/>
      <c r="AF86" s="1413"/>
      <c r="AG86" s="1414"/>
      <c r="AH86" s="1414"/>
      <c r="AI86" s="1414"/>
      <c r="AJ86" s="1414"/>
      <c r="AK86" s="1415"/>
      <c r="AL86" s="1413"/>
      <c r="AM86" s="1414"/>
      <c r="AN86" s="1414"/>
      <c r="AO86" s="1414"/>
      <c r="AP86" s="1414"/>
      <c r="AQ86" s="1414"/>
      <c r="AR86" s="1414"/>
      <c r="AS86" s="1414"/>
      <c r="AT86" s="1414"/>
      <c r="AU86" s="1415"/>
      <c r="AV86" s="1419" t="s">
        <v>306</v>
      </c>
      <c r="AW86" s="1420"/>
      <c r="AX86" s="1420"/>
      <c r="AY86" s="1420"/>
      <c r="AZ86" s="1420"/>
      <c r="BA86" s="1420"/>
      <c r="BB86" s="1420"/>
      <c r="BC86" s="1420"/>
      <c r="BD86" s="1420"/>
      <c r="BE86" s="1420"/>
      <c r="BF86" s="1420"/>
      <c r="BG86" s="1420"/>
      <c r="BH86" s="1420"/>
      <c r="BI86" s="1420"/>
      <c r="BJ86" s="1420"/>
      <c r="BK86" s="1420"/>
      <c r="BL86" s="1420"/>
      <c r="BM86" s="1420"/>
      <c r="BN86" s="1420"/>
      <c r="BO86" s="1420"/>
      <c r="BP86" s="1420"/>
      <c r="BQ86" s="1420"/>
      <c r="BR86" s="1420"/>
      <c r="BS86" s="1420"/>
      <c r="BT86" s="1420"/>
      <c r="BU86" s="1420"/>
      <c r="BV86" s="1420"/>
      <c r="BW86" s="1420"/>
      <c r="BX86" s="1420"/>
      <c r="BY86" s="1420"/>
      <c r="BZ86" s="1420"/>
      <c r="CA86" s="1420"/>
      <c r="CB86" s="1420"/>
      <c r="CC86" s="1420"/>
      <c r="CD86" s="1420"/>
      <c r="CE86" s="1420"/>
      <c r="CF86" s="1420"/>
      <c r="CG86" s="1420"/>
      <c r="CH86" s="1420"/>
      <c r="CI86" s="1420"/>
      <c r="CJ86" s="1420"/>
      <c r="CK86" s="1420"/>
      <c r="CL86" s="1420"/>
      <c r="CM86" s="1420"/>
      <c r="CN86" s="1420"/>
      <c r="CO86" s="1420"/>
      <c r="CP86" s="1420"/>
      <c r="CQ86" s="1420"/>
      <c r="CR86" s="1420"/>
      <c r="CS86" s="1420"/>
      <c r="CT86" s="1420"/>
      <c r="CU86" s="1420"/>
      <c r="CV86" s="1420"/>
      <c r="CW86" s="1420"/>
      <c r="CX86" s="1420"/>
      <c r="CY86" s="1420"/>
      <c r="CZ86" s="1421"/>
      <c r="DA86" s="1410" t="s">
        <v>307</v>
      </c>
      <c r="DB86" s="1411"/>
      <c r="DC86" s="1411"/>
      <c r="DD86" s="1411"/>
      <c r="DE86" s="1411"/>
      <c r="DF86" s="1411"/>
      <c r="DG86" s="1411"/>
      <c r="DH86" s="1411"/>
      <c r="DI86" s="1411"/>
      <c r="DJ86" s="1411"/>
      <c r="DK86" s="1412"/>
      <c r="DL86" s="1419" t="s">
        <v>475</v>
      </c>
      <c r="DM86" s="1420"/>
      <c r="DN86" s="1420"/>
      <c r="DO86" s="1420"/>
      <c r="DP86" s="1420"/>
      <c r="DQ86" s="1420"/>
      <c r="DR86" s="1420"/>
      <c r="DS86" s="1420"/>
      <c r="DT86" s="1420"/>
      <c r="DU86" s="1420"/>
      <c r="DV86" s="1420"/>
      <c r="DW86" s="1420"/>
      <c r="DX86" s="1420"/>
      <c r="DY86" s="1420"/>
      <c r="DZ86" s="1420"/>
      <c r="EA86" s="1420"/>
      <c r="EB86" s="1420"/>
      <c r="EC86" s="1420"/>
      <c r="ED86" s="1420"/>
      <c r="EE86" s="1420"/>
      <c r="EF86" s="1420"/>
      <c r="EG86" s="1420"/>
      <c r="EH86" s="1420"/>
      <c r="EI86" s="1420"/>
      <c r="EJ86" s="1420"/>
      <c r="EK86" s="1420"/>
      <c r="EL86" s="1420"/>
      <c r="EM86" s="1420"/>
      <c r="EN86" s="1420"/>
      <c r="EO86" s="1420"/>
      <c r="EP86" s="1420"/>
      <c r="EQ86" s="1420"/>
      <c r="ER86" s="1420"/>
      <c r="ES86" s="1421"/>
      <c r="ET86" s="1410" t="s">
        <v>479</v>
      </c>
      <c r="EU86" s="1411"/>
      <c r="EV86" s="1411"/>
      <c r="EW86" s="1411"/>
      <c r="EX86" s="1411"/>
      <c r="EY86" s="1411"/>
      <c r="EZ86" s="1411"/>
      <c r="FA86" s="1411"/>
      <c r="FB86" s="1411"/>
      <c r="FC86" s="1411"/>
      <c r="FD86" s="1412"/>
    </row>
    <row r="87" spans="1:163">
      <c r="A87" s="1413"/>
      <c r="B87" s="1414"/>
      <c r="C87" s="1414"/>
      <c r="D87" s="1414"/>
      <c r="E87" s="1414"/>
      <c r="F87" s="1414"/>
      <c r="G87" s="1414"/>
      <c r="H87" s="1414"/>
      <c r="I87" s="1414"/>
      <c r="J87" s="1414"/>
      <c r="K87" s="1414"/>
      <c r="L87" s="1414"/>
      <c r="M87" s="1414"/>
      <c r="N87" s="1414"/>
      <c r="O87" s="1414"/>
      <c r="P87" s="1414"/>
      <c r="Q87" s="1414"/>
      <c r="R87" s="1414"/>
      <c r="S87" s="1414"/>
      <c r="T87" s="1414"/>
      <c r="U87" s="1414"/>
      <c r="V87" s="1414"/>
      <c r="W87" s="1414"/>
      <c r="X87" s="1414"/>
      <c r="Y87" s="1414"/>
      <c r="Z87" s="1414"/>
      <c r="AA87" s="1414"/>
      <c r="AB87" s="1414"/>
      <c r="AC87" s="1414"/>
      <c r="AD87" s="1414"/>
      <c r="AE87" s="1415"/>
      <c r="AF87" s="1413"/>
      <c r="AG87" s="1414"/>
      <c r="AH87" s="1414"/>
      <c r="AI87" s="1414"/>
      <c r="AJ87" s="1414"/>
      <c r="AK87" s="1415"/>
      <c r="AL87" s="1413"/>
      <c r="AM87" s="1414"/>
      <c r="AN87" s="1414"/>
      <c r="AO87" s="1414"/>
      <c r="AP87" s="1414"/>
      <c r="AQ87" s="1414"/>
      <c r="AR87" s="1414"/>
      <c r="AS87" s="1414"/>
      <c r="AT87" s="1414"/>
      <c r="AU87" s="1415"/>
      <c r="AV87" s="1410" t="s">
        <v>308</v>
      </c>
      <c r="AW87" s="1411"/>
      <c r="AX87" s="1411"/>
      <c r="AY87" s="1411"/>
      <c r="AZ87" s="1411"/>
      <c r="BA87" s="1411"/>
      <c r="BB87" s="1411"/>
      <c r="BC87" s="1411"/>
      <c r="BD87" s="1411"/>
      <c r="BE87" s="1412"/>
      <c r="BF87" s="1419" t="s">
        <v>309</v>
      </c>
      <c r="BG87" s="1420"/>
      <c r="BH87" s="1420"/>
      <c r="BI87" s="1420"/>
      <c r="BJ87" s="1420"/>
      <c r="BK87" s="1420"/>
      <c r="BL87" s="1420"/>
      <c r="BM87" s="1420"/>
      <c r="BN87" s="1420"/>
      <c r="BO87" s="1420"/>
      <c r="BP87" s="1420"/>
      <c r="BQ87" s="1420"/>
      <c r="BR87" s="1420"/>
      <c r="BS87" s="1420"/>
      <c r="BT87" s="1420"/>
      <c r="BU87" s="1420"/>
      <c r="BV87" s="1420"/>
      <c r="BW87" s="1420"/>
      <c r="BX87" s="1420"/>
      <c r="BY87" s="1420"/>
      <c r="BZ87" s="1420"/>
      <c r="CA87" s="1420"/>
      <c r="CB87" s="1420"/>
      <c r="CC87" s="1420"/>
      <c r="CD87" s="1420"/>
      <c r="CE87" s="1420"/>
      <c r="CF87" s="1420"/>
      <c r="CG87" s="1420"/>
      <c r="CH87" s="1420"/>
      <c r="CI87" s="1420"/>
      <c r="CJ87" s="1420"/>
      <c r="CK87" s="1420"/>
      <c r="CL87" s="1420"/>
      <c r="CM87" s="1420"/>
      <c r="CN87" s="1420"/>
      <c r="CO87" s="1420"/>
      <c r="CP87" s="1420"/>
      <c r="CQ87" s="1420"/>
      <c r="CR87" s="1420"/>
      <c r="CS87" s="1420"/>
      <c r="CT87" s="1420"/>
      <c r="CU87" s="1420"/>
      <c r="CV87" s="1420"/>
      <c r="CW87" s="1420"/>
      <c r="CX87" s="1420"/>
      <c r="CY87" s="1420"/>
      <c r="CZ87" s="1421"/>
      <c r="DA87" s="1413"/>
      <c r="DB87" s="1414"/>
      <c r="DC87" s="1414"/>
      <c r="DD87" s="1414"/>
      <c r="DE87" s="1414"/>
      <c r="DF87" s="1414"/>
      <c r="DG87" s="1414"/>
      <c r="DH87" s="1414"/>
      <c r="DI87" s="1414"/>
      <c r="DJ87" s="1414"/>
      <c r="DK87" s="1415"/>
      <c r="DL87" s="1410" t="s">
        <v>308</v>
      </c>
      <c r="DM87" s="1411"/>
      <c r="DN87" s="1411"/>
      <c r="DO87" s="1411"/>
      <c r="DP87" s="1411"/>
      <c r="DQ87" s="1411"/>
      <c r="DR87" s="1411"/>
      <c r="DS87" s="1411"/>
      <c r="DT87" s="1411"/>
      <c r="DU87" s="1412"/>
      <c r="DV87" s="1420" t="s">
        <v>309</v>
      </c>
      <c r="DW87" s="1420"/>
      <c r="DX87" s="1420"/>
      <c r="DY87" s="1420"/>
      <c r="DZ87" s="1420"/>
      <c r="EA87" s="1420"/>
      <c r="EB87" s="1420"/>
      <c r="EC87" s="1420"/>
      <c r="ED87" s="1420"/>
      <c r="EE87" s="1420"/>
      <c r="EF87" s="1420"/>
      <c r="EG87" s="1420"/>
      <c r="EH87" s="1420"/>
      <c r="EI87" s="1420"/>
      <c r="EJ87" s="1420"/>
      <c r="EK87" s="1420"/>
      <c r="EL87" s="1420"/>
      <c r="EM87" s="1420"/>
      <c r="EN87" s="1420"/>
      <c r="EO87" s="1420"/>
      <c r="EP87" s="1420"/>
      <c r="EQ87" s="1420"/>
      <c r="ER87" s="1420"/>
      <c r="ES87" s="1421"/>
      <c r="ET87" s="1413"/>
      <c r="EU87" s="1414"/>
      <c r="EV87" s="1414"/>
      <c r="EW87" s="1414"/>
      <c r="EX87" s="1414"/>
      <c r="EY87" s="1414"/>
      <c r="EZ87" s="1414"/>
      <c r="FA87" s="1414"/>
      <c r="FB87" s="1414"/>
      <c r="FC87" s="1414"/>
      <c r="FD87" s="1415"/>
    </row>
    <row r="88" spans="1:163" ht="67.5" customHeight="1">
      <c r="A88" s="1416"/>
      <c r="B88" s="1417"/>
      <c r="C88" s="1417"/>
      <c r="D88" s="1417"/>
      <c r="E88" s="1417"/>
      <c r="F88" s="1417"/>
      <c r="G88" s="1417"/>
      <c r="H88" s="1417"/>
      <c r="I88" s="1417"/>
      <c r="J88" s="1417"/>
      <c r="K88" s="1417"/>
      <c r="L88" s="1417"/>
      <c r="M88" s="1417"/>
      <c r="N88" s="1417"/>
      <c r="O88" s="1417"/>
      <c r="P88" s="1417"/>
      <c r="Q88" s="1417"/>
      <c r="R88" s="1417"/>
      <c r="S88" s="1417"/>
      <c r="T88" s="1417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8"/>
      <c r="AF88" s="1416"/>
      <c r="AG88" s="1417"/>
      <c r="AH88" s="1417"/>
      <c r="AI88" s="1417"/>
      <c r="AJ88" s="1417"/>
      <c r="AK88" s="1418"/>
      <c r="AL88" s="1416"/>
      <c r="AM88" s="1417"/>
      <c r="AN88" s="1417"/>
      <c r="AO88" s="1417"/>
      <c r="AP88" s="1417"/>
      <c r="AQ88" s="1417"/>
      <c r="AR88" s="1417"/>
      <c r="AS88" s="1417"/>
      <c r="AT88" s="1417"/>
      <c r="AU88" s="1418"/>
      <c r="AV88" s="1416"/>
      <c r="AW88" s="1417"/>
      <c r="AX88" s="1417"/>
      <c r="AY88" s="1417"/>
      <c r="AZ88" s="1417"/>
      <c r="BA88" s="1417"/>
      <c r="BB88" s="1417"/>
      <c r="BC88" s="1417"/>
      <c r="BD88" s="1417"/>
      <c r="BE88" s="1418"/>
      <c r="BF88" s="1419" t="s">
        <v>310</v>
      </c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1"/>
      <c r="BR88" s="1419" t="s">
        <v>311</v>
      </c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1"/>
      <c r="CC88" s="1419" t="s">
        <v>476</v>
      </c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1"/>
      <c r="CP88" s="1419" t="s">
        <v>477</v>
      </c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1"/>
      <c r="DA88" s="1416"/>
      <c r="DB88" s="1417"/>
      <c r="DC88" s="1417"/>
      <c r="DD88" s="1417"/>
      <c r="DE88" s="1417"/>
      <c r="DF88" s="1417"/>
      <c r="DG88" s="1417"/>
      <c r="DH88" s="1417"/>
      <c r="DI88" s="1417"/>
      <c r="DJ88" s="1417"/>
      <c r="DK88" s="1418"/>
      <c r="DL88" s="1416"/>
      <c r="DM88" s="1417"/>
      <c r="DN88" s="1417"/>
      <c r="DO88" s="1417"/>
      <c r="DP88" s="1417"/>
      <c r="DQ88" s="1417"/>
      <c r="DR88" s="1417"/>
      <c r="DS88" s="1417"/>
      <c r="DT88" s="1417"/>
      <c r="DU88" s="1418"/>
      <c r="DV88" s="1419" t="s">
        <v>478</v>
      </c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1"/>
      <c r="EI88" s="1419" t="s">
        <v>477</v>
      </c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1"/>
      <c r="ET88" s="1416"/>
      <c r="EU88" s="1417"/>
      <c r="EV88" s="1417"/>
      <c r="EW88" s="1417"/>
      <c r="EX88" s="1417"/>
      <c r="EY88" s="1417"/>
      <c r="EZ88" s="1417"/>
      <c r="FA88" s="1417"/>
      <c r="FB88" s="1417"/>
      <c r="FC88" s="1417"/>
      <c r="FD88" s="1418"/>
    </row>
    <row r="89" spans="1:163" ht="16.5" thickBot="1">
      <c r="A89" s="1422" t="s">
        <v>399</v>
      </c>
      <c r="B89" s="1423"/>
      <c r="C89" s="1423"/>
      <c r="D89" s="1423"/>
      <c r="E89" s="1423"/>
      <c r="F89" s="1423"/>
      <c r="G89" s="1423"/>
      <c r="H89" s="1423"/>
      <c r="I89" s="1423"/>
      <c r="J89" s="1423"/>
      <c r="K89" s="1423"/>
      <c r="L89" s="1423"/>
      <c r="M89" s="1423"/>
      <c r="N89" s="1423"/>
      <c r="O89" s="1423"/>
      <c r="P89" s="1423"/>
      <c r="Q89" s="1423"/>
      <c r="R89" s="1423"/>
      <c r="S89" s="1423"/>
      <c r="T89" s="1423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4"/>
      <c r="AF89" s="1407" t="s">
        <v>400</v>
      </c>
      <c r="AG89" s="1408"/>
      <c r="AH89" s="1408"/>
      <c r="AI89" s="1408"/>
      <c r="AJ89" s="1408"/>
      <c r="AK89" s="1409"/>
      <c r="AL89" s="1455" t="s">
        <v>401</v>
      </c>
      <c r="AM89" s="1456"/>
      <c r="AN89" s="1456"/>
      <c r="AO89" s="1456"/>
      <c r="AP89" s="1456"/>
      <c r="AQ89" s="1456"/>
      <c r="AR89" s="1456"/>
      <c r="AS89" s="1456"/>
      <c r="AT89" s="1456"/>
      <c r="AU89" s="1457"/>
      <c r="AV89" s="1455" t="s">
        <v>402</v>
      </c>
      <c r="AW89" s="1456"/>
      <c r="AX89" s="1456"/>
      <c r="AY89" s="1456"/>
      <c r="AZ89" s="1456"/>
      <c r="BA89" s="1456"/>
      <c r="BB89" s="1456"/>
      <c r="BC89" s="1456"/>
      <c r="BD89" s="1456"/>
      <c r="BE89" s="1457"/>
      <c r="BF89" s="1455" t="s">
        <v>403</v>
      </c>
      <c r="BG89" s="1456"/>
      <c r="BH89" s="1456"/>
      <c r="BI89" s="1456"/>
      <c r="BJ89" s="1456"/>
      <c r="BK89" s="1456"/>
      <c r="BL89" s="1456"/>
      <c r="BM89" s="1456"/>
      <c r="BN89" s="1456"/>
      <c r="BO89" s="1456"/>
      <c r="BP89" s="1456"/>
      <c r="BQ89" s="1457"/>
      <c r="BR89" s="1455" t="s">
        <v>404</v>
      </c>
      <c r="BS89" s="1456"/>
      <c r="BT89" s="1456"/>
      <c r="BU89" s="1456"/>
      <c r="BV89" s="1456"/>
      <c r="BW89" s="1456"/>
      <c r="BX89" s="1456"/>
      <c r="BY89" s="1456"/>
      <c r="BZ89" s="1456"/>
      <c r="CA89" s="1456"/>
      <c r="CB89" s="1457"/>
      <c r="CC89" s="1455" t="s">
        <v>405</v>
      </c>
      <c r="CD89" s="1456"/>
      <c r="CE89" s="1456"/>
      <c r="CF89" s="1456"/>
      <c r="CG89" s="1456"/>
      <c r="CH89" s="1456"/>
      <c r="CI89" s="1456"/>
      <c r="CJ89" s="1456"/>
      <c r="CK89" s="1456"/>
      <c r="CL89" s="1456"/>
      <c r="CM89" s="1456"/>
      <c r="CN89" s="1456"/>
      <c r="CO89" s="1457"/>
      <c r="CP89" s="1455" t="s">
        <v>406</v>
      </c>
      <c r="CQ89" s="1456"/>
      <c r="CR89" s="1456"/>
      <c r="CS89" s="1456"/>
      <c r="CT89" s="1456"/>
      <c r="CU89" s="1456"/>
      <c r="CV89" s="1456"/>
      <c r="CW89" s="1456"/>
      <c r="CX89" s="1456"/>
      <c r="CY89" s="1456"/>
      <c r="CZ89" s="1457"/>
      <c r="DA89" s="1455" t="s">
        <v>407</v>
      </c>
      <c r="DB89" s="1456"/>
      <c r="DC89" s="1456"/>
      <c r="DD89" s="1456"/>
      <c r="DE89" s="1456"/>
      <c r="DF89" s="1456"/>
      <c r="DG89" s="1456"/>
      <c r="DH89" s="1456"/>
      <c r="DI89" s="1456"/>
      <c r="DJ89" s="1456"/>
      <c r="DK89" s="1457"/>
      <c r="DL89" s="1455" t="s">
        <v>408</v>
      </c>
      <c r="DM89" s="1456"/>
      <c r="DN89" s="1456"/>
      <c r="DO89" s="1456"/>
      <c r="DP89" s="1456"/>
      <c r="DQ89" s="1456"/>
      <c r="DR89" s="1456"/>
      <c r="DS89" s="1456"/>
      <c r="DT89" s="1456"/>
      <c r="DU89" s="1457"/>
      <c r="DV89" s="1455" t="s">
        <v>409</v>
      </c>
      <c r="DW89" s="1456"/>
      <c r="DX89" s="1456"/>
      <c r="DY89" s="1456"/>
      <c r="DZ89" s="1456"/>
      <c r="EA89" s="1456"/>
      <c r="EB89" s="1456"/>
      <c r="EC89" s="1456"/>
      <c r="ED89" s="1456"/>
      <c r="EE89" s="1456"/>
      <c r="EF89" s="1456"/>
      <c r="EG89" s="1456"/>
      <c r="EH89" s="1457"/>
      <c r="EI89" s="1455" t="s">
        <v>410</v>
      </c>
      <c r="EJ89" s="1456"/>
      <c r="EK89" s="1456"/>
      <c r="EL89" s="1456"/>
      <c r="EM89" s="1456"/>
      <c r="EN89" s="1456"/>
      <c r="EO89" s="1456"/>
      <c r="EP89" s="1456"/>
      <c r="EQ89" s="1456"/>
      <c r="ER89" s="1456"/>
      <c r="ES89" s="1457"/>
      <c r="ET89" s="1455" t="s">
        <v>411</v>
      </c>
      <c r="EU89" s="1456"/>
      <c r="EV89" s="1456"/>
      <c r="EW89" s="1456"/>
      <c r="EX89" s="1456"/>
      <c r="EY89" s="1456"/>
      <c r="EZ89" s="1456"/>
      <c r="FA89" s="1456"/>
      <c r="FB89" s="1456"/>
      <c r="FC89" s="1456"/>
      <c r="FD89" s="1457"/>
    </row>
    <row r="90" spans="1:163" ht="39.75" customHeight="1">
      <c r="A90" s="1404" t="s">
        <v>348</v>
      </c>
      <c r="B90" s="1405"/>
      <c r="C90" s="1405"/>
      <c r="D90" s="1405"/>
      <c r="E90" s="1405"/>
      <c r="F90" s="1405"/>
      <c r="G90" s="1405"/>
      <c r="H90" s="1405"/>
      <c r="I90" s="1405"/>
      <c r="J90" s="1405"/>
      <c r="K90" s="1405"/>
      <c r="L90" s="1405"/>
      <c r="M90" s="1405"/>
      <c r="N90" s="1405"/>
      <c r="O90" s="1405"/>
      <c r="P90" s="1405"/>
      <c r="Q90" s="1405"/>
      <c r="R90" s="1405"/>
      <c r="S90" s="1405"/>
      <c r="T90" s="1405"/>
      <c r="U90" s="1405"/>
      <c r="V90" s="1405"/>
      <c r="W90" s="1405"/>
      <c r="X90" s="1405"/>
      <c r="Y90" s="1405"/>
      <c r="Z90" s="1405"/>
      <c r="AA90" s="1405"/>
      <c r="AB90" s="1405"/>
      <c r="AC90" s="1405"/>
      <c r="AD90" s="1405"/>
      <c r="AE90" s="1406"/>
      <c r="AF90" s="1441" t="s">
        <v>349</v>
      </c>
      <c r="AG90" s="1442"/>
      <c r="AH90" s="1442"/>
      <c r="AI90" s="1442"/>
      <c r="AJ90" s="1442"/>
      <c r="AK90" s="1443"/>
      <c r="AL90" s="1453">
        <f>ET90</f>
        <v>0</v>
      </c>
      <c r="AM90" s="1454"/>
      <c r="AN90" s="1454"/>
      <c r="AO90" s="1454"/>
      <c r="AP90" s="1454"/>
      <c r="AQ90" s="1454"/>
      <c r="AR90" s="1454"/>
      <c r="AS90" s="1454"/>
      <c r="AT90" s="1454"/>
      <c r="AU90" s="1454"/>
      <c r="AV90" s="1425"/>
      <c r="AW90" s="1426"/>
      <c r="AX90" s="1426"/>
      <c r="AY90" s="1426"/>
      <c r="AZ90" s="1426"/>
      <c r="BA90" s="1426"/>
      <c r="BB90" s="1426"/>
      <c r="BC90" s="1426"/>
      <c r="BD90" s="1426"/>
      <c r="BE90" s="1427"/>
      <c r="BF90" s="1425"/>
      <c r="BG90" s="1426"/>
      <c r="BH90" s="1426"/>
      <c r="BI90" s="1426"/>
      <c r="BJ90" s="1426"/>
      <c r="BK90" s="1426"/>
      <c r="BL90" s="1426"/>
      <c r="BM90" s="1426"/>
      <c r="BN90" s="1426"/>
      <c r="BO90" s="1426"/>
      <c r="BP90" s="1426"/>
      <c r="BQ90" s="1427"/>
      <c r="BR90" s="1425"/>
      <c r="BS90" s="1426"/>
      <c r="BT90" s="1426"/>
      <c r="BU90" s="1426"/>
      <c r="BV90" s="1426"/>
      <c r="BW90" s="1426"/>
      <c r="BX90" s="1426"/>
      <c r="BY90" s="1426"/>
      <c r="BZ90" s="1426"/>
      <c r="CA90" s="1426"/>
      <c r="CB90" s="1427"/>
      <c r="CC90" s="1425"/>
      <c r="CD90" s="1426"/>
      <c r="CE90" s="1426"/>
      <c r="CF90" s="1426"/>
      <c r="CG90" s="1426"/>
      <c r="CH90" s="1426"/>
      <c r="CI90" s="1426"/>
      <c r="CJ90" s="1426"/>
      <c r="CK90" s="1426"/>
      <c r="CL90" s="1426"/>
      <c r="CM90" s="1426"/>
      <c r="CN90" s="1426"/>
      <c r="CO90" s="1427"/>
      <c r="CP90" s="1425"/>
      <c r="CQ90" s="1426"/>
      <c r="CR90" s="1426"/>
      <c r="CS90" s="1426"/>
      <c r="CT90" s="1426"/>
      <c r="CU90" s="1426"/>
      <c r="CV90" s="1426"/>
      <c r="CW90" s="1426"/>
      <c r="CX90" s="1426"/>
      <c r="CY90" s="1426"/>
      <c r="CZ90" s="1427"/>
      <c r="DA90" s="1425"/>
      <c r="DB90" s="1426"/>
      <c r="DC90" s="1426"/>
      <c r="DD90" s="1426"/>
      <c r="DE90" s="1426"/>
      <c r="DF90" s="1426"/>
      <c r="DG90" s="1426"/>
      <c r="DH90" s="1426"/>
      <c r="DI90" s="1426"/>
      <c r="DJ90" s="1426"/>
      <c r="DK90" s="1427"/>
      <c r="DL90" s="1426"/>
      <c r="DM90" s="1426"/>
      <c r="DN90" s="1426"/>
      <c r="DO90" s="1426"/>
      <c r="DP90" s="1426"/>
      <c r="DQ90" s="1426"/>
      <c r="DR90" s="1426"/>
      <c r="DS90" s="1426"/>
      <c r="DT90" s="1426"/>
      <c r="DU90" s="1427"/>
      <c r="DV90" s="1425"/>
      <c r="DW90" s="1426"/>
      <c r="DX90" s="1426"/>
      <c r="DY90" s="1426"/>
      <c r="DZ90" s="1426"/>
      <c r="EA90" s="1426"/>
      <c r="EB90" s="1426"/>
      <c r="EC90" s="1426"/>
      <c r="ED90" s="1426"/>
      <c r="EE90" s="1426"/>
      <c r="EF90" s="1426"/>
      <c r="EG90" s="1426"/>
      <c r="EH90" s="1427"/>
      <c r="EI90" s="1425"/>
      <c r="EJ90" s="1426"/>
      <c r="EK90" s="1426"/>
      <c r="EL90" s="1426"/>
      <c r="EM90" s="1426"/>
      <c r="EN90" s="1426"/>
      <c r="EO90" s="1426"/>
      <c r="EP90" s="1426"/>
      <c r="EQ90" s="1426"/>
      <c r="ER90" s="1426"/>
      <c r="ES90" s="1427"/>
      <c r="ET90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4"/>
      <c r="EV90" s="1454"/>
      <c r="EW90" s="1454"/>
      <c r="EX90" s="1454"/>
      <c r="EY90" s="1454"/>
      <c r="EZ90" s="1454"/>
      <c r="FA90" s="1454"/>
      <c r="FB90" s="1454"/>
      <c r="FC90" s="1454"/>
      <c r="FD90" s="1458"/>
      <c r="FE90" s="549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404" t="s">
        <v>350</v>
      </c>
      <c r="B91" s="1405"/>
      <c r="C91" s="1405"/>
      <c r="D91" s="1405"/>
      <c r="E91" s="1405"/>
      <c r="F91" s="1405"/>
      <c r="G91" s="1405"/>
      <c r="H91" s="1405"/>
      <c r="I91" s="1405"/>
      <c r="J91" s="1405"/>
      <c r="K91" s="1405"/>
      <c r="L91" s="1405"/>
      <c r="M91" s="1405"/>
      <c r="N91" s="1405"/>
      <c r="O91" s="1405"/>
      <c r="P91" s="1405"/>
      <c r="Q91" s="1405"/>
      <c r="R91" s="1405"/>
      <c r="S91" s="1405"/>
      <c r="T91" s="1405"/>
      <c r="U91" s="1405"/>
      <c r="V91" s="1405"/>
      <c r="W91" s="1405"/>
      <c r="X91" s="1405"/>
      <c r="Y91" s="1405"/>
      <c r="Z91" s="1405"/>
      <c r="AA91" s="1405"/>
      <c r="AB91" s="1405"/>
      <c r="AC91" s="1405"/>
      <c r="AD91" s="1405"/>
      <c r="AE91" s="1406"/>
      <c r="AF91" s="1433" t="s">
        <v>351</v>
      </c>
      <c r="AG91" s="1434"/>
      <c r="AH91" s="1434"/>
      <c r="AI91" s="1434"/>
      <c r="AJ91" s="1434"/>
      <c r="AK91" s="1435"/>
      <c r="AL91" s="1429">
        <f>ET91</f>
        <v>0</v>
      </c>
      <c r="AM91" s="1430"/>
      <c r="AN91" s="1430"/>
      <c r="AO91" s="1430"/>
      <c r="AP91" s="1430"/>
      <c r="AQ91" s="1430"/>
      <c r="AR91" s="1430"/>
      <c r="AS91" s="1430"/>
      <c r="AT91" s="1430"/>
      <c r="AU91" s="1430"/>
      <c r="AV91" s="1401"/>
      <c r="AW91" s="1402"/>
      <c r="AX91" s="1402"/>
      <c r="AY91" s="1402"/>
      <c r="AZ91" s="1402"/>
      <c r="BA91" s="1402"/>
      <c r="BB91" s="1402"/>
      <c r="BC91" s="1402"/>
      <c r="BD91" s="1402"/>
      <c r="BE91" s="1403"/>
      <c r="BF91" s="1401"/>
      <c r="BG91" s="1402"/>
      <c r="BH91" s="1402"/>
      <c r="BI91" s="1402"/>
      <c r="BJ91" s="1402"/>
      <c r="BK91" s="1402"/>
      <c r="BL91" s="1402"/>
      <c r="BM91" s="1402"/>
      <c r="BN91" s="1402"/>
      <c r="BO91" s="1402"/>
      <c r="BP91" s="1402"/>
      <c r="BQ91" s="1403"/>
      <c r="BR91" s="1401"/>
      <c r="BS91" s="1402"/>
      <c r="BT91" s="1402"/>
      <c r="BU91" s="1402"/>
      <c r="BV91" s="1402"/>
      <c r="BW91" s="1402"/>
      <c r="BX91" s="1402"/>
      <c r="BY91" s="1402"/>
      <c r="BZ91" s="1402"/>
      <c r="CA91" s="1402"/>
      <c r="CB91" s="1403"/>
      <c r="CC91" s="1401"/>
      <c r="CD91" s="1402"/>
      <c r="CE91" s="1402"/>
      <c r="CF91" s="1402"/>
      <c r="CG91" s="1402"/>
      <c r="CH91" s="1402"/>
      <c r="CI91" s="1402"/>
      <c r="CJ91" s="1402"/>
      <c r="CK91" s="1402"/>
      <c r="CL91" s="1402"/>
      <c r="CM91" s="1402"/>
      <c r="CN91" s="1402"/>
      <c r="CO91" s="1403"/>
      <c r="CP91" s="1401"/>
      <c r="CQ91" s="1402"/>
      <c r="CR91" s="1402"/>
      <c r="CS91" s="1402"/>
      <c r="CT91" s="1402"/>
      <c r="CU91" s="1402"/>
      <c r="CV91" s="1402"/>
      <c r="CW91" s="1402"/>
      <c r="CX91" s="1402"/>
      <c r="CY91" s="1402"/>
      <c r="CZ91" s="1403"/>
      <c r="DA91" s="1401"/>
      <c r="DB91" s="1402"/>
      <c r="DC91" s="1402"/>
      <c r="DD91" s="1402"/>
      <c r="DE91" s="1402"/>
      <c r="DF91" s="1402"/>
      <c r="DG91" s="1402"/>
      <c r="DH91" s="1402"/>
      <c r="DI91" s="1402"/>
      <c r="DJ91" s="1402"/>
      <c r="DK91" s="1403"/>
      <c r="DL91" s="1402"/>
      <c r="DM91" s="1402"/>
      <c r="DN91" s="1402"/>
      <c r="DO91" s="1402"/>
      <c r="DP91" s="1402"/>
      <c r="DQ91" s="1402"/>
      <c r="DR91" s="1402"/>
      <c r="DS91" s="1402"/>
      <c r="DT91" s="1402"/>
      <c r="DU91" s="1403"/>
      <c r="DV91" s="1401"/>
      <c r="DW91" s="1402"/>
      <c r="DX91" s="1402"/>
      <c r="DY91" s="1402"/>
      <c r="DZ91" s="1402"/>
      <c r="EA91" s="1402"/>
      <c r="EB91" s="1402"/>
      <c r="EC91" s="1402"/>
      <c r="ED91" s="1402"/>
      <c r="EE91" s="1402"/>
      <c r="EF91" s="1402"/>
      <c r="EG91" s="1402"/>
      <c r="EH91" s="1403"/>
      <c r="EI91" s="1401"/>
      <c r="EJ91" s="1402"/>
      <c r="EK91" s="1402"/>
      <c r="EL91" s="1402"/>
      <c r="EM91" s="1402"/>
      <c r="EN91" s="1402"/>
      <c r="EO91" s="1402"/>
      <c r="EP91" s="1402"/>
      <c r="EQ91" s="1402"/>
      <c r="ER91" s="1402"/>
      <c r="ES91" s="1403"/>
      <c r="ET91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30"/>
      <c r="EV91" s="1430"/>
      <c r="EW91" s="1430"/>
      <c r="EX91" s="1430"/>
      <c r="EY91" s="1430"/>
      <c r="EZ91" s="1430"/>
      <c r="FA91" s="1430"/>
      <c r="FB91" s="1430"/>
      <c r="FC91" s="1430"/>
      <c r="FD91" s="1431"/>
      <c r="FE91" s="549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404" t="s">
        <v>352</v>
      </c>
      <c r="B92" s="1405"/>
      <c r="C92" s="1405"/>
      <c r="D92" s="1405"/>
      <c r="E92" s="1405"/>
      <c r="F92" s="1405"/>
      <c r="G92" s="1405"/>
      <c r="H92" s="1405"/>
      <c r="I92" s="1405"/>
      <c r="J92" s="1405"/>
      <c r="K92" s="1405"/>
      <c r="L92" s="1405"/>
      <c r="M92" s="1405"/>
      <c r="N92" s="1405"/>
      <c r="O92" s="1405"/>
      <c r="P92" s="1405"/>
      <c r="Q92" s="1405"/>
      <c r="R92" s="1405"/>
      <c r="S92" s="1405"/>
      <c r="T92" s="1405"/>
      <c r="U92" s="1405"/>
      <c r="V92" s="1405"/>
      <c r="W92" s="1405"/>
      <c r="X92" s="1405"/>
      <c r="Y92" s="1405"/>
      <c r="Z92" s="1405"/>
      <c r="AA92" s="1405"/>
      <c r="AB92" s="1405"/>
      <c r="AC92" s="1405"/>
      <c r="AD92" s="1405"/>
      <c r="AE92" s="1406"/>
      <c r="AF92" s="1433" t="s">
        <v>353</v>
      </c>
      <c r="AG92" s="1434"/>
      <c r="AH92" s="1434"/>
      <c r="AI92" s="1434"/>
      <c r="AJ92" s="1434"/>
      <c r="AK92" s="1435"/>
      <c r="AL92" s="1401"/>
      <c r="AM92" s="1402"/>
      <c r="AN92" s="1402"/>
      <c r="AO92" s="1402"/>
      <c r="AP92" s="1402"/>
      <c r="AQ92" s="1402"/>
      <c r="AR92" s="1402"/>
      <c r="AS92" s="1402"/>
      <c r="AT92" s="1402"/>
      <c r="AU92" s="1403"/>
      <c r="AV92" s="1401"/>
      <c r="AW92" s="1402"/>
      <c r="AX92" s="1402"/>
      <c r="AY92" s="1402"/>
      <c r="AZ92" s="1402"/>
      <c r="BA92" s="1402"/>
      <c r="BB92" s="1402"/>
      <c r="BC92" s="1402"/>
      <c r="BD92" s="1402"/>
      <c r="BE92" s="1403"/>
      <c r="BF92" s="1401"/>
      <c r="BG92" s="1402"/>
      <c r="BH92" s="1402"/>
      <c r="BI92" s="1402"/>
      <c r="BJ92" s="1402"/>
      <c r="BK92" s="1402"/>
      <c r="BL92" s="1402"/>
      <c r="BM92" s="1402"/>
      <c r="BN92" s="1402"/>
      <c r="BO92" s="1402"/>
      <c r="BP92" s="1402"/>
      <c r="BQ92" s="1403"/>
      <c r="BR92" s="1401"/>
      <c r="BS92" s="1402"/>
      <c r="BT92" s="1402"/>
      <c r="BU92" s="1402"/>
      <c r="BV92" s="1402"/>
      <c r="BW92" s="1402"/>
      <c r="BX92" s="1402"/>
      <c r="BY92" s="1402"/>
      <c r="BZ92" s="1402"/>
      <c r="CA92" s="1402"/>
      <c r="CB92" s="1403"/>
      <c r="CC92" s="1401"/>
      <c r="CD92" s="1402"/>
      <c r="CE92" s="1402"/>
      <c r="CF92" s="1402"/>
      <c r="CG92" s="1402"/>
      <c r="CH92" s="1402"/>
      <c r="CI92" s="1402"/>
      <c r="CJ92" s="1402"/>
      <c r="CK92" s="1402"/>
      <c r="CL92" s="1402"/>
      <c r="CM92" s="1402"/>
      <c r="CN92" s="1402"/>
      <c r="CO92" s="1403"/>
      <c r="CP92" s="1401"/>
      <c r="CQ92" s="1402"/>
      <c r="CR92" s="1402"/>
      <c r="CS92" s="1402"/>
      <c r="CT92" s="1402"/>
      <c r="CU92" s="1402"/>
      <c r="CV92" s="1402"/>
      <c r="CW92" s="1402"/>
      <c r="CX92" s="1402"/>
      <c r="CY92" s="1402"/>
      <c r="CZ92" s="1403"/>
      <c r="DA92" s="1401"/>
      <c r="DB92" s="1402"/>
      <c r="DC92" s="1402"/>
      <c r="DD92" s="1402"/>
      <c r="DE92" s="1402"/>
      <c r="DF92" s="1402"/>
      <c r="DG92" s="1402"/>
      <c r="DH92" s="1402"/>
      <c r="DI92" s="1402"/>
      <c r="DJ92" s="1402"/>
      <c r="DK92" s="1403"/>
      <c r="DL92" s="1402"/>
      <c r="DM92" s="1402"/>
      <c r="DN92" s="1402"/>
      <c r="DO92" s="1402"/>
      <c r="DP92" s="1402"/>
      <c r="DQ92" s="1402"/>
      <c r="DR92" s="1402"/>
      <c r="DS92" s="1402"/>
      <c r="DT92" s="1402"/>
      <c r="DU92" s="1403"/>
      <c r="DV92" s="1401"/>
      <c r="DW92" s="1402"/>
      <c r="DX92" s="1402"/>
      <c r="DY92" s="1402"/>
      <c r="DZ92" s="1402"/>
      <c r="EA92" s="1402"/>
      <c r="EB92" s="1402"/>
      <c r="EC92" s="1402"/>
      <c r="ED92" s="1402"/>
      <c r="EE92" s="1402"/>
      <c r="EF92" s="1402"/>
      <c r="EG92" s="1402"/>
      <c r="EH92" s="1403"/>
      <c r="EI92" s="1401"/>
      <c r="EJ92" s="1402"/>
      <c r="EK92" s="1402"/>
      <c r="EL92" s="1402"/>
      <c r="EM92" s="1402"/>
      <c r="EN92" s="1402"/>
      <c r="EO92" s="1402"/>
      <c r="EP92" s="1402"/>
      <c r="EQ92" s="1402"/>
      <c r="ER92" s="1402"/>
      <c r="ES92" s="1403"/>
      <c r="ET92" s="1401"/>
      <c r="EU92" s="1402"/>
      <c r="EV92" s="1402"/>
      <c r="EW92" s="1402"/>
      <c r="EX92" s="1402"/>
      <c r="EY92" s="1402"/>
      <c r="EZ92" s="1402"/>
      <c r="FA92" s="1402"/>
      <c r="FB92" s="1402"/>
      <c r="FC92" s="1402"/>
      <c r="FD92" s="1432"/>
    </row>
    <row r="93" spans="1:163" ht="45.75" customHeight="1">
      <c r="A93" s="1404" t="s">
        <v>354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33" t="s">
        <v>355</v>
      </c>
      <c r="AG93" s="1434"/>
      <c r="AH93" s="1434"/>
      <c r="AI93" s="1434"/>
      <c r="AJ93" s="1434"/>
      <c r="AK93" s="1435"/>
      <c r="AL93" s="1429">
        <f>ET93</f>
        <v>0</v>
      </c>
      <c r="AM93" s="1430"/>
      <c r="AN93" s="1430"/>
      <c r="AO93" s="1430"/>
      <c r="AP93" s="1430"/>
      <c r="AQ93" s="1430"/>
      <c r="AR93" s="1430"/>
      <c r="AS93" s="1430"/>
      <c r="AT93" s="1430"/>
      <c r="AU93" s="1430"/>
      <c r="AV93" s="1401"/>
      <c r="AW93" s="1402"/>
      <c r="AX93" s="1402"/>
      <c r="AY93" s="1402"/>
      <c r="AZ93" s="1402"/>
      <c r="BA93" s="1402"/>
      <c r="BB93" s="1402"/>
      <c r="BC93" s="1402"/>
      <c r="BD93" s="1402"/>
      <c r="BE93" s="1403"/>
      <c r="BF93" s="1401"/>
      <c r="BG93" s="1402"/>
      <c r="BH93" s="1402"/>
      <c r="BI93" s="1402"/>
      <c r="BJ93" s="1402"/>
      <c r="BK93" s="1402"/>
      <c r="BL93" s="1402"/>
      <c r="BM93" s="1402"/>
      <c r="BN93" s="1402"/>
      <c r="BO93" s="1402"/>
      <c r="BP93" s="1402"/>
      <c r="BQ93" s="1403"/>
      <c r="BR93" s="1401"/>
      <c r="BS93" s="1402"/>
      <c r="BT93" s="1402"/>
      <c r="BU93" s="1402"/>
      <c r="BV93" s="1402"/>
      <c r="BW93" s="1402"/>
      <c r="BX93" s="1402"/>
      <c r="BY93" s="1402"/>
      <c r="BZ93" s="1402"/>
      <c r="CA93" s="1402"/>
      <c r="CB93" s="1403"/>
      <c r="CC93" s="1401"/>
      <c r="CD93" s="1402"/>
      <c r="CE93" s="1402"/>
      <c r="CF93" s="1402"/>
      <c r="CG93" s="1402"/>
      <c r="CH93" s="1402"/>
      <c r="CI93" s="1402"/>
      <c r="CJ93" s="1402"/>
      <c r="CK93" s="1402"/>
      <c r="CL93" s="1402"/>
      <c r="CM93" s="1402"/>
      <c r="CN93" s="1402"/>
      <c r="CO93" s="1403"/>
      <c r="CP93" s="1401"/>
      <c r="CQ93" s="1402"/>
      <c r="CR93" s="1402"/>
      <c r="CS93" s="1402"/>
      <c r="CT93" s="1402"/>
      <c r="CU93" s="1402"/>
      <c r="CV93" s="1402"/>
      <c r="CW93" s="1402"/>
      <c r="CX93" s="1402"/>
      <c r="CY93" s="1402"/>
      <c r="CZ93" s="1403"/>
      <c r="DA93" s="1401"/>
      <c r="DB93" s="1402"/>
      <c r="DC93" s="1402"/>
      <c r="DD93" s="1402"/>
      <c r="DE93" s="1402"/>
      <c r="DF93" s="1402"/>
      <c r="DG93" s="1402"/>
      <c r="DH93" s="1402"/>
      <c r="DI93" s="1402"/>
      <c r="DJ93" s="1402"/>
      <c r="DK93" s="1403"/>
      <c r="DL93" s="1402"/>
      <c r="DM93" s="1402"/>
      <c r="DN93" s="1402"/>
      <c r="DO93" s="1402"/>
      <c r="DP93" s="1402"/>
      <c r="DQ93" s="1402"/>
      <c r="DR93" s="1402"/>
      <c r="DS93" s="1402"/>
      <c r="DT93" s="1402"/>
      <c r="DU93" s="1403"/>
      <c r="DV93" s="1401"/>
      <c r="DW93" s="1402"/>
      <c r="DX93" s="1402"/>
      <c r="DY93" s="1402"/>
      <c r="DZ93" s="1402"/>
      <c r="EA93" s="1402"/>
      <c r="EB93" s="1402"/>
      <c r="EC93" s="1402"/>
      <c r="ED93" s="1402"/>
      <c r="EE93" s="1402"/>
      <c r="EF93" s="1402"/>
      <c r="EG93" s="1402"/>
      <c r="EH93" s="1403"/>
      <c r="EI93" s="1401"/>
      <c r="EJ93" s="1402"/>
      <c r="EK93" s="1402"/>
      <c r="EL93" s="1402"/>
      <c r="EM93" s="1402"/>
      <c r="EN93" s="1402"/>
      <c r="EO93" s="1402"/>
      <c r="EP93" s="1402"/>
      <c r="EQ93" s="1402"/>
      <c r="ER93" s="1402"/>
      <c r="ES93" s="1403"/>
      <c r="ET93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30"/>
      <c r="EV93" s="1430"/>
      <c r="EW93" s="1430"/>
      <c r="EX93" s="1430"/>
      <c r="EY93" s="1430"/>
      <c r="EZ93" s="1430"/>
      <c r="FA93" s="1430"/>
      <c r="FB93" s="1430"/>
      <c r="FC93" s="1430"/>
      <c r="FD93" s="1431"/>
      <c r="FE93" s="549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404" t="s">
        <v>956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44" t="s">
        <v>356</v>
      </c>
      <c r="AG94" s="1445"/>
      <c r="AH94" s="1445"/>
      <c r="AI94" s="1445"/>
      <c r="AJ94" s="1445"/>
      <c r="AK94" s="1446"/>
      <c r="AL94" s="1450">
        <f>ET94</f>
        <v>0</v>
      </c>
      <c r="AM94" s="1451"/>
      <c r="AN94" s="1451"/>
      <c r="AO94" s="1451"/>
      <c r="AP94" s="1451"/>
      <c r="AQ94" s="1451"/>
      <c r="AR94" s="1451"/>
      <c r="AS94" s="1451"/>
      <c r="AT94" s="1451"/>
      <c r="AU94" s="1452"/>
      <c r="AV94" s="1447"/>
      <c r="AW94" s="1448"/>
      <c r="AX94" s="1448"/>
      <c r="AY94" s="1448"/>
      <c r="AZ94" s="1448"/>
      <c r="BA94" s="1448"/>
      <c r="BB94" s="1448"/>
      <c r="BC94" s="1448"/>
      <c r="BD94" s="1448"/>
      <c r="BE94" s="1449"/>
      <c r="BF94" s="1447"/>
      <c r="BG94" s="1448"/>
      <c r="BH94" s="1448"/>
      <c r="BI94" s="1448"/>
      <c r="BJ94" s="1448"/>
      <c r="BK94" s="1448"/>
      <c r="BL94" s="1448"/>
      <c r="BM94" s="1448"/>
      <c r="BN94" s="1448"/>
      <c r="BO94" s="1448"/>
      <c r="BP94" s="1448"/>
      <c r="BQ94" s="1449"/>
      <c r="BR94" s="1447"/>
      <c r="BS94" s="1448"/>
      <c r="BT94" s="1448"/>
      <c r="BU94" s="1448"/>
      <c r="BV94" s="1448"/>
      <c r="BW94" s="1448"/>
      <c r="BX94" s="1448"/>
      <c r="BY94" s="1448"/>
      <c r="BZ94" s="1448"/>
      <c r="CA94" s="1448"/>
      <c r="CB94" s="1449"/>
      <c r="CC94" s="1447"/>
      <c r="CD94" s="1448"/>
      <c r="CE94" s="1448"/>
      <c r="CF94" s="1448"/>
      <c r="CG94" s="1448"/>
      <c r="CH94" s="1448"/>
      <c r="CI94" s="1448"/>
      <c r="CJ94" s="1448"/>
      <c r="CK94" s="1448"/>
      <c r="CL94" s="1448"/>
      <c r="CM94" s="1448"/>
      <c r="CN94" s="1448"/>
      <c r="CO94" s="1449"/>
      <c r="CP94" s="1447"/>
      <c r="CQ94" s="1448"/>
      <c r="CR94" s="1448"/>
      <c r="CS94" s="1448"/>
      <c r="CT94" s="1448"/>
      <c r="CU94" s="1448"/>
      <c r="CV94" s="1448"/>
      <c r="CW94" s="1448"/>
      <c r="CX94" s="1448"/>
      <c r="CY94" s="1448"/>
      <c r="CZ94" s="1449"/>
      <c r="DA94" s="1447"/>
      <c r="DB94" s="1448"/>
      <c r="DC94" s="1448"/>
      <c r="DD94" s="1448"/>
      <c r="DE94" s="1448"/>
      <c r="DF94" s="1448"/>
      <c r="DG94" s="1448"/>
      <c r="DH94" s="1448"/>
      <c r="DI94" s="1448"/>
      <c r="DJ94" s="1448"/>
      <c r="DK94" s="1449"/>
      <c r="DL94" s="1448"/>
      <c r="DM94" s="1448"/>
      <c r="DN94" s="1448"/>
      <c r="DO94" s="1448"/>
      <c r="DP94" s="1448"/>
      <c r="DQ94" s="1448"/>
      <c r="DR94" s="1448"/>
      <c r="DS94" s="1448"/>
      <c r="DT94" s="1448"/>
      <c r="DU94" s="1449"/>
      <c r="DV94" s="1447"/>
      <c r="DW94" s="1448"/>
      <c r="DX94" s="1448"/>
      <c r="DY94" s="1448"/>
      <c r="DZ94" s="1448"/>
      <c r="EA94" s="1448"/>
      <c r="EB94" s="1448"/>
      <c r="EC94" s="1448"/>
      <c r="ED94" s="1448"/>
      <c r="EE94" s="1448"/>
      <c r="EF94" s="1448"/>
      <c r="EG94" s="1448"/>
      <c r="EH94" s="1449"/>
      <c r="EI94" s="1447"/>
      <c r="EJ94" s="1448"/>
      <c r="EK94" s="1448"/>
      <c r="EL94" s="1448"/>
      <c r="EM94" s="1448"/>
      <c r="EN94" s="1448"/>
      <c r="EO94" s="1448"/>
      <c r="EP94" s="1448"/>
      <c r="EQ94" s="1448"/>
      <c r="ER94" s="1448"/>
      <c r="ES94" s="1449"/>
      <c r="ET94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49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404" t="s">
        <v>264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357</v>
      </c>
      <c r="AG95" s="1434"/>
      <c r="AH95" s="1434"/>
      <c r="AI95" s="1434"/>
      <c r="AJ95" s="1434"/>
      <c r="AK95" s="1435"/>
      <c r="AL95" s="1429">
        <f>ET95</f>
        <v>0</v>
      </c>
      <c r="AM95" s="1430"/>
      <c r="AN95" s="1430"/>
      <c r="AO95" s="1430"/>
      <c r="AP95" s="1430"/>
      <c r="AQ95" s="1430"/>
      <c r="AR95" s="1430"/>
      <c r="AS95" s="1430"/>
      <c r="AT95" s="1430"/>
      <c r="AU95" s="1430"/>
      <c r="AV95" s="1401"/>
      <c r="AW95" s="1402"/>
      <c r="AX95" s="1402"/>
      <c r="AY95" s="1402"/>
      <c r="AZ95" s="1402"/>
      <c r="BA95" s="1402"/>
      <c r="BB95" s="1402"/>
      <c r="BC95" s="1402"/>
      <c r="BD95" s="1402"/>
      <c r="BE95" s="1403"/>
      <c r="BF95" s="1401"/>
      <c r="BG95" s="1402"/>
      <c r="BH95" s="1402"/>
      <c r="BI95" s="1402"/>
      <c r="BJ95" s="1402"/>
      <c r="BK95" s="1402"/>
      <c r="BL95" s="1402"/>
      <c r="BM95" s="1402"/>
      <c r="BN95" s="1402"/>
      <c r="BO95" s="1402"/>
      <c r="BP95" s="1402"/>
      <c r="BQ95" s="1403"/>
      <c r="BR95" s="1401"/>
      <c r="BS95" s="1402"/>
      <c r="BT95" s="1402"/>
      <c r="BU95" s="1402"/>
      <c r="BV95" s="1402"/>
      <c r="BW95" s="1402"/>
      <c r="BX95" s="1402"/>
      <c r="BY95" s="1402"/>
      <c r="BZ95" s="1402"/>
      <c r="CA95" s="1402"/>
      <c r="CB95" s="1403"/>
      <c r="CC95" s="1401"/>
      <c r="CD95" s="1402"/>
      <c r="CE95" s="1402"/>
      <c r="CF95" s="1402"/>
      <c r="CG95" s="1402"/>
      <c r="CH95" s="1402"/>
      <c r="CI95" s="1402"/>
      <c r="CJ95" s="1402"/>
      <c r="CK95" s="1402"/>
      <c r="CL95" s="1402"/>
      <c r="CM95" s="1402"/>
      <c r="CN95" s="1402"/>
      <c r="CO95" s="1403"/>
      <c r="CP95" s="1401"/>
      <c r="CQ95" s="1402"/>
      <c r="CR95" s="1402"/>
      <c r="CS95" s="1402"/>
      <c r="CT95" s="1402"/>
      <c r="CU95" s="1402"/>
      <c r="CV95" s="1402"/>
      <c r="CW95" s="1402"/>
      <c r="CX95" s="1402"/>
      <c r="CY95" s="1402"/>
      <c r="CZ95" s="1403"/>
      <c r="DA95" s="1401"/>
      <c r="DB95" s="1402"/>
      <c r="DC95" s="1402"/>
      <c r="DD95" s="1402"/>
      <c r="DE95" s="1402"/>
      <c r="DF95" s="1402"/>
      <c r="DG95" s="1402"/>
      <c r="DH95" s="1402"/>
      <c r="DI95" s="1402"/>
      <c r="DJ95" s="1402"/>
      <c r="DK95" s="1403"/>
      <c r="DL95" s="1402"/>
      <c r="DM95" s="1402"/>
      <c r="DN95" s="1402"/>
      <c r="DO95" s="1402"/>
      <c r="DP95" s="1402"/>
      <c r="DQ95" s="1402"/>
      <c r="DR95" s="1402"/>
      <c r="DS95" s="1402"/>
      <c r="DT95" s="1402"/>
      <c r="DU95" s="1403"/>
      <c r="DV95" s="1401"/>
      <c r="DW95" s="1402"/>
      <c r="DX95" s="1402"/>
      <c r="DY95" s="1402"/>
      <c r="DZ95" s="1402"/>
      <c r="EA95" s="1402"/>
      <c r="EB95" s="1402"/>
      <c r="EC95" s="1402"/>
      <c r="ED95" s="1402"/>
      <c r="EE95" s="1402"/>
      <c r="EF95" s="1402"/>
      <c r="EG95" s="1402"/>
      <c r="EH95" s="1403"/>
      <c r="EI95" s="1401"/>
      <c r="EJ95" s="1402"/>
      <c r="EK95" s="1402"/>
      <c r="EL95" s="1402"/>
      <c r="EM95" s="1402"/>
      <c r="EN95" s="1402"/>
      <c r="EO95" s="1402"/>
      <c r="EP95" s="1402"/>
      <c r="EQ95" s="1402"/>
      <c r="ER95" s="1402"/>
      <c r="ES95" s="1403"/>
      <c r="ET95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30"/>
      <c r="EV95" s="1430"/>
      <c r="EW95" s="1430"/>
      <c r="EX95" s="1430"/>
      <c r="EY95" s="1430"/>
      <c r="EZ95" s="1430"/>
      <c r="FA95" s="1430"/>
      <c r="FB95" s="1430"/>
      <c r="FC95" s="1430"/>
      <c r="FD95" s="1431"/>
      <c r="FE95" s="549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404" t="s">
        <v>480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358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401"/>
      <c r="AW96" s="1402"/>
      <c r="AX96" s="1402"/>
      <c r="AY96" s="1402"/>
      <c r="AZ96" s="1402"/>
      <c r="BA96" s="1402"/>
      <c r="BB96" s="1402"/>
      <c r="BC96" s="1402"/>
      <c r="BD96" s="1402"/>
      <c r="BE96" s="1403"/>
      <c r="BF96" s="1401"/>
      <c r="BG96" s="1402"/>
      <c r="BH96" s="1402"/>
      <c r="BI96" s="1402"/>
      <c r="BJ96" s="1402"/>
      <c r="BK96" s="1402"/>
      <c r="BL96" s="1402"/>
      <c r="BM96" s="1402"/>
      <c r="BN96" s="1402"/>
      <c r="BO96" s="1402"/>
      <c r="BP96" s="1402"/>
      <c r="BQ96" s="1403"/>
      <c r="BR96" s="1401"/>
      <c r="BS96" s="1402"/>
      <c r="BT96" s="1402"/>
      <c r="BU96" s="1402"/>
      <c r="BV96" s="1402"/>
      <c r="BW96" s="1402"/>
      <c r="BX96" s="1402"/>
      <c r="BY96" s="1402"/>
      <c r="BZ96" s="1402"/>
      <c r="CA96" s="1402"/>
      <c r="CB96" s="1403"/>
      <c r="CC96" s="1401"/>
      <c r="CD96" s="1402"/>
      <c r="CE96" s="1402"/>
      <c r="CF96" s="1402"/>
      <c r="CG96" s="1402"/>
      <c r="CH96" s="1402"/>
      <c r="CI96" s="1402"/>
      <c r="CJ96" s="1402"/>
      <c r="CK96" s="1402"/>
      <c r="CL96" s="1402"/>
      <c r="CM96" s="1402"/>
      <c r="CN96" s="1402"/>
      <c r="CO96" s="1403"/>
      <c r="CP96" s="1401"/>
      <c r="CQ96" s="1402"/>
      <c r="CR96" s="1402"/>
      <c r="CS96" s="1402"/>
      <c r="CT96" s="1402"/>
      <c r="CU96" s="1402"/>
      <c r="CV96" s="1402"/>
      <c r="CW96" s="1402"/>
      <c r="CX96" s="1402"/>
      <c r="CY96" s="1402"/>
      <c r="CZ96" s="1403"/>
      <c r="DA96" s="1401"/>
      <c r="DB96" s="1402"/>
      <c r="DC96" s="1402"/>
      <c r="DD96" s="1402"/>
      <c r="DE96" s="1402"/>
      <c r="DF96" s="1402"/>
      <c r="DG96" s="1402"/>
      <c r="DH96" s="1402"/>
      <c r="DI96" s="1402"/>
      <c r="DJ96" s="1402"/>
      <c r="DK96" s="1403"/>
      <c r="DL96" s="1402"/>
      <c r="DM96" s="1402"/>
      <c r="DN96" s="1402"/>
      <c r="DO96" s="1402"/>
      <c r="DP96" s="1402"/>
      <c r="DQ96" s="1402"/>
      <c r="DR96" s="1402"/>
      <c r="DS96" s="1402"/>
      <c r="DT96" s="1402"/>
      <c r="DU96" s="1403"/>
      <c r="DV96" s="1401"/>
      <c r="DW96" s="1402"/>
      <c r="DX96" s="1402"/>
      <c r="DY96" s="1402"/>
      <c r="DZ96" s="1402"/>
      <c r="EA96" s="1402"/>
      <c r="EB96" s="1402"/>
      <c r="EC96" s="1402"/>
      <c r="ED96" s="1402"/>
      <c r="EE96" s="1402"/>
      <c r="EF96" s="1402"/>
      <c r="EG96" s="1402"/>
      <c r="EH96" s="1403"/>
      <c r="EI96" s="1401"/>
      <c r="EJ96" s="1402"/>
      <c r="EK96" s="1402"/>
      <c r="EL96" s="1402"/>
      <c r="EM96" s="1402"/>
      <c r="EN96" s="1402"/>
      <c r="EO96" s="1402"/>
      <c r="EP96" s="1402"/>
      <c r="EQ96" s="1402"/>
      <c r="ER96" s="1402"/>
      <c r="ES96" s="1403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49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404" t="s">
        <v>481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36" t="s">
        <v>359</v>
      </c>
      <c r="AG97" s="1437"/>
      <c r="AH97" s="1437"/>
      <c r="AI97" s="1437"/>
      <c r="AJ97" s="1437"/>
      <c r="AK97" s="1438"/>
      <c r="AL97" s="1439">
        <f>ET97</f>
        <v>0</v>
      </c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380"/>
      <c r="AW97" s="1381"/>
      <c r="AX97" s="1381"/>
      <c r="AY97" s="1381"/>
      <c r="AZ97" s="1381"/>
      <c r="BA97" s="1381"/>
      <c r="BB97" s="1381"/>
      <c r="BC97" s="1381"/>
      <c r="BD97" s="1381"/>
      <c r="BE97" s="1382"/>
      <c r="BF97" s="1380"/>
      <c r="BG97" s="1381"/>
      <c r="BH97" s="1381"/>
      <c r="BI97" s="1381"/>
      <c r="BJ97" s="1381"/>
      <c r="BK97" s="1381"/>
      <c r="BL97" s="1381"/>
      <c r="BM97" s="1381"/>
      <c r="BN97" s="1381"/>
      <c r="BO97" s="1381"/>
      <c r="BP97" s="1381"/>
      <c r="BQ97" s="1382"/>
      <c r="BR97" s="1380"/>
      <c r="BS97" s="1381"/>
      <c r="BT97" s="1381"/>
      <c r="BU97" s="1381"/>
      <c r="BV97" s="1381"/>
      <c r="BW97" s="1381"/>
      <c r="BX97" s="1381"/>
      <c r="BY97" s="1381"/>
      <c r="BZ97" s="1381"/>
      <c r="CA97" s="1381"/>
      <c r="CB97" s="1382"/>
      <c r="CC97" s="1380"/>
      <c r="CD97" s="1381"/>
      <c r="CE97" s="1381"/>
      <c r="CF97" s="1381"/>
      <c r="CG97" s="1381"/>
      <c r="CH97" s="1381"/>
      <c r="CI97" s="1381"/>
      <c r="CJ97" s="1381"/>
      <c r="CK97" s="1381"/>
      <c r="CL97" s="1381"/>
      <c r="CM97" s="1381"/>
      <c r="CN97" s="1381"/>
      <c r="CO97" s="1382"/>
      <c r="CP97" s="1380"/>
      <c r="CQ97" s="1381"/>
      <c r="CR97" s="1381"/>
      <c r="CS97" s="1381"/>
      <c r="CT97" s="1381"/>
      <c r="CU97" s="1381"/>
      <c r="CV97" s="1381"/>
      <c r="CW97" s="1381"/>
      <c r="CX97" s="1381"/>
      <c r="CY97" s="1381"/>
      <c r="CZ97" s="1382"/>
      <c r="DA97" s="1380"/>
      <c r="DB97" s="1381"/>
      <c r="DC97" s="1381"/>
      <c r="DD97" s="1381"/>
      <c r="DE97" s="1381"/>
      <c r="DF97" s="1381"/>
      <c r="DG97" s="1381"/>
      <c r="DH97" s="1381"/>
      <c r="DI97" s="1381"/>
      <c r="DJ97" s="1381"/>
      <c r="DK97" s="1382"/>
      <c r="DL97" s="1381"/>
      <c r="DM97" s="1381"/>
      <c r="DN97" s="1381"/>
      <c r="DO97" s="1381"/>
      <c r="DP97" s="1381"/>
      <c r="DQ97" s="1381"/>
      <c r="DR97" s="1381"/>
      <c r="DS97" s="1381"/>
      <c r="DT97" s="1381"/>
      <c r="DU97" s="1382"/>
      <c r="DV97" s="1380"/>
      <c r="DW97" s="1381"/>
      <c r="DX97" s="1381"/>
      <c r="DY97" s="1381"/>
      <c r="DZ97" s="1381"/>
      <c r="EA97" s="1381"/>
      <c r="EB97" s="1381"/>
      <c r="EC97" s="1381"/>
      <c r="ED97" s="1381"/>
      <c r="EE97" s="1381"/>
      <c r="EF97" s="1381"/>
      <c r="EG97" s="1381"/>
      <c r="EH97" s="1382"/>
      <c r="EI97" s="1380"/>
      <c r="EJ97" s="1381"/>
      <c r="EK97" s="1381"/>
      <c r="EL97" s="1381"/>
      <c r="EM97" s="1381"/>
      <c r="EN97" s="1381"/>
      <c r="EO97" s="1381"/>
      <c r="EP97" s="1381"/>
      <c r="EQ97" s="1381"/>
      <c r="ER97" s="1381"/>
      <c r="ES97" s="1382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49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10" t="s">
        <v>197</v>
      </c>
      <c r="B101" s="1411"/>
      <c r="C101" s="1411"/>
      <c r="D101" s="1411"/>
      <c r="E101" s="1411"/>
      <c r="F101" s="1411"/>
      <c r="G101" s="1411"/>
      <c r="H101" s="1411"/>
      <c r="I101" s="1411"/>
      <c r="J101" s="1411"/>
      <c r="K101" s="1411"/>
      <c r="L101" s="1411"/>
      <c r="M101" s="1411"/>
      <c r="N101" s="1411"/>
      <c r="O101" s="1411"/>
      <c r="P101" s="1411"/>
      <c r="Q101" s="1411"/>
      <c r="R101" s="1411"/>
      <c r="S101" s="1411"/>
      <c r="T101" s="1411"/>
      <c r="U101" s="1411"/>
      <c r="V101" s="1411"/>
      <c r="W101" s="1411"/>
      <c r="X101" s="1411"/>
      <c r="Y101" s="1411"/>
      <c r="Z101" s="1411"/>
      <c r="AA101" s="1411"/>
      <c r="AB101" s="1411"/>
      <c r="AC101" s="1411"/>
      <c r="AD101" s="1411"/>
      <c r="AE101" s="1412"/>
      <c r="AF101" s="1410" t="s">
        <v>288</v>
      </c>
      <c r="AG101" s="1411"/>
      <c r="AH101" s="1411"/>
      <c r="AI101" s="1411"/>
      <c r="AJ101" s="1411"/>
      <c r="AK101" s="1412"/>
      <c r="AL101" s="1410" t="s">
        <v>304</v>
      </c>
      <c r="AM101" s="1411"/>
      <c r="AN101" s="1411"/>
      <c r="AO101" s="1411"/>
      <c r="AP101" s="1411"/>
      <c r="AQ101" s="1411"/>
      <c r="AR101" s="1411"/>
      <c r="AS101" s="1411"/>
      <c r="AT101" s="1411"/>
      <c r="AU101" s="1412"/>
      <c r="AV101" s="1419" t="s">
        <v>305</v>
      </c>
      <c r="AW101" s="1420"/>
      <c r="AX101" s="1420"/>
      <c r="AY101" s="1420"/>
      <c r="AZ101" s="1420"/>
      <c r="BA101" s="1420"/>
      <c r="BB101" s="1420"/>
      <c r="BC101" s="1420"/>
      <c r="BD101" s="1420"/>
      <c r="BE101" s="1420"/>
      <c r="BF101" s="1420"/>
      <c r="BG101" s="1420"/>
      <c r="BH101" s="1420"/>
      <c r="BI101" s="1420"/>
      <c r="BJ101" s="1420"/>
      <c r="BK101" s="1420"/>
      <c r="BL101" s="1420"/>
      <c r="BM101" s="1420"/>
      <c r="BN101" s="1420"/>
      <c r="BO101" s="1420"/>
      <c r="BP101" s="1420"/>
      <c r="BQ101" s="1420"/>
      <c r="BR101" s="1420"/>
      <c r="BS101" s="1420"/>
      <c r="BT101" s="1420"/>
      <c r="BU101" s="1420"/>
      <c r="BV101" s="1420"/>
      <c r="BW101" s="1420"/>
      <c r="BX101" s="1420"/>
      <c r="BY101" s="1420"/>
      <c r="BZ101" s="1420"/>
      <c r="CA101" s="1420"/>
      <c r="CB101" s="1420"/>
      <c r="CC101" s="1420"/>
      <c r="CD101" s="1420"/>
      <c r="CE101" s="1420"/>
      <c r="CF101" s="1420"/>
      <c r="CG101" s="1420"/>
      <c r="CH101" s="1420"/>
      <c r="CI101" s="1420"/>
      <c r="CJ101" s="1420"/>
      <c r="CK101" s="1420"/>
      <c r="CL101" s="1420"/>
      <c r="CM101" s="1420"/>
      <c r="CN101" s="1420"/>
      <c r="CO101" s="1420"/>
      <c r="CP101" s="1420"/>
      <c r="CQ101" s="1420"/>
      <c r="CR101" s="1420"/>
      <c r="CS101" s="1420"/>
      <c r="CT101" s="1420"/>
      <c r="CU101" s="1420"/>
      <c r="CV101" s="1420"/>
      <c r="CW101" s="1420"/>
      <c r="CX101" s="1420"/>
      <c r="CY101" s="1420"/>
      <c r="CZ101" s="1420"/>
      <c r="DA101" s="1420"/>
      <c r="DB101" s="1420"/>
      <c r="DC101" s="1420"/>
      <c r="DD101" s="1420"/>
      <c r="DE101" s="1420"/>
      <c r="DF101" s="1420"/>
      <c r="DG101" s="1420"/>
      <c r="DH101" s="1420"/>
      <c r="DI101" s="1420"/>
      <c r="DJ101" s="1420"/>
      <c r="DK101" s="1420"/>
      <c r="DL101" s="1420"/>
      <c r="DM101" s="1420"/>
      <c r="DN101" s="1420"/>
      <c r="DO101" s="1420"/>
      <c r="DP101" s="1420"/>
      <c r="DQ101" s="1420"/>
      <c r="DR101" s="1420"/>
      <c r="DS101" s="1420"/>
      <c r="DT101" s="1420"/>
      <c r="DU101" s="1420"/>
      <c r="DV101" s="1420"/>
      <c r="DW101" s="1420"/>
      <c r="DX101" s="1420"/>
      <c r="DY101" s="1420"/>
      <c r="DZ101" s="1420"/>
      <c r="EA101" s="1420"/>
      <c r="EB101" s="1420"/>
      <c r="EC101" s="1420"/>
      <c r="ED101" s="1420"/>
      <c r="EE101" s="1420"/>
      <c r="EF101" s="1420"/>
      <c r="EG101" s="1420"/>
      <c r="EH101" s="1420"/>
      <c r="EI101" s="1420"/>
      <c r="EJ101" s="1420"/>
      <c r="EK101" s="1420"/>
      <c r="EL101" s="1420"/>
      <c r="EM101" s="1420"/>
      <c r="EN101" s="1420"/>
      <c r="EO101" s="1420"/>
      <c r="EP101" s="1420"/>
      <c r="EQ101" s="1420"/>
      <c r="ER101" s="1420"/>
      <c r="ES101" s="1420"/>
      <c r="ET101" s="1420"/>
      <c r="EU101" s="1420"/>
      <c r="EV101" s="1420"/>
      <c r="EW101" s="1420"/>
      <c r="EX101" s="1420"/>
      <c r="EY101" s="1420"/>
      <c r="EZ101" s="1420"/>
      <c r="FA101" s="1420"/>
      <c r="FB101" s="1420"/>
      <c r="FC101" s="1420"/>
      <c r="FD101" s="1421"/>
    </row>
    <row r="102" spans="1:163" ht="22.5" customHeight="1">
      <c r="A102" s="1413"/>
      <c r="B102" s="1414"/>
      <c r="C102" s="1414"/>
      <c r="D102" s="1414"/>
      <c r="E102" s="1414"/>
      <c r="F102" s="1414"/>
      <c r="G102" s="1414"/>
      <c r="H102" s="1414"/>
      <c r="I102" s="1414"/>
      <c r="J102" s="1414"/>
      <c r="K102" s="1414"/>
      <c r="L102" s="1414"/>
      <c r="M102" s="1414"/>
      <c r="N102" s="1414"/>
      <c r="O102" s="1414"/>
      <c r="P102" s="1414"/>
      <c r="Q102" s="1414"/>
      <c r="R102" s="1414"/>
      <c r="S102" s="1414"/>
      <c r="T102" s="1414"/>
      <c r="U102" s="1414"/>
      <c r="V102" s="1414"/>
      <c r="W102" s="1414"/>
      <c r="X102" s="1414"/>
      <c r="Y102" s="1414"/>
      <c r="Z102" s="1414"/>
      <c r="AA102" s="1414"/>
      <c r="AB102" s="1414"/>
      <c r="AC102" s="1414"/>
      <c r="AD102" s="1414"/>
      <c r="AE102" s="1415"/>
      <c r="AF102" s="1413"/>
      <c r="AG102" s="1414"/>
      <c r="AH102" s="1414"/>
      <c r="AI102" s="1414"/>
      <c r="AJ102" s="1414"/>
      <c r="AK102" s="1415"/>
      <c r="AL102" s="1413"/>
      <c r="AM102" s="1414"/>
      <c r="AN102" s="1414"/>
      <c r="AO102" s="1414"/>
      <c r="AP102" s="1414"/>
      <c r="AQ102" s="1414"/>
      <c r="AR102" s="1414"/>
      <c r="AS102" s="1414"/>
      <c r="AT102" s="1414"/>
      <c r="AU102" s="1415"/>
      <c r="AV102" s="1419" t="s">
        <v>306</v>
      </c>
      <c r="AW102" s="1420"/>
      <c r="AX102" s="1420"/>
      <c r="AY102" s="1420"/>
      <c r="AZ102" s="1420"/>
      <c r="BA102" s="1420"/>
      <c r="BB102" s="1420"/>
      <c r="BC102" s="1420"/>
      <c r="BD102" s="1420"/>
      <c r="BE102" s="1420"/>
      <c r="BF102" s="1420"/>
      <c r="BG102" s="1420"/>
      <c r="BH102" s="1420"/>
      <c r="BI102" s="1420"/>
      <c r="BJ102" s="1420"/>
      <c r="BK102" s="1420"/>
      <c r="BL102" s="1420"/>
      <c r="BM102" s="1420"/>
      <c r="BN102" s="1420"/>
      <c r="BO102" s="1420"/>
      <c r="BP102" s="1420"/>
      <c r="BQ102" s="1420"/>
      <c r="BR102" s="1420"/>
      <c r="BS102" s="1420"/>
      <c r="BT102" s="1420"/>
      <c r="BU102" s="1420"/>
      <c r="BV102" s="1420"/>
      <c r="BW102" s="1420"/>
      <c r="BX102" s="1420"/>
      <c r="BY102" s="1420"/>
      <c r="BZ102" s="1420"/>
      <c r="CA102" s="1420"/>
      <c r="CB102" s="1420"/>
      <c r="CC102" s="1420"/>
      <c r="CD102" s="1420"/>
      <c r="CE102" s="1420"/>
      <c r="CF102" s="1420"/>
      <c r="CG102" s="1420"/>
      <c r="CH102" s="1420"/>
      <c r="CI102" s="1420"/>
      <c r="CJ102" s="1420"/>
      <c r="CK102" s="1420"/>
      <c r="CL102" s="1420"/>
      <c r="CM102" s="1420"/>
      <c r="CN102" s="1420"/>
      <c r="CO102" s="1420"/>
      <c r="CP102" s="1420"/>
      <c r="CQ102" s="1420"/>
      <c r="CR102" s="1420"/>
      <c r="CS102" s="1420"/>
      <c r="CT102" s="1420"/>
      <c r="CU102" s="1420"/>
      <c r="CV102" s="1420"/>
      <c r="CW102" s="1420"/>
      <c r="CX102" s="1420"/>
      <c r="CY102" s="1420"/>
      <c r="CZ102" s="1421"/>
      <c r="DA102" s="1410" t="s">
        <v>307</v>
      </c>
      <c r="DB102" s="1411"/>
      <c r="DC102" s="1411"/>
      <c r="DD102" s="1411"/>
      <c r="DE102" s="1411"/>
      <c r="DF102" s="1411"/>
      <c r="DG102" s="1411"/>
      <c r="DH102" s="1411"/>
      <c r="DI102" s="1411"/>
      <c r="DJ102" s="1411"/>
      <c r="DK102" s="1412"/>
      <c r="DL102" s="1419" t="s">
        <v>475</v>
      </c>
      <c r="DM102" s="1420"/>
      <c r="DN102" s="1420"/>
      <c r="DO102" s="1420"/>
      <c r="DP102" s="1420"/>
      <c r="DQ102" s="1420"/>
      <c r="DR102" s="1420"/>
      <c r="DS102" s="1420"/>
      <c r="DT102" s="1420"/>
      <c r="DU102" s="1420"/>
      <c r="DV102" s="1420"/>
      <c r="DW102" s="1420"/>
      <c r="DX102" s="1420"/>
      <c r="DY102" s="1420"/>
      <c r="DZ102" s="1420"/>
      <c r="EA102" s="1420"/>
      <c r="EB102" s="1420"/>
      <c r="EC102" s="1420"/>
      <c r="ED102" s="1420"/>
      <c r="EE102" s="1420"/>
      <c r="EF102" s="1420"/>
      <c r="EG102" s="1420"/>
      <c r="EH102" s="1420"/>
      <c r="EI102" s="1420"/>
      <c r="EJ102" s="1420"/>
      <c r="EK102" s="1420"/>
      <c r="EL102" s="1420"/>
      <c r="EM102" s="1420"/>
      <c r="EN102" s="1420"/>
      <c r="EO102" s="1420"/>
      <c r="EP102" s="1420"/>
      <c r="EQ102" s="1420"/>
      <c r="ER102" s="1420"/>
      <c r="ES102" s="1421"/>
      <c r="ET102" s="1410" t="s">
        <v>479</v>
      </c>
      <c r="EU102" s="1411"/>
      <c r="EV102" s="1411"/>
      <c r="EW102" s="1411"/>
      <c r="EX102" s="1411"/>
      <c r="EY102" s="1411"/>
      <c r="EZ102" s="1411"/>
      <c r="FA102" s="1411"/>
      <c r="FB102" s="1411"/>
      <c r="FC102" s="1411"/>
      <c r="FD102" s="1412"/>
    </row>
    <row r="103" spans="1:163" ht="12.75" customHeight="1">
      <c r="A103" s="1413"/>
      <c r="B103" s="1414"/>
      <c r="C103" s="1414"/>
      <c r="D103" s="1414"/>
      <c r="E103" s="1414"/>
      <c r="F103" s="1414"/>
      <c r="G103" s="1414"/>
      <c r="H103" s="1414"/>
      <c r="I103" s="1414"/>
      <c r="J103" s="1414"/>
      <c r="K103" s="1414"/>
      <c r="L103" s="1414"/>
      <c r="M103" s="1414"/>
      <c r="N103" s="1414"/>
      <c r="O103" s="1414"/>
      <c r="P103" s="1414"/>
      <c r="Q103" s="1414"/>
      <c r="R103" s="1414"/>
      <c r="S103" s="1414"/>
      <c r="T103" s="1414"/>
      <c r="U103" s="1414"/>
      <c r="V103" s="1414"/>
      <c r="W103" s="1414"/>
      <c r="X103" s="1414"/>
      <c r="Y103" s="1414"/>
      <c r="Z103" s="1414"/>
      <c r="AA103" s="1414"/>
      <c r="AB103" s="1414"/>
      <c r="AC103" s="1414"/>
      <c r="AD103" s="1414"/>
      <c r="AE103" s="1415"/>
      <c r="AF103" s="1413"/>
      <c r="AG103" s="1414"/>
      <c r="AH103" s="1414"/>
      <c r="AI103" s="1414"/>
      <c r="AJ103" s="1414"/>
      <c r="AK103" s="1415"/>
      <c r="AL103" s="1413"/>
      <c r="AM103" s="1414"/>
      <c r="AN103" s="1414"/>
      <c r="AO103" s="1414"/>
      <c r="AP103" s="1414"/>
      <c r="AQ103" s="1414"/>
      <c r="AR103" s="1414"/>
      <c r="AS103" s="1414"/>
      <c r="AT103" s="1414"/>
      <c r="AU103" s="1415"/>
      <c r="AV103" s="1410" t="s">
        <v>308</v>
      </c>
      <c r="AW103" s="1411"/>
      <c r="AX103" s="1411"/>
      <c r="AY103" s="1411"/>
      <c r="AZ103" s="1411"/>
      <c r="BA103" s="1411"/>
      <c r="BB103" s="1411"/>
      <c r="BC103" s="1411"/>
      <c r="BD103" s="1411"/>
      <c r="BE103" s="1412"/>
      <c r="BF103" s="1419" t="s">
        <v>309</v>
      </c>
      <c r="BG103" s="1420"/>
      <c r="BH103" s="1420"/>
      <c r="BI103" s="1420"/>
      <c r="BJ103" s="1420"/>
      <c r="BK103" s="1420"/>
      <c r="BL103" s="1420"/>
      <c r="BM103" s="1420"/>
      <c r="BN103" s="1420"/>
      <c r="BO103" s="1420"/>
      <c r="BP103" s="1420"/>
      <c r="BQ103" s="1420"/>
      <c r="BR103" s="1420"/>
      <c r="BS103" s="1420"/>
      <c r="BT103" s="1420"/>
      <c r="BU103" s="1420"/>
      <c r="BV103" s="1420"/>
      <c r="BW103" s="1420"/>
      <c r="BX103" s="1420"/>
      <c r="BY103" s="1420"/>
      <c r="BZ103" s="1420"/>
      <c r="CA103" s="1420"/>
      <c r="CB103" s="1420"/>
      <c r="CC103" s="1420"/>
      <c r="CD103" s="1420"/>
      <c r="CE103" s="1420"/>
      <c r="CF103" s="1420"/>
      <c r="CG103" s="1420"/>
      <c r="CH103" s="1420"/>
      <c r="CI103" s="1420"/>
      <c r="CJ103" s="1420"/>
      <c r="CK103" s="1420"/>
      <c r="CL103" s="1420"/>
      <c r="CM103" s="1420"/>
      <c r="CN103" s="1420"/>
      <c r="CO103" s="1420"/>
      <c r="CP103" s="1420"/>
      <c r="CQ103" s="1420"/>
      <c r="CR103" s="1420"/>
      <c r="CS103" s="1420"/>
      <c r="CT103" s="1420"/>
      <c r="CU103" s="1420"/>
      <c r="CV103" s="1420"/>
      <c r="CW103" s="1420"/>
      <c r="CX103" s="1420"/>
      <c r="CY103" s="1420"/>
      <c r="CZ103" s="1421"/>
      <c r="DA103" s="1413"/>
      <c r="DB103" s="1414"/>
      <c r="DC103" s="1414"/>
      <c r="DD103" s="1414"/>
      <c r="DE103" s="1414"/>
      <c r="DF103" s="1414"/>
      <c r="DG103" s="1414"/>
      <c r="DH103" s="1414"/>
      <c r="DI103" s="1414"/>
      <c r="DJ103" s="1414"/>
      <c r="DK103" s="1415"/>
      <c r="DL103" s="1410" t="s">
        <v>308</v>
      </c>
      <c r="DM103" s="1411"/>
      <c r="DN103" s="1411"/>
      <c r="DO103" s="1411"/>
      <c r="DP103" s="1411"/>
      <c r="DQ103" s="1411"/>
      <c r="DR103" s="1411"/>
      <c r="DS103" s="1411"/>
      <c r="DT103" s="1411"/>
      <c r="DU103" s="1412"/>
      <c r="DV103" s="1420" t="s">
        <v>309</v>
      </c>
      <c r="DW103" s="1420"/>
      <c r="DX103" s="1420"/>
      <c r="DY103" s="1420"/>
      <c r="DZ103" s="1420"/>
      <c r="EA103" s="1420"/>
      <c r="EB103" s="1420"/>
      <c r="EC103" s="1420"/>
      <c r="ED103" s="1420"/>
      <c r="EE103" s="1420"/>
      <c r="EF103" s="1420"/>
      <c r="EG103" s="1420"/>
      <c r="EH103" s="1420"/>
      <c r="EI103" s="1420"/>
      <c r="EJ103" s="1420"/>
      <c r="EK103" s="1420"/>
      <c r="EL103" s="1420"/>
      <c r="EM103" s="1420"/>
      <c r="EN103" s="1420"/>
      <c r="EO103" s="1420"/>
      <c r="EP103" s="1420"/>
      <c r="EQ103" s="1420"/>
      <c r="ER103" s="1420"/>
      <c r="ES103" s="1421"/>
      <c r="ET103" s="1413"/>
      <c r="EU103" s="1414"/>
      <c r="EV103" s="1414"/>
      <c r="EW103" s="1414"/>
      <c r="EX103" s="1414"/>
      <c r="EY103" s="1414"/>
      <c r="EZ103" s="1414"/>
      <c r="FA103" s="1414"/>
      <c r="FB103" s="1414"/>
      <c r="FC103" s="1414"/>
      <c r="FD103" s="1415"/>
    </row>
    <row r="104" spans="1:163" ht="63.75" customHeight="1">
      <c r="A104" s="1416"/>
      <c r="B104" s="1417"/>
      <c r="C104" s="1417"/>
      <c r="D104" s="1417"/>
      <c r="E104" s="1417"/>
      <c r="F104" s="1417"/>
      <c r="G104" s="1417"/>
      <c r="H104" s="1417"/>
      <c r="I104" s="1417"/>
      <c r="J104" s="1417"/>
      <c r="K104" s="1417"/>
      <c r="L104" s="1417"/>
      <c r="M104" s="1417"/>
      <c r="N104" s="1417"/>
      <c r="O104" s="1417"/>
      <c r="P104" s="1417"/>
      <c r="Q104" s="1417"/>
      <c r="R104" s="1417"/>
      <c r="S104" s="1417"/>
      <c r="T104" s="1417"/>
      <c r="U104" s="1417"/>
      <c r="V104" s="1417"/>
      <c r="W104" s="1417"/>
      <c r="X104" s="1417"/>
      <c r="Y104" s="1417"/>
      <c r="Z104" s="1417"/>
      <c r="AA104" s="1417"/>
      <c r="AB104" s="1417"/>
      <c r="AC104" s="1417"/>
      <c r="AD104" s="1417"/>
      <c r="AE104" s="1418"/>
      <c r="AF104" s="1416"/>
      <c r="AG104" s="1417"/>
      <c r="AH104" s="1417"/>
      <c r="AI104" s="1417"/>
      <c r="AJ104" s="1417"/>
      <c r="AK104" s="1418"/>
      <c r="AL104" s="1416"/>
      <c r="AM104" s="1417"/>
      <c r="AN104" s="1417"/>
      <c r="AO104" s="1417"/>
      <c r="AP104" s="1417"/>
      <c r="AQ104" s="1417"/>
      <c r="AR104" s="1417"/>
      <c r="AS104" s="1417"/>
      <c r="AT104" s="1417"/>
      <c r="AU104" s="1418"/>
      <c r="AV104" s="1416"/>
      <c r="AW104" s="1417"/>
      <c r="AX104" s="1417"/>
      <c r="AY104" s="1417"/>
      <c r="AZ104" s="1417"/>
      <c r="BA104" s="1417"/>
      <c r="BB104" s="1417"/>
      <c r="BC104" s="1417"/>
      <c r="BD104" s="1417"/>
      <c r="BE104" s="1418"/>
      <c r="BF104" s="1419" t="s">
        <v>310</v>
      </c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1"/>
      <c r="BR104" s="1419" t="s">
        <v>311</v>
      </c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1"/>
      <c r="CC104" s="1419" t="s">
        <v>476</v>
      </c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1"/>
      <c r="CP104" s="1419" t="s">
        <v>477</v>
      </c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1"/>
      <c r="DA104" s="1416"/>
      <c r="DB104" s="1417"/>
      <c r="DC104" s="1417"/>
      <c r="DD104" s="1417"/>
      <c r="DE104" s="1417"/>
      <c r="DF104" s="1417"/>
      <c r="DG104" s="1417"/>
      <c r="DH104" s="1417"/>
      <c r="DI104" s="1417"/>
      <c r="DJ104" s="1417"/>
      <c r="DK104" s="1418"/>
      <c r="DL104" s="1416"/>
      <c r="DM104" s="1417"/>
      <c r="DN104" s="1417"/>
      <c r="DO104" s="1417"/>
      <c r="DP104" s="1417"/>
      <c r="DQ104" s="1417"/>
      <c r="DR104" s="1417"/>
      <c r="DS104" s="1417"/>
      <c r="DT104" s="1417"/>
      <c r="DU104" s="1418"/>
      <c r="DV104" s="1419" t="s">
        <v>478</v>
      </c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1"/>
      <c r="EI104" s="1419" t="s">
        <v>477</v>
      </c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1"/>
      <c r="ET104" s="1416"/>
      <c r="EU104" s="1417"/>
      <c r="EV104" s="1417"/>
      <c r="EW104" s="1417"/>
      <c r="EX104" s="1417"/>
      <c r="EY104" s="1417"/>
      <c r="EZ104" s="1417"/>
      <c r="FA104" s="1417"/>
      <c r="FB104" s="1417"/>
      <c r="FC104" s="1417"/>
      <c r="FD104" s="1418"/>
    </row>
    <row r="105" spans="1:163" ht="13.5" customHeight="1" thickBot="1">
      <c r="A105" s="1422" t="s">
        <v>399</v>
      </c>
      <c r="B105" s="1423"/>
      <c r="C105" s="1423"/>
      <c r="D105" s="1423"/>
      <c r="E105" s="1423"/>
      <c r="F105" s="1423"/>
      <c r="G105" s="1423"/>
      <c r="H105" s="1423"/>
      <c r="I105" s="1423"/>
      <c r="J105" s="1423"/>
      <c r="K105" s="1423"/>
      <c r="L105" s="1423"/>
      <c r="M105" s="1423"/>
      <c r="N105" s="1423"/>
      <c r="O105" s="1423"/>
      <c r="P105" s="1423"/>
      <c r="Q105" s="1423"/>
      <c r="R105" s="1423"/>
      <c r="S105" s="1423"/>
      <c r="T105" s="1423"/>
      <c r="U105" s="1423"/>
      <c r="V105" s="1423"/>
      <c r="W105" s="1423"/>
      <c r="X105" s="1423"/>
      <c r="Y105" s="1423"/>
      <c r="Z105" s="1423"/>
      <c r="AA105" s="1423"/>
      <c r="AB105" s="1423"/>
      <c r="AC105" s="1423"/>
      <c r="AD105" s="1423"/>
      <c r="AE105" s="1424"/>
      <c r="AF105" s="1407" t="s">
        <v>400</v>
      </c>
      <c r="AG105" s="1408"/>
      <c r="AH105" s="1408"/>
      <c r="AI105" s="1408"/>
      <c r="AJ105" s="1408"/>
      <c r="AK105" s="1409"/>
      <c r="AL105" s="1407" t="s">
        <v>401</v>
      </c>
      <c r="AM105" s="1408"/>
      <c r="AN105" s="1408"/>
      <c r="AO105" s="1408"/>
      <c r="AP105" s="1408"/>
      <c r="AQ105" s="1408"/>
      <c r="AR105" s="1408"/>
      <c r="AS105" s="1408"/>
      <c r="AT105" s="1408"/>
      <c r="AU105" s="1409"/>
      <c r="AV105" s="1407" t="s">
        <v>402</v>
      </c>
      <c r="AW105" s="1408"/>
      <c r="AX105" s="1408"/>
      <c r="AY105" s="1408"/>
      <c r="AZ105" s="1408"/>
      <c r="BA105" s="1408"/>
      <c r="BB105" s="1408"/>
      <c r="BC105" s="1408"/>
      <c r="BD105" s="1408"/>
      <c r="BE105" s="1409"/>
      <c r="BF105" s="1407" t="s">
        <v>403</v>
      </c>
      <c r="BG105" s="1408"/>
      <c r="BH105" s="1408"/>
      <c r="BI105" s="1408"/>
      <c r="BJ105" s="1408"/>
      <c r="BK105" s="1408"/>
      <c r="BL105" s="1408"/>
      <c r="BM105" s="1408"/>
      <c r="BN105" s="1408"/>
      <c r="BO105" s="1408"/>
      <c r="BP105" s="1408"/>
      <c r="BQ105" s="1409"/>
      <c r="BR105" s="1407" t="s">
        <v>404</v>
      </c>
      <c r="BS105" s="1408"/>
      <c r="BT105" s="1408"/>
      <c r="BU105" s="1408"/>
      <c r="BV105" s="1408"/>
      <c r="BW105" s="1408"/>
      <c r="BX105" s="1408"/>
      <c r="BY105" s="1408"/>
      <c r="BZ105" s="1408"/>
      <c r="CA105" s="1408"/>
      <c r="CB105" s="1409"/>
      <c r="CC105" s="1407" t="s">
        <v>405</v>
      </c>
      <c r="CD105" s="1408"/>
      <c r="CE105" s="1408"/>
      <c r="CF105" s="1408"/>
      <c r="CG105" s="1408"/>
      <c r="CH105" s="1408"/>
      <c r="CI105" s="1408"/>
      <c r="CJ105" s="1408"/>
      <c r="CK105" s="1408"/>
      <c r="CL105" s="1408"/>
      <c r="CM105" s="1408"/>
      <c r="CN105" s="1408"/>
      <c r="CO105" s="1409"/>
      <c r="CP105" s="1407" t="s">
        <v>406</v>
      </c>
      <c r="CQ105" s="1408"/>
      <c r="CR105" s="1408"/>
      <c r="CS105" s="1408"/>
      <c r="CT105" s="1408"/>
      <c r="CU105" s="1408"/>
      <c r="CV105" s="1408"/>
      <c r="CW105" s="1408"/>
      <c r="CX105" s="1408"/>
      <c r="CY105" s="1408"/>
      <c r="CZ105" s="1409"/>
      <c r="DA105" s="1407" t="s">
        <v>407</v>
      </c>
      <c r="DB105" s="1408"/>
      <c r="DC105" s="1408"/>
      <c r="DD105" s="1408"/>
      <c r="DE105" s="1408"/>
      <c r="DF105" s="1408"/>
      <c r="DG105" s="1408"/>
      <c r="DH105" s="1408"/>
      <c r="DI105" s="1408"/>
      <c r="DJ105" s="1408"/>
      <c r="DK105" s="1409"/>
      <c r="DL105" s="1407" t="s">
        <v>408</v>
      </c>
      <c r="DM105" s="1408"/>
      <c r="DN105" s="1408"/>
      <c r="DO105" s="1408"/>
      <c r="DP105" s="1408"/>
      <c r="DQ105" s="1408"/>
      <c r="DR105" s="1408"/>
      <c r="DS105" s="1408"/>
      <c r="DT105" s="1408"/>
      <c r="DU105" s="1409"/>
      <c r="DV105" s="1407" t="s">
        <v>409</v>
      </c>
      <c r="DW105" s="1408"/>
      <c r="DX105" s="1408"/>
      <c r="DY105" s="1408"/>
      <c r="DZ105" s="1408"/>
      <c r="EA105" s="1408"/>
      <c r="EB105" s="1408"/>
      <c r="EC105" s="1408"/>
      <c r="ED105" s="1408"/>
      <c r="EE105" s="1408"/>
      <c r="EF105" s="1408"/>
      <c r="EG105" s="1408"/>
      <c r="EH105" s="1409"/>
      <c r="EI105" s="1407" t="s">
        <v>410</v>
      </c>
      <c r="EJ105" s="1408"/>
      <c r="EK105" s="1408"/>
      <c r="EL105" s="1408"/>
      <c r="EM105" s="1408"/>
      <c r="EN105" s="1408"/>
      <c r="EO105" s="1408"/>
      <c r="EP105" s="1408"/>
      <c r="EQ105" s="1408"/>
      <c r="ER105" s="1408"/>
      <c r="ES105" s="1409"/>
      <c r="ET105" s="1407" t="s">
        <v>411</v>
      </c>
      <c r="EU105" s="1408"/>
      <c r="EV105" s="1408"/>
      <c r="EW105" s="1408"/>
      <c r="EX105" s="1408"/>
      <c r="EY105" s="1408"/>
      <c r="EZ105" s="1408"/>
      <c r="FA105" s="1408"/>
      <c r="FB105" s="1408"/>
      <c r="FC105" s="1408"/>
      <c r="FD105" s="1409"/>
    </row>
    <row r="106" spans="1:163" ht="35.25" customHeight="1">
      <c r="A106" s="1404" t="s">
        <v>482</v>
      </c>
      <c r="B106" s="1405"/>
      <c r="C106" s="1405"/>
      <c r="D106" s="1405"/>
      <c r="E106" s="1405"/>
      <c r="F106" s="1405"/>
      <c r="G106" s="1405"/>
      <c r="H106" s="1405"/>
      <c r="I106" s="1405"/>
      <c r="J106" s="1405"/>
      <c r="K106" s="1405"/>
      <c r="L106" s="1405"/>
      <c r="M106" s="1405"/>
      <c r="N106" s="1405"/>
      <c r="O106" s="1405"/>
      <c r="P106" s="1405"/>
      <c r="Q106" s="1405"/>
      <c r="R106" s="1405"/>
      <c r="S106" s="1405"/>
      <c r="T106" s="1405"/>
      <c r="U106" s="1405"/>
      <c r="V106" s="1405"/>
      <c r="W106" s="1405"/>
      <c r="X106" s="1405"/>
      <c r="Y106" s="1405"/>
      <c r="Z106" s="1405"/>
      <c r="AA106" s="1405"/>
      <c r="AB106" s="1405"/>
      <c r="AC106" s="1405"/>
      <c r="AD106" s="1405"/>
      <c r="AE106" s="1406"/>
      <c r="AF106" s="1441" t="s">
        <v>361</v>
      </c>
      <c r="AG106" s="1442"/>
      <c r="AH106" s="1442"/>
      <c r="AI106" s="1442"/>
      <c r="AJ106" s="1442"/>
      <c r="AK106" s="1443"/>
      <c r="AL106" s="1425"/>
      <c r="AM106" s="1426"/>
      <c r="AN106" s="1426"/>
      <c r="AO106" s="1426"/>
      <c r="AP106" s="1426"/>
      <c r="AQ106" s="1426"/>
      <c r="AR106" s="1426"/>
      <c r="AS106" s="1426"/>
      <c r="AT106" s="1426"/>
      <c r="AU106" s="1427"/>
      <c r="AV106" s="1425"/>
      <c r="AW106" s="1426"/>
      <c r="AX106" s="1426"/>
      <c r="AY106" s="1426"/>
      <c r="AZ106" s="1426"/>
      <c r="BA106" s="1426"/>
      <c r="BB106" s="1426"/>
      <c r="BC106" s="1426"/>
      <c r="BD106" s="1426"/>
      <c r="BE106" s="1427"/>
      <c r="BF106" s="1425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7"/>
      <c r="BR106" s="1425"/>
      <c r="BS106" s="1426"/>
      <c r="BT106" s="1426"/>
      <c r="BU106" s="1426"/>
      <c r="BV106" s="1426"/>
      <c r="BW106" s="1426"/>
      <c r="BX106" s="1426"/>
      <c r="BY106" s="1426"/>
      <c r="BZ106" s="1426"/>
      <c r="CA106" s="1426"/>
      <c r="CB106" s="1427"/>
      <c r="CC106" s="1425"/>
      <c r="CD106" s="1426"/>
      <c r="CE106" s="1426"/>
      <c r="CF106" s="1426"/>
      <c r="CG106" s="1426"/>
      <c r="CH106" s="1426"/>
      <c r="CI106" s="1426"/>
      <c r="CJ106" s="1426"/>
      <c r="CK106" s="1426"/>
      <c r="CL106" s="1426"/>
      <c r="CM106" s="1426"/>
      <c r="CN106" s="1426"/>
      <c r="CO106" s="1427"/>
      <c r="CP106" s="1425"/>
      <c r="CQ106" s="1426"/>
      <c r="CR106" s="1426"/>
      <c r="CS106" s="1426"/>
      <c r="CT106" s="1426"/>
      <c r="CU106" s="1426"/>
      <c r="CV106" s="1426"/>
      <c r="CW106" s="1426"/>
      <c r="CX106" s="1426"/>
      <c r="CY106" s="1426"/>
      <c r="CZ106" s="1427"/>
      <c r="DA106" s="1425"/>
      <c r="DB106" s="1426"/>
      <c r="DC106" s="1426"/>
      <c r="DD106" s="1426"/>
      <c r="DE106" s="1426"/>
      <c r="DF106" s="1426"/>
      <c r="DG106" s="1426"/>
      <c r="DH106" s="1426"/>
      <c r="DI106" s="1426"/>
      <c r="DJ106" s="1426"/>
      <c r="DK106" s="1427"/>
      <c r="DL106" s="1426"/>
      <c r="DM106" s="1426"/>
      <c r="DN106" s="1426"/>
      <c r="DO106" s="1426"/>
      <c r="DP106" s="1426"/>
      <c r="DQ106" s="1426"/>
      <c r="DR106" s="1426"/>
      <c r="DS106" s="1426"/>
      <c r="DT106" s="1426"/>
      <c r="DU106" s="1427"/>
      <c r="DV106" s="1425"/>
      <c r="DW106" s="1426"/>
      <c r="DX106" s="1426"/>
      <c r="DY106" s="1426"/>
      <c r="DZ106" s="1426"/>
      <c r="EA106" s="1426"/>
      <c r="EB106" s="1426"/>
      <c r="EC106" s="1426"/>
      <c r="ED106" s="1426"/>
      <c r="EE106" s="1426"/>
      <c r="EF106" s="1426"/>
      <c r="EG106" s="1426"/>
      <c r="EH106" s="1427"/>
      <c r="EI106" s="1425"/>
      <c r="EJ106" s="1426"/>
      <c r="EK106" s="1426"/>
      <c r="EL106" s="1426"/>
      <c r="EM106" s="1426"/>
      <c r="EN106" s="1426"/>
      <c r="EO106" s="1426"/>
      <c r="EP106" s="1426"/>
      <c r="EQ106" s="1426"/>
      <c r="ER106" s="1426"/>
      <c r="ES106" s="1427"/>
      <c r="ET106" s="1425"/>
      <c r="EU106" s="1426"/>
      <c r="EV106" s="1426"/>
      <c r="EW106" s="1426"/>
      <c r="EX106" s="1426"/>
      <c r="EY106" s="1426"/>
      <c r="EZ106" s="1426"/>
      <c r="FA106" s="1426"/>
      <c r="FB106" s="1426"/>
      <c r="FC106" s="1426"/>
      <c r="FD106" s="1428"/>
    </row>
    <row r="107" spans="1:163" ht="36" customHeight="1">
      <c r="A107" s="1404" t="s">
        <v>464</v>
      </c>
      <c r="B107" s="1405"/>
      <c r="C107" s="1405"/>
      <c r="D107" s="1405"/>
      <c r="E107" s="1405"/>
      <c r="F107" s="1405"/>
      <c r="G107" s="1405"/>
      <c r="H107" s="1405"/>
      <c r="I107" s="1405"/>
      <c r="J107" s="1405"/>
      <c r="K107" s="1405"/>
      <c r="L107" s="1405"/>
      <c r="M107" s="1405"/>
      <c r="N107" s="1405"/>
      <c r="O107" s="1405"/>
      <c r="P107" s="1405"/>
      <c r="Q107" s="1405"/>
      <c r="R107" s="1405"/>
      <c r="S107" s="1405"/>
      <c r="T107" s="1405"/>
      <c r="U107" s="1405"/>
      <c r="V107" s="1405"/>
      <c r="W107" s="1405"/>
      <c r="X107" s="1405"/>
      <c r="Y107" s="1405"/>
      <c r="Z107" s="1405"/>
      <c r="AA107" s="1405"/>
      <c r="AB107" s="1405"/>
      <c r="AC107" s="1405"/>
      <c r="AD107" s="1405"/>
      <c r="AE107" s="1406"/>
      <c r="AF107" s="1433" t="s">
        <v>362</v>
      </c>
      <c r="AG107" s="1434"/>
      <c r="AH107" s="1434"/>
      <c r="AI107" s="1434"/>
      <c r="AJ107" s="1434"/>
      <c r="AK107" s="1435"/>
      <c r="AL107" s="1429">
        <f>ET107</f>
        <v>0</v>
      </c>
      <c r="AM107" s="1430"/>
      <c r="AN107" s="1430"/>
      <c r="AO107" s="1430"/>
      <c r="AP107" s="1430"/>
      <c r="AQ107" s="1430"/>
      <c r="AR107" s="1430"/>
      <c r="AS107" s="1430"/>
      <c r="AT107" s="1430"/>
      <c r="AU107" s="1430"/>
      <c r="AV107" s="1401"/>
      <c r="AW107" s="1402"/>
      <c r="AX107" s="1402"/>
      <c r="AY107" s="1402"/>
      <c r="AZ107" s="1402"/>
      <c r="BA107" s="1402"/>
      <c r="BB107" s="1402"/>
      <c r="BC107" s="1402"/>
      <c r="BD107" s="1402"/>
      <c r="BE107" s="1403"/>
      <c r="BF107" s="1401"/>
      <c r="BG107" s="1402"/>
      <c r="BH107" s="1402"/>
      <c r="BI107" s="1402"/>
      <c r="BJ107" s="1402"/>
      <c r="BK107" s="1402"/>
      <c r="BL107" s="1402"/>
      <c r="BM107" s="1402"/>
      <c r="BN107" s="1402"/>
      <c r="BO107" s="1402"/>
      <c r="BP107" s="1402"/>
      <c r="BQ107" s="1403"/>
      <c r="BR107" s="1401"/>
      <c r="BS107" s="1402"/>
      <c r="BT107" s="1402"/>
      <c r="BU107" s="1402"/>
      <c r="BV107" s="1402"/>
      <c r="BW107" s="1402"/>
      <c r="BX107" s="1402"/>
      <c r="BY107" s="1402"/>
      <c r="BZ107" s="1402"/>
      <c r="CA107" s="1402"/>
      <c r="CB107" s="1403"/>
      <c r="CC107" s="1401"/>
      <c r="CD107" s="1402"/>
      <c r="CE107" s="1402"/>
      <c r="CF107" s="1402"/>
      <c r="CG107" s="1402"/>
      <c r="CH107" s="1402"/>
      <c r="CI107" s="1402"/>
      <c r="CJ107" s="1402"/>
      <c r="CK107" s="1402"/>
      <c r="CL107" s="1402"/>
      <c r="CM107" s="1402"/>
      <c r="CN107" s="1402"/>
      <c r="CO107" s="1403"/>
      <c r="CP107" s="1401"/>
      <c r="CQ107" s="1402"/>
      <c r="CR107" s="1402"/>
      <c r="CS107" s="1402"/>
      <c r="CT107" s="1402"/>
      <c r="CU107" s="1402"/>
      <c r="CV107" s="1402"/>
      <c r="CW107" s="1402"/>
      <c r="CX107" s="1402"/>
      <c r="CY107" s="1402"/>
      <c r="CZ107" s="1403"/>
      <c r="DA107" s="1401"/>
      <c r="DB107" s="1402"/>
      <c r="DC107" s="1402"/>
      <c r="DD107" s="1402"/>
      <c r="DE107" s="1402"/>
      <c r="DF107" s="1402"/>
      <c r="DG107" s="1402"/>
      <c r="DH107" s="1402"/>
      <c r="DI107" s="1402"/>
      <c r="DJ107" s="1402"/>
      <c r="DK107" s="1403"/>
      <c r="DL107" s="1401"/>
      <c r="DM107" s="1402"/>
      <c r="DN107" s="1402"/>
      <c r="DO107" s="1402"/>
      <c r="DP107" s="1402"/>
      <c r="DQ107" s="1402"/>
      <c r="DR107" s="1402"/>
      <c r="DS107" s="1402"/>
      <c r="DT107" s="1402"/>
      <c r="DU107" s="1403"/>
      <c r="DV107" s="1401"/>
      <c r="DW107" s="1402"/>
      <c r="DX107" s="1402"/>
      <c r="DY107" s="1402"/>
      <c r="DZ107" s="1402"/>
      <c r="EA107" s="1402"/>
      <c r="EB107" s="1402"/>
      <c r="EC107" s="1402"/>
      <c r="ED107" s="1402"/>
      <c r="EE107" s="1402"/>
      <c r="EF107" s="1402"/>
      <c r="EG107" s="1402"/>
      <c r="EH107" s="1403"/>
      <c r="EI107" s="1401"/>
      <c r="EJ107" s="1402"/>
      <c r="EK107" s="1402"/>
      <c r="EL107" s="1402"/>
      <c r="EM107" s="1402"/>
      <c r="EN107" s="1402"/>
      <c r="EO107" s="1402"/>
      <c r="EP107" s="1402"/>
      <c r="EQ107" s="1402"/>
      <c r="ER107" s="1402"/>
      <c r="ES107" s="1403"/>
      <c r="ET107" s="14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30"/>
      <c r="EV107" s="1430"/>
      <c r="EW107" s="1430"/>
      <c r="EX107" s="1430"/>
      <c r="EY107" s="1430"/>
      <c r="EZ107" s="1430"/>
      <c r="FA107" s="1430"/>
      <c r="FB107" s="1430"/>
      <c r="FC107" s="1430"/>
      <c r="FD107" s="1431"/>
      <c r="FE107" s="549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404" t="s">
        <v>483</v>
      </c>
      <c r="B108" s="1405"/>
      <c r="C108" s="1405"/>
      <c r="D108" s="1405"/>
      <c r="E108" s="1405"/>
      <c r="F108" s="1405"/>
      <c r="G108" s="1405"/>
      <c r="H108" s="1405"/>
      <c r="I108" s="1405"/>
      <c r="J108" s="1405"/>
      <c r="K108" s="1405"/>
      <c r="L108" s="1405"/>
      <c r="M108" s="1405"/>
      <c r="N108" s="1405"/>
      <c r="O108" s="1405"/>
      <c r="P108" s="1405"/>
      <c r="Q108" s="1405"/>
      <c r="R108" s="1405"/>
      <c r="S108" s="1405"/>
      <c r="T108" s="1405"/>
      <c r="U108" s="1405"/>
      <c r="V108" s="1405"/>
      <c r="W108" s="1405"/>
      <c r="X108" s="1405"/>
      <c r="Y108" s="1405"/>
      <c r="Z108" s="1405"/>
      <c r="AA108" s="1405"/>
      <c r="AB108" s="1405"/>
      <c r="AC108" s="1405"/>
      <c r="AD108" s="1405"/>
      <c r="AE108" s="1406"/>
      <c r="AF108" s="1433" t="s">
        <v>363</v>
      </c>
      <c r="AG108" s="1434"/>
      <c r="AH108" s="1434"/>
      <c r="AI108" s="1434"/>
      <c r="AJ108" s="1434"/>
      <c r="AK108" s="1435"/>
      <c r="AL108" s="1429">
        <f>ET108</f>
        <v>0</v>
      </c>
      <c r="AM108" s="1430"/>
      <c r="AN108" s="1430"/>
      <c r="AO108" s="1430"/>
      <c r="AP108" s="1430"/>
      <c r="AQ108" s="1430"/>
      <c r="AR108" s="1430"/>
      <c r="AS108" s="1430"/>
      <c r="AT108" s="1430"/>
      <c r="AU108" s="1430"/>
      <c r="AV108" s="1401"/>
      <c r="AW108" s="1402"/>
      <c r="AX108" s="1402"/>
      <c r="AY108" s="1402"/>
      <c r="AZ108" s="1402"/>
      <c r="BA108" s="1402"/>
      <c r="BB108" s="1402"/>
      <c r="BC108" s="1402"/>
      <c r="BD108" s="1402"/>
      <c r="BE108" s="1403"/>
      <c r="BF108" s="1401"/>
      <c r="BG108" s="1402"/>
      <c r="BH108" s="1402"/>
      <c r="BI108" s="1402"/>
      <c r="BJ108" s="1402"/>
      <c r="BK108" s="1402"/>
      <c r="BL108" s="1402"/>
      <c r="BM108" s="1402"/>
      <c r="BN108" s="1402"/>
      <c r="BO108" s="1402"/>
      <c r="BP108" s="1402"/>
      <c r="BQ108" s="1403"/>
      <c r="BR108" s="1401"/>
      <c r="BS108" s="1402"/>
      <c r="BT108" s="1402"/>
      <c r="BU108" s="1402"/>
      <c r="BV108" s="1402"/>
      <c r="BW108" s="1402"/>
      <c r="BX108" s="1402"/>
      <c r="BY108" s="1402"/>
      <c r="BZ108" s="1402"/>
      <c r="CA108" s="1402"/>
      <c r="CB108" s="1403"/>
      <c r="CC108" s="1401"/>
      <c r="CD108" s="1402"/>
      <c r="CE108" s="1402"/>
      <c r="CF108" s="1402"/>
      <c r="CG108" s="1402"/>
      <c r="CH108" s="1402"/>
      <c r="CI108" s="1402"/>
      <c r="CJ108" s="1402"/>
      <c r="CK108" s="1402"/>
      <c r="CL108" s="1402"/>
      <c r="CM108" s="1402"/>
      <c r="CN108" s="1402"/>
      <c r="CO108" s="1403"/>
      <c r="CP108" s="1401"/>
      <c r="CQ108" s="1402"/>
      <c r="CR108" s="1402"/>
      <c r="CS108" s="1402"/>
      <c r="CT108" s="1402"/>
      <c r="CU108" s="1402"/>
      <c r="CV108" s="1402"/>
      <c r="CW108" s="1402"/>
      <c r="CX108" s="1402"/>
      <c r="CY108" s="1402"/>
      <c r="CZ108" s="1403"/>
      <c r="DA108" s="1401"/>
      <c r="DB108" s="1402"/>
      <c r="DC108" s="1402"/>
      <c r="DD108" s="1402"/>
      <c r="DE108" s="1402"/>
      <c r="DF108" s="1402"/>
      <c r="DG108" s="1402"/>
      <c r="DH108" s="1402"/>
      <c r="DI108" s="1402"/>
      <c r="DJ108" s="1402"/>
      <c r="DK108" s="1403"/>
      <c r="DL108" s="1401"/>
      <c r="DM108" s="1402"/>
      <c r="DN108" s="1402"/>
      <c r="DO108" s="1402"/>
      <c r="DP108" s="1402"/>
      <c r="DQ108" s="1402"/>
      <c r="DR108" s="1402"/>
      <c r="DS108" s="1402"/>
      <c r="DT108" s="1402"/>
      <c r="DU108" s="1403"/>
      <c r="DV108" s="1401"/>
      <c r="DW108" s="1402"/>
      <c r="DX108" s="1402"/>
      <c r="DY108" s="1402"/>
      <c r="DZ108" s="1402"/>
      <c r="EA108" s="1402"/>
      <c r="EB108" s="1402"/>
      <c r="EC108" s="1402"/>
      <c r="ED108" s="1402"/>
      <c r="EE108" s="1402"/>
      <c r="EF108" s="1402"/>
      <c r="EG108" s="1402"/>
      <c r="EH108" s="1403"/>
      <c r="EI108" s="1401"/>
      <c r="EJ108" s="1402"/>
      <c r="EK108" s="1402"/>
      <c r="EL108" s="1402"/>
      <c r="EM108" s="1402"/>
      <c r="EN108" s="1402"/>
      <c r="EO108" s="1402"/>
      <c r="EP108" s="1402"/>
      <c r="EQ108" s="1402"/>
      <c r="ER108" s="1402"/>
      <c r="ES108" s="1403"/>
      <c r="ET108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30"/>
      <c r="EV108" s="1430"/>
      <c r="EW108" s="1430"/>
      <c r="EX108" s="1430"/>
      <c r="EY108" s="1430"/>
      <c r="EZ108" s="1430"/>
      <c r="FA108" s="1430"/>
      <c r="FB108" s="1430"/>
      <c r="FC108" s="1430"/>
      <c r="FD108" s="1431"/>
      <c r="FE108" s="549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404" t="s">
        <v>484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33" t="s">
        <v>364</v>
      </c>
      <c r="AG109" s="1434"/>
      <c r="AH109" s="1434"/>
      <c r="AI109" s="1434"/>
      <c r="AJ109" s="1434"/>
      <c r="AK109" s="1435"/>
      <c r="AL109" s="14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30"/>
      <c r="AN109" s="1430"/>
      <c r="AO109" s="1430"/>
      <c r="AP109" s="1430"/>
      <c r="AQ109" s="1430"/>
      <c r="AR109" s="1430"/>
      <c r="AS109" s="1430"/>
      <c r="AT109" s="1430"/>
      <c r="AU109" s="1430"/>
      <c r="AV109" s="1401"/>
      <c r="AW109" s="1402"/>
      <c r="AX109" s="1402"/>
      <c r="AY109" s="1402"/>
      <c r="AZ109" s="1402"/>
      <c r="BA109" s="1402"/>
      <c r="BB109" s="1402"/>
      <c r="BC109" s="1402"/>
      <c r="BD109" s="1402"/>
      <c r="BE109" s="1403"/>
      <c r="BF109" s="1401"/>
      <c r="BG109" s="1402"/>
      <c r="BH109" s="1402"/>
      <c r="BI109" s="1402"/>
      <c r="BJ109" s="1402"/>
      <c r="BK109" s="1402"/>
      <c r="BL109" s="1402"/>
      <c r="BM109" s="1402"/>
      <c r="BN109" s="1402"/>
      <c r="BO109" s="1402"/>
      <c r="BP109" s="1402"/>
      <c r="BQ109" s="1403"/>
      <c r="BR109" s="1401"/>
      <c r="BS109" s="1402"/>
      <c r="BT109" s="1402"/>
      <c r="BU109" s="1402"/>
      <c r="BV109" s="1402"/>
      <c r="BW109" s="1402"/>
      <c r="BX109" s="1402"/>
      <c r="BY109" s="1402"/>
      <c r="BZ109" s="1402"/>
      <c r="CA109" s="1402"/>
      <c r="CB109" s="1403"/>
      <c r="CC109" s="1401"/>
      <c r="CD109" s="1402"/>
      <c r="CE109" s="1402"/>
      <c r="CF109" s="1402"/>
      <c r="CG109" s="1402"/>
      <c r="CH109" s="1402"/>
      <c r="CI109" s="1402"/>
      <c r="CJ109" s="1402"/>
      <c r="CK109" s="1402"/>
      <c r="CL109" s="1402"/>
      <c r="CM109" s="1402"/>
      <c r="CN109" s="1402"/>
      <c r="CO109" s="1403"/>
      <c r="CP109" s="1401"/>
      <c r="CQ109" s="1402"/>
      <c r="CR109" s="1402"/>
      <c r="CS109" s="1402"/>
      <c r="CT109" s="1402"/>
      <c r="CU109" s="1402"/>
      <c r="CV109" s="1402"/>
      <c r="CW109" s="1402"/>
      <c r="CX109" s="1402"/>
      <c r="CY109" s="1402"/>
      <c r="CZ109" s="1403"/>
      <c r="DA109" s="1401"/>
      <c r="DB109" s="1402"/>
      <c r="DC109" s="1402"/>
      <c r="DD109" s="1402"/>
      <c r="DE109" s="1402"/>
      <c r="DF109" s="1402"/>
      <c r="DG109" s="1402"/>
      <c r="DH109" s="1402"/>
      <c r="DI109" s="1402"/>
      <c r="DJ109" s="1402"/>
      <c r="DK109" s="1403"/>
      <c r="DL109" s="1401"/>
      <c r="DM109" s="1402"/>
      <c r="DN109" s="1402"/>
      <c r="DO109" s="1402"/>
      <c r="DP109" s="1402"/>
      <c r="DQ109" s="1402"/>
      <c r="DR109" s="1402"/>
      <c r="DS109" s="1402"/>
      <c r="DT109" s="1402"/>
      <c r="DU109" s="1403"/>
      <c r="DV109" s="1401"/>
      <c r="DW109" s="1402"/>
      <c r="DX109" s="1402"/>
      <c r="DY109" s="1402"/>
      <c r="DZ109" s="1402"/>
      <c r="EA109" s="1402"/>
      <c r="EB109" s="1402"/>
      <c r="EC109" s="1402"/>
      <c r="ED109" s="1402"/>
      <c r="EE109" s="1402"/>
      <c r="EF109" s="1402"/>
      <c r="EG109" s="1402"/>
      <c r="EH109" s="1403"/>
      <c r="EI109" s="1401"/>
      <c r="EJ109" s="1402"/>
      <c r="EK109" s="1402"/>
      <c r="EL109" s="1402"/>
      <c r="EM109" s="1402"/>
      <c r="EN109" s="1402"/>
      <c r="EO109" s="1402"/>
      <c r="EP109" s="1402"/>
      <c r="EQ109" s="1402"/>
      <c r="ER109" s="1402"/>
      <c r="ES109" s="1403"/>
      <c r="ET109" s="1401"/>
      <c r="EU109" s="1402"/>
      <c r="EV109" s="1402"/>
      <c r="EW109" s="1402"/>
      <c r="EX109" s="1402"/>
      <c r="EY109" s="1402"/>
      <c r="EZ109" s="1402"/>
      <c r="FA109" s="1402"/>
      <c r="FB109" s="1402"/>
      <c r="FC109" s="1402"/>
      <c r="FD109" s="1432"/>
      <c r="FE109" s="549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404" t="s">
        <v>365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6" t="s">
        <v>366</v>
      </c>
      <c r="AG110" s="1437"/>
      <c r="AH110" s="1437"/>
      <c r="AI110" s="1437"/>
      <c r="AJ110" s="1437"/>
      <c r="AK110" s="1438"/>
      <c r="AL110" s="1439">
        <f ca="1">AL109-AL108</f>
        <v>0</v>
      </c>
      <c r="AM110" s="1440"/>
      <c r="AN110" s="1440"/>
      <c r="AO110" s="1440"/>
      <c r="AP110" s="1440"/>
      <c r="AQ110" s="1440"/>
      <c r="AR110" s="1440"/>
      <c r="AS110" s="1440"/>
      <c r="AT110" s="1440"/>
      <c r="AU110" s="1440"/>
      <c r="AV110" s="1380"/>
      <c r="AW110" s="1381"/>
      <c r="AX110" s="1381"/>
      <c r="AY110" s="1381"/>
      <c r="AZ110" s="1381"/>
      <c r="BA110" s="1381"/>
      <c r="BB110" s="1381"/>
      <c r="BC110" s="1381"/>
      <c r="BD110" s="1381"/>
      <c r="BE110" s="1382"/>
      <c r="BF110" s="1380"/>
      <c r="BG110" s="1381"/>
      <c r="BH110" s="1381"/>
      <c r="BI110" s="1381"/>
      <c r="BJ110" s="1381"/>
      <c r="BK110" s="1381"/>
      <c r="BL110" s="1381"/>
      <c r="BM110" s="1381"/>
      <c r="BN110" s="1381"/>
      <c r="BO110" s="1381"/>
      <c r="BP110" s="1381"/>
      <c r="BQ110" s="1382"/>
      <c r="BR110" s="1380"/>
      <c r="BS110" s="1381"/>
      <c r="BT110" s="1381"/>
      <c r="BU110" s="1381"/>
      <c r="BV110" s="1381"/>
      <c r="BW110" s="1381"/>
      <c r="BX110" s="1381"/>
      <c r="BY110" s="1381"/>
      <c r="BZ110" s="1381"/>
      <c r="CA110" s="1381"/>
      <c r="CB110" s="1382"/>
      <c r="CC110" s="1380"/>
      <c r="CD110" s="1381"/>
      <c r="CE110" s="1381"/>
      <c r="CF110" s="1381"/>
      <c r="CG110" s="1381"/>
      <c r="CH110" s="1381"/>
      <c r="CI110" s="1381"/>
      <c r="CJ110" s="1381"/>
      <c r="CK110" s="1381"/>
      <c r="CL110" s="1381"/>
      <c r="CM110" s="1381"/>
      <c r="CN110" s="1381"/>
      <c r="CO110" s="1382"/>
      <c r="CP110" s="1380"/>
      <c r="CQ110" s="1381"/>
      <c r="CR110" s="1381"/>
      <c r="CS110" s="1381"/>
      <c r="CT110" s="1381"/>
      <c r="CU110" s="1381"/>
      <c r="CV110" s="1381"/>
      <c r="CW110" s="1381"/>
      <c r="CX110" s="1381"/>
      <c r="CY110" s="1381"/>
      <c r="CZ110" s="1382"/>
      <c r="DA110" s="1380"/>
      <c r="DB110" s="1381"/>
      <c r="DC110" s="1381"/>
      <c r="DD110" s="1381"/>
      <c r="DE110" s="1381"/>
      <c r="DF110" s="1381"/>
      <c r="DG110" s="1381"/>
      <c r="DH110" s="1381"/>
      <c r="DI110" s="1381"/>
      <c r="DJ110" s="1381"/>
      <c r="DK110" s="1382"/>
      <c r="DL110" s="1380"/>
      <c r="DM110" s="1381"/>
      <c r="DN110" s="1381"/>
      <c r="DO110" s="1381"/>
      <c r="DP110" s="1381"/>
      <c r="DQ110" s="1381"/>
      <c r="DR110" s="1381"/>
      <c r="DS110" s="1381"/>
      <c r="DT110" s="1381"/>
      <c r="DU110" s="1382"/>
      <c r="DV110" s="1380"/>
      <c r="DW110" s="1381"/>
      <c r="DX110" s="1381"/>
      <c r="DY110" s="1381"/>
      <c r="DZ110" s="1381"/>
      <c r="EA110" s="1381"/>
      <c r="EB110" s="1381"/>
      <c r="EC110" s="1381"/>
      <c r="ED110" s="1381"/>
      <c r="EE110" s="1381"/>
      <c r="EF110" s="1381"/>
      <c r="EG110" s="1381"/>
      <c r="EH110" s="1382"/>
      <c r="EI110" s="1380"/>
      <c r="EJ110" s="1381"/>
      <c r="EK110" s="1381"/>
      <c r="EL110" s="1381"/>
      <c r="EM110" s="1381"/>
      <c r="EN110" s="1381"/>
      <c r="EO110" s="1381"/>
      <c r="EP110" s="1381"/>
      <c r="EQ110" s="1381"/>
      <c r="ER110" s="1381"/>
      <c r="ES110" s="1382"/>
      <c r="ET110" s="1380"/>
      <c r="EU110" s="1381"/>
      <c r="EV110" s="1381"/>
      <c r="EW110" s="1381"/>
      <c r="EX110" s="1381"/>
      <c r="EY110" s="1381"/>
      <c r="EZ110" s="1381"/>
      <c r="FA110" s="1381"/>
      <c r="FB110" s="1381"/>
      <c r="FC110" s="1381"/>
      <c r="FD110" s="1398"/>
      <c r="FE110" s="549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3" t="str">
        <f>IF('Настройки УИК'!$C$26="","",'Настройки УИК'!$C$26)</f>
        <v/>
      </c>
      <c r="AA115" s="1383"/>
      <c r="AB115" s="1383"/>
      <c r="AC115" s="1383"/>
      <c r="AD115" s="1383"/>
      <c r="AE115" s="1383"/>
      <c r="AF115" s="1383"/>
      <c r="AG115" s="1383"/>
      <c r="AH115" s="1383"/>
      <c r="AI115" s="1383"/>
      <c r="AJ115" s="1383"/>
      <c r="AK115" s="1383"/>
      <c r="AL115" s="1383"/>
      <c r="AM115" s="1383"/>
      <c r="AN115" s="1383"/>
      <c r="AO115" s="1383"/>
      <c r="AP115" s="1383"/>
      <c r="AQ115" s="1383"/>
      <c r="AR115" s="1383"/>
      <c r="AS115" s="1383"/>
      <c r="AT115" s="1383"/>
      <c r="AU115" s="1383"/>
      <c r="AV115" s="1383"/>
      <c r="AW115" s="1383"/>
      <c r="AX115" s="1383"/>
      <c r="AY115" s="1383"/>
      <c r="AZ115" s="1383"/>
      <c r="BA115" s="1383"/>
      <c r="BB115" s="1383"/>
      <c r="BC115" s="1383"/>
      <c r="BD115" s="1383"/>
      <c r="BE115" s="1383"/>
      <c r="BF115" s="1383"/>
      <c r="BG115" s="1383"/>
      <c r="BH115" s="1383"/>
      <c r="BI115" s="1383"/>
      <c r="BJ115" s="1383"/>
      <c r="BK115" s="1383"/>
      <c r="BL115" s="1383"/>
      <c r="BM115" s="1383"/>
      <c r="BN115" s="1383"/>
      <c r="BO115" s="1383"/>
      <c r="BP115" s="1383"/>
      <c r="BQ115" s="1383"/>
      <c r="BR115" s="1383"/>
      <c r="BS115" s="1383"/>
      <c r="BT115" s="1383"/>
      <c r="BU115" s="1383"/>
      <c r="BV115" s="1383"/>
      <c r="BW115" s="1383"/>
      <c r="BX115" s="1383"/>
      <c r="BY115" s="1383"/>
      <c r="BZ115" s="1383"/>
      <c r="CA115" s="1383"/>
      <c r="CB115" s="1383"/>
      <c r="CC115" s="1383"/>
      <c r="CD115" s="1383"/>
      <c r="CE115" s="1383"/>
      <c r="CF115" s="1383"/>
      <c r="CG115" s="1383"/>
      <c r="CH115" s="1383"/>
      <c r="CI115" s="1383"/>
      <c r="CJ115" s="258"/>
      <c r="CK115" s="258"/>
      <c r="CL115" s="258"/>
      <c r="CM115" s="258"/>
      <c r="CN115" s="258"/>
      <c r="CO115" s="1385"/>
      <c r="CP115" s="1385"/>
      <c r="CQ115" s="1385"/>
      <c r="CR115" s="1385"/>
      <c r="CS115" s="1385"/>
      <c r="CT115" s="1385"/>
      <c r="CU115" s="1385"/>
      <c r="CV115" s="1385"/>
      <c r="CW115" s="1385"/>
      <c r="CX115" s="1385"/>
      <c r="CY115" s="1385"/>
      <c r="CZ115" s="1385"/>
      <c r="DA115" s="1385"/>
      <c r="DB115" s="1385"/>
      <c r="DC115" s="1385"/>
      <c r="DD115" s="1385"/>
      <c r="DE115" s="1385"/>
      <c r="DF115" s="1385"/>
      <c r="DG115" s="1385"/>
      <c r="DH115" s="1385"/>
      <c r="DI115" s="1385"/>
      <c r="DJ115" s="1385"/>
      <c r="DK115" s="1385"/>
      <c r="DL115" s="1385"/>
      <c r="DM115" s="1385"/>
      <c r="DN115" s="1385"/>
      <c r="DO115" s="258"/>
      <c r="DP115" s="258"/>
      <c r="DQ115" s="258"/>
      <c r="DR115" s="258"/>
      <c r="DS115" s="258"/>
      <c r="DT115" s="1383" t="e">
        <f>INDEX('Настройки УИК'!B22:B22,19-MATCH('Настройки ТИК'!B39,'Настройки УИК'!M22:M22,0),1)</f>
        <v>#N/A</v>
      </c>
      <c r="DU115" s="1383"/>
      <c r="DV115" s="1383"/>
      <c r="DW115" s="1383"/>
      <c r="DX115" s="1383"/>
      <c r="DY115" s="1383"/>
      <c r="DZ115" s="1383"/>
      <c r="EA115" s="1383"/>
      <c r="EB115" s="1383"/>
      <c r="EC115" s="1383"/>
      <c r="ED115" s="1383"/>
      <c r="EE115" s="1383"/>
      <c r="EF115" s="1383"/>
      <c r="EG115" s="1383"/>
      <c r="EH115" s="1383"/>
      <c r="EI115" s="1383"/>
      <c r="EJ115" s="1383"/>
      <c r="EK115" s="1383"/>
      <c r="EL115" s="1383"/>
      <c r="EM115" s="1383"/>
      <c r="EN115" s="1383"/>
      <c r="EO115" s="1383"/>
      <c r="EP115" s="1383"/>
      <c r="EQ115" s="1383"/>
      <c r="ER115" s="1383"/>
      <c r="ES115" s="1383"/>
      <c r="ET115" s="1383"/>
      <c r="EU115" s="1383"/>
      <c r="EV115" s="1383"/>
      <c r="EW115" s="1383"/>
      <c r="EX115" s="1383"/>
      <c r="EY115" s="1383"/>
      <c r="EZ115" s="1383"/>
      <c r="FA115" s="1383"/>
      <c r="FB115" s="1383"/>
      <c r="FC115" s="1383"/>
      <c r="FD115" s="1383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4"/>
      <c r="AA116" s="1384"/>
      <c r="AB116" s="1384"/>
      <c r="AC116" s="1384"/>
      <c r="AD116" s="1384"/>
      <c r="AE116" s="1384"/>
      <c r="AF116" s="1384"/>
      <c r="AG116" s="1384"/>
      <c r="AH116" s="1384"/>
      <c r="AI116" s="1384"/>
      <c r="AJ116" s="1384"/>
      <c r="AK116" s="1384"/>
      <c r="AL116" s="1384"/>
      <c r="AM116" s="1384"/>
      <c r="AN116" s="1384"/>
      <c r="AO116" s="1384"/>
      <c r="AP116" s="1384"/>
      <c r="AQ116" s="1384"/>
      <c r="AR116" s="1384"/>
      <c r="AS116" s="1384"/>
      <c r="AT116" s="1384"/>
      <c r="AU116" s="1384"/>
      <c r="AV116" s="1384"/>
      <c r="AW116" s="1384"/>
      <c r="AX116" s="1384"/>
      <c r="AY116" s="1384"/>
      <c r="AZ116" s="1384"/>
      <c r="BA116" s="1384"/>
      <c r="BB116" s="1384"/>
      <c r="BC116" s="1384"/>
      <c r="BD116" s="1384"/>
      <c r="BE116" s="1384"/>
      <c r="BF116" s="1384"/>
      <c r="BG116" s="1384"/>
      <c r="BH116" s="1384"/>
      <c r="BI116" s="1384"/>
      <c r="BJ116" s="1384"/>
      <c r="BK116" s="1384"/>
      <c r="BL116" s="1384"/>
      <c r="BM116" s="1384"/>
      <c r="BN116" s="1384"/>
      <c r="BO116" s="1384"/>
      <c r="BP116" s="1384"/>
      <c r="BQ116" s="1384"/>
      <c r="BR116" s="1384"/>
      <c r="BS116" s="1384"/>
      <c r="BT116" s="1384"/>
      <c r="BU116" s="1384"/>
      <c r="BV116" s="1384"/>
      <c r="BW116" s="1384"/>
      <c r="BX116" s="1384"/>
      <c r="BY116" s="1384"/>
      <c r="BZ116" s="1384"/>
      <c r="CA116" s="1384"/>
      <c r="CB116" s="1384"/>
      <c r="CC116" s="1384"/>
      <c r="CD116" s="1384"/>
      <c r="CE116" s="1384"/>
      <c r="CF116" s="1384"/>
      <c r="CG116" s="1384"/>
      <c r="CH116" s="1384"/>
      <c r="CI116" s="1384"/>
      <c r="CJ116" s="258"/>
      <c r="CK116" s="258"/>
      <c r="CL116" s="258"/>
      <c r="CM116" s="258"/>
      <c r="CN116" s="258"/>
      <c r="CO116" s="1386"/>
      <c r="CP116" s="1386"/>
      <c r="CQ116" s="1386"/>
      <c r="CR116" s="1386"/>
      <c r="CS116" s="1386"/>
      <c r="CT116" s="1386"/>
      <c r="CU116" s="1386"/>
      <c r="CV116" s="1386"/>
      <c r="CW116" s="1386"/>
      <c r="CX116" s="1386"/>
      <c r="CY116" s="1386"/>
      <c r="CZ116" s="1386"/>
      <c r="DA116" s="1386"/>
      <c r="DB116" s="1386"/>
      <c r="DC116" s="1386"/>
      <c r="DD116" s="1386"/>
      <c r="DE116" s="1386"/>
      <c r="DF116" s="1386"/>
      <c r="DG116" s="1386"/>
      <c r="DH116" s="1386"/>
      <c r="DI116" s="1386"/>
      <c r="DJ116" s="1386"/>
      <c r="DK116" s="1386"/>
      <c r="DL116" s="1386"/>
      <c r="DM116" s="1386"/>
      <c r="DN116" s="1386"/>
      <c r="DO116" s="258"/>
      <c r="DP116" s="258"/>
      <c r="DQ116" s="258"/>
      <c r="DR116" s="258"/>
      <c r="DS116" s="258"/>
      <c r="DT116" s="1384"/>
      <c r="DU116" s="1384"/>
      <c r="DV116" s="1384"/>
      <c r="DW116" s="1384"/>
      <c r="DX116" s="1384"/>
      <c r="DY116" s="1384"/>
      <c r="DZ116" s="1384"/>
      <c r="EA116" s="1384"/>
      <c r="EB116" s="1384"/>
      <c r="EC116" s="1384"/>
      <c r="ED116" s="1384"/>
      <c r="EE116" s="1384"/>
      <c r="EF116" s="1384"/>
      <c r="EG116" s="1384"/>
      <c r="EH116" s="1384"/>
      <c r="EI116" s="1384"/>
      <c r="EJ116" s="1384"/>
      <c r="EK116" s="1384"/>
      <c r="EL116" s="1384"/>
      <c r="EM116" s="1384"/>
      <c r="EN116" s="1384"/>
      <c r="EO116" s="1384"/>
      <c r="EP116" s="1384"/>
      <c r="EQ116" s="1384"/>
      <c r="ER116" s="1384"/>
      <c r="ES116" s="1384"/>
      <c r="ET116" s="1384"/>
      <c r="EU116" s="1384"/>
      <c r="EV116" s="1384"/>
      <c r="EW116" s="1384"/>
      <c r="EX116" s="1384"/>
      <c r="EY116" s="1384"/>
      <c r="EZ116" s="1384"/>
      <c r="FA116" s="1384"/>
      <c r="FB116" s="1384"/>
      <c r="FC116" s="1384"/>
      <c r="FD116" s="1384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7" t="s">
        <v>485</v>
      </c>
      <c r="AA117" s="1387"/>
      <c r="AB117" s="1387"/>
      <c r="AC117" s="1387"/>
      <c r="AD117" s="1387"/>
      <c r="AE117" s="1387"/>
      <c r="AF117" s="1387"/>
      <c r="AG117" s="1387"/>
      <c r="AH117" s="1387"/>
      <c r="AI117" s="1387"/>
      <c r="AJ117" s="1387"/>
      <c r="AK117" s="1387"/>
      <c r="AL117" s="1387"/>
      <c r="AM117" s="1387"/>
      <c r="AN117" s="1387"/>
      <c r="AO117" s="1387"/>
      <c r="AP117" s="1387"/>
      <c r="AQ117" s="1387"/>
      <c r="AR117" s="1387"/>
      <c r="AS117" s="1387"/>
      <c r="AT117" s="1387"/>
      <c r="AU117" s="1387"/>
      <c r="AV117" s="1387"/>
      <c r="AW117" s="1387"/>
      <c r="AX117" s="1387"/>
      <c r="AY117" s="1387"/>
      <c r="AZ117" s="1387"/>
      <c r="BA117" s="1387"/>
      <c r="BB117" s="1387"/>
      <c r="BC117" s="1387"/>
      <c r="BD117" s="1387"/>
      <c r="BE117" s="1387"/>
      <c r="BF117" s="1387"/>
      <c r="BG117" s="1387"/>
      <c r="BH117" s="1387"/>
      <c r="BI117" s="1387"/>
      <c r="BJ117" s="1387"/>
      <c r="BK117" s="1387"/>
      <c r="BL117" s="1387"/>
      <c r="BM117" s="1387"/>
      <c r="BN117" s="1387"/>
      <c r="BO117" s="1387"/>
      <c r="BP117" s="1387"/>
      <c r="BQ117" s="1387"/>
      <c r="BR117" s="1387"/>
      <c r="BS117" s="1387"/>
      <c r="BT117" s="1387"/>
      <c r="BU117" s="1387"/>
      <c r="BV117" s="1387"/>
      <c r="BW117" s="1387"/>
      <c r="BX117" s="1387"/>
      <c r="BY117" s="1387"/>
      <c r="BZ117" s="1387"/>
      <c r="CA117" s="1387"/>
      <c r="CB117" s="1387"/>
      <c r="CC117" s="1387"/>
      <c r="CD117" s="1387"/>
      <c r="CE117" s="1387"/>
      <c r="CF117" s="1387"/>
      <c r="CG117" s="1387"/>
      <c r="CH117" s="1387"/>
      <c r="CI117" s="1387"/>
      <c r="CJ117" s="254"/>
      <c r="CK117" s="254"/>
      <c r="CL117" s="254"/>
      <c r="CM117" s="254"/>
      <c r="CN117" s="254"/>
      <c r="CO117" s="1378" t="s">
        <v>5</v>
      </c>
      <c r="CP117" s="1378"/>
      <c r="CQ117" s="1378"/>
      <c r="CR117" s="1378"/>
      <c r="CS117" s="1378"/>
      <c r="CT117" s="1378"/>
      <c r="CU117" s="1378"/>
      <c r="CV117" s="1378"/>
      <c r="CW117" s="1378"/>
      <c r="CX117" s="1378"/>
      <c r="CY117" s="1378"/>
      <c r="CZ117" s="1378"/>
      <c r="DA117" s="1378"/>
      <c r="DB117" s="1378"/>
      <c r="DC117" s="1378"/>
      <c r="DD117" s="1378"/>
      <c r="DE117" s="1378"/>
      <c r="DF117" s="1378"/>
      <c r="DG117" s="1378"/>
      <c r="DH117" s="1378"/>
      <c r="DI117" s="1378"/>
      <c r="DJ117" s="1378"/>
      <c r="DK117" s="1378"/>
      <c r="DL117" s="1378"/>
      <c r="DM117" s="1378"/>
      <c r="DN117" s="1378"/>
      <c r="DO117" s="254"/>
      <c r="DP117" s="254"/>
      <c r="DQ117" s="254"/>
      <c r="DR117" s="254"/>
      <c r="DS117" s="254"/>
      <c r="DT117" s="1388" t="s">
        <v>6</v>
      </c>
      <c r="DU117" s="1388"/>
      <c r="DV117" s="1388"/>
      <c r="DW117" s="1388"/>
      <c r="DX117" s="1388"/>
      <c r="DY117" s="1388"/>
      <c r="DZ117" s="1388"/>
      <c r="EA117" s="1388"/>
      <c r="EB117" s="1388"/>
      <c r="EC117" s="1388"/>
      <c r="ED117" s="1388"/>
      <c r="EE117" s="1388"/>
      <c r="EF117" s="1388"/>
      <c r="EG117" s="1388"/>
      <c r="EH117" s="1388"/>
      <c r="EI117" s="1388"/>
      <c r="EJ117" s="1388"/>
      <c r="EK117" s="1388"/>
      <c r="EL117" s="1388"/>
      <c r="EM117" s="1388"/>
      <c r="EN117" s="1388"/>
      <c r="EO117" s="1388"/>
      <c r="EP117" s="1388"/>
      <c r="EQ117" s="1388"/>
      <c r="ER117" s="1388"/>
      <c r="ES117" s="1388"/>
      <c r="ET117" s="1388"/>
      <c r="EU117" s="1388"/>
      <c r="EV117" s="1388"/>
      <c r="EW117" s="1388"/>
      <c r="EX117" s="1388"/>
      <c r="EY117" s="1388"/>
      <c r="EZ117" s="1388"/>
      <c r="FA117" s="1388"/>
      <c r="FB117" s="1388"/>
      <c r="FC117" s="1388"/>
      <c r="FD117" s="1388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7"/>
      <c r="AA118" s="1387"/>
      <c r="AB118" s="1387"/>
      <c r="AC118" s="1387"/>
      <c r="AD118" s="1387"/>
      <c r="AE118" s="1387"/>
      <c r="AF118" s="1387"/>
      <c r="AG118" s="1387"/>
      <c r="AH118" s="1387"/>
      <c r="AI118" s="1387"/>
      <c r="AJ118" s="1387"/>
      <c r="AK118" s="1387"/>
      <c r="AL118" s="1387"/>
      <c r="AM118" s="1387"/>
      <c r="AN118" s="1387"/>
      <c r="AO118" s="1387"/>
      <c r="AP118" s="1387"/>
      <c r="AQ118" s="1387"/>
      <c r="AR118" s="1387"/>
      <c r="AS118" s="1387"/>
      <c r="AT118" s="1387"/>
      <c r="AU118" s="1387"/>
      <c r="AV118" s="1387"/>
      <c r="AW118" s="1387"/>
      <c r="AX118" s="1387"/>
      <c r="AY118" s="1387"/>
      <c r="AZ118" s="1387"/>
      <c r="BA118" s="1387"/>
      <c r="BB118" s="1387"/>
      <c r="BC118" s="1387"/>
      <c r="BD118" s="1387"/>
      <c r="BE118" s="1387"/>
      <c r="BF118" s="1387"/>
      <c r="BG118" s="1387"/>
      <c r="BH118" s="1387"/>
      <c r="BI118" s="1387"/>
      <c r="BJ118" s="1387"/>
      <c r="BK118" s="1387"/>
      <c r="BL118" s="1387"/>
      <c r="BM118" s="1387"/>
      <c r="BN118" s="1387"/>
      <c r="BO118" s="1387"/>
      <c r="BP118" s="1387"/>
      <c r="BQ118" s="1387"/>
      <c r="BR118" s="1387"/>
      <c r="BS118" s="1387"/>
      <c r="BT118" s="1387"/>
      <c r="BU118" s="1387"/>
      <c r="BV118" s="1387"/>
      <c r="BW118" s="1387"/>
      <c r="BX118" s="1387"/>
      <c r="BY118" s="1387"/>
      <c r="BZ118" s="1387"/>
      <c r="CA118" s="1387"/>
      <c r="CB118" s="1387"/>
      <c r="CC118" s="1387"/>
      <c r="CD118" s="1387"/>
      <c r="CE118" s="1387"/>
      <c r="CF118" s="1387"/>
      <c r="CG118" s="1387"/>
      <c r="CH118" s="1387"/>
      <c r="CI118" s="1387"/>
      <c r="CJ118" s="255"/>
      <c r="CK118" s="255"/>
      <c r="CL118" s="255"/>
      <c r="CM118" s="255"/>
      <c r="CN118" s="255"/>
      <c r="CO118" s="1379" t="s">
        <v>369</v>
      </c>
      <c r="CP118" s="1379"/>
      <c r="CQ118" s="1379"/>
      <c r="CR118" s="1379"/>
      <c r="CS118" s="1379"/>
      <c r="CT118" s="1379"/>
      <c r="CU118" s="1379"/>
      <c r="CV118" s="1379"/>
      <c r="CW118" s="1379"/>
      <c r="CX118" s="1379"/>
      <c r="CY118" s="1379"/>
      <c r="CZ118" s="1379"/>
      <c r="DA118" s="1379"/>
      <c r="DB118" s="1379"/>
      <c r="DC118" s="1379"/>
      <c r="DD118" s="1379"/>
      <c r="DE118" s="1379"/>
      <c r="DF118" s="1379"/>
      <c r="DG118" s="1379"/>
      <c r="DH118" s="1379"/>
      <c r="DI118" s="1379"/>
      <c r="DJ118" s="1379"/>
      <c r="DK118" s="1379"/>
      <c r="DL118" s="1379"/>
      <c r="DM118" s="1379"/>
      <c r="DN118" s="1379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9"/>
      <c r="AA119" s="1390"/>
      <c r="AB119" s="1390"/>
      <c r="AC119" s="1390"/>
      <c r="AD119" s="1390"/>
      <c r="AE119" s="1390"/>
      <c r="AF119" s="1390"/>
      <c r="AG119" s="1390"/>
      <c r="AH119" s="1390"/>
      <c r="AI119" s="1390"/>
      <c r="AJ119" s="1390"/>
      <c r="AK119" s="1390"/>
      <c r="AL119" s="1390"/>
      <c r="AM119" s="1390"/>
      <c r="AN119" s="1390"/>
      <c r="AO119" s="1390"/>
      <c r="AP119" s="1390"/>
      <c r="AQ119" s="1390"/>
      <c r="AR119" s="1390"/>
      <c r="AS119" s="1390"/>
      <c r="AT119" s="1390"/>
      <c r="AU119" s="1390"/>
      <c r="AV119" s="1390"/>
      <c r="AW119" s="1390"/>
      <c r="AX119" s="1390"/>
      <c r="AY119" s="1390"/>
      <c r="AZ119" s="1390"/>
      <c r="BA119" s="1390"/>
      <c r="BB119" s="1390"/>
      <c r="BC119" s="1390"/>
      <c r="BD119" s="1390"/>
      <c r="BE119" s="1390"/>
      <c r="BF119" s="1390"/>
      <c r="BG119" s="1390"/>
      <c r="BH119" s="1390"/>
      <c r="BI119" s="1390"/>
      <c r="BJ119" s="1390"/>
      <c r="BK119" s="1390"/>
      <c r="BL119" s="1390"/>
      <c r="BM119" s="1390"/>
      <c r="BN119" s="1390"/>
      <c r="BO119" s="1390"/>
      <c r="BP119" s="1390"/>
      <c r="BQ119" s="1390"/>
      <c r="BR119" s="1390"/>
      <c r="BS119" s="1390"/>
      <c r="BT119" s="1390"/>
      <c r="BU119" s="1390"/>
      <c r="BV119" s="1390"/>
      <c r="BW119" s="1390"/>
      <c r="BX119" s="1390"/>
      <c r="BY119" s="1390"/>
      <c r="BZ119" s="1390"/>
      <c r="CA119" s="1390"/>
      <c r="CB119" s="1390"/>
      <c r="CC119" s="1390"/>
      <c r="CD119" s="1390"/>
      <c r="CE119" s="1390"/>
      <c r="CF119" s="1390"/>
      <c r="CG119" s="1390"/>
      <c r="CH119" s="1390"/>
      <c r="CI119" s="1390"/>
      <c r="CJ119" s="152"/>
      <c r="CK119" s="152"/>
      <c r="CL119" s="152"/>
      <c r="CM119" s="152"/>
      <c r="CN119" s="152"/>
      <c r="CO119" s="1393"/>
      <c r="CP119" s="1393"/>
      <c r="CQ119" s="1393"/>
      <c r="CR119" s="1393"/>
      <c r="CS119" s="1393"/>
      <c r="CT119" s="1393"/>
      <c r="CU119" s="1393"/>
      <c r="CV119" s="1393"/>
      <c r="CW119" s="1393"/>
      <c r="CX119" s="1393"/>
      <c r="CY119" s="1393"/>
      <c r="CZ119" s="1393"/>
      <c r="DA119" s="1393"/>
      <c r="DB119" s="1393"/>
      <c r="DC119" s="1393"/>
      <c r="DD119" s="1393"/>
      <c r="DE119" s="1393"/>
      <c r="DF119" s="1393"/>
      <c r="DG119" s="1393"/>
      <c r="DH119" s="1393"/>
      <c r="DI119" s="1393"/>
      <c r="DJ119" s="1393"/>
      <c r="DK119" s="1393"/>
      <c r="DL119" s="1393"/>
      <c r="DM119" s="1393"/>
      <c r="DN119" s="1393"/>
      <c r="DO119" s="152"/>
      <c r="DP119" s="152"/>
      <c r="DQ119" s="152"/>
      <c r="DR119" s="152"/>
      <c r="DS119" s="152"/>
      <c r="DT119" s="1390"/>
      <c r="DU119" s="1390"/>
      <c r="DV119" s="1390"/>
      <c r="DW119" s="1390"/>
      <c r="DX119" s="1390"/>
      <c r="DY119" s="1390"/>
      <c r="DZ119" s="1390"/>
      <c r="EA119" s="1390"/>
      <c r="EB119" s="1390"/>
      <c r="EC119" s="1390"/>
      <c r="ED119" s="1390"/>
      <c r="EE119" s="1390"/>
      <c r="EF119" s="1390"/>
      <c r="EG119" s="1390"/>
      <c r="EH119" s="1390"/>
      <c r="EI119" s="1390"/>
      <c r="EJ119" s="1390"/>
      <c r="EK119" s="1390"/>
      <c r="EL119" s="1390"/>
      <c r="EM119" s="1390"/>
      <c r="EN119" s="1390"/>
      <c r="EO119" s="1390"/>
      <c r="EP119" s="1390"/>
      <c r="EQ119" s="1390"/>
      <c r="ER119" s="1390"/>
      <c r="ES119" s="1390"/>
      <c r="ET119" s="1390"/>
      <c r="EU119" s="1390"/>
      <c r="EV119" s="1390"/>
      <c r="EW119" s="1390"/>
      <c r="EX119" s="1390"/>
      <c r="EY119" s="1390"/>
      <c r="EZ119" s="1390"/>
      <c r="FA119" s="1390"/>
      <c r="FB119" s="1390"/>
      <c r="FC119" s="1390"/>
      <c r="FD119" s="1390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1"/>
      <c r="AA120" s="1391"/>
      <c r="AB120" s="1391"/>
      <c r="AC120" s="1391"/>
      <c r="AD120" s="1391"/>
      <c r="AE120" s="1391"/>
      <c r="AF120" s="1391"/>
      <c r="AG120" s="1391"/>
      <c r="AH120" s="1391"/>
      <c r="AI120" s="1391"/>
      <c r="AJ120" s="1391"/>
      <c r="AK120" s="1391"/>
      <c r="AL120" s="1391"/>
      <c r="AM120" s="1391"/>
      <c r="AN120" s="1391"/>
      <c r="AO120" s="1391"/>
      <c r="AP120" s="1391"/>
      <c r="AQ120" s="1391"/>
      <c r="AR120" s="1391"/>
      <c r="AS120" s="1391"/>
      <c r="AT120" s="1391"/>
      <c r="AU120" s="1391"/>
      <c r="AV120" s="1391"/>
      <c r="AW120" s="1391"/>
      <c r="AX120" s="1391"/>
      <c r="AY120" s="1391"/>
      <c r="AZ120" s="1391"/>
      <c r="BA120" s="1391"/>
      <c r="BB120" s="1391"/>
      <c r="BC120" s="1391"/>
      <c r="BD120" s="1391"/>
      <c r="BE120" s="1391"/>
      <c r="BF120" s="1391"/>
      <c r="BG120" s="1391"/>
      <c r="BH120" s="1391"/>
      <c r="BI120" s="1391"/>
      <c r="BJ120" s="1391"/>
      <c r="BK120" s="1391"/>
      <c r="BL120" s="1391"/>
      <c r="BM120" s="1391"/>
      <c r="BN120" s="1391"/>
      <c r="BO120" s="1391"/>
      <c r="BP120" s="1391"/>
      <c r="BQ120" s="1391"/>
      <c r="BR120" s="1391"/>
      <c r="BS120" s="1391"/>
      <c r="BT120" s="1391"/>
      <c r="BU120" s="1391"/>
      <c r="BV120" s="1391"/>
      <c r="BW120" s="1391"/>
      <c r="BX120" s="1391"/>
      <c r="BY120" s="1391"/>
      <c r="BZ120" s="1391"/>
      <c r="CA120" s="1391"/>
      <c r="CB120" s="1391"/>
      <c r="CC120" s="1391"/>
      <c r="CD120" s="1391"/>
      <c r="CE120" s="1391"/>
      <c r="CF120" s="1391"/>
      <c r="CG120" s="1391"/>
      <c r="CH120" s="1391"/>
      <c r="CI120" s="1391"/>
      <c r="CJ120" s="152"/>
      <c r="CK120" s="152"/>
      <c r="CL120" s="152"/>
      <c r="CM120" s="152"/>
      <c r="CN120" s="152"/>
      <c r="CO120" s="1394"/>
      <c r="CP120" s="1394"/>
      <c r="CQ120" s="1394"/>
      <c r="CR120" s="1394"/>
      <c r="CS120" s="1394"/>
      <c r="CT120" s="1394"/>
      <c r="CU120" s="1394"/>
      <c r="CV120" s="1394"/>
      <c r="CW120" s="1394"/>
      <c r="CX120" s="1394"/>
      <c r="CY120" s="1394"/>
      <c r="CZ120" s="1394"/>
      <c r="DA120" s="1394"/>
      <c r="DB120" s="1394"/>
      <c r="DC120" s="1394"/>
      <c r="DD120" s="1394"/>
      <c r="DE120" s="1394"/>
      <c r="DF120" s="1394"/>
      <c r="DG120" s="1394"/>
      <c r="DH120" s="1394"/>
      <c r="DI120" s="1394"/>
      <c r="DJ120" s="1394"/>
      <c r="DK120" s="1394"/>
      <c r="DL120" s="1394"/>
      <c r="DM120" s="1394"/>
      <c r="DN120" s="1394"/>
      <c r="DO120" s="152"/>
      <c r="DP120" s="152"/>
      <c r="DQ120" s="152"/>
      <c r="DR120" s="152"/>
      <c r="DS120" s="152"/>
      <c r="DT120" s="1391"/>
      <c r="DU120" s="1391"/>
      <c r="DV120" s="1391"/>
      <c r="DW120" s="1391"/>
      <c r="DX120" s="1391"/>
      <c r="DY120" s="1391"/>
      <c r="DZ120" s="1391"/>
      <c r="EA120" s="1391"/>
      <c r="EB120" s="1391"/>
      <c r="EC120" s="1391"/>
      <c r="ED120" s="1391"/>
      <c r="EE120" s="1391"/>
      <c r="EF120" s="1391"/>
      <c r="EG120" s="1391"/>
      <c r="EH120" s="1391"/>
      <c r="EI120" s="1391"/>
      <c r="EJ120" s="1391"/>
      <c r="EK120" s="1391"/>
      <c r="EL120" s="1391"/>
      <c r="EM120" s="1391"/>
      <c r="EN120" s="1391"/>
      <c r="EO120" s="1391"/>
      <c r="EP120" s="1391"/>
      <c r="EQ120" s="1391"/>
      <c r="ER120" s="1391"/>
      <c r="ES120" s="1391"/>
      <c r="ET120" s="1391"/>
      <c r="EU120" s="1391"/>
      <c r="EV120" s="1391"/>
      <c r="EW120" s="1391"/>
      <c r="EX120" s="1391"/>
      <c r="EY120" s="1391"/>
      <c r="EZ120" s="1391"/>
      <c r="FA120" s="1391"/>
      <c r="FB120" s="1391"/>
      <c r="FC120" s="1391"/>
      <c r="FD120" s="1391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7" t="s">
        <v>485</v>
      </c>
      <c r="AA121" s="1387"/>
      <c r="AB121" s="1387"/>
      <c r="AC121" s="1387"/>
      <c r="AD121" s="1387"/>
      <c r="AE121" s="1387"/>
      <c r="AF121" s="1387"/>
      <c r="AG121" s="1387"/>
      <c r="AH121" s="1387"/>
      <c r="AI121" s="1387"/>
      <c r="AJ121" s="1387"/>
      <c r="AK121" s="1387"/>
      <c r="AL121" s="1387"/>
      <c r="AM121" s="1387"/>
      <c r="AN121" s="1387"/>
      <c r="AO121" s="1387"/>
      <c r="AP121" s="1387"/>
      <c r="AQ121" s="1387"/>
      <c r="AR121" s="1387"/>
      <c r="AS121" s="1387"/>
      <c r="AT121" s="1387"/>
      <c r="AU121" s="1387"/>
      <c r="AV121" s="1387"/>
      <c r="AW121" s="1387"/>
      <c r="AX121" s="1387"/>
      <c r="AY121" s="1387"/>
      <c r="AZ121" s="1387"/>
      <c r="BA121" s="1387"/>
      <c r="BB121" s="1387"/>
      <c r="BC121" s="1387"/>
      <c r="BD121" s="1387"/>
      <c r="BE121" s="1387"/>
      <c r="BF121" s="1387"/>
      <c r="BG121" s="1387"/>
      <c r="BH121" s="1387"/>
      <c r="BI121" s="1387"/>
      <c r="BJ121" s="1387"/>
      <c r="BK121" s="1387"/>
      <c r="BL121" s="1387"/>
      <c r="BM121" s="1387"/>
      <c r="BN121" s="1387"/>
      <c r="BO121" s="1387"/>
      <c r="BP121" s="1387"/>
      <c r="BQ121" s="1387"/>
      <c r="BR121" s="1387"/>
      <c r="BS121" s="1387"/>
      <c r="BT121" s="1387"/>
      <c r="BU121" s="1387"/>
      <c r="BV121" s="1387"/>
      <c r="BW121" s="1387"/>
      <c r="BX121" s="1387"/>
      <c r="BY121" s="1387"/>
      <c r="BZ121" s="1387"/>
      <c r="CA121" s="1387"/>
      <c r="CB121" s="1387"/>
      <c r="CC121" s="1387"/>
      <c r="CD121" s="1387"/>
      <c r="CE121" s="1387"/>
      <c r="CF121" s="1387"/>
      <c r="CG121" s="1387"/>
      <c r="CH121" s="1387"/>
      <c r="CI121" s="1387"/>
      <c r="CJ121" s="255"/>
      <c r="CK121" s="255"/>
      <c r="CL121" s="255"/>
      <c r="CM121" s="255"/>
      <c r="CN121" s="255"/>
      <c r="CO121" s="1378" t="s">
        <v>5</v>
      </c>
      <c r="CP121" s="1378"/>
      <c r="CQ121" s="1378"/>
      <c r="CR121" s="1378"/>
      <c r="CS121" s="1378"/>
      <c r="CT121" s="1378"/>
      <c r="CU121" s="1378"/>
      <c r="CV121" s="1378"/>
      <c r="CW121" s="1378"/>
      <c r="CX121" s="1378"/>
      <c r="CY121" s="1378"/>
      <c r="CZ121" s="1378"/>
      <c r="DA121" s="1378"/>
      <c r="DB121" s="1378"/>
      <c r="DC121" s="1378"/>
      <c r="DD121" s="1378"/>
      <c r="DE121" s="1378"/>
      <c r="DF121" s="1378"/>
      <c r="DG121" s="1378"/>
      <c r="DH121" s="1378"/>
      <c r="DI121" s="1378"/>
      <c r="DJ121" s="1378"/>
      <c r="DK121" s="1378"/>
      <c r="DL121" s="1378"/>
      <c r="DM121" s="1378"/>
      <c r="DN121" s="1378"/>
      <c r="DO121" s="254"/>
      <c r="DP121" s="254"/>
      <c r="DQ121" s="254"/>
      <c r="DR121" s="254"/>
      <c r="DS121" s="254"/>
      <c r="DT121" s="1388" t="s">
        <v>6</v>
      </c>
      <c r="DU121" s="1388"/>
      <c r="DV121" s="1388"/>
      <c r="DW121" s="1388"/>
      <c r="DX121" s="1388"/>
      <c r="DY121" s="1388"/>
      <c r="DZ121" s="1388"/>
      <c r="EA121" s="1388"/>
      <c r="EB121" s="1388"/>
      <c r="EC121" s="1388"/>
      <c r="ED121" s="1388"/>
      <c r="EE121" s="1388"/>
      <c r="EF121" s="1388"/>
      <c r="EG121" s="1388"/>
      <c r="EH121" s="1388"/>
      <c r="EI121" s="1388"/>
      <c r="EJ121" s="1388"/>
      <c r="EK121" s="1388"/>
      <c r="EL121" s="1388"/>
      <c r="EM121" s="1388"/>
      <c r="EN121" s="1388"/>
      <c r="EO121" s="1388"/>
      <c r="EP121" s="1388"/>
      <c r="EQ121" s="1388"/>
      <c r="ER121" s="1388"/>
      <c r="ES121" s="1388"/>
      <c r="ET121" s="1388"/>
      <c r="EU121" s="1388"/>
      <c r="EV121" s="1388"/>
      <c r="EW121" s="1388"/>
      <c r="EX121" s="1388"/>
      <c r="EY121" s="1388"/>
      <c r="EZ121" s="1388"/>
      <c r="FA121" s="1388"/>
      <c r="FB121" s="1388"/>
      <c r="FC121" s="1388"/>
      <c r="FD121" s="1388"/>
    </row>
    <row r="122" spans="1:166">
      <c r="A122" s="1392" t="s">
        <v>179</v>
      </c>
      <c r="B122" s="1392"/>
      <c r="C122" s="1395"/>
      <c r="D122" s="1395"/>
      <c r="E122" s="1395"/>
      <c r="F122" s="1395"/>
      <c r="G122" s="1396" t="s">
        <v>179</v>
      </c>
      <c r="H122" s="1396"/>
      <c r="I122" s="1395"/>
      <c r="J122" s="1395"/>
      <c r="K122" s="1395"/>
      <c r="L122" s="1395"/>
      <c r="M122" s="1395"/>
      <c r="N122" s="1395"/>
      <c r="O122" s="1395"/>
      <c r="P122" s="1395"/>
      <c r="Q122" s="1395"/>
      <c r="R122" s="1395"/>
      <c r="S122" s="1395"/>
      <c r="T122" s="1395"/>
      <c r="U122" s="1395"/>
      <c r="V122" s="1395"/>
      <c r="W122" s="1395"/>
      <c r="X122" s="1395"/>
      <c r="Y122" s="1397" t="s">
        <v>905</v>
      </c>
      <c r="Z122" s="1392"/>
      <c r="AA122" s="1392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78" t="s">
        <v>371</v>
      </c>
      <c r="B123" s="1378"/>
      <c r="C123" s="1378"/>
      <c r="D123" s="1378"/>
      <c r="E123" s="1378"/>
      <c r="F123" s="1378"/>
      <c r="G123" s="1378"/>
      <c r="H123" s="1378"/>
      <c r="I123" s="1378"/>
      <c r="J123" s="1378"/>
      <c r="K123" s="1378"/>
      <c r="L123" s="1378"/>
      <c r="M123" s="1378"/>
      <c r="N123" s="1378"/>
      <c r="O123" s="1378"/>
      <c r="P123" s="1378"/>
      <c r="Q123" s="1378"/>
      <c r="R123" s="1378"/>
      <c r="S123" s="1378"/>
      <c r="T123" s="1378"/>
      <c r="U123" s="1378"/>
      <c r="V123" s="1378"/>
      <c r="W123" s="1378"/>
      <c r="X123" s="1378"/>
      <c r="Y123" s="1378"/>
      <c r="Z123" s="1378"/>
      <c r="AA123" s="1378"/>
      <c r="AB123" s="1378"/>
      <c r="AC123" s="1378"/>
      <c r="AD123" s="1378"/>
      <c r="AE123" s="1378"/>
      <c r="AF123" s="1378"/>
      <c r="AG123" s="1378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3"/>
    </row>
  </sheetData>
  <sheetProtection password="C09F" sheet="1" objects="1" scenarios="1"/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9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0"/>
      <c r="CQ1" s="630"/>
      <c r="CR1" s="630"/>
      <c r="CS1" s="630"/>
      <c r="CT1" s="630"/>
      <c r="CU1" s="630"/>
      <c r="CV1" s="630"/>
      <c r="CW1" s="630"/>
      <c r="CX1" s="630"/>
      <c r="CY1" s="630"/>
      <c r="CZ1" s="630"/>
      <c r="DA1" s="630"/>
      <c r="DB1" s="630"/>
      <c r="DC1" s="630"/>
      <c r="DD1" s="630"/>
      <c r="DE1" s="630"/>
      <c r="DF1" s="630"/>
      <c r="DG1" s="630"/>
      <c r="DH1" s="630"/>
      <c r="DI1" s="630"/>
      <c r="DJ1" s="630"/>
      <c r="DK1" s="630"/>
      <c r="DL1" s="630"/>
      <c r="DM1" s="630"/>
      <c r="DN1" s="630"/>
      <c r="DO1" s="630"/>
      <c r="DP1" s="630"/>
      <c r="DQ1" s="630"/>
      <c r="DR1" s="630"/>
      <c r="DS1" s="630"/>
      <c r="DT1" s="630"/>
      <c r="DU1" s="630"/>
      <c r="DV1" s="630"/>
      <c r="DW1" s="630"/>
      <c r="DX1" s="630"/>
      <c r="DY1" s="630"/>
      <c r="DZ1" s="630"/>
      <c r="EA1" s="630"/>
      <c r="EB1" s="630"/>
      <c r="EC1" s="630"/>
      <c r="ED1" s="630"/>
      <c r="EE1" s="630"/>
      <c r="EF1" s="630"/>
      <c r="EG1" s="630"/>
      <c r="EH1" s="630"/>
      <c r="EI1" s="630"/>
      <c r="EJ1" s="630"/>
      <c r="EK1" s="630"/>
      <c r="EL1" s="630"/>
      <c r="EM1" s="630"/>
      <c r="EN1" s="630"/>
      <c r="EO1" s="630"/>
      <c r="EP1" s="630"/>
      <c r="EQ1" s="630"/>
      <c r="ER1" s="630"/>
      <c r="ES1" s="630"/>
      <c r="ET1" s="630"/>
      <c r="EU1" s="630"/>
      <c r="EV1" s="630"/>
      <c r="EW1" s="630"/>
      <c r="EX1" s="630"/>
      <c r="EY1" s="630"/>
      <c r="EZ1" s="630"/>
      <c r="FA1" s="630"/>
      <c r="FB1" s="630"/>
      <c r="FC1" s="630"/>
      <c r="FD1" s="630"/>
      <c r="FE1" s="630"/>
      <c r="FF1" s="630"/>
      <c r="FG1" s="630"/>
      <c r="FH1" s="630"/>
      <c r="FI1" s="630"/>
      <c r="FJ1" s="630"/>
      <c r="FK1" s="630"/>
      <c r="FL1" s="630"/>
      <c r="FM1" s="630"/>
      <c r="FN1" s="630"/>
      <c r="FO1" s="630"/>
      <c r="FP1" s="630"/>
      <c r="FQ1" s="630"/>
      <c r="FR1" s="630"/>
      <c r="FS1" s="630"/>
      <c r="FT1" s="630"/>
      <c r="FU1" s="630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1"/>
      <c r="CQ2" s="631"/>
      <c r="CR2" s="631"/>
      <c r="CS2" s="631"/>
      <c r="CT2" s="631"/>
      <c r="CU2" s="631"/>
      <c r="CV2" s="631"/>
      <c r="CW2" s="631"/>
      <c r="CX2" s="631"/>
      <c r="CY2" s="631"/>
      <c r="CZ2" s="631"/>
      <c r="DA2" s="631"/>
      <c r="DB2" s="631"/>
      <c r="DC2" s="631"/>
      <c r="DD2" s="631"/>
      <c r="DE2" s="631"/>
      <c r="DF2" s="631"/>
      <c r="DG2" s="631"/>
      <c r="DH2" s="631"/>
      <c r="DI2" s="631"/>
      <c r="DJ2" s="631"/>
      <c r="DK2" s="631"/>
      <c r="DL2" s="631"/>
      <c r="DM2" s="631"/>
      <c r="DN2" s="631"/>
      <c r="DO2" s="631"/>
      <c r="DP2" s="631"/>
      <c r="DQ2" s="631"/>
      <c r="DR2" s="631"/>
      <c r="DS2" s="631"/>
      <c r="DT2" s="631"/>
      <c r="DU2" s="631"/>
      <c r="DV2" s="631"/>
      <c r="DW2" s="631"/>
      <c r="DX2" s="631"/>
      <c r="DY2" s="631"/>
      <c r="DZ2" s="631"/>
      <c r="EA2" s="631"/>
      <c r="EB2" s="631"/>
      <c r="EC2" s="631"/>
      <c r="ED2" s="631"/>
      <c r="EE2" s="631"/>
      <c r="EF2" s="631"/>
      <c r="EG2" s="631"/>
      <c r="EH2" s="631"/>
      <c r="EI2" s="631"/>
      <c r="EJ2" s="631"/>
      <c r="EK2" s="631"/>
      <c r="EL2" s="631"/>
      <c r="EM2" s="631"/>
      <c r="EN2" s="631"/>
      <c r="EO2" s="631"/>
      <c r="EP2" s="631"/>
      <c r="EQ2" s="631"/>
      <c r="ER2" s="631"/>
      <c r="ES2" s="631"/>
      <c r="ET2" s="631"/>
      <c r="EU2" s="631"/>
      <c r="EV2" s="631"/>
      <c r="EW2" s="631"/>
      <c r="EX2" s="631"/>
      <c r="EY2" s="631"/>
      <c r="EZ2" s="631"/>
      <c r="FA2" s="631"/>
      <c r="FB2" s="631"/>
      <c r="FC2" s="631"/>
      <c r="FD2" s="631"/>
      <c r="FE2" s="631"/>
      <c r="FF2" s="631"/>
      <c r="FG2" s="631"/>
      <c r="FH2" s="631"/>
      <c r="FI2" s="631"/>
      <c r="FJ2" s="631"/>
      <c r="FK2" s="631"/>
      <c r="FL2" s="631"/>
      <c r="FM2" s="631"/>
      <c r="FN2" s="631"/>
      <c r="FO2" s="631"/>
      <c r="FP2" s="631"/>
      <c r="FQ2" s="631"/>
      <c r="FR2" s="631"/>
      <c r="FS2" s="631"/>
      <c r="FT2" s="631"/>
      <c r="FU2" s="631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2"/>
      <c r="CQ3" s="632"/>
      <c r="CR3" s="632"/>
      <c r="CS3" s="632"/>
      <c r="CT3" s="632"/>
      <c r="CU3" s="632"/>
      <c r="CV3" s="632"/>
      <c r="CW3" s="632"/>
      <c r="CX3" s="632"/>
      <c r="CY3" s="632"/>
      <c r="CZ3" s="632"/>
      <c r="DA3" s="632"/>
      <c r="DB3" s="632"/>
      <c r="DC3" s="632"/>
      <c r="DD3" s="632"/>
      <c r="DE3" s="632"/>
      <c r="DF3" s="632"/>
      <c r="DG3" s="632"/>
      <c r="DH3" s="632"/>
      <c r="DI3" s="632"/>
      <c r="DJ3" s="632"/>
      <c r="DK3" s="632"/>
      <c r="DL3" s="632"/>
      <c r="DM3" s="632"/>
      <c r="DN3" s="632"/>
      <c r="DO3" s="632"/>
      <c r="DP3" s="632"/>
      <c r="DQ3" s="632"/>
      <c r="DR3" s="632"/>
      <c r="DS3" s="632"/>
      <c r="DT3" s="632"/>
      <c r="DU3" s="632"/>
      <c r="DV3" s="632"/>
      <c r="DW3" s="632"/>
      <c r="DX3" s="632"/>
      <c r="DY3" s="632"/>
      <c r="DZ3" s="632"/>
      <c r="EA3" s="632"/>
      <c r="EB3" s="632"/>
      <c r="EC3" s="632"/>
      <c r="ED3" s="632"/>
      <c r="EE3" s="632"/>
      <c r="EF3" s="632"/>
      <c r="EG3" s="632"/>
      <c r="EH3" s="632"/>
      <c r="EI3" s="632"/>
      <c r="EJ3" s="632"/>
      <c r="EK3" s="632"/>
      <c r="EL3" s="632"/>
      <c r="EM3" s="632"/>
      <c r="EN3" s="632"/>
      <c r="EO3" s="632"/>
      <c r="EP3" s="632"/>
      <c r="EQ3" s="632"/>
      <c r="ER3" s="632"/>
      <c r="ES3" s="632"/>
      <c r="ET3" s="632"/>
      <c r="EU3" s="632"/>
      <c r="EV3" s="632"/>
      <c r="EW3" s="632"/>
      <c r="EX3" s="632"/>
      <c r="EY3" s="632"/>
      <c r="EZ3" s="632"/>
      <c r="FA3" s="632"/>
      <c r="FB3" s="632"/>
      <c r="FC3" s="632"/>
      <c r="FD3" s="632"/>
      <c r="FE3" s="632"/>
      <c r="FF3" s="632"/>
      <c r="FG3" s="632"/>
      <c r="FH3" s="632"/>
      <c r="FI3" s="632"/>
      <c r="FJ3" s="632"/>
      <c r="FK3" s="632"/>
      <c r="FL3" s="632"/>
      <c r="FM3" s="632"/>
      <c r="FN3" s="632"/>
      <c r="FO3" s="632"/>
      <c r="FP3" s="632"/>
      <c r="FQ3" s="632"/>
      <c r="FR3" s="632"/>
      <c r="FS3" s="632"/>
      <c r="FT3" s="632"/>
      <c r="FU3" s="632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  <c r="FE6" s="620"/>
      <c r="FF6" s="620"/>
      <c r="FG6" s="620"/>
      <c r="FH6" s="620"/>
      <c r="FI6" s="620"/>
      <c r="FJ6" s="620"/>
      <c r="FK6" s="620"/>
      <c r="FL6" s="620"/>
      <c r="FM6" s="620"/>
      <c r="FN6" s="620"/>
      <c r="FO6" s="620"/>
      <c r="FP6" s="620"/>
      <c r="FQ6" s="620"/>
      <c r="FR6" s="620"/>
      <c r="FS6" s="620"/>
      <c r="FT6" s="620"/>
      <c r="FU6" s="620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4"/>
      <c r="BV7" s="1554"/>
      <c r="BW7" s="1554"/>
      <c r="BX7" s="1554"/>
      <c r="BY7" s="1554"/>
      <c r="BZ7" s="1554"/>
      <c r="CA7" s="1554"/>
      <c r="CB7" s="1554"/>
      <c r="CC7" s="1554"/>
      <c r="CD7" s="1554"/>
      <c r="CE7" s="1554"/>
      <c r="CF7" s="1554"/>
      <c r="CG7" s="1554"/>
      <c r="CH7" s="1554"/>
      <c r="CI7" s="1554"/>
      <c r="CJ7" s="1554"/>
      <c r="CK7" s="1554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1"/>
      <c r="BD8" s="621"/>
      <c r="BE8" s="621"/>
      <c r="BF8" s="621"/>
      <c r="BG8" s="621"/>
      <c r="BH8" s="621"/>
      <c r="BI8" s="621"/>
      <c r="BJ8" s="621"/>
      <c r="BK8" s="621"/>
      <c r="BL8" s="621"/>
      <c r="BM8" s="621"/>
      <c r="BN8" s="621"/>
      <c r="BO8" s="621"/>
      <c r="BP8" s="621"/>
      <c r="BQ8" s="621"/>
      <c r="BR8" s="621"/>
      <c r="BS8" s="621"/>
      <c r="BT8" s="621"/>
      <c r="BU8" s="1548" t="s">
        <v>491</v>
      </c>
      <c r="BV8" s="1548"/>
      <c r="BW8" s="1548"/>
      <c r="BX8" s="1548"/>
      <c r="BY8" s="1548"/>
      <c r="BZ8" s="1548"/>
      <c r="CA8" s="1548"/>
      <c r="CB8" s="1548"/>
      <c r="CC8" s="1548"/>
      <c r="CD8" s="1548"/>
      <c r="CE8" s="1548"/>
      <c r="CF8" s="1548"/>
      <c r="CG8" s="1548"/>
      <c r="CH8" s="1548"/>
      <c r="CI8" s="1548"/>
      <c r="CJ8" s="1548"/>
      <c r="CK8" s="1548"/>
      <c r="CL8" s="1548"/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  <c r="FE9" s="622"/>
      <c r="FF9" s="622"/>
      <c r="FG9" s="622"/>
      <c r="FH9" s="622"/>
      <c r="FI9" s="622"/>
      <c r="FJ9" s="622"/>
      <c r="FK9" s="622"/>
      <c r="FL9" s="622"/>
      <c r="FM9" s="622"/>
      <c r="FN9" s="622"/>
      <c r="FO9" s="622"/>
      <c r="FP9" s="622"/>
      <c r="FQ9" s="622"/>
      <c r="FR9" s="622"/>
      <c r="FS9" s="622"/>
      <c r="FT9" s="622"/>
      <c r="FU9" s="622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43"/>
      <c r="DH12" s="1543"/>
      <c r="DI12" s="1574" t="s">
        <v>180</v>
      </c>
      <c r="DJ12" s="1574"/>
      <c r="DK12" s="1574"/>
      <c r="DL12" s="1574"/>
      <c r="DM12" s="1574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5"/>
      <c r="ER12" s="1576"/>
      <c r="ES12" s="1576"/>
      <c r="ET12" s="1576"/>
      <c r="EU12" s="1576"/>
      <c r="EV12" s="1576"/>
      <c r="EW12" s="1576"/>
      <c r="EX12" s="1576"/>
      <c r="EY12" s="1576"/>
      <c r="EZ12" s="1576"/>
      <c r="FA12" s="1576"/>
      <c r="FB12" s="1576"/>
      <c r="FC12" s="1576"/>
      <c r="FD12" s="1577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8"/>
      <c r="ER13" s="1579"/>
      <c r="ES13" s="1579"/>
      <c r="ET13" s="1579"/>
      <c r="EU13" s="1579"/>
      <c r="EV13" s="1579"/>
      <c r="EW13" s="1579"/>
      <c r="EX13" s="1579"/>
      <c r="EY13" s="1579"/>
      <c r="EZ13" s="1579"/>
      <c r="FA13" s="1579"/>
      <c r="FB13" s="1579"/>
      <c r="FC13" s="1579"/>
      <c r="FD13" s="1580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1"/>
      <c r="ER14" s="1582"/>
      <c r="ES14" s="1582"/>
      <c r="ET14" s="1582"/>
      <c r="EU14" s="1582"/>
      <c r="EV14" s="1582"/>
      <c r="EW14" s="1582"/>
      <c r="EX14" s="1582"/>
      <c r="EY14" s="1582"/>
      <c r="EZ14" s="1582"/>
      <c r="FA14" s="1582"/>
      <c r="FB14" s="1582"/>
      <c r="FC14" s="1582"/>
      <c r="FD14" s="1583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1"/>
      <c r="ER15" s="1582"/>
      <c r="ES15" s="1582"/>
      <c r="ET15" s="1582"/>
      <c r="EU15" s="1582"/>
      <c r="EV15" s="1582"/>
      <c r="EW15" s="1582"/>
      <c r="EX15" s="1582"/>
      <c r="EY15" s="1582"/>
      <c r="EZ15" s="1582"/>
      <c r="FA15" s="1582"/>
      <c r="FB15" s="1582"/>
      <c r="FC15" s="1582"/>
      <c r="FD15" s="1583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607"/>
      <c r="DQ16" s="623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4"/>
      <c r="ER16" s="1585"/>
      <c r="ES16" s="1585"/>
      <c r="ET16" s="1585"/>
      <c r="EU16" s="1585"/>
      <c r="EV16" s="1585"/>
      <c r="EW16" s="1585"/>
      <c r="EX16" s="1585"/>
      <c r="EY16" s="1585"/>
      <c r="EZ16" s="1585"/>
      <c r="FA16" s="1585"/>
      <c r="FB16" s="1585"/>
      <c r="FC16" s="1585"/>
      <c r="FD16" s="1586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7" t="s">
        <v>466</v>
      </c>
      <c r="T17" s="1587"/>
      <c r="U17" s="1587"/>
      <c r="V17" s="1587"/>
      <c r="W17" s="1587"/>
      <c r="X17" s="1587"/>
      <c r="Y17" s="1587"/>
      <c r="Z17" s="1587"/>
      <c r="AA17" s="1587"/>
      <c r="AB17" s="1587"/>
      <c r="AC17" s="1587"/>
      <c r="AD17" s="1587"/>
      <c r="AE17" s="1587"/>
      <c r="AF17" s="1587"/>
      <c r="AG17" s="1587"/>
      <c r="AH17" s="1587"/>
      <c r="AI17" s="1587"/>
      <c r="AJ17" s="1587"/>
      <c r="AK17" s="1587"/>
      <c r="AL17" s="1587"/>
      <c r="AM17" s="1587"/>
      <c r="AN17" s="1587"/>
      <c r="AO17" s="1587"/>
      <c r="AP17" s="1587"/>
      <c r="AQ17" s="1587"/>
      <c r="AR17" s="1587"/>
      <c r="AS17" s="1587"/>
      <c r="AT17" s="1587"/>
      <c r="AU17" s="1587"/>
      <c r="AV17" s="1587"/>
      <c r="AW17" s="1587"/>
      <c r="AX17" s="1587"/>
      <c r="AY17" s="1587"/>
      <c r="AZ17" s="1587"/>
      <c r="BA17" s="1587"/>
      <c r="BB17" s="1587"/>
      <c r="BC17" s="1587"/>
      <c r="BD17" s="1587"/>
      <c r="BE17" s="1587"/>
      <c r="BF17" s="1587"/>
      <c r="BG17" s="1587"/>
      <c r="BH17" s="1587"/>
      <c r="BI17" s="1587"/>
      <c r="BJ17" s="1587"/>
      <c r="BK17" s="1587"/>
      <c r="BL17" s="1587"/>
      <c r="BM17" s="1587"/>
      <c r="BN17" s="1587"/>
      <c r="BO17" s="1587"/>
      <c r="BP17" s="1587"/>
      <c r="BQ17" s="1587"/>
      <c r="BR17" s="1587"/>
      <c r="BS17" s="1587"/>
      <c r="BT17" s="1587"/>
      <c r="BU17" s="1587"/>
      <c r="BV17" s="1587"/>
      <c r="BW17" s="1587"/>
      <c r="BX17" s="1587"/>
      <c r="BY17" s="1587"/>
      <c r="BZ17" s="1587"/>
      <c r="CA17" s="1587"/>
      <c r="CB17" s="1587"/>
      <c r="CC17" s="1587"/>
      <c r="CD17" s="1587"/>
      <c r="CE17" s="1587"/>
      <c r="CF17" s="1587"/>
      <c r="CG17" s="1587"/>
      <c r="CH17" s="1587"/>
      <c r="CI17" s="1587"/>
      <c r="CJ17" s="1587"/>
      <c r="CK17" s="1587"/>
      <c r="CL17" s="1587"/>
      <c r="CM17" s="1587"/>
      <c r="CN17" s="1587"/>
      <c r="CO17" s="1587"/>
      <c r="CP17" s="1587"/>
      <c r="CQ17" s="1587"/>
      <c r="CR17" s="1587"/>
      <c r="CS17" s="1587"/>
      <c r="CT17" s="1587"/>
      <c r="CU17" s="1587"/>
      <c r="CV17" s="1587"/>
      <c r="CW17" s="1587"/>
      <c r="CX17" s="1587"/>
      <c r="CY17" s="1587"/>
      <c r="CZ17" s="1587"/>
      <c r="DA17" s="1587"/>
      <c r="DB17" s="1587"/>
      <c r="DC17" s="1587"/>
      <c r="DD17" s="1587"/>
      <c r="DE17" s="1587"/>
      <c r="DF17" s="1587"/>
      <c r="DG17" s="1587"/>
      <c r="DH17" s="1587"/>
      <c r="DI17" s="1587"/>
      <c r="DJ17" s="1587"/>
      <c r="DK17" s="1587"/>
      <c r="DL17" s="1587"/>
      <c r="DM17" s="1587"/>
      <c r="DN17" s="1587"/>
      <c r="DO17" s="1587"/>
      <c r="DP17" s="610"/>
      <c r="DQ17" s="624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8"/>
      <c r="ER17" s="1579"/>
      <c r="ES17" s="1579"/>
      <c r="ET17" s="1579"/>
      <c r="EU17" s="1579"/>
      <c r="EV17" s="1579"/>
      <c r="EW17" s="1579"/>
      <c r="EX17" s="1579"/>
      <c r="EY17" s="1579"/>
      <c r="EZ17" s="1579"/>
      <c r="FA17" s="1579"/>
      <c r="FB17" s="1579"/>
      <c r="FC17" s="1579"/>
      <c r="FD17" s="1580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1"/>
      <c r="ER18" s="1582"/>
      <c r="ES18" s="1582"/>
      <c r="ET18" s="1582"/>
      <c r="EU18" s="1582"/>
      <c r="EV18" s="1582"/>
      <c r="EW18" s="1582"/>
      <c r="EX18" s="1582"/>
      <c r="EY18" s="1582"/>
      <c r="EZ18" s="1582"/>
      <c r="FA18" s="1582"/>
      <c r="FB18" s="1582"/>
      <c r="FC18" s="1582"/>
      <c r="FD18" s="1583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1"/>
      <c r="ER19" s="1582"/>
      <c r="ES19" s="1582"/>
      <c r="ET19" s="1582"/>
      <c r="EU19" s="1582"/>
      <c r="EV19" s="1582"/>
      <c r="EW19" s="1582"/>
      <c r="EX19" s="1582"/>
      <c r="EY19" s="1582"/>
      <c r="EZ19" s="1582"/>
      <c r="FA19" s="1582"/>
      <c r="FB19" s="1582"/>
      <c r="FC19" s="1582"/>
      <c r="FD19" s="1583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1"/>
      <c r="ER20" s="1582"/>
      <c r="ES20" s="1582"/>
      <c r="ET20" s="1582"/>
      <c r="EU20" s="1582"/>
      <c r="EV20" s="1582"/>
      <c r="EW20" s="1582"/>
      <c r="EX20" s="1582"/>
      <c r="EY20" s="1582"/>
      <c r="EZ20" s="1582"/>
      <c r="FA20" s="1582"/>
      <c r="FB20" s="1582"/>
      <c r="FC20" s="1582"/>
      <c r="FD20" s="1583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607"/>
      <c r="DQ21" s="623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1"/>
      <c r="ER21" s="1582"/>
      <c r="ES21" s="1582"/>
      <c r="ET21" s="1582"/>
      <c r="EU21" s="1582"/>
      <c r="EV21" s="1582"/>
      <c r="EW21" s="1582"/>
      <c r="EX21" s="1582"/>
      <c r="EY21" s="1582"/>
      <c r="EZ21" s="1582"/>
      <c r="FA21" s="1582"/>
      <c r="FB21" s="1582"/>
      <c r="FC21" s="1582"/>
      <c r="FD21" s="1583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4"/>
      <c r="ER22" s="1585"/>
      <c r="ES22" s="1585"/>
      <c r="ET22" s="1585"/>
      <c r="EU22" s="1585"/>
      <c r="EV22" s="1585"/>
      <c r="EW22" s="1585"/>
      <c r="EX22" s="1585"/>
      <c r="EY22" s="1585"/>
      <c r="EZ22" s="1585"/>
      <c r="FA22" s="1585"/>
      <c r="FB22" s="1585"/>
      <c r="FC22" s="1585"/>
      <c r="FD22" s="1586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  <c r="FE28" s="625"/>
      <c r="FF28" s="625"/>
      <c r="FG28" s="625"/>
      <c r="FH28" s="625"/>
      <c r="FI28" s="625"/>
      <c r="FJ28" s="625"/>
      <c r="FK28" s="625"/>
      <c r="FL28" s="625"/>
      <c r="FM28" s="625"/>
      <c r="FN28" s="625"/>
      <c r="FO28" s="625"/>
      <c r="FP28" s="625"/>
      <c r="FQ28" s="625"/>
      <c r="FR28" s="625"/>
      <c r="FS28" s="625"/>
      <c r="FT28" s="625"/>
      <c r="FU28" s="625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2" t="s">
        <v>292</v>
      </c>
      <c r="CU31" s="1523"/>
      <c r="CV31" s="1523"/>
      <c r="CW31" s="1523"/>
      <c r="CX31" s="1523"/>
      <c r="CY31" s="1523"/>
      <c r="CZ31" s="1523"/>
      <c r="DA31" s="1523"/>
      <c r="DB31" s="1523"/>
      <c r="DC31" s="1523"/>
      <c r="DD31" s="1523"/>
      <c r="DE31" s="1523"/>
      <c r="DF31" s="1523"/>
      <c r="DG31" s="1523"/>
      <c r="DH31" s="1523"/>
      <c r="DI31" s="1523"/>
      <c r="DJ31" s="1524"/>
      <c r="DK31" s="1522" t="s">
        <v>472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3"/>
      <c r="DZ31" s="1524"/>
      <c r="EA31" s="611"/>
      <c r="EB31" s="611"/>
      <c r="EC31" s="611"/>
      <c r="ED31" s="611"/>
      <c r="EE31" s="611"/>
      <c r="EF31" s="611"/>
      <c r="EG31" s="611"/>
      <c r="EH31" s="611"/>
      <c r="EI31" s="611"/>
      <c r="EJ31" s="611"/>
      <c r="EK31" s="611"/>
      <c r="EL31" s="611"/>
      <c r="EM31" s="611"/>
      <c r="EN31" s="611"/>
      <c r="EO31" s="611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2"/>
      <c r="DZ32" s="1503"/>
      <c r="EA32" s="609"/>
      <c r="EB32" s="609"/>
      <c r="EC32" s="609"/>
      <c r="ED32" s="609"/>
      <c r="EE32" s="609"/>
      <c r="EF32" s="609"/>
      <c r="EG32" s="609"/>
      <c r="EH32" s="609"/>
      <c r="EI32" s="609"/>
      <c r="EJ32" s="609"/>
      <c r="EK32" s="609"/>
      <c r="EL32" s="609"/>
      <c r="EM32" s="609"/>
      <c r="EN32" s="609"/>
      <c r="EO32" s="609"/>
      <c r="EP32" s="1501" t="s">
        <v>404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6"/>
      <c r="DZ33" s="1427"/>
      <c r="EA33" s="614"/>
      <c r="EB33" s="614"/>
      <c r="EC33" s="614"/>
      <c r="ED33" s="614"/>
      <c r="EE33" s="614"/>
      <c r="EF33" s="614"/>
      <c r="EG33" s="614"/>
      <c r="EH33" s="614"/>
      <c r="EI33" s="614"/>
      <c r="EJ33" s="614"/>
      <c r="EK33" s="614"/>
      <c r="EL33" s="614"/>
      <c r="EM33" s="614"/>
      <c r="EN33" s="614"/>
      <c r="EO33" s="614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49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2"/>
      <c r="DZ34" s="1403"/>
      <c r="EA34" s="608"/>
      <c r="EB34" s="608"/>
      <c r="EC34" s="608"/>
      <c r="ED34" s="608"/>
      <c r="EE34" s="608"/>
      <c r="EF34" s="608"/>
      <c r="EG34" s="608"/>
      <c r="EH34" s="608"/>
      <c r="EI34" s="608"/>
      <c r="EJ34" s="608"/>
      <c r="EK34" s="608"/>
      <c r="EL34" s="608"/>
      <c r="EM34" s="608"/>
      <c r="EN34" s="608"/>
      <c r="EO34" s="608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49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2"/>
      <c r="DZ35" s="1403"/>
      <c r="EA35" s="608"/>
      <c r="EB35" s="608"/>
      <c r="EC35" s="608"/>
      <c r="ED35" s="608"/>
      <c r="EE35" s="608"/>
      <c r="EF35" s="608"/>
      <c r="EG35" s="608"/>
      <c r="EH35" s="608"/>
      <c r="EI35" s="608"/>
      <c r="EJ35" s="608"/>
      <c r="EK35" s="608"/>
      <c r="EL35" s="608"/>
      <c r="EM35" s="608"/>
      <c r="EN35" s="608"/>
      <c r="EO35" s="608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49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8"/>
      <c r="DZ36" s="1449"/>
      <c r="EA36" s="612"/>
      <c r="EB36" s="612"/>
      <c r="EC36" s="612"/>
      <c r="ED36" s="612"/>
      <c r="EE36" s="612"/>
      <c r="EF36" s="612"/>
      <c r="EG36" s="612"/>
      <c r="EH36" s="612"/>
      <c r="EI36" s="612"/>
      <c r="EJ36" s="612"/>
      <c r="EK36" s="612"/>
      <c r="EL36" s="612"/>
      <c r="EM36" s="612"/>
      <c r="EN36" s="612"/>
      <c r="EO36" s="612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7"/>
      <c r="DZ37" s="1468"/>
      <c r="EA37" s="613"/>
      <c r="EB37" s="613"/>
      <c r="EC37" s="613"/>
      <c r="ED37" s="613"/>
      <c r="EE37" s="613"/>
      <c r="EF37" s="613"/>
      <c r="EG37" s="613"/>
      <c r="EH37" s="613"/>
      <c r="EI37" s="613"/>
      <c r="EJ37" s="613"/>
      <c r="EK37" s="613"/>
      <c r="EL37" s="613"/>
      <c r="EM37" s="613"/>
      <c r="EN37" s="613"/>
      <c r="EO37" s="613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2"/>
      <c r="DZ38" s="1403"/>
      <c r="EA38" s="608"/>
      <c r="EB38" s="608"/>
      <c r="EC38" s="608"/>
      <c r="ED38" s="608"/>
      <c r="EE38" s="608"/>
      <c r="EF38" s="608"/>
      <c r="EG38" s="608"/>
      <c r="EH38" s="608"/>
      <c r="EI38" s="608"/>
      <c r="EJ38" s="608"/>
      <c r="EK38" s="608"/>
      <c r="EL38" s="608"/>
      <c r="EM38" s="608"/>
      <c r="EN38" s="608"/>
      <c r="EO38" s="608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49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2"/>
      <c r="DZ39" s="1403"/>
      <c r="EA39" s="608"/>
      <c r="EB39" s="608"/>
      <c r="EC39" s="608"/>
      <c r="ED39" s="608"/>
      <c r="EE39" s="608"/>
      <c r="EF39" s="608"/>
      <c r="EG39" s="608"/>
      <c r="EH39" s="608"/>
      <c r="EI39" s="608"/>
      <c r="EJ39" s="608"/>
      <c r="EK39" s="608"/>
      <c r="EL39" s="608"/>
      <c r="EM39" s="608"/>
      <c r="EN39" s="608"/>
      <c r="EO39" s="608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49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2"/>
      <c r="DZ40" s="1403"/>
      <c r="EA40" s="612"/>
      <c r="EB40" s="612"/>
      <c r="EC40" s="612"/>
      <c r="ED40" s="612"/>
      <c r="EE40" s="612"/>
      <c r="EF40" s="612"/>
      <c r="EG40" s="612"/>
      <c r="EH40" s="612"/>
      <c r="EI40" s="612"/>
      <c r="EJ40" s="612"/>
      <c r="EK40" s="612"/>
      <c r="EL40" s="612"/>
      <c r="EM40" s="612"/>
      <c r="EN40" s="612"/>
      <c r="EO40" s="612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1"/>
      <c r="DZ41" s="1382"/>
      <c r="EA41" s="615"/>
      <c r="EB41" s="615"/>
      <c r="EC41" s="615"/>
      <c r="ED41" s="615"/>
      <c r="EE41" s="615"/>
      <c r="EF41" s="615"/>
      <c r="EG41" s="615"/>
      <c r="EH41" s="615"/>
      <c r="EI41" s="615"/>
      <c r="EJ41" s="615"/>
      <c r="EK41" s="615"/>
      <c r="EL41" s="615"/>
      <c r="EM41" s="615"/>
      <c r="EN41" s="615"/>
      <c r="EO41" s="615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49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  <c r="FE45" s="625"/>
      <c r="FF45" s="625"/>
      <c r="FG45" s="625"/>
      <c r="FH45" s="625"/>
      <c r="FI45" s="625"/>
      <c r="FJ45" s="625"/>
      <c r="FK45" s="625"/>
      <c r="FL45" s="625"/>
      <c r="FM45" s="625"/>
      <c r="FN45" s="625"/>
      <c r="FO45" s="625"/>
      <c r="FP45" s="625"/>
      <c r="FQ45" s="625"/>
      <c r="FR45" s="625"/>
      <c r="FS45" s="625"/>
      <c r="FT45" s="625"/>
      <c r="FU45" s="625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592" t="s">
        <v>305</v>
      </c>
      <c r="AW47" s="1592"/>
      <c r="AX47" s="1592"/>
      <c r="AY47" s="1592"/>
      <c r="AZ47" s="1592"/>
      <c r="BA47" s="1592"/>
      <c r="BB47" s="1592"/>
      <c r="BC47" s="1592"/>
      <c r="BD47" s="1592"/>
      <c r="BE47" s="1592"/>
      <c r="BF47" s="1592"/>
      <c r="BG47" s="1592"/>
      <c r="BH47" s="1592"/>
      <c r="BI47" s="1592"/>
      <c r="BJ47" s="1592"/>
      <c r="BK47" s="1592"/>
      <c r="BL47" s="1592"/>
      <c r="BM47" s="1592"/>
      <c r="BN47" s="1592"/>
      <c r="BO47" s="1592"/>
      <c r="BP47" s="1592"/>
      <c r="BQ47" s="1592"/>
      <c r="BR47" s="1592"/>
      <c r="BS47" s="1592"/>
      <c r="BT47" s="1592"/>
      <c r="BU47" s="1592"/>
      <c r="BV47" s="1592"/>
      <c r="BW47" s="1592"/>
      <c r="BX47" s="1592"/>
      <c r="BY47" s="1592"/>
      <c r="BZ47" s="1592"/>
      <c r="CA47" s="1592"/>
      <c r="CB47" s="1592"/>
      <c r="CC47" s="1592"/>
      <c r="CD47" s="1592"/>
      <c r="CE47" s="1592"/>
      <c r="CF47" s="1592"/>
      <c r="CG47" s="1592"/>
      <c r="CH47" s="1592"/>
      <c r="CI47" s="1592"/>
      <c r="CJ47" s="1592"/>
      <c r="CK47" s="1592"/>
      <c r="CL47" s="1592"/>
      <c r="CM47" s="1592"/>
      <c r="CN47" s="1592"/>
      <c r="CO47" s="1592"/>
      <c r="CP47" s="1592"/>
      <c r="CQ47" s="1592"/>
      <c r="CR47" s="1592"/>
      <c r="CS47" s="1592"/>
      <c r="CT47" s="1592"/>
      <c r="CU47" s="1592"/>
      <c r="CV47" s="1592"/>
      <c r="CW47" s="1592"/>
      <c r="CX47" s="1592"/>
      <c r="CY47" s="1592"/>
      <c r="CZ47" s="1592"/>
      <c r="DA47" s="1592"/>
      <c r="DB47" s="1592"/>
      <c r="DC47" s="1592"/>
      <c r="DD47" s="1592"/>
      <c r="DE47" s="1592"/>
      <c r="DF47" s="1592"/>
      <c r="DG47" s="1592"/>
      <c r="DH47" s="1592"/>
      <c r="DI47" s="1592"/>
      <c r="DJ47" s="1592"/>
      <c r="DK47" s="1592"/>
      <c r="DL47" s="1592"/>
      <c r="DM47" s="1592"/>
      <c r="DN47" s="1592"/>
      <c r="DO47" s="1592"/>
      <c r="DP47" s="1592"/>
      <c r="DQ47" s="1592"/>
      <c r="DR47" s="1592"/>
      <c r="DS47" s="1592"/>
      <c r="DT47" s="1592"/>
      <c r="DU47" s="1592"/>
      <c r="DV47" s="1592"/>
      <c r="DW47" s="1592"/>
      <c r="DX47" s="1592"/>
      <c r="DY47" s="1592"/>
      <c r="DZ47" s="1592"/>
      <c r="EA47" s="1592"/>
      <c r="EB47" s="1592"/>
      <c r="EC47" s="1592"/>
      <c r="ED47" s="1592"/>
      <c r="EE47" s="1592"/>
      <c r="EF47" s="1592"/>
      <c r="EG47" s="1592"/>
      <c r="EH47" s="1592"/>
      <c r="EI47" s="1592"/>
      <c r="EJ47" s="1592"/>
      <c r="EK47" s="1592"/>
      <c r="EL47" s="1592"/>
      <c r="EM47" s="1592"/>
      <c r="EN47" s="1592"/>
      <c r="EO47" s="1592"/>
      <c r="EP47" s="1592"/>
      <c r="EQ47" s="1592"/>
      <c r="ER47" s="1592"/>
      <c r="ES47" s="1592"/>
      <c r="ET47" s="1592"/>
      <c r="EU47" s="1592"/>
      <c r="EV47" s="1592"/>
      <c r="EW47" s="1592"/>
      <c r="EX47" s="1592"/>
      <c r="EY47" s="1592"/>
      <c r="EZ47" s="1592"/>
      <c r="FA47" s="1592"/>
      <c r="FB47" s="1592"/>
      <c r="FC47" s="1592"/>
      <c r="FD47" s="1592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0" t="s">
        <v>307</v>
      </c>
      <c r="AW48" s="1411"/>
      <c r="AX48" s="1411"/>
      <c r="AY48" s="1411"/>
      <c r="AZ48" s="1411"/>
      <c r="BA48" s="1411"/>
      <c r="BB48" s="1411"/>
      <c r="BC48" s="1411"/>
      <c r="BD48" s="1411"/>
      <c r="BE48" s="1411"/>
      <c r="BF48" s="1411"/>
      <c r="BG48" s="1411"/>
      <c r="BH48" s="1411"/>
      <c r="BI48" s="1411"/>
      <c r="BJ48" s="1411"/>
      <c r="BK48" s="1411"/>
      <c r="BL48" s="1411"/>
      <c r="BM48" s="1411"/>
      <c r="BN48" s="1411"/>
      <c r="BO48" s="1411"/>
      <c r="BP48" s="1411"/>
      <c r="BQ48" s="1412"/>
      <c r="BR48" s="1592" t="s">
        <v>475</v>
      </c>
      <c r="BS48" s="1592"/>
      <c r="BT48" s="1592"/>
      <c r="BU48" s="1592"/>
      <c r="BV48" s="1592"/>
      <c r="BW48" s="1592"/>
      <c r="BX48" s="1592"/>
      <c r="BY48" s="1592"/>
      <c r="BZ48" s="1592"/>
      <c r="CA48" s="1592"/>
      <c r="CB48" s="1592"/>
      <c r="CC48" s="1592"/>
      <c r="CD48" s="1592"/>
      <c r="CE48" s="1592"/>
      <c r="CF48" s="1592"/>
      <c r="CG48" s="1592"/>
      <c r="CH48" s="1592"/>
      <c r="CI48" s="1592"/>
      <c r="CJ48" s="1592"/>
      <c r="CK48" s="1592"/>
      <c r="CL48" s="1592"/>
      <c r="CM48" s="1592"/>
      <c r="CN48" s="1592"/>
      <c r="CO48" s="1592"/>
      <c r="CP48" s="1592"/>
      <c r="CQ48" s="1592"/>
      <c r="CR48" s="1592"/>
      <c r="CS48" s="1592"/>
      <c r="CT48" s="1592"/>
      <c r="CU48" s="1592"/>
      <c r="CV48" s="1592"/>
      <c r="CW48" s="1592"/>
      <c r="CX48" s="1592"/>
      <c r="CY48" s="1592"/>
      <c r="CZ48" s="1592"/>
      <c r="DA48" s="1592"/>
      <c r="DB48" s="1592"/>
      <c r="DC48" s="1592"/>
      <c r="DD48" s="1592"/>
      <c r="DE48" s="1592"/>
      <c r="DF48" s="1592"/>
      <c r="DG48" s="1592"/>
      <c r="DH48" s="1592"/>
      <c r="DI48" s="1592"/>
      <c r="DJ48" s="1592"/>
      <c r="DK48" s="1592"/>
      <c r="DL48" s="1592"/>
      <c r="DM48" s="1592"/>
      <c r="DN48" s="1592"/>
      <c r="DO48" s="1592"/>
      <c r="DP48" s="1592"/>
      <c r="DQ48" s="1592"/>
      <c r="DR48" s="1592"/>
      <c r="DS48" s="1592"/>
      <c r="DT48" s="1592"/>
      <c r="DU48" s="1592"/>
      <c r="DV48" s="1592"/>
      <c r="DW48" s="1592"/>
      <c r="DX48" s="1592"/>
      <c r="DY48" s="1592"/>
      <c r="DZ48" s="1592"/>
      <c r="EA48" s="1592"/>
      <c r="EB48" s="1592"/>
      <c r="EC48" s="1592"/>
      <c r="ED48" s="1592"/>
      <c r="EE48" s="1592"/>
      <c r="EF48" s="1592"/>
      <c r="EG48" s="1592"/>
      <c r="EH48" s="1592"/>
      <c r="EI48" s="1592"/>
      <c r="EJ48" s="1592"/>
      <c r="EK48" s="1592"/>
      <c r="EL48" s="1592"/>
      <c r="EM48" s="1592"/>
      <c r="EN48" s="1592"/>
      <c r="EO48" s="1592"/>
      <c r="EP48" s="1592"/>
      <c r="EQ48" s="1592"/>
      <c r="ER48" s="1592"/>
      <c r="ES48" s="1592"/>
      <c r="ET48" s="1592" t="s">
        <v>479</v>
      </c>
      <c r="EU48" s="1592"/>
      <c r="EV48" s="1592"/>
      <c r="EW48" s="1592"/>
      <c r="EX48" s="1592"/>
      <c r="EY48" s="1592"/>
      <c r="EZ48" s="1592"/>
      <c r="FA48" s="1592"/>
      <c r="FB48" s="1592"/>
      <c r="FC48" s="1592"/>
      <c r="FD48" s="1592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3"/>
      <c r="AW49" s="1414"/>
      <c r="AX49" s="1414"/>
      <c r="AY49" s="1414"/>
      <c r="AZ49" s="1414"/>
      <c r="BA49" s="1414"/>
      <c r="BB49" s="1414"/>
      <c r="BC49" s="1414"/>
      <c r="BD49" s="1414"/>
      <c r="BE49" s="1414"/>
      <c r="BF49" s="1414"/>
      <c r="BG49" s="1414"/>
      <c r="BH49" s="1414"/>
      <c r="BI49" s="1414"/>
      <c r="BJ49" s="1414"/>
      <c r="BK49" s="1414"/>
      <c r="BL49" s="1414"/>
      <c r="BM49" s="1414"/>
      <c r="BN49" s="1414"/>
      <c r="BO49" s="1414"/>
      <c r="BP49" s="1414"/>
      <c r="BQ49" s="1415"/>
      <c r="BR49" s="1592" t="s">
        <v>308</v>
      </c>
      <c r="BS49" s="1592"/>
      <c r="BT49" s="1592"/>
      <c r="BU49" s="1592"/>
      <c r="BV49" s="1592"/>
      <c r="BW49" s="1592"/>
      <c r="BX49" s="1592"/>
      <c r="BY49" s="1592"/>
      <c r="BZ49" s="1592"/>
      <c r="CA49" s="1592"/>
      <c r="CB49" s="1592"/>
      <c r="CC49" s="1592"/>
      <c r="CD49" s="1592"/>
      <c r="CE49" s="1592"/>
      <c r="CF49" s="1592"/>
      <c r="CG49" s="1592"/>
      <c r="CH49" s="1592"/>
      <c r="CI49" s="1592"/>
      <c r="CJ49" s="1592"/>
      <c r="CK49" s="1592" t="s">
        <v>309</v>
      </c>
      <c r="CL49" s="1592"/>
      <c r="CM49" s="1592"/>
      <c r="CN49" s="1592"/>
      <c r="CO49" s="1592"/>
      <c r="CP49" s="1592"/>
      <c r="CQ49" s="1592"/>
      <c r="CR49" s="1592"/>
      <c r="CS49" s="1592"/>
      <c r="CT49" s="1592"/>
      <c r="CU49" s="1592"/>
      <c r="CV49" s="1592"/>
      <c r="CW49" s="1592"/>
      <c r="CX49" s="1592"/>
      <c r="CY49" s="1592"/>
      <c r="CZ49" s="1592"/>
      <c r="DA49" s="1592"/>
      <c r="DB49" s="1592"/>
      <c r="DC49" s="1592"/>
      <c r="DD49" s="1592"/>
      <c r="DE49" s="1592"/>
      <c r="DF49" s="1592"/>
      <c r="DG49" s="1592"/>
      <c r="DH49" s="1592"/>
      <c r="DI49" s="1592"/>
      <c r="DJ49" s="1592"/>
      <c r="DK49" s="1592"/>
      <c r="DL49" s="1592"/>
      <c r="DM49" s="1592"/>
      <c r="DN49" s="1592"/>
      <c r="DO49" s="1592"/>
      <c r="DP49" s="1592"/>
      <c r="DQ49" s="1592"/>
      <c r="DR49" s="1592"/>
      <c r="DS49" s="1592"/>
      <c r="DT49" s="1592"/>
      <c r="DU49" s="1592"/>
      <c r="DV49" s="1592"/>
      <c r="DW49" s="1592"/>
      <c r="DX49" s="1592"/>
      <c r="DY49" s="1592"/>
      <c r="DZ49" s="1592"/>
      <c r="EA49" s="1592"/>
      <c r="EB49" s="1592"/>
      <c r="EC49" s="1592"/>
      <c r="ED49" s="1592"/>
      <c r="EE49" s="1592"/>
      <c r="EF49" s="1592"/>
      <c r="EG49" s="1592"/>
      <c r="EH49" s="1592"/>
      <c r="EI49" s="1592"/>
      <c r="EJ49" s="1592"/>
      <c r="EK49" s="1592"/>
      <c r="EL49" s="1592"/>
      <c r="EM49" s="1592"/>
      <c r="EN49" s="1592"/>
      <c r="EO49" s="1592"/>
      <c r="EP49" s="1592"/>
      <c r="EQ49" s="1592"/>
      <c r="ER49" s="1592"/>
      <c r="ES49" s="1592"/>
      <c r="ET49" s="1592"/>
      <c r="EU49" s="1592"/>
      <c r="EV49" s="1592"/>
      <c r="EW49" s="1592"/>
      <c r="EX49" s="1592"/>
      <c r="EY49" s="1592"/>
      <c r="EZ49" s="1592"/>
      <c r="FA49" s="1592"/>
      <c r="FB49" s="1592"/>
      <c r="FC49" s="1592"/>
      <c r="FD49" s="1592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7"/>
      <c r="BF50" s="1417"/>
      <c r="BG50" s="1417"/>
      <c r="BH50" s="1417"/>
      <c r="BI50" s="1417"/>
      <c r="BJ50" s="1417"/>
      <c r="BK50" s="1417"/>
      <c r="BL50" s="1417"/>
      <c r="BM50" s="1417"/>
      <c r="BN50" s="1417"/>
      <c r="BO50" s="1417"/>
      <c r="BP50" s="1417"/>
      <c r="BQ50" s="1418"/>
      <c r="BR50" s="1592"/>
      <c r="BS50" s="1592"/>
      <c r="BT50" s="1592"/>
      <c r="BU50" s="1592"/>
      <c r="BV50" s="1592"/>
      <c r="BW50" s="1592"/>
      <c r="BX50" s="1592"/>
      <c r="BY50" s="1592"/>
      <c r="BZ50" s="1592"/>
      <c r="CA50" s="1592"/>
      <c r="CB50" s="1592"/>
      <c r="CC50" s="1592"/>
      <c r="CD50" s="1592"/>
      <c r="CE50" s="1592"/>
      <c r="CF50" s="1592"/>
      <c r="CG50" s="1592"/>
      <c r="CH50" s="1592"/>
      <c r="CI50" s="1592"/>
      <c r="CJ50" s="1592"/>
      <c r="CK50" s="1410" t="s">
        <v>478</v>
      </c>
      <c r="CL50" s="1411"/>
      <c r="CM50" s="1411"/>
      <c r="CN50" s="1411"/>
      <c r="CO50" s="1411"/>
      <c r="CP50" s="1411"/>
      <c r="CQ50" s="1411"/>
      <c r="CR50" s="1411"/>
      <c r="CS50" s="1411"/>
      <c r="CT50" s="1411"/>
      <c r="CU50" s="1411"/>
      <c r="CV50" s="1411"/>
      <c r="CW50" s="1411"/>
      <c r="CX50" s="1411"/>
      <c r="CY50" s="1411"/>
      <c r="CZ50" s="1411"/>
      <c r="DA50" s="1411"/>
      <c r="DB50" s="1411"/>
      <c r="DC50" s="1411"/>
      <c r="DD50" s="1411"/>
      <c r="DE50" s="1411"/>
      <c r="DF50" s="1411"/>
      <c r="DG50" s="1411" t="s">
        <v>477</v>
      </c>
      <c r="DH50" s="1411"/>
      <c r="DI50" s="1411"/>
      <c r="DJ50" s="1412"/>
      <c r="DK50" s="1410" t="s">
        <v>477</v>
      </c>
      <c r="DL50" s="1411"/>
      <c r="DM50" s="1411"/>
      <c r="DN50" s="1411"/>
      <c r="DO50" s="1411"/>
      <c r="DP50" s="1411"/>
      <c r="DQ50" s="1411"/>
      <c r="DR50" s="1411"/>
      <c r="DS50" s="1411"/>
      <c r="DT50" s="1411"/>
      <c r="DU50" s="1411"/>
      <c r="DV50" s="1411"/>
      <c r="DW50" s="1411"/>
      <c r="DX50" s="1411"/>
      <c r="DY50" s="1411"/>
      <c r="DZ50" s="1411"/>
      <c r="EA50" s="1411"/>
      <c r="EB50" s="1411"/>
      <c r="EC50" s="1411"/>
      <c r="ED50" s="1411"/>
      <c r="EE50" s="1411"/>
      <c r="EF50" s="1411"/>
      <c r="EG50" s="1411"/>
      <c r="EH50" s="1411"/>
      <c r="EI50" s="1411"/>
      <c r="EJ50" s="1411"/>
      <c r="EK50" s="1411"/>
      <c r="EL50" s="1411"/>
      <c r="EM50" s="1411"/>
      <c r="EN50" s="1411"/>
      <c r="EO50" s="1411"/>
      <c r="EP50" s="1411"/>
      <c r="EQ50" s="1411"/>
      <c r="ER50" s="1411"/>
      <c r="ES50" s="1412"/>
      <c r="ET50" s="1592"/>
      <c r="EU50" s="1592"/>
      <c r="EV50" s="1592"/>
      <c r="EW50" s="1592"/>
      <c r="EX50" s="1592"/>
      <c r="EY50" s="1592"/>
      <c r="EZ50" s="1592"/>
      <c r="FA50" s="1592"/>
      <c r="FB50" s="1592"/>
      <c r="FC50" s="1592"/>
      <c r="FD50" s="1592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8"/>
      <c r="BF51" s="1408"/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588" t="s">
        <v>403</v>
      </c>
      <c r="BS51" s="1589"/>
      <c r="BT51" s="1589"/>
      <c r="BU51" s="1589"/>
      <c r="BV51" s="1589"/>
      <c r="BW51" s="1589"/>
      <c r="BX51" s="1589"/>
      <c r="BY51" s="1589"/>
      <c r="BZ51" s="1589"/>
      <c r="CA51" s="1589"/>
      <c r="CB51" s="1589"/>
      <c r="CC51" s="1589"/>
      <c r="CD51" s="1589"/>
      <c r="CE51" s="1589"/>
      <c r="CF51" s="1589"/>
      <c r="CG51" s="1589"/>
      <c r="CH51" s="1589"/>
      <c r="CI51" s="1589"/>
      <c r="CJ51" s="1589"/>
      <c r="CK51" s="1590" t="s">
        <v>404</v>
      </c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 t="s">
        <v>405</v>
      </c>
      <c r="DH51" s="1590"/>
      <c r="DI51" s="1590"/>
      <c r="DJ51" s="1590"/>
      <c r="DK51" s="1591" t="s">
        <v>405</v>
      </c>
      <c r="DL51" s="1591"/>
      <c r="DM51" s="1591"/>
      <c r="DN51" s="1591"/>
      <c r="DO51" s="1591"/>
      <c r="DP51" s="1591"/>
      <c r="DQ51" s="1591"/>
      <c r="DR51" s="1591"/>
      <c r="DS51" s="1591"/>
      <c r="DT51" s="1591"/>
      <c r="DU51" s="1591"/>
      <c r="DV51" s="1591"/>
      <c r="DW51" s="1591"/>
      <c r="DX51" s="1591"/>
      <c r="DY51" s="1591"/>
      <c r="DZ51" s="1591"/>
      <c r="EA51" s="1591"/>
      <c r="EB51" s="1591"/>
      <c r="EC51" s="1591"/>
      <c r="ED51" s="1591"/>
      <c r="EE51" s="1591"/>
      <c r="EF51" s="1591"/>
      <c r="EG51" s="1591"/>
      <c r="EH51" s="1591"/>
      <c r="EI51" s="1591"/>
      <c r="EJ51" s="1591"/>
      <c r="EK51" s="1591"/>
      <c r="EL51" s="1591"/>
      <c r="EM51" s="1591"/>
      <c r="EN51" s="1591"/>
      <c r="EO51" s="1591"/>
      <c r="EP51" s="1591"/>
      <c r="EQ51" s="1591"/>
      <c r="ER51" s="1591"/>
      <c r="ES51" s="1591"/>
      <c r="ET51" s="1455" t="s">
        <v>406</v>
      </c>
      <c r="EU51" s="1593"/>
      <c r="EV51" s="1593"/>
      <c r="EW51" s="1593"/>
      <c r="EX51" s="1593"/>
      <c r="EY51" s="1593"/>
      <c r="EZ51" s="1593"/>
      <c r="FA51" s="1593"/>
      <c r="FB51" s="1593"/>
      <c r="FC51" s="1593"/>
      <c r="FD51" s="159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2"/>
      <c r="AL52" s="1595"/>
      <c r="AM52" s="1595"/>
      <c r="AN52" s="1595"/>
      <c r="AO52" s="1595"/>
      <c r="AP52" s="1595"/>
      <c r="AQ52" s="1595"/>
      <c r="AR52" s="1595"/>
      <c r="AS52" s="1595"/>
      <c r="AT52" s="1595"/>
      <c r="AU52" s="1595"/>
      <c r="AV52" s="1595"/>
      <c r="AW52" s="1595"/>
      <c r="AX52" s="1595"/>
      <c r="AY52" s="1595"/>
      <c r="AZ52" s="1595"/>
      <c r="BA52" s="1595"/>
      <c r="BB52" s="1595"/>
      <c r="BC52" s="1595"/>
      <c r="BD52" s="1595"/>
      <c r="BE52" s="1595"/>
      <c r="BF52" s="1595"/>
      <c r="BG52" s="1595"/>
      <c r="BH52" s="1595"/>
      <c r="BI52" s="1595"/>
      <c r="BJ52" s="1595"/>
      <c r="BK52" s="1595"/>
      <c r="BL52" s="1595"/>
      <c r="BM52" s="1595"/>
      <c r="BN52" s="1595"/>
      <c r="BO52" s="1595"/>
      <c r="BP52" s="1595"/>
      <c r="BQ52" s="1595"/>
      <c r="BR52" s="1595"/>
      <c r="BS52" s="1595"/>
      <c r="BT52" s="1595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6"/>
      <c r="CL52" s="1596"/>
      <c r="CM52" s="1596"/>
      <c r="CN52" s="1596"/>
      <c r="CO52" s="1596"/>
      <c r="CP52" s="1596"/>
      <c r="CQ52" s="1596"/>
      <c r="CR52" s="1596"/>
      <c r="CS52" s="1596"/>
      <c r="CT52" s="1596"/>
      <c r="CU52" s="1596"/>
      <c r="CV52" s="1596"/>
      <c r="CW52" s="1596"/>
      <c r="CX52" s="1596"/>
      <c r="CY52" s="1596"/>
      <c r="CZ52" s="1596"/>
      <c r="DA52" s="1596"/>
      <c r="DB52" s="1596"/>
      <c r="DC52" s="1596"/>
      <c r="DD52" s="1596"/>
      <c r="DE52" s="1596"/>
      <c r="DF52" s="1596"/>
      <c r="DG52" s="1596"/>
      <c r="DH52" s="1596"/>
      <c r="DI52" s="1596"/>
      <c r="DJ52" s="1596"/>
      <c r="DK52" s="1596"/>
      <c r="DL52" s="1596"/>
      <c r="DM52" s="1596"/>
      <c r="DN52" s="1596"/>
      <c r="DO52" s="1596"/>
      <c r="DP52" s="1596"/>
      <c r="DQ52" s="1596"/>
      <c r="DR52" s="1596"/>
      <c r="DS52" s="1596"/>
      <c r="DT52" s="1596"/>
      <c r="DU52" s="1596"/>
      <c r="DV52" s="1596"/>
      <c r="DW52" s="1596"/>
      <c r="DX52" s="1596"/>
      <c r="DY52" s="1596"/>
      <c r="DZ52" s="1596"/>
      <c r="EA52" s="1596"/>
      <c r="EB52" s="1596"/>
      <c r="EC52" s="1596"/>
      <c r="ED52" s="1596"/>
      <c r="EE52" s="1596"/>
      <c r="EF52" s="1596"/>
      <c r="EG52" s="1596"/>
      <c r="EH52" s="1596"/>
      <c r="EI52" s="1596"/>
      <c r="EJ52" s="1596"/>
      <c r="EK52" s="1596"/>
      <c r="EL52" s="1596"/>
      <c r="EM52" s="1596"/>
      <c r="EN52" s="1596"/>
      <c r="EO52" s="1596"/>
      <c r="EP52" s="1596"/>
      <c r="EQ52" s="1596"/>
      <c r="ER52" s="1596"/>
      <c r="ES52" s="1596"/>
      <c r="ET52" s="1596"/>
      <c r="EU52" s="1596"/>
      <c r="EV52" s="1596"/>
      <c r="EW52" s="1596"/>
      <c r="EX52" s="1596"/>
      <c r="EY52" s="1596"/>
      <c r="EZ52" s="1596"/>
      <c r="FA52" s="1596"/>
      <c r="FB52" s="1596"/>
      <c r="FC52" s="1596"/>
      <c r="FD52" s="1596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75" t="s">
        <v>263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  <c r="L53" s="1476"/>
      <c r="M53" s="1476"/>
      <c r="N53" s="1476"/>
      <c r="O53" s="1476"/>
      <c r="P53" s="1476"/>
      <c r="Q53" s="1476"/>
      <c r="R53" s="1476"/>
      <c r="S53" s="1476"/>
      <c r="T53" s="1476"/>
      <c r="U53" s="1476"/>
      <c r="V53" s="1476"/>
      <c r="W53" s="1476"/>
      <c r="X53" s="1476"/>
      <c r="Y53" s="1476"/>
      <c r="Z53" s="1476"/>
      <c r="AA53" s="1476"/>
      <c r="AB53" s="1476"/>
      <c r="AC53" s="1476"/>
      <c r="AD53" s="1476"/>
      <c r="AE53" s="1477"/>
      <c r="AF53" s="1444" t="s">
        <v>314</v>
      </c>
      <c r="AG53" s="1445"/>
      <c r="AH53" s="1445"/>
      <c r="AI53" s="1445"/>
      <c r="AJ53" s="1445"/>
      <c r="AK53" s="1445"/>
      <c r="AL53" s="1447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597"/>
      <c r="AW53" s="1597"/>
      <c r="AX53" s="1597"/>
      <c r="AY53" s="1597"/>
      <c r="AZ53" s="1597"/>
      <c r="BA53" s="1597"/>
      <c r="BB53" s="1597"/>
      <c r="BC53" s="1597"/>
      <c r="BD53" s="1597"/>
      <c r="BE53" s="1597"/>
      <c r="BF53" s="1597"/>
      <c r="BG53" s="1597"/>
      <c r="BH53" s="1597"/>
      <c r="BI53" s="1597"/>
      <c r="BJ53" s="1597"/>
      <c r="BK53" s="1597"/>
      <c r="BL53" s="1597"/>
      <c r="BM53" s="1597"/>
      <c r="BN53" s="1597"/>
      <c r="BO53" s="1597"/>
      <c r="BP53" s="1597"/>
      <c r="BQ53" s="1597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8"/>
      <c r="CC53" s="1448"/>
      <c r="CD53" s="1448"/>
      <c r="CE53" s="1448"/>
      <c r="CF53" s="1448"/>
      <c r="CG53" s="1448"/>
      <c r="CH53" s="1448"/>
      <c r="CI53" s="1448"/>
      <c r="CJ53" s="1448"/>
      <c r="CK53" s="1447"/>
      <c r="CL53" s="1448"/>
      <c r="CM53" s="1448"/>
      <c r="CN53" s="1448"/>
      <c r="CO53" s="1448"/>
      <c r="CP53" s="1448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8"/>
      <c r="DA53" s="1448"/>
      <c r="DB53" s="1448"/>
      <c r="DC53" s="1448"/>
      <c r="DD53" s="1448"/>
      <c r="DE53" s="1448"/>
      <c r="DF53" s="1448"/>
      <c r="DG53" s="1448"/>
      <c r="DH53" s="1448"/>
      <c r="DI53" s="1448"/>
      <c r="DJ53" s="1449"/>
      <c r="DK53" s="1448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8"/>
      <c r="DV53" s="1448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8"/>
      <c r="EI53" s="1448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48"/>
      <c r="EU53" s="1448"/>
      <c r="EV53" s="1448"/>
      <c r="EW53" s="1448"/>
      <c r="EX53" s="1448"/>
      <c r="EY53" s="1448"/>
      <c r="EZ53" s="1448"/>
      <c r="FA53" s="1448"/>
      <c r="FB53" s="1448"/>
      <c r="FC53" s="1448"/>
      <c r="FD53" s="1449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69" t="s">
        <v>1023</v>
      </c>
      <c r="B54" s="1470"/>
      <c r="C54" s="1470"/>
      <c r="D54" s="1470"/>
      <c r="E54" s="1470"/>
      <c r="F54" s="1470"/>
      <c r="G54" s="1470"/>
      <c r="H54" s="1470"/>
      <c r="I54" s="1470"/>
      <c r="J54" s="1470"/>
      <c r="K54" s="1470"/>
      <c r="L54" s="1470"/>
      <c r="M54" s="1470"/>
      <c r="N54" s="1470"/>
      <c r="O54" s="1470"/>
      <c r="P54" s="1470"/>
      <c r="Q54" s="1470"/>
      <c r="R54" s="1470"/>
      <c r="S54" s="1470"/>
      <c r="T54" s="1470"/>
      <c r="U54" s="1470"/>
      <c r="V54" s="1470"/>
      <c r="W54" s="1470"/>
      <c r="X54" s="1470"/>
      <c r="Y54" s="1470"/>
      <c r="Z54" s="1470"/>
      <c r="AA54" s="1470"/>
      <c r="AB54" s="1470"/>
      <c r="AC54" s="1470"/>
      <c r="AD54" s="1470"/>
      <c r="AE54" s="1471"/>
      <c r="AF54" s="1478"/>
      <c r="AG54" s="1479"/>
      <c r="AH54" s="1479"/>
      <c r="AI54" s="1479"/>
      <c r="AJ54" s="1479"/>
      <c r="AK54" s="1479"/>
      <c r="AL54" s="1466"/>
      <c r="AM54" s="1467"/>
      <c r="AN54" s="1467"/>
      <c r="AO54" s="1467"/>
      <c r="AP54" s="1467"/>
      <c r="AQ54" s="1467"/>
      <c r="AR54" s="1467"/>
      <c r="AS54" s="1467"/>
      <c r="AT54" s="1467"/>
      <c r="AU54" s="1467"/>
      <c r="AV54" s="1597"/>
      <c r="AW54" s="1597"/>
      <c r="AX54" s="1597"/>
      <c r="AY54" s="1597"/>
      <c r="AZ54" s="1597"/>
      <c r="BA54" s="1597"/>
      <c r="BB54" s="1597"/>
      <c r="BC54" s="1597"/>
      <c r="BD54" s="1597"/>
      <c r="BE54" s="1597"/>
      <c r="BF54" s="1597"/>
      <c r="BG54" s="1597"/>
      <c r="BH54" s="1597"/>
      <c r="BI54" s="1597"/>
      <c r="BJ54" s="1597"/>
      <c r="BK54" s="1597"/>
      <c r="BL54" s="1597"/>
      <c r="BM54" s="1597"/>
      <c r="BN54" s="1597"/>
      <c r="BO54" s="1597"/>
      <c r="BP54" s="1597"/>
      <c r="BQ54" s="1597"/>
      <c r="BR54" s="1466"/>
      <c r="BS54" s="1467"/>
      <c r="BT54" s="1467"/>
      <c r="BU54" s="1467"/>
      <c r="BV54" s="1467"/>
      <c r="BW54" s="1467"/>
      <c r="BX54" s="1467"/>
      <c r="BY54" s="1467"/>
      <c r="BZ54" s="1467"/>
      <c r="CA54" s="1467"/>
      <c r="CB54" s="1467"/>
      <c r="CC54" s="1467"/>
      <c r="CD54" s="1467"/>
      <c r="CE54" s="1467"/>
      <c r="CF54" s="1467"/>
      <c r="CG54" s="1467"/>
      <c r="CH54" s="1467"/>
      <c r="CI54" s="1467"/>
      <c r="CJ54" s="1467"/>
      <c r="CK54" s="1466"/>
      <c r="CL54" s="1467"/>
      <c r="CM54" s="1467"/>
      <c r="CN54" s="1467"/>
      <c r="CO54" s="1467"/>
      <c r="CP54" s="1467"/>
      <c r="CQ54" s="1467"/>
      <c r="CR54" s="1467"/>
      <c r="CS54" s="1467"/>
      <c r="CT54" s="1467"/>
      <c r="CU54" s="1467"/>
      <c r="CV54" s="1467"/>
      <c r="CW54" s="1467"/>
      <c r="CX54" s="1467"/>
      <c r="CY54" s="1467"/>
      <c r="CZ54" s="1467"/>
      <c r="DA54" s="1467"/>
      <c r="DB54" s="1467"/>
      <c r="DC54" s="1467"/>
      <c r="DD54" s="1467"/>
      <c r="DE54" s="1467"/>
      <c r="DF54" s="1467"/>
      <c r="DG54" s="1467"/>
      <c r="DH54" s="1467"/>
      <c r="DI54" s="1467"/>
      <c r="DJ54" s="1468"/>
      <c r="DK54" s="1467"/>
      <c r="DL54" s="1467"/>
      <c r="DM54" s="1467"/>
      <c r="DN54" s="1467"/>
      <c r="DO54" s="1467"/>
      <c r="DP54" s="1467"/>
      <c r="DQ54" s="1467"/>
      <c r="DR54" s="1467"/>
      <c r="DS54" s="1467"/>
      <c r="DT54" s="1467"/>
      <c r="DU54" s="1467"/>
      <c r="DV54" s="1467"/>
      <c r="DW54" s="1467"/>
      <c r="DX54" s="1467"/>
      <c r="DY54" s="1467"/>
      <c r="DZ54" s="1467"/>
      <c r="EA54" s="1467"/>
      <c r="EB54" s="1467"/>
      <c r="EC54" s="1467"/>
      <c r="ED54" s="1467"/>
      <c r="EE54" s="1467"/>
      <c r="EF54" s="1467"/>
      <c r="EG54" s="1467"/>
      <c r="EH54" s="1467"/>
      <c r="EI54" s="1467"/>
      <c r="EJ54" s="1467"/>
      <c r="EK54" s="1467"/>
      <c r="EL54" s="1467"/>
      <c r="EM54" s="1467"/>
      <c r="EN54" s="1467"/>
      <c r="EO54" s="1467"/>
      <c r="EP54" s="1467"/>
      <c r="EQ54" s="1467"/>
      <c r="ER54" s="1467"/>
      <c r="ES54" s="1468"/>
      <c r="ET54" s="1467"/>
      <c r="EU54" s="1467"/>
      <c r="EV54" s="1467"/>
      <c r="EW54" s="1467"/>
      <c r="EX54" s="1467"/>
      <c r="EY54" s="1467"/>
      <c r="EZ54" s="1467"/>
      <c r="FA54" s="1467"/>
      <c r="FB54" s="1467"/>
      <c r="FC54" s="1467"/>
      <c r="FD54" s="1468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404" t="s">
        <v>315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316</v>
      </c>
      <c r="AG55" s="1434"/>
      <c r="AH55" s="1434"/>
      <c r="AI55" s="1434"/>
      <c r="AJ55" s="1434"/>
      <c r="AK55" s="1434"/>
      <c r="AL55" s="1597"/>
      <c r="AM55" s="1597"/>
      <c r="AN55" s="1597"/>
      <c r="AO55" s="1597"/>
      <c r="AP55" s="1597"/>
      <c r="AQ55" s="1597"/>
      <c r="AR55" s="1597"/>
      <c r="AS55" s="1597"/>
      <c r="AT55" s="1597"/>
      <c r="AU55" s="1597"/>
      <c r="AV55" s="1597"/>
      <c r="AW55" s="1597"/>
      <c r="AX55" s="1597"/>
      <c r="AY55" s="1597"/>
      <c r="AZ55" s="1597"/>
      <c r="BA55" s="1597"/>
      <c r="BB55" s="1597"/>
      <c r="BC55" s="1597"/>
      <c r="BD55" s="1597"/>
      <c r="BE55" s="1597"/>
      <c r="BF55" s="1597"/>
      <c r="BG55" s="1597"/>
      <c r="BH55" s="1597"/>
      <c r="BI55" s="1597"/>
      <c r="BJ55" s="1597"/>
      <c r="BK55" s="1597"/>
      <c r="BL55" s="1597"/>
      <c r="BM55" s="1597"/>
      <c r="BN55" s="1597"/>
      <c r="BO55" s="1597"/>
      <c r="BP55" s="1597"/>
      <c r="BQ55" s="1597"/>
      <c r="BR55" s="1597"/>
      <c r="BS55" s="1597"/>
      <c r="BT55" s="1597"/>
      <c r="BU55" s="1597"/>
      <c r="BV55" s="1597"/>
      <c r="BW55" s="1597"/>
      <c r="BX55" s="1597"/>
      <c r="BY55" s="1597"/>
      <c r="BZ55" s="1597"/>
      <c r="CA55" s="1597"/>
      <c r="CB55" s="1597"/>
      <c r="CC55" s="1597"/>
      <c r="CD55" s="1597"/>
      <c r="CE55" s="1597"/>
      <c r="CF55" s="1597"/>
      <c r="CG55" s="1597"/>
      <c r="CH55" s="1597"/>
      <c r="CI55" s="1597"/>
      <c r="CJ55" s="1597"/>
      <c r="CK55" s="1598"/>
      <c r="CL55" s="1598"/>
      <c r="CM55" s="1598"/>
      <c r="CN55" s="1598"/>
      <c r="CO55" s="1598"/>
      <c r="CP55" s="1598"/>
      <c r="CQ55" s="1598"/>
      <c r="CR55" s="1598"/>
      <c r="CS55" s="1598"/>
      <c r="CT55" s="1598"/>
      <c r="CU55" s="1598"/>
      <c r="CV55" s="1598"/>
      <c r="CW55" s="1598"/>
      <c r="CX55" s="1598"/>
      <c r="CY55" s="1598"/>
      <c r="CZ55" s="1598"/>
      <c r="DA55" s="1598"/>
      <c r="DB55" s="1598"/>
      <c r="DC55" s="1598"/>
      <c r="DD55" s="1598"/>
      <c r="DE55" s="1598"/>
      <c r="DF55" s="1598"/>
      <c r="DG55" s="1598"/>
      <c r="DH55" s="1598"/>
      <c r="DI55" s="1598"/>
      <c r="DJ55" s="1598"/>
      <c r="DK55" s="1598"/>
      <c r="DL55" s="1598"/>
      <c r="DM55" s="1598"/>
      <c r="DN55" s="1598"/>
      <c r="DO55" s="1598"/>
      <c r="DP55" s="1598"/>
      <c r="DQ55" s="1598"/>
      <c r="DR55" s="1598"/>
      <c r="DS55" s="1598"/>
      <c r="DT55" s="1598"/>
      <c r="DU55" s="1598"/>
      <c r="DV55" s="1598"/>
      <c r="DW55" s="1598"/>
      <c r="DX55" s="1598"/>
      <c r="DY55" s="1598"/>
      <c r="DZ55" s="1598"/>
      <c r="EA55" s="1598"/>
      <c r="EB55" s="1598"/>
      <c r="EC55" s="1598"/>
      <c r="ED55" s="1598"/>
      <c r="EE55" s="1598"/>
      <c r="EF55" s="1598"/>
      <c r="EG55" s="1598"/>
      <c r="EH55" s="1598"/>
      <c r="EI55" s="1598"/>
      <c r="EJ55" s="1598"/>
      <c r="EK55" s="1598"/>
      <c r="EL55" s="1598"/>
      <c r="EM55" s="1598"/>
      <c r="EN55" s="1598"/>
      <c r="EO55" s="1598"/>
      <c r="EP55" s="1598"/>
      <c r="EQ55" s="1598"/>
      <c r="ER55" s="1598"/>
      <c r="ES55" s="1598"/>
      <c r="ET55" s="1598"/>
      <c r="EU55" s="1598"/>
      <c r="EV55" s="1598"/>
      <c r="EW55" s="1598"/>
      <c r="EX55" s="1598"/>
      <c r="EY55" s="1598"/>
      <c r="EZ55" s="1598"/>
      <c r="FA55" s="1598"/>
      <c r="FB55" s="1598"/>
      <c r="FC55" s="1598"/>
      <c r="FD55" s="1598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404" t="s">
        <v>317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318</v>
      </c>
      <c r="AG56" s="1434"/>
      <c r="AH56" s="1434"/>
      <c r="AI56" s="1434"/>
      <c r="AJ56" s="1434"/>
      <c r="AK56" s="1434"/>
      <c r="AL56" s="1599"/>
      <c r="AM56" s="1597"/>
      <c r="AN56" s="1597"/>
      <c r="AO56" s="1597"/>
      <c r="AP56" s="1597"/>
      <c r="AQ56" s="1597"/>
      <c r="AR56" s="1597"/>
      <c r="AS56" s="1597"/>
      <c r="AT56" s="1597"/>
      <c r="AU56" s="1597"/>
      <c r="AV56" s="1597"/>
      <c r="AW56" s="1597"/>
      <c r="AX56" s="1597"/>
      <c r="AY56" s="1597"/>
      <c r="AZ56" s="1597"/>
      <c r="BA56" s="1597"/>
      <c r="BB56" s="1597"/>
      <c r="BC56" s="1597"/>
      <c r="BD56" s="1597"/>
      <c r="BE56" s="1597"/>
      <c r="BF56" s="1597"/>
      <c r="BG56" s="1597"/>
      <c r="BH56" s="1597"/>
      <c r="BI56" s="1597"/>
      <c r="BJ56" s="1597"/>
      <c r="BK56" s="1597"/>
      <c r="BL56" s="1597"/>
      <c r="BM56" s="1597"/>
      <c r="BN56" s="1597"/>
      <c r="BO56" s="1597"/>
      <c r="BP56" s="1597"/>
      <c r="BQ56" s="1597"/>
      <c r="BR56" s="1597"/>
      <c r="BS56" s="1597"/>
      <c r="BT56" s="1597"/>
      <c r="BU56" s="1597"/>
      <c r="BV56" s="1597"/>
      <c r="BW56" s="1597"/>
      <c r="BX56" s="1597"/>
      <c r="BY56" s="1597"/>
      <c r="BZ56" s="1597"/>
      <c r="CA56" s="1597"/>
      <c r="CB56" s="1597"/>
      <c r="CC56" s="1597"/>
      <c r="CD56" s="1597"/>
      <c r="CE56" s="1597"/>
      <c r="CF56" s="1597"/>
      <c r="CG56" s="1597"/>
      <c r="CH56" s="1597"/>
      <c r="CI56" s="1597"/>
      <c r="CJ56" s="1597"/>
      <c r="CK56" s="1597"/>
      <c r="CL56" s="1597"/>
      <c r="CM56" s="1597"/>
      <c r="CN56" s="1597"/>
      <c r="CO56" s="1597"/>
      <c r="CP56" s="1597"/>
      <c r="CQ56" s="1597"/>
      <c r="CR56" s="1597"/>
      <c r="CS56" s="1597"/>
      <c r="CT56" s="1597"/>
      <c r="CU56" s="1597"/>
      <c r="CV56" s="1597"/>
      <c r="CW56" s="1597"/>
      <c r="CX56" s="1597"/>
      <c r="CY56" s="1597"/>
      <c r="CZ56" s="1597"/>
      <c r="DA56" s="1597"/>
      <c r="DB56" s="1597"/>
      <c r="DC56" s="1597"/>
      <c r="DD56" s="1597"/>
      <c r="DE56" s="1597"/>
      <c r="DF56" s="1597"/>
      <c r="DG56" s="1597"/>
      <c r="DH56" s="1597"/>
      <c r="DI56" s="1597"/>
      <c r="DJ56" s="1597"/>
      <c r="DK56" s="1597"/>
      <c r="DL56" s="1597"/>
      <c r="DM56" s="1597"/>
      <c r="DN56" s="1597"/>
      <c r="DO56" s="1597"/>
      <c r="DP56" s="1597"/>
      <c r="DQ56" s="1597"/>
      <c r="DR56" s="1597"/>
      <c r="DS56" s="1597"/>
      <c r="DT56" s="1597"/>
      <c r="DU56" s="1597"/>
      <c r="DV56" s="1597"/>
      <c r="DW56" s="1597"/>
      <c r="DX56" s="1597"/>
      <c r="DY56" s="1597"/>
      <c r="DZ56" s="1597"/>
      <c r="EA56" s="1597"/>
      <c r="EB56" s="1597"/>
      <c r="EC56" s="1597"/>
      <c r="ED56" s="1597"/>
      <c r="EE56" s="1597"/>
      <c r="EF56" s="1597"/>
      <c r="EG56" s="1597"/>
      <c r="EH56" s="1597"/>
      <c r="EI56" s="1597"/>
      <c r="EJ56" s="1597"/>
      <c r="EK56" s="1597"/>
      <c r="EL56" s="1597"/>
      <c r="EM56" s="1597"/>
      <c r="EN56" s="1597"/>
      <c r="EO56" s="1597"/>
      <c r="EP56" s="1597"/>
      <c r="EQ56" s="1597"/>
      <c r="ER56" s="1597"/>
      <c r="ES56" s="1597"/>
      <c r="ET56" s="1597"/>
      <c r="EU56" s="1597"/>
      <c r="EV56" s="1597"/>
      <c r="EW56" s="1597"/>
      <c r="EX56" s="1597"/>
      <c r="EY56" s="1597"/>
      <c r="EZ56" s="1597"/>
      <c r="FA56" s="1597"/>
      <c r="FB56" s="1597"/>
      <c r="FC56" s="1597"/>
      <c r="FD56" s="159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404" t="s">
        <v>319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320</v>
      </c>
      <c r="AG57" s="1434"/>
      <c r="AH57" s="1434"/>
      <c r="AI57" s="1434"/>
      <c r="AJ57" s="1434"/>
      <c r="AK57" s="1434"/>
      <c r="AL57" s="1599"/>
      <c r="AM57" s="1597"/>
      <c r="AN57" s="1597"/>
      <c r="AO57" s="1597"/>
      <c r="AP57" s="1597"/>
      <c r="AQ57" s="1597"/>
      <c r="AR57" s="1597"/>
      <c r="AS57" s="1597"/>
      <c r="AT57" s="1597"/>
      <c r="AU57" s="1597"/>
      <c r="AV57" s="1597"/>
      <c r="AW57" s="1597"/>
      <c r="AX57" s="1597"/>
      <c r="AY57" s="1597"/>
      <c r="AZ57" s="1597"/>
      <c r="BA57" s="1597"/>
      <c r="BB57" s="1597"/>
      <c r="BC57" s="1597"/>
      <c r="BD57" s="1597"/>
      <c r="BE57" s="1597"/>
      <c r="BF57" s="1597"/>
      <c r="BG57" s="1597"/>
      <c r="BH57" s="1597"/>
      <c r="BI57" s="1597"/>
      <c r="BJ57" s="1597"/>
      <c r="BK57" s="1597"/>
      <c r="BL57" s="1597"/>
      <c r="BM57" s="1597"/>
      <c r="BN57" s="1597"/>
      <c r="BO57" s="1597"/>
      <c r="BP57" s="1597"/>
      <c r="BQ57" s="1597"/>
      <c r="BR57" s="1597"/>
      <c r="BS57" s="1597"/>
      <c r="BT57" s="1597"/>
      <c r="BU57" s="1597"/>
      <c r="BV57" s="1597"/>
      <c r="BW57" s="1597"/>
      <c r="BX57" s="1597"/>
      <c r="BY57" s="1597"/>
      <c r="BZ57" s="1597"/>
      <c r="CA57" s="1597"/>
      <c r="CB57" s="1597"/>
      <c r="CC57" s="1597"/>
      <c r="CD57" s="1597"/>
      <c r="CE57" s="1597"/>
      <c r="CF57" s="1597"/>
      <c r="CG57" s="1597"/>
      <c r="CH57" s="1597"/>
      <c r="CI57" s="1597"/>
      <c r="CJ57" s="1597"/>
      <c r="CK57" s="1597"/>
      <c r="CL57" s="1597"/>
      <c r="CM57" s="1597"/>
      <c r="CN57" s="1597"/>
      <c r="CO57" s="1597"/>
      <c r="CP57" s="1597"/>
      <c r="CQ57" s="1597"/>
      <c r="CR57" s="1597"/>
      <c r="CS57" s="1597"/>
      <c r="CT57" s="1597"/>
      <c r="CU57" s="1597"/>
      <c r="CV57" s="1597"/>
      <c r="CW57" s="1597"/>
      <c r="CX57" s="1597"/>
      <c r="CY57" s="1597"/>
      <c r="CZ57" s="1597"/>
      <c r="DA57" s="1597"/>
      <c r="DB57" s="1597"/>
      <c r="DC57" s="1597"/>
      <c r="DD57" s="1597"/>
      <c r="DE57" s="1597"/>
      <c r="DF57" s="1597"/>
      <c r="DG57" s="1597"/>
      <c r="DH57" s="1597"/>
      <c r="DI57" s="1597"/>
      <c r="DJ57" s="1597"/>
      <c r="DK57" s="1597"/>
      <c r="DL57" s="1597"/>
      <c r="DM57" s="1597"/>
      <c r="DN57" s="1597"/>
      <c r="DO57" s="1597"/>
      <c r="DP57" s="1597"/>
      <c r="DQ57" s="1597"/>
      <c r="DR57" s="1597"/>
      <c r="DS57" s="1597"/>
      <c r="DT57" s="1597"/>
      <c r="DU57" s="1597"/>
      <c r="DV57" s="1597"/>
      <c r="DW57" s="1597"/>
      <c r="DX57" s="1597"/>
      <c r="DY57" s="1597"/>
      <c r="DZ57" s="1597"/>
      <c r="EA57" s="1597"/>
      <c r="EB57" s="1597"/>
      <c r="EC57" s="1597"/>
      <c r="ED57" s="1597"/>
      <c r="EE57" s="1597"/>
      <c r="EF57" s="1597"/>
      <c r="EG57" s="1597"/>
      <c r="EH57" s="1597"/>
      <c r="EI57" s="1597"/>
      <c r="EJ57" s="1597"/>
      <c r="EK57" s="1597"/>
      <c r="EL57" s="1597"/>
      <c r="EM57" s="1597"/>
      <c r="EN57" s="1597"/>
      <c r="EO57" s="1597"/>
      <c r="EP57" s="1597"/>
      <c r="EQ57" s="1597"/>
      <c r="ER57" s="1597"/>
      <c r="ES57" s="1597"/>
      <c r="ET57" s="1597"/>
      <c r="EU57" s="1597"/>
      <c r="EV57" s="1597"/>
      <c r="EW57" s="1597"/>
      <c r="EX57" s="1597"/>
      <c r="EY57" s="1597"/>
      <c r="EZ57" s="1597"/>
      <c r="FA57" s="1597"/>
      <c r="FB57" s="1597"/>
      <c r="FC57" s="1597"/>
      <c r="FD57" s="159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404" t="s">
        <v>321</v>
      </c>
      <c r="B58" s="1405"/>
      <c r="C58" s="1405"/>
      <c r="D58" s="1405"/>
      <c r="E58" s="1405"/>
      <c r="F58" s="1405"/>
      <c r="G58" s="1405"/>
      <c r="H58" s="1405"/>
      <c r="I58" s="1405"/>
      <c r="J58" s="1405"/>
      <c r="K58" s="1405"/>
      <c r="L58" s="1405"/>
      <c r="M58" s="1405"/>
      <c r="N58" s="1405"/>
      <c r="O58" s="1405"/>
      <c r="P58" s="1405"/>
      <c r="Q58" s="1405"/>
      <c r="R58" s="1405"/>
      <c r="S58" s="1405"/>
      <c r="T58" s="1405"/>
      <c r="U58" s="1405"/>
      <c r="V58" s="1405"/>
      <c r="W58" s="1405"/>
      <c r="X58" s="1405"/>
      <c r="Y58" s="1405"/>
      <c r="Z58" s="1405"/>
      <c r="AA58" s="1405"/>
      <c r="AB58" s="1405"/>
      <c r="AC58" s="1405"/>
      <c r="AD58" s="1405"/>
      <c r="AE58" s="1406"/>
      <c r="AF58" s="1433" t="s">
        <v>322</v>
      </c>
      <c r="AG58" s="1434"/>
      <c r="AH58" s="1434"/>
      <c r="AI58" s="1434"/>
      <c r="AJ58" s="1434"/>
      <c r="AK58" s="1434"/>
      <c r="AL58" s="1429">
        <f>ET58</f>
        <v>0</v>
      </c>
      <c r="AM58" s="1430"/>
      <c r="AN58" s="1430"/>
      <c r="AO58" s="1430"/>
      <c r="AP58" s="1430"/>
      <c r="AQ58" s="1430"/>
      <c r="AR58" s="1430"/>
      <c r="AS58" s="1430"/>
      <c r="AT58" s="1430"/>
      <c r="AU58" s="1430"/>
      <c r="AV58" s="1597"/>
      <c r="AW58" s="1597"/>
      <c r="AX58" s="1597"/>
      <c r="AY58" s="1597"/>
      <c r="AZ58" s="1597"/>
      <c r="BA58" s="1597"/>
      <c r="BB58" s="1597"/>
      <c r="BC58" s="1597"/>
      <c r="BD58" s="1597"/>
      <c r="BE58" s="1597"/>
      <c r="BF58" s="1597"/>
      <c r="BG58" s="1597"/>
      <c r="BH58" s="1597"/>
      <c r="BI58" s="1597"/>
      <c r="BJ58" s="1597"/>
      <c r="BK58" s="1597"/>
      <c r="BL58" s="1597"/>
      <c r="BM58" s="1597"/>
      <c r="BN58" s="1597"/>
      <c r="BO58" s="1597"/>
      <c r="BP58" s="1597"/>
      <c r="BQ58" s="1597"/>
      <c r="BR58" s="1597"/>
      <c r="BS58" s="1597"/>
      <c r="BT58" s="1597"/>
      <c r="BU58" s="1597"/>
      <c r="BV58" s="1597"/>
      <c r="BW58" s="1597"/>
      <c r="BX58" s="1597"/>
      <c r="BY58" s="1597"/>
      <c r="BZ58" s="1597"/>
      <c r="CA58" s="1597"/>
      <c r="CB58" s="1597"/>
      <c r="CC58" s="1597"/>
      <c r="CD58" s="1597"/>
      <c r="CE58" s="1597"/>
      <c r="CF58" s="1597"/>
      <c r="CG58" s="1597"/>
      <c r="CH58" s="1597"/>
      <c r="CI58" s="1597"/>
      <c r="CJ58" s="1597"/>
      <c r="CK58" s="1597"/>
      <c r="CL58" s="1597"/>
      <c r="CM58" s="1597"/>
      <c r="CN58" s="1597"/>
      <c r="CO58" s="1597"/>
      <c r="CP58" s="1597"/>
      <c r="CQ58" s="1597"/>
      <c r="CR58" s="1597"/>
      <c r="CS58" s="1597"/>
      <c r="CT58" s="1597"/>
      <c r="CU58" s="1597"/>
      <c r="CV58" s="1597"/>
      <c r="CW58" s="1597"/>
      <c r="CX58" s="1597"/>
      <c r="CY58" s="1597"/>
      <c r="CZ58" s="1597"/>
      <c r="DA58" s="1597"/>
      <c r="DB58" s="1597"/>
      <c r="DC58" s="1597"/>
      <c r="DD58" s="1597"/>
      <c r="DE58" s="1597"/>
      <c r="DF58" s="1597"/>
      <c r="DG58" s="1597"/>
      <c r="DH58" s="1597"/>
      <c r="DI58" s="1597"/>
      <c r="DJ58" s="1597"/>
      <c r="DK58" s="1597"/>
      <c r="DL58" s="1597"/>
      <c r="DM58" s="1597"/>
      <c r="DN58" s="1597"/>
      <c r="DO58" s="1597"/>
      <c r="DP58" s="1597"/>
      <c r="DQ58" s="1597"/>
      <c r="DR58" s="1597"/>
      <c r="DS58" s="1597"/>
      <c r="DT58" s="1597"/>
      <c r="DU58" s="1597"/>
      <c r="DV58" s="1597"/>
      <c r="DW58" s="1597"/>
      <c r="DX58" s="1597"/>
      <c r="DY58" s="1597"/>
      <c r="DZ58" s="1597"/>
      <c r="EA58" s="1597"/>
      <c r="EB58" s="1597"/>
      <c r="EC58" s="1597"/>
      <c r="ED58" s="1597"/>
      <c r="EE58" s="1597"/>
      <c r="EF58" s="1597"/>
      <c r="EG58" s="1597"/>
      <c r="EH58" s="1597"/>
      <c r="EI58" s="1597"/>
      <c r="EJ58" s="1597"/>
      <c r="EK58" s="1597"/>
      <c r="EL58" s="1597"/>
      <c r="EM58" s="1597"/>
      <c r="EN58" s="1597"/>
      <c r="EO58" s="1597"/>
      <c r="EP58" s="1597"/>
      <c r="EQ58" s="1597"/>
      <c r="ER58" s="1597"/>
      <c r="ES58" s="1597"/>
      <c r="ET58" s="14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30"/>
      <c r="EV58" s="1430"/>
      <c r="EW58" s="1430"/>
      <c r="EX58" s="1430"/>
      <c r="EY58" s="1430"/>
      <c r="EZ58" s="1430"/>
      <c r="FA58" s="1430"/>
      <c r="FB58" s="1430"/>
      <c r="FC58" s="1430"/>
      <c r="FD58" s="1431"/>
      <c r="FE58" s="549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75" t="s">
        <v>263</v>
      </c>
      <c r="B59" s="1476"/>
      <c r="C59" s="1476"/>
      <c r="D59" s="1476"/>
      <c r="E59" s="1476"/>
      <c r="F59" s="1476"/>
      <c r="G59" s="1476"/>
      <c r="H59" s="1476"/>
      <c r="I59" s="1476"/>
      <c r="J59" s="1476"/>
      <c r="K59" s="1476"/>
      <c r="L59" s="1476"/>
      <c r="M59" s="1476"/>
      <c r="N59" s="1476"/>
      <c r="O59" s="1476"/>
      <c r="P59" s="1476"/>
      <c r="Q59" s="1476"/>
      <c r="R59" s="1476"/>
      <c r="S59" s="1476"/>
      <c r="T59" s="1476"/>
      <c r="U59" s="1476"/>
      <c r="V59" s="1476"/>
      <c r="W59" s="1476"/>
      <c r="X59" s="1476"/>
      <c r="Y59" s="1476"/>
      <c r="Z59" s="1476"/>
      <c r="AA59" s="1476"/>
      <c r="AB59" s="1476"/>
      <c r="AC59" s="1476"/>
      <c r="AD59" s="1476"/>
      <c r="AE59" s="1477"/>
      <c r="AF59" s="1444" t="s">
        <v>323</v>
      </c>
      <c r="AG59" s="1445"/>
      <c r="AH59" s="1445"/>
      <c r="AI59" s="1445"/>
      <c r="AJ59" s="1445"/>
      <c r="AK59" s="1445"/>
      <c r="AL59" s="1599"/>
      <c r="AM59" s="1597"/>
      <c r="AN59" s="1597"/>
      <c r="AO59" s="1597"/>
      <c r="AP59" s="1597"/>
      <c r="AQ59" s="1597"/>
      <c r="AR59" s="1597"/>
      <c r="AS59" s="1597"/>
      <c r="AT59" s="1597"/>
      <c r="AU59" s="1401"/>
      <c r="AV59" s="1447"/>
      <c r="AW59" s="1448"/>
      <c r="AX59" s="1448"/>
      <c r="AY59" s="1448"/>
      <c r="AZ59" s="1448"/>
      <c r="BA59" s="1448"/>
      <c r="BB59" s="1448"/>
      <c r="BC59" s="1448"/>
      <c r="BD59" s="1448"/>
      <c r="BE59" s="1448"/>
      <c r="BF59" s="1448"/>
      <c r="BG59" s="1448"/>
      <c r="BH59" s="1448"/>
      <c r="BI59" s="1448"/>
      <c r="BJ59" s="1448"/>
      <c r="BK59" s="1448"/>
      <c r="BL59" s="1448"/>
      <c r="BM59" s="1448"/>
      <c r="BN59" s="1448"/>
      <c r="BO59" s="1448"/>
      <c r="BP59" s="1448"/>
      <c r="BQ59" s="1449"/>
      <c r="BR59" s="1447"/>
      <c r="BS59" s="1448"/>
      <c r="BT59" s="1448"/>
      <c r="BU59" s="1448"/>
      <c r="BV59" s="1448"/>
      <c r="BW59" s="1448"/>
      <c r="BX59" s="1448"/>
      <c r="BY59" s="1448"/>
      <c r="BZ59" s="1448"/>
      <c r="CA59" s="1448"/>
      <c r="CB59" s="1448"/>
      <c r="CC59" s="1448"/>
      <c r="CD59" s="1448"/>
      <c r="CE59" s="1448"/>
      <c r="CF59" s="1448"/>
      <c r="CG59" s="1448"/>
      <c r="CH59" s="1448"/>
      <c r="CI59" s="1448"/>
      <c r="CJ59" s="1449"/>
      <c r="CK59" s="1447"/>
      <c r="CL59" s="1448"/>
      <c r="CM59" s="1448"/>
      <c r="CN59" s="1448"/>
      <c r="CO59" s="1448"/>
      <c r="CP59" s="1448"/>
      <c r="CQ59" s="1448"/>
      <c r="CR59" s="1448"/>
      <c r="CS59" s="1448"/>
      <c r="CT59" s="1448"/>
      <c r="CU59" s="1448"/>
      <c r="CV59" s="1448"/>
      <c r="CW59" s="1448"/>
      <c r="CX59" s="1448"/>
      <c r="CY59" s="1448"/>
      <c r="CZ59" s="1448"/>
      <c r="DA59" s="1448"/>
      <c r="DB59" s="1448"/>
      <c r="DC59" s="1448"/>
      <c r="DD59" s="1448"/>
      <c r="DE59" s="1448"/>
      <c r="DF59" s="1448"/>
      <c r="DG59" s="1448"/>
      <c r="DH59" s="1448"/>
      <c r="DI59" s="1448"/>
      <c r="DJ59" s="1449"/>
      <c r="DK59" s="1447"/>
      <c r="DL59" s="1448"/>
      <c r="DM59" s="1448"/>
      <c r="DN59" s="1448"/>
      <c r="DO59" s="1448"/>
      <c r="DP59" s="1448"/>
      <c r="DQ59" s="1448"/>
      <c r="DR59" s="1448"/>
      <c r="DS59" s="1448"/>
      <c r="DT59" s="1448"/>
      <c r="DU59" s="1448"/>
      <c r="DV59" s="1448"/>
      <c r="DW59" s="1448"/>
      <c r="DX59" s="1448"/>
      <c r="DY59" s="1448"/>
      <c r="DZ59" s="1448"/>
      <c r="EA59" s="1448"/>
      <c r="EB59" s="1448"/>
      <c r="EC59" s="1448"/>
      <c r="ED59" s="1448"/>
      <c r="EE59" s="1448"/>
      <c r="EF59" s="1448"/>
      <c r="EG59" s="1448"/>
      <c r="EH59" s="1448"/>
      <c r="EI59" s="1448"/>
      <c r="EJ59" s="1448"/>
      <c r="EK59" s="1448"/>
      <c r="EL59" s="1448"/>
      <c r="EM59" s="1448"/>
      <c r="EN59" s="1448"/>
      <c r="EO59" s="1448"/>
      <c r="EP59" s="1448"/>
      <c r="EQ59" s="1448"/>
      <c r="ER59" s="1448"/>
      <c r="ES59" s="1449"/>
      <c r="ET59" s="1447"/>
      <c r="EU59" s="1448"/>
      <c r="EV59" s="1448"/>
      <c r="EW59" s="1448"/>
      <c r="EX59" s="1448"/>
      <c r="EY59" s="1448"/>
      <c r="EZ59" s="1448"/>
      <c r="FA59" s="1448"/>
      <c r="FB59" s="1448"/>
      <c r="FC59" s="1448"/>
      <c r="FD59" s="1449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69" t="s">
        <v>324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  <c r="L60" s="1470"/>
      <c r="M60" s="1470"/>
      <c r="N60" s="1470"/>
      <c r="O60" s="1470"/>
      <c r="P60" s="1470"/>
      <c r="Q60" s="1470"/>
      <c r="R60" s="1470"/>
      <c r="S60" s="1470"/>
      <c r="T60" s="1470"/>
      <c r="U60" s="1470"/>
      <c r="V60" s="1470"/>
      <c r="W60" s="1470"/>
      <c r="X60" s="1470"/>
      <c r="Y60" s="1470"/>
      <c r="Z60" s="1470"/>
      <c r="AA60" s="1470"/>
      <c r="AB60" s="1470"/>
      <c r="AC60" s="1470"/>
      <c r="AD60" s="1470"/>
      <c r="AE60" s="1471"/>
      <c r="AF60" s="1478"/>
      <c r="AG60" s="1479"/>
      <c r="AH60" s="1479"/>
      <c r="AI60" s="1479"/>
      <c r="AJ60" s="1479"/>
      <c r="AK60" s="1479"/>
      <c r="AL60" s="1599"/>
      <c r="AM60" s="1597"/>
      <c r="AN60" s="1597"/>
      <c r="AO60" s="1597"/>
      <c r="AP60" s="1597"/>
      <c r="AQ60" s="1597"/>
      <c r="AR60" s="1597"/>
      <c r="AS60" s="1597"/>
      <c r="AT60" s="1597"/>
      <c r="AU60" s="1401"/>
      <c r="AV60" s="1466"/>
      <c r="AW60" s="1467"/>
      <c r="AX60" s="1467"/>
      <c r="AY60" s="1467"/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68"/>
      <c r="BR60" s="1466"/>
      <c r="BS60" s="1467"/>
      <c r="BT60" s="1467"/>
      <c r="BU60" s="1467"/>
      <c r="BV60" s="1467"/>
      <c r="BW60" s="1467"/>
      <c r="BX60" s="1467"/>
      <c r="BY60" s="1467"/>
      <c r="BZ60" s="1467"/>
      <c r="CA60" s="1467"/>
      <c r="CB60" s="1467"/>
      <c r="CC60" s="1467"/>
      <c r="CD60" s="1467"/>
      <c r="CE60" s="1467"/>
      <c r="CF60" s="1467"/>
      <c r="CG60" s="1467"/>
      <c r="CH60" s="1467"/>
      <c r="CI60" s="1467"/>
      <c r="CJ60" s="1468"/>
      <c r="CK60" s="1466"/>
      <c r="CL60" s="1467"/>
      <c r="CM60" s="1467"/>
      <c r="CN60" s="1467"/>
      <c r="CO60" s="1467"/>
      <c r="CP60" s="1467"/>
      <c r="CQ60" s="1467"/>
      <c r="CR60" s="1467"/>
      <c r="CS60" s="1467"/>
      <c r="CT60" s="1467"/>
      <c r="CU60" s="1467"/>
      <c r="CV60" s="1467"/>
      <c r="CW60" s="1467"/>
      <c r="CX60" s="1467"/>
      <c r="CY60" s="1467"/>
      <c r="CZ60" s="1467"/>
      <c r="DA60" s="1467"/>
      <c r="DB60" s="1467"/>
      <c r="DC60" s="1467"/>
      <c r="DD60" s="1467"/>
      <c r="DE60" s="1467"/>
      <c r="DF60" s="1467"/>
      <c r="DG60" s="1467"/>
      <c r="DH60" s="1467"/>
      <c r="DI60" s="1467"/>
      <c r="DJ60" s="1468"/>
      <c r="DK60" s="1466"/>
      <c r="DL60" s="1467"/>
      <c r="DM60" s="1467"/>
      <c r="DN60" s="1467"/>
      <c r="DO60" s="1467"/>
      <c r="DP60" s="1467"/>
      <c r="DQ60" s="1467"/>
      <c r="DR60" s="1467"/>
      <c r="DS60" s="1467"/>
      <c r="DT60" s="1467"/>
      <c r="DU60" s="1467"/>
      <c r="DV60" s="1467"/>
      <c r="DW60" s="1467"/>
      <c r="DX60" s="1467"/>
      <c r="DY60" s="1467"/>
      <c r="DZ60" s="1467"/>
      <c r="EA60" s="1467"/>
      <c r="EB60" s="1467"/>
      <c r="EC60" s="1467"/>
      <c r="ED60" s="1467"/>
      <c r="EE60" s="1467"/>
      <c r="EF60" s="1467"/>
      <c r="EG60" s="1467"/>
      <c r="EH60" s="1467"/>
      <c r="EI60" s="1467"/>
      <c r="EJ60" s="1467"/>
      <c r="EK60" s="1467"/>
      <c r="EL60" s="1467"/>
      <c r="EM60" s="1467"/>
      <c r="EN60" s="1467"/>
      <c r="EO60" s="1467"/>
      <c r="EP60" s="1467"/>
      <c r="EQ60" s="1467"/>
      <c r="ER60" s="1467"/>
      <c r="ES60" s="1468"/>
      <c r="ET60" s="1466"/>
      <c r="EU60" s="1467"/>
      <c r="EV60" s="1467"/>
      <c r="EW60" s="1467"/>
      <c r="EX60" s="1467"/>
      <c r="EY60" s="1467"/>
      <c r="EZ60" s="1467"/>
      <c r="FA60" s="1467"/>
      <c r="FB60" s="1467"/>
      <c r="FC60" s="1467"/>
      <c r="FD60" s="1468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404" t="s">
        <v>325</v>
      </c>
      <c r="B61" s="1405"/>
      <c r="C61" s="1405"/>
      <c r="D61" s="1405"/>
      <c r="E61" s="1405"/>
      <c r="F61" s="1405"/>
      <c r="G61" s="1405"/>
      <c r="H61" s="1405"/>
      <c r="I61" s="1405"/>
      <c r="J61" s="1405"/>
      <c r="K61" s="1405"/>
      <c r="L61" s="1405"/>
      <c r="M61" s="1405"/>
      <c r="N61" s="1405"/>
      <c r="O61" s="1405"/>
      <c r="P61" s="1405"/>
      <c r="Q61" s="1405"/>
      <c r="R61" s="1405"/>
      <c r="S61" s="1405"/>
      <c r="T61" s="1405"/>
      <c r="U61" s="1405"/>
      <c r="V61" s="1405"/>
      <c r="W61" s="1405"/>
      <c r="X61" s="1405"/>
      <c r="Y61" s="1405"/>
      <c r="Z61" s="1405"/>
      <c r="AA61" s="1405"/>
      <c r="AB61" s="1405"/>
      <c r="AC61" s="1405"/>
      <c r="AD61" s="1405"/>
      <c r="AE61" s="1406"/>
      <c r="AF61" s="1436" t="s">
        <v>326</v>
      </c>
      <c r="AG61" s="1437"/>
      <c r="AH61" s="1437"/>
      <c r="AI61" s="1437"/>
      <c r="AJ61" s="1437"/>
      <c r="AK61" s="1437"/>
      <c r="AL61" s="1601"/>
      <c r="AM61" s="1602"/>
      <c r="AN61" s="1602"/>
      <c r="AO61" s="1602"/>
      <c r="AP61" s="1602"/>
      <c r="AQ61" s="1602"/>
      <c r="AR61" s="1602"/>
      <c r="AS61" s="1602"/>
      <c r="AT61" s="1602"/>
      <c r="AU61" s="1602"/>
      <c r="AV61" s="1600"/>
      <c r="AW61" s="1600"/>
      <c r="AX61" s="1600"/>
      <c r="AY61" s="1600"/>
      <c r="AZ61" s="1600"/>
      <c r="BA61" s="1600"/>
      <c r="BB61" s="1600"/>
      <c r="BC61" s="1600"/>
      <c r="BD61" s="1600"/>
      <c r="BE61" s="1600"/>
      <c r="BF61" s="1600"/>
      <c r="BG61" s="1600"/>
      <c r="BH61" s="1600"/>
      <c r="BI61" s="1600"/>
      <c r="BJ61" s="1600"/>
      <c r="BK61" s="1600"/>
      <c r="BL61" s="1600"/>
      <c r="BM61" s="1600"/>
      <c r="BN61" s="1600"/>
      <c r="BO61" s="1600"/>
      <c r="BP61" s="1600"/>
      <c r="BQ61" s="1600"/>
      <c r="BR61" s="1600"/>
      <c r="BS61" s="1600"/>
      <c r="BT61" s="1600"/>
      <c r="BU61" s="1600"/>
      <c r="BV61" s="1600"/>
      <c r="BW61" s="1600"/>
      <c r="BX61" s="1600"/>
      <c r="BY61" s="1600"/>
      <c r="BZ61" s="1600"/>
      <c r="CA61" s="1600"/>
      <c r="CB61" s="1600"/>
      <c r="CC61" s="1600"/>
      <c r="CD61" s="1600"/>
      <c r="CE61" s="1600"/>
      <c r="CF61" s="1600"/>
      <c r="CG61" s="1600"/>
      <c r="CH61" s="1600"/>
      <c r="CI61" s="1600"/>
      <c r="CJ61" s="1600"/>
      <c r="CK61" s="1600"/>
      <c r="CL61" s="1600"/>
      <c r="CM61" s="1600"/>
      <c r="CN61" s="1600"/>
      <c r="CO61" s="1600"/>
      <c r="CP61" s="1600"/>
      <c r="CQ61" s="1600"/>
      <c r="CR61" s="1600"/>
      <c r="CS61" s="1600"/>
      <c r="CT61" s="1600"/>
      <c r="CU61" s="1600"/>
      <c r="CV61" s="1600"/>
      <c r="CW61" s="1600"/>
      <c r="CX61" s="1600"/>
      <c r="CY61" s="1600"/>
      <c r="CZ61" s="1600"/>
      <c r="DA61" s="1600"/>
      <c r="DB61" s="1600"/>
      <c r="DC61" s="1600"/>
      <c r="DD61" s="1600"/>
      <c r="DE61" s="1600"/>
      <c r="DF61" s="1600"/>
      <c r="DG61" s="1600"/>
      <c r="DH61" s="1600"/>
      <c r="DI61" s="1600"/>
      <c r="DJ61" s="1600"/>
      <c r="DK61" s="1600"/>
      <c r="DL61" s="1600"/>
      <c r="DM61" s="1600"/>
      <c r="DN61" s="1600"/>
      <c r="DO61" s="1600"/>
      <c r="DP61" s="1600"/>
      <c r="DQ61" s="1600"/>
      <c r="DR61" s="1600"/>
      <c r="DS61" s="1600"/>
      <c r="DT61" s="1600"/>
      <c r="DU61" s="1600"/>
      <c r="DV61" s="1600"/>
      <c r="DW61" s="1600"/>
      <c r="DX61" s="1600"/>
      <c r="DY61" s="1600"/>
      <c r="DZ61" s="1600"/>
      <c r="EA61" s="1600"/>
      <c r="EB61" s="1600"/>
      <c r="EC61" s="1600"/>
      <c r="ED61" s="1600"/>
      <c r="EE61" s="1600"/>
      <c r="EF61" s="1600"/>
      <c r="EG61" s="1600"/>
      <c r="EH61" s="1600"/>
      <c r="EI61" s="1600"/>
      <c r="EJ61" s="1600"/>
      <c r="EK61" s="1600"/>
      <c r="EL61" s="1600"/>
      <c r="EM61" s="1600"/>
      <c r="EN61" s="1600"/>
      <c r="EO61" s="1600"/>
      <c r="EP61" s="1600"/>
      <c r="EQ61" s="1600"/>
      <c r="ER61" s="1600"/>
      <c r="ES61" s="1600"/>
      <c r="ET61" s="1600"/>
      <c r="EU61" s="1600"/>
      <c r="EV61" s="1600"/>
      <c r="EW61" s="1600"/>
      <c r="EX61" s="1600"/>
      <c r="EY61" s="1600"/>
      <c r="EZ61" s="1600"/>
      <c r="FA61" s="1600"/>
      <c r="FB61" s="1600"/>
      <c r="FC61" s="1600"/>
      <c r="FD61" s="1600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10" t="s">
        <v>197</v>
      </c>
      <c r="B65" s="1411"/>
      <c r="C65" s="1411"/>
      <c r="D65" s="1411"/>
      <c r="E65" s="1411"/>
      <c r="F65" s="1411"/>
      <c r="G65" s="1411"/>
      <c r="H65" s="1411"/>
      <c r="I65" s="1411"/>
      <c r="J65" s="1411"/>
      <c r="K65" s="1411"/>
      <c r="L65" s="1411"/>
      <c r="M65" s="1411"/>
      <c r="N65" s="1411"/>
      <c r="O65" s="1411"/>
      <c r="P65" s="1411"/>
      <c r="Q65" s="1411"/>
      <c r="R65" s="1411"/>
      <c r="S65" s="1411"/>
      <c r="T65" s="1411"/>
      <c r="U65" s="1411"/>
      <c r="V65" s="1411"/>
      <c r="W65" s="1411"/>
      <c r="X65" s="1411"/>
      <c r="Y65" s="1411"/>
      <c r="Z65" s="1411"/>
      <c r="AA65" s="1411"/>
      <c r="AB65" s="1411"/>
      <c r="AC65" s="1411"/>
      <c r="AD65" s="1411"/>
      <c r="AE65" s="1412"/>
      <c r="AF65" s="1410" t="s">
        <v>288</v>
      </c>
      <c r="AG65" s="1411"/>
      <c r="AH65" s="1411"/>
      <c r="AI65" s="1411"/>
      <c r="AJ65" s="1411"/>
      <c r="AK65" s="1412"/>
      <c r="AL65" s="1410" t="s">
        <v>304</v>
      </c>
      <c r="AM65" s="1411"/>
      <c r="AN65" s="1411"/>
      <c r="AO65" s="1411"/>
      <c r="AP65" s="1411"/>
      <c r="AQ65" s="1411"/>
      <c r="AR65" s="1411"/>
      <c r="AS65" s="1411"/>
      <c r="AT65" s="1411"/>
      <c r="AU65" s="1412"/>
      <c r="AV65" s="1419" t="s">
        <v>305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0"/>
      <c r="DA65" s="1420"/>
      <c r="DB65" s="1420"/>
      <c r="DC65" s="1420"/>
      <c r="DD65" s="1420"/>
      <c r="DE65" s="1420"/>
      <c r="DF65" s="1420"/>
      <c r="DG65" s="1420"/>
      <c r="DH65" s="1420"/>
      <c r="DI65" s="1420"/>
      <c r="DJ65" s="1420"/>
      <c r="DK65" s="1420"/>
      <c r="DL65" s="1420"/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0"/>
      <c r="ET65" s="1420"/>
      <c r="EU65" s="1420"/>
      <c r="EV65" s="1420"/>
      <c r="EW65" s="1420"/>
      <c r="EX65" s="1420"/>
      <c r="EY65" s="1420"/>
      <c r="EZ65" s="1420"/>
      <c r="FA65" s="1420"/>
      <c r="FB65" s="1420"/>
      <c r="FC65" s="1420"/>
      <c r="FD65" s="1421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592" t="s">
        <v>307</v>
      </c>
      <c r="AW66" s="1592"/>
      <c r="AX66" s="1592"/>
      <c r="AY66" s="1592"/>
      <c r="AZ66" s="1592"/>
      <c r="BA66" s="1592"/>
      <c r="BB66" s="1592"/>
      <c r="BC66" s="1592"/>
      <c r="BD66" s="1592"/>
      <c r="BE66" s="1592"/>
      <c r="BF66" s="1592"/>
      <c r="BG66" s="1592"/>
      <c r="BH66" s="1592"/>
      <c r="BI66" s="1592"/>
      <c r="BJ66" s="1592"/>
      <c r="BK66" s="1592"/>
      <c r="BL66" s="1592"/>
      <c r="BM66" s="1592"/>
      <c r="BN66" s="1592"/>
      <c r="BO66" s="1592"/>
      <c r="BP66" s="1592"/>
      <c r="BQ66" s="1592"/>
      <c r="BR66" s="1592" t="s">
        <v>475</v>
      </c>
      <c r="BS66" s="1592"/>
      <c r="BT66" s="1592"/>
      <c r="BU66" s="1592"/>
      <c r="BV66" s="1592"/>
      <c r="BW66" s="1592"/>
      <c r="BX66" s="1592"/>
      <c r="BY66" s="1592"/>
      <c r="BZ66" s="1592"/>
      <c r="CA66" s="1592"/>
      <c r="CB66" s="1592"/>
      <c r="CC66" s="1592"/>
      <c r="CD66" s="1592"/>
      <c r="CE66" s="1592"/>
      <c r="CF66" s="1592"/>
      <c r="CG66" s="1592"/>
      <c r="CH66" s="1592"/>
      <c r="CI66" s="1592"/>
      <c r="CJ66" s="1592"/>
      <c r="CK66" s="1592"/>
      <c r="CL66" s="1592"/>
      <c r="CM66" s="1592"/>
      <c r="CN66" s="1592"/>
      <c r="CO66" s="1592"/>
      <c r="CP66" s="1592"/>
      <c r="CQ66" s="1592"/>
      <c r="CR66" s="1592"/>
      <c r="CS66" s="1592"/>
      <c r="CT66" s="1592"/>
      <c r="CU66" s="1592"/>
      <c r="CV66" s="1592"/>
      <c r="CW66" s="1592"/>
      <c r="CX66" s="1592"/>
      <c r="CY66" s="1592"/>
      <c r="CZ66" s="1592"/>
      <c r="DA66" s="1592"/>
      <c r="DB66" s="1592"/>
      <c r="DC66" s="1592"/>
      <c r="DD66" s="1592"/>
      <c r="DE66" s="1592"/>
      <c r="DF66" s="1592"/>
      <c r="DG66" s="1592"/>
      <c r="DH66" s="1592"/>
      <c r="DI66" s="1592"/>
      <c r="DJ66" s="1592"/>
      <c r="DK66" s="1592"/>
      <c r="DL66" s="1592"/>
      <c r="DM66" s="1592"/>
      <c r="DN66" s="1592"/>
      <c r="DO66" s="1592"/>
      <c r="DP66" s="1592"/>
      <c r="DQ66" s="1592"/>
      <c r="DR66" s="1592"/>
      <c r="DS66" s="1592"/>
      <c r="DT66" s="1592"/>
      <c r="DU66" s="1592"/>
      <c r="DV66" s="1592"/>
      <c r="DW66" s="1592"/>
      <c r="DX66" s="1592" t="s">
        <v>479</v>
      </c>
      <c r="DY66" s="1592"/>
      <c r="DZ66" s="1592"/>
      <c r="EA66" s="1592"/>
      <c r="EB66" s="1592"/>
      <c r="EC66" s="1592"/>
      <c r="ED66" s="1592"/>
      <c r="EE66" s="1592"/>
      <c r="EF66" s="1592"/>
      <c r="EG66" s="1592"/>
      <c r="EH66" s="1592"/>
      <c r="EI66" s="1592"/>
      <c r="EJ66" s="1592"/>
      <c r="EK66" s="1592"/>
      <c r="EL66" s="1592"/>
      <c r="EM66" s="1592"/>
      <c r="EN66" s="1592"/>
      <c r="EO66" s="1592"/>
      <c r="EP66" s="1592"/>
      <c r="EQ66" s="1592"/>
      <c r="ER66" s="1592"/>
      <c r="ES66" s="1592"/>
      <c r="ET66" s="1592" t="s">
        <v>479</v>
      </c>
      <c r="EU66" s="1592"/>
      <c r="EV66" s="1592"/>
      <c r="EW66" s="1592"/>
      <c r="EX66" s="1592"/>
      <c r="EY66" s="1592"/>
      <c r="EZ66" s="1592"/>
      <c r="FA66" s="1592"/>
      <c r="FB66" s="1592"/>
      <c r="FC66" s="1592"/>
      <c r="FD66" s="1592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13"/>
      <c r="B67" s="1414"/>
      <c r="C67" s="1414"/>
      <c r="D67" s="1414"/>
      <c r="E67" s="1414"/>
      <c r="F67" s="1414"/>
      <c r="G67" s="1414"/>
      <c r="H67" s="1414"/>
      <c r="I67" s="1414"/>
      <c r="J67" s="1414"/>
      <c r="K67" s="1414"/>
      <c r="L67" s="1414"/>
      <c r="M67" s="1414"/>
      <c r="N67" s="1414"/>
      <c r="O67" s="1414"/>
      <c r="P67" s="1414"/>
      <c r="Q67" s="1414"/>
      <c r="R67" s="1414"/>
      <c r="S67" s="1414"/>
      <c r="T67" s="1414"/>
      <c r="U67" s="1414"/>
      <c r="V67" s="1414"/>
      <c r="W67" s="1414"/>
      <c r="X67" s="1414"/>
      <c r="Y67" s="1414"/>
      <c r="Z67" s="1414"/>
      <c r="AA67" s="1414"/>
      <c r="AB67" s="1414"/>
      <c r="AC67" s="1414"/>
      <c r="AD67" s="1414"/>
      <c r="AE67" s="1415"/>
      <c r="AF67" s="1413"/>
      <c r="AG67" s="1414"/>
      <c r="AH67" s="1414"/>
      <c r="AI67" s="1414"/>
      <c r="AJ67" s="1414"/>
      <c r="AK67" s="1415"/>
      <c r="AL67" s="1413"/>
      <c r="AM67" s="1414"/>
      <c r="AN67" s="1414"/>
      <c r="AO67" s="1414"/>
      <c r="AP67" s="1414"/>
      <c r="AQ67" s="1414"/>
      <c r="AR67" s="1414"/>
      <c r="AS67" s="1414"/>
      <c r="AT67" s="1414"/>
      <c r="AU67" s="1415"/>
      <c r="AV67" s="1592"/>
      <c r="AW67" s="1592"/>
      <c r="AX67" s="1592"/>
      <c r="AY67" s="1592"/>
      <c r="AZ67" s="1592"/>
      <c r="BA67" s="1592"/>
      <c r="BB67" s="1592"/>
      <c r="BC67" s="1592"/>
      <c r="BD67" s="1592"/>
      <c r="BE67" s="1592"/>
      <c r="BF67" s="1592"/>
      <c r="BG67" s="1592"/>
      <c r="BH67" s="1592"/>
      <c r="BI67" s="1592"/>
      <c r="BJ67" s="1592"/>
      <c r="BK67" s="1592"/>
      <c r="BL67" s="1592"/>
      <c r="BM67" s="1592"/>
      <c r="BN67" s="1592"/>
      <c r="BO67" s="1592"/>
      <c r="BP67" s="1592"/>
      <c r="BQ67" s="1592"/>
      <c r="BR67" s="1592" t="s">
        <v>308</v>
      </c>
      <c r="BS67" s="1592"/>
      <c r="BT67" s="1592"/>
      <c r="BU67" s="1592"/>
      <c r="BV67" s="1592"/>
      <c r="BW67" s="1592"/>
      <c r="BX67" s="1592"/>
      <c r="BY67" s="1592"/>
      <c r="BZ67" s="1592"/>
      <c r="CA67" s="1592"/>
      <c r="CB67" s="1592"/>
      <c r="CC67" s="1592"/>
      <c r="CD67" s="1592"/>
      <c r="CE67" s="1592"/>
      <c r="CF67" s="1592"/>
      <c r="CG67" s="1592"/>
      <c r="CH67" s="1592"/>
      <c r="CI67" s="1592"/>
      <c r="CJ67" s="1592"/>
      <c r="CK67" s="1419" t="s">
        <v>309</v>
      </c>
      <c r="CL67" s="1420"/>
      <c r="CM67" s="1420"/>
      <c r="CN67" s="1420"/>
      <c r="CO67" s="1420"/>
      <c r="CP67" s="1420"/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0"/>
      <c r="DA67" s="1420"/>
      <c r="DB67" s="1420"/>
      <c r="DC67" s="1420"/>
      <c r="DD67" s="1420"/>
      <c r="DE67" s="1420"/>
      <c r="DF67" s="1420"/>
      <c r="DG67" s="1420"/>
      <c r="DH67" s="1420"/>
      <c r="DI67" s="1420"/>
      <c r="DJ67" s="1420"/>
      <c r="DK67" s="1420"/>
      <c r="DL67" s="1420"/>
      <c r="DM67" s="1420"/>
      <c r="DN67" s="1420"/>
      <c r="DO67" s="1420"/>
      <c r="DP67" s="1420"/>
      <c r="DQ67" s="1420"/>
      <c r="DR67" s="1420"/>
      <c r="DS67" s="1420"/>
      <c r="DT67" s="1420"/>
      <c r="DU67" s="1420"/>
      <c r="DV67" s="1420"/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0"/>
      <c r="EI67" s="1420"/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592"/>
      <c r="EU67" s="1592"/>
      <c r="EV67" s="1592"/>
      <c r="EW67" s="1592"/>
      <c r="EX67" s="1592"/>
      <c r="EY67" s="1592"/>
      <c r="EZ67" s="1592"/>
      <c r="FA67" s="1592"/>
      <c r="FB67" s="1592"/>
      <c r="FC67" s="1592"/>
      <c r="FD67" s="1592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16"/>
      <c r="B68" s="1417"/>
      <c r="C68" s="1417"/>
      <c r="D68" s="1417"/>
      <c r="E68" s="1417"/>
      <c r="F68" s="1417"/>
      <c r="G68" s="1417"/>
      <c r="H68" s="1417"/>
      <c r="I68" s="1417"/>
      <c r="J68" s="1417"/>
      <c r="K68" s="1417"/>
      <c r="L68" s="1417"/>
      <c r="M68" s="1417"/>
      <c r="N68" s="1417"/>
      <c r="O68" s="1417"/>
      <c r="P68" s="1417"/>
      <c r="Q68" s="1417"/>
      <c r="R68" s="1417"/>
      <c r="S68" s="1417"/>
      <c r="T68" s="1417"/>
      <c r="U68" s="1417"/>
      <c r="V68" s="1417"/>
      <c r="W68" s="1417"/>
      <c r="X68" s="1417"/>
      <c r="Y68" s="1417"/>
      <c r="Z68" s="1417"/>
      <c r="AA68" s="1417"/>
      <c r="AB68" s="1417"/>
      <c r="AC68" s="1417"/>
      <c r="AD68" s="1417"/>
      <c r="AE68" s="1418"/>
      <c r="AF68" s="1416"/>
      <c r="AG68" s="1417"/>
      <c r="AH68" s="1417"/>
      <c r="AI68" s="1417"/>
      <c r="AJ68" s="1417"/>
      <c r="AK68" s="1418"/>
      <c r="AL68" s="1416"/>
      <c r="AM68" s="1417"/>
      <c r="AN68" s="1417"/>
      <c r="AO68" s="1417"/>
      <c r="AP68" s="1417"/>
      <c r="AQ68" s="1417"/>
      <c r="AR68" s="1417"/>
      <c r="AS68" s="1417"/>
      <c r="AT68" s="1417"/>
      <c r="AU68" s="1418"/>
      <c r="AV68" s="1592"/>
      <c r="AW68" s="1592"/>
      <c r="AX68" s="1592"/>
      <c r="AY68" s="1592"/>
      <c r="AZ68" s="1592"/>
      <c r="BA68" s="1592"/>
      <c r="BB68" s="1592"/>
      <c r="BC68" s="1592"/>
      <c r="BD68" s="1592"/>
      <c r="BE68" s="1592"/>
      <c r="BF68" s="1592"/>
      <c r="BG68" s="1592"/>
      <c r="BH68" s="1592"/>
      <c r="BI68" s="1592"/>
      <c r="BJ68" s="1592"/>
      <c r="BK68" s="1592"/>
      <c r="BL68" s="1592"/>
      <c r="BM68" s="1592"/>
      <c r="BN68" s="1592"/>
      <c r="BO68" s="1592"/>
      <c r="BP68" s="1592"/>
      <c r="BQ68" s="1592"/>
      <c r="BR68" s="1592"/>
      <c r="BS68" s="1592"/>
      <c r="BT68" s="1592"/>
      <c r="BU68" s="1592"/>
      <c r="BV68" s="1592"/>
      <c r="BW68" s="1592"/>
      <c r="BX68" s="1592"/>
      <c r="BY68" s="1592"/>
      <c r="BZ68" s="1592"/>
      <c r="CA68" s="1592"/>
      <c r="CB68" s="1592"/>
      <c r="CC68" s="1592"/>
      <c r="CD68" s="1592"/>
      <c r="CE68" s="1592"/>
      <c r="CF68" s="1592"/>
      <c r="CG68" s="1592"/>
      <c r="CH68" s="1592"/>
      <c r="CI68" s="1592"/>
      <c r="CJ68" s="1592"/>
      <c r="CK68" s="1410" t="s">
        <v>478</v>
      </c>
      <c r="CL68" s="1411"/>
      <c r="CM68" s="1411"/>
      <c r="CN68" s="1411"/>
      <c r="CO68" s="1411"/>
      <c r="CP68" s="1411"/>
      <c r="CQ68" s="1411"/>
      <c r="CR68" s="1411"/>
      <c r="CS68" s="1411"/>
      <c r="CT68" s="1411"/>
      <c r="CU68" s="1411"/>
      <c r="CV68" s="1411"/>
      <c r="CW68" s="1411"/>
      <c r="CX68" s="1411"/>
      <c r="CY68" s="1411"/>
      <c r="CZ68" s="1411"/>
      <c r="DA68" s="1411"/>
      <c r="DB68" s="1411"/>
      <c r="DC68" s="1411"/>
      <c r="DD68" s="1411"/>
      <c r="DE68" s="1411"/>
      <c r="DF68" s="1411"/>
      <c r="DG68" s="1411"/>
      <c r="DH68" s="1411"/>
      <c r="DI68" s="1411"/>
      <c r="DJ68" s="1412"/>
      <c r="DK68" s="1410" t="s">
        <v>477</v>
      </c>
      <c r="DL68" s="1411"/>
      <c r="DM68" s="1411"/>
      <c r="DN68" s="1411"/>
      <c r="DO68" s="1411"/>
      <c r="DP68" s="1411"/>
      <c r="DQ68" s="1411"/>
      <c r="DR68" s="1411"/>
      <c r="DS68" s="1411"/>
      <c r="DT68" s="1411"/>
      <c r="DU68" s="1411"/>
      <c r="DV68" s="1411"/>
      <c r="DW68" s="1411"/>
      <c r="DX68" s="1411"/>
      <c r="DY68" s="1411"/>
      <c r="DZ68" s="1411"/>
      <c r="EA68" s="1411"/>
      <c r="EB68" s="1411"/>
      <c r="EC68" s="1411"/>
      <c r="ED68" s="1411"/>
      <c r="EE68" s="1411"/>
      <c r="EF68" s="1411"/>
      <c r="EG68" s="1411"/>
      <c r="EH68" s="1411"/>
      <c r="EI68" s="1411"/>
      <c r="EJ68" s="1411"/>
      <c r="EK68" s="1411"/>
      <c r="EL68" s="1411"/>
      <c r="EM68" s="1411"/>
      <c r="EN68" s="1411"/>
      <c r="EO68" s="1411"/>
      <c r="EP68" s="1411"/>
      <c r="EQ68" s="1411"/>
      <c r="ER68" s="1411"/>
      <c r="ES68" s="1412"/>
      <c r="ET68" s="1592"/>
      <c r="EU68" s="1592"/>
      <c r="EV68" s="1592"/>
      <c r="EW68" s="1592"/>
      <c r="EX68" s="1592"/>
      <c r="EY68" s="1592"/>
      <c r="EZ68" s="1592"/>
      <c r="FA68" s="1592"/>
      <c r="FB68" s="1592"/>
      <c r="FC68" s="1592"/>
      <c r="FD68" s="1592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422" t="s">
        <v>399</v>
      </c>
      <c r="B69" s="1423"/>
      <c r="C69" s="1423"/>
      <c r="D69" s="1423"/>
      <c r="E69" s="1423"/>
      <c r="F69" s="1423"/>
      <c r="G69" s="1423"/>
      <c r="H69" s="1423"/>
      <c r="I69" s="1423"/>
      <c r="J69" s="1423"/>
      <c r="K69" s="1423"/>
      <c r="L69" s="1423"/>
      <c r="M69" s="1423"/>
      <c r="N69" s="1423"/>
      <c r="O69" s="1423"/>
      <c r="P69" s="1423"/>
      <c r="Q69" s="1423"/>
      <c r="R69" s="1423"/>
      <c r="S69" s="1423"/>
      <c r="T69" s="1423"/>
      <c r="U69" s="1423"/>
      <c r="V69" s="1423"/>
      <c r="W69" s="1423"/>
      <c r="X69" s="1423"/>
      <c r="Y69" s="1423"/>
      <c r="Z69" s="1423"/>
      <c r="AA69" s="1423"/>
      <c r="AB69" s="1423"/>
      <c r="AC69" s="1423"/>
      <c r="AD69" s="1423"/>
      <c r="AE69" s="1424"/>
      <c r="AF69" s="1407" t="s">
        <v>400</v>
      </c>
      <c r="AG69" s="1408"/>
      <c r="AH69" s="1408"/>
      <c r="AI69" s="1408"/>
      <c r="AJ69" s="1408"/>
      <c r="AK69" s="1409"/>
      <c r="AL69" s="1407" t="s">
        <v>401</v>
      </c>
      <c r="AM69" s="1408"/>
      <c r="AN69" s="1408"/>
      <c r="AO69" s="1408"/>
      <c r="AP69" s="1408"/>
      <c r="AQ69" s="1408"/>
      <c r="AR69" s="1408"/>
      <c r="AS69" s="1408"/>
      <c r="AT69" s="1408"/>
      <c r="AU69" s="1409"/>
      <c r="AV69" s="1603" t="s">
        <v>402</v>
      </c>
      <c r="AW69" s="1604"/>
      <c r="AX69" s="1604"/>
      <c r="AY69" s="1604"/>
      <c r="AZ69" s="1604"/>
      <c r="BA69" s="1604"/>
      <c r="BB69" s="1604"/>
      <c r="BC69" s="1604"/>
      <c r="BD69" s="1604"/>
      <c r="BE69" s="1604"/>
      <c r="BF69" s="1604"/>
      <c r="BG69" s="1604"/>
      <c r="BH69" s="1604"/>
      <c r="BI69" s="1604"/>
      <c r="BJ69" s="1604"/>
      <c r="BK69" s="1604"/>
      <c r="BL69" s="1604"/>
      <c r="BM69" s="1604"/>
      <c r="BN69" s="1604"/>
      <c r="BO69" s="1604"/>
      <c r="BP69" s="1604"/>
      <c r="BQ69" s="1604"/>
      <c r="BR69" s="1603" t="s">
        <v>403</v>
      </c>
      <c r="BS69" s="1604"/>
      <c r="BT69" s="1604"/>
      <c r="BU69" s="1604"/>
      <c r="BV69" s="1604"/>
      <c r="BW69" s="1604"/>
      <c r="BX69" s="1604"/>
      <c r="BY69" s="1604"/>
      <c r="BZ69" s="1604"/>
      <c r="CA69" s="1604"/>
      <c r="CB69" s="1604"/>
      <c r="CC69" s="1604"/>
      <c r="CD69" s="1604"/>
      <c r="CE69" s="1604"/>
      <c r="CF69" s="1604"/>
      <c r="CG69" s="1604"/>
      <c r="CH69" s="1604"/>
      <c r="CI69" s="1604"/>
      <c r="CJ69" s="1605"/>
      <c r="CK69" s="1590" t="s">
        <v>404</v>
      </c>
      <c r="CL69" s="1590"/>
      <c r="CM69" s="1590"/>
      <c r="CN69" s="1590"/>
      <c r="CO69" s="1590"/>
      <c r="CP69" s="1590"/>
      <c r="CQ69" s="1590"/>
      <c r="CR69" s="1590"/>
      <c r="CS69" s="1590"/>
      <c r="CT69" s="1590"/>
      <c r="CU69" s="1590"/>
      <c r="CV69" s="1590"/>
      <c r="CW69" s="1590"/>
      <c r="CX69" s="1590"/>
      <c r="CY69" s="1590"/>
      <c r="CZ69" s="1590"/>
      <c r="DA69" s="1590"/>
      <c r="DB69" s="1590"/>
      <c r="DC69" s="1590"/>
      <c r="DD69" s="1590"/>
      <c r="DE69" s="1590"/>
      <c r="DF69" s="1590"/>
      <c r="DG69" s="1590"/>
      <c r="DH69" s="1590"/>
      <c r="DI69" s="1590"/>
      <c r="DJ69" s="1590"/>
      <c r="DK69" s="1591" t="s">
        <v>405</v>
      </c>
      <c r="DL69" s="1591"/>
      <c r="DM69" s="1591"/>
      <c r="DN69" s="1591"/>
      <c r="DO69" s="1591"/>
      <c r="DP69" s="1591"/>
      <c r="DQ69" s="1591"/>
      <c r="DR69" s="1591"/>
      <c r="DS69" s="1591"/>
      <c r="DT69" s="1591"/>
      <c r="DU69" s="1591"/>
      <c r="DV69" s="1591"/>
      <c r="DW69" s="1591"/>
      <c r="DX69" s="1591"/>
      <c r="DY69" s="1591"/>
      <c r="DZ69" s="1591"/>
      <c r="EA69" s="1591"/>
      <c r="EB69" s="1591"/>
      <c r="EC69" s="1591"/>
      <c r="ED69" s="1591"/>
      <c r="EE69" s="1591"/>
      <c r="EF69" s="1591"/>
      <c r="EG69" s="1591"/>
      <c r="EH69" s="1591"/>
      <c r="EI69" s="1591"/>
      <c r="EJ69" s="1591"/>
      <c r="EK69" s="1591"/>
      <c r="EL69" s="1591"/>
      <c r="EM69" s="1591"/>
      <c r="EN69" s="1591"/>
      <c r="EO69" s="1591"/>
      <c r="EP69" s="1591"/>
      <c r="EQ69" s="1591"/>
      <c r="ER69" s="1591"/>
      <c r="ES69" s="1591"/>
      <c r="ET69" s="1606">
        <v>8</v>
      </c>
      <c r="EU69" s="1606"/>
      <c r="EV69" s="1606"/>
      <c r="EW69" s="1606"/>
      <c r="EX69" s="1606"/>
      <c r="EY69" s="1606"/>
      <c r="EZ69" s="1606"/>
      <c r="FA69" s="1606"/>
      <c r="FB69" s="1606"/>
      <c r="FC69" s="1606"/>
      <c r="FD69" s="1607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404" t="s">
        <v>328</v>
      </c>
      <c r="B70" s="1405"/>
      <c r="C70" s="1405"/>
      <c r="D70" s="1405"/>
      <c r="E70" s="1405"/>
      <c r="F70" s="1405"/>
      <c r="G70" s="1405"/>
      <c r="H70" s="1405"/>
      <c r="I70" s="1405"/>
      <c r="J70" s="1405"/>
      <c r="K70" s="1405"/>
      <c r="L70" s="1405"/>
      <c r="M70" s="1405"/>
      <c r="N70" s="1405"/>
      <c r="O70" s="1405"/>
      <c r="P70" s="1405"/>
      <c r="Q70" s="1405"/>
      <c r="R70" s="1405"/>
      <c r="S70" s="1405"/>
      <c r="T70" s="1405"/>
      <c r="U70" s="1405"/>
      <c r="V70" s="1405"/>
      <c r="W70" s="1405"/>
      <c r="X70" s="1405"/>
      <c r="Y70" s="1405"/>
      <c r="Z70" s="1405"/>
      <c r="AA70" s="1405"/>
      <c r="AB70" s="1405"/>
      <c r="AC70" s="1405"/>
      <c r="AD70" s="1405"/>
      <c r="AE70" s="1406"/>
      <c r="AF70" s="1441" t="s">
        <v>329</v>
      </c>
      <c r="AG70" s="1442"/>
      <c r="AH70" s="1442"/>
      <c r="AI70" s="1442"/>
      <c r="AJ70" s="1442"/>
      <c r="AK70" s="1443"/>
      <c r="AL70" s="1453">
        <f>ET70</f>
        <v>0</v>
      </c>
      <c r="AM70" s="1454"/>
      <c r="AN70" s="1454"/>
      <c r="AO70" s="1454"/>
      <c r="AP70" s="1454"/>
      <c r="AQ70" s="1454"/>
      <c r="AR70" s="1454"/>
      <c r="AS70" s="1454"/>
      <c r="AT70" s="1454"/>
      <c r="AU70" s="1454"/>
      <c r="AV70" s="1595"/>
      <c r="AW70" s="1595"/>
      <c r="AX70" s="1595"/>
      <c r="AY70" s="1595"/>
      <c r="AZ70" s="1595"/>
      <c r="BA70" s="1595"/>
      <c r="BB70" s="1595"/>
      <c r="BC70" s="1595"/>
      <c r="BD70" s="1595"/>
      <c r="BE70" s="1595"/>
      <c r="BF70" s="1595"/>
      <c r="BG70" s="1595"/>
      <c r="BH70" s="1595"/>
      <c r="BI70" s="1595"/>
      <c r="BJ70" s="1595"/>
      <c r="BK70" s="1595"/>
      <c r="BL70" s="1595"/>
      <c r="BM70" s="1595"/>
      <c r="BN70" s="1595"/>
      <c r="BO70" s="1595"/>
      <c r="BP70" s="1595"/>
      <c r="BQ70" s="1595"/>
      <c r="BR70" s="1595"/>
      <c r="BS70" s="1595"/>
      <c r="BT70" s="1595"/>
      <c r="BU70" s="1595"/>
      <c r="BV70" s="1595"/>
      <c r="BW70" s="1595"/>
      <c r="BX70" s="1595"/>
      <c r="BY70" s="1595"/>
      <c r="BZ70" s="1595"/>
      <c r="CA70" s="1595"/>
      <c r="CB70" s="1595"/>
      <c r="CC70" s="1595"/>
      <c r="CD70" s="1595"/>
      <c r="CE70" s="1595"/>
      <c r="CF70" s="1595"/>
      <c r="CG70" s="1595"/>
      <c r="CH70" s="1595"/>
      <c r="CI70" s="1595"/>
      <c r="CJ70" s="1425"/>
      <c r="CK70" s="1598"/>
      <c r="CL70" s="1598"/>
      <c r="CM70" s="1598"/>
      <c r="CN70" s="1598"/>
      <c r="CO70" s="1598"/>
      <c r="CP70" s="1598"/>
      <c r="CQ70" s="1598"/>
      <c r="CR70" s="1598"/>
      <c r="CS70" s="1598"/>
      <c r="CT70" s="1598"/>
      <c r="CU70" s="1598"/>
      <c r="CV70" s="1598"/>
      <c r="CW70" s="1598"/>
      <c r="CX70" s="1598"/>
      <c r="CY70" s="1598"/>
      <c r="CZ70" s="1598"/>
      <c r="DA70" s="1598"/>
      <c r="DB70" s="1598"/>
      <c r="DC70" s="1598"/>
      <c r="DD70" s="1598"/>
      <c r="DE70" s="1598"/>
      <c r="DF70" s="1598"/>
      <c r="DG70" s="1598"/>
      <c r="DH70" s="1598"/>
      <c r="DI70" s="1598"/>
      <c r="DJ70" s="1598"/>
      <c r="DK70" s="1598"/>
      <c r="DL70" s="1598"/>
      <c r="DM70" s="1598"/>
      <c r="DN70" s="1598"/>
      <c r="DO70" s="1598"/>
      <c r="DP70" s="1598"/>
      <c r="DQ70" s="1598"/>
      <c r="DR70" s="1598"/>
      <c r="DS70" s="1598"/>
      <c r="DT70" s="1598"/>
      <c r="DU70" s="1598"/>
      <c r="DV70" s="1598"/>
      <c r="DW70" s="1598"/>
      <c r="DX70" s="1598"/>
      <c r="DY70" s="1598"/>
      <c r="DZ70" s="1598"/>
      <c r="EA70" s="1598"/>
      <c r="EB70" s="1598"/>
      <c r="EC70" s="1598"/>
      <c r="ED70" s="1598"/>
      <c r="EE70" s="1598"/>
      <c r="EF70" s="1598"/>
      <c r="EG70" s="1598"/>
      <c r="EH70" s="1598"/>
      <c r="EI70" s="1598"/>
      <c r="EJ70" s="1598"/>
      <c r="EK70" s="1598"/>
      <c r="EL70" s="1598"/>
      <c r="EM70" s="1598"/>
      <c r="EN70" s="1598"/>
      <c r="EO70" s="1598"/>
      <c r="EP70" s="1598"/>
      <c r="EQ70" s="1598"/>
      <c r="ER70" s="1598"/>
      <c r="ES70" s="1598"/>
      <c r="ET70" s="145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4"/>
      <c r="EV70" s="1454"/>
      <c r="EW70" s="1454"/>
      <c r="EX70" s="1454"/>
      <c r="EY70" s="1454"/>
      <c r="EZ70" s="1454"/>
      <c r="FA70" s="1454"/>
      <c r="FB70" s="1454"/>
      <c r="FC70" s="1454"/>
      <c r="FD70" s="1458"/>
      <c r="FE70" s="549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08" t="s">
        <v>1024</v>
      </c>
      <c r="B71" s="1609"/>
      <c r="C71" s="1609"/>
      <c r="D71" s="1609"/>
      <c r="E71" s="1609"/>
      <c r="F71" s="1609"/>
      <c r="G71" s="1609"/>
      <c r="H71" s="1609"/>
      <c r="I71" s="1609"/>
      <c r="J71" s="1609"/>
      <c r="K71" s="1609"/>
      <c r="L71" s="1609"/>
      <c r="M71" s="1609"/>
      <c r="N71" s="1609"/>
      <c r="O71" s="1609"/>
      <c r="P71" s="1609"/>
      <c r="Q71" s="1609"/>
      <c r="R71" s="1609"/>
      <c r="S71" s="1609"/>
      <c r="T71" s="1609"/>
      <c r="U71" s="1609"/>
      <c r="V71" s="1609"/>
      <c r="W71" s="1609"/>
      <c r="X71" s="1609"/>
      <c r="Y71" s="1609"/>
      <c r="Z71" s="1609"/>
      <c r="AA71" s="1609"/>
      <c r="AB71" s="1609"/>
      <c r="AC71" s="1609"/>
      <c r="AD71" s="1609"/>
      <c r="AE71" s="1610"/>
      <c r="AF71" s="1444" t="s">
        <v>330</v>
      </c>
      <c r="AG71" s="1445"/>
      <c r="AH71" s="1445"/>
      <c r="AI71" s="1445"/>
      <c r="AJ71" s="1445"/>
      <c r="AK71" s="1446"/>
      <c r="AL71" s="1450">
        <f>ET71</f>
        <v>0</v>
      </c>
      <c r="AM71" s="1611"/>
      <c r="AN71" s="1611"/>
      <c r="AO71" s="1611"/>
      <c r="AP71" s="1611"/>
      <c r="AQ71" s="1611"/>
      <c r="AR71" s="1611"/>
      <c r="AS71" s="1611"/>
      <c r="AT71" s="1611"/>
      <c r="AU71" s="1612"/>
      <c r="AV71" s="1447"/>
      <c r="AW71" s="1448"/>
      <c r="AX71" s="1448"/>
      <c r="AY71" s="1448"/>
      <c r="AZ71" s="1448"/>
      <c r="BA71" s="1448"/>
      <c r="BB71" s="1448"/>
      <c r="BC71" s="1448"/>
      <c r="BD71" s="1448"/>
      <c r="BE71" s="1448"/>
      <c r="BF71" s="1448"/>
      <c r="BG71" s="1448"/>
      <c r="BH71" s="1448"/>
      <c r="BI71" s="1448"/>
      <c r="BJ71" s="1448"/>
      <c r="BK71" s="1448"/>
      <c r="BL71" s="1448"/>
      <c r="BM71" s="1448"/>
      <c r="BN71" s="1448"/>
      <c r="BO71" s="1448"/>
      <c r="BP71" s="1448"/>
      <c r="BQ71" s="1449"/>
      <c r="BR71" s="1447"/>
      <c r="BS71" s="1448"/>
      <c r="BT71" s="1448"/>
      <c r="BU71" s="1448"/>
      <c r="BV71" s="1448"/>
      <c r="BW71" s="1448"/>
      <c r="BX71" s="1448"/>
      <c r="BY71" s="1448"/>
      <c r="BZ71" s="1448"/>
      <c r="CA71" s="1448"/>
      <c r="CB71" s="1448"/>
      <c r="CC71" s="1448"/>
      <c r="CD71" s="1448"/>
      <c r="CE71" s="1448"/>
      <c r="CF71" s="1448"/>
      <c r="CG71" s="1448"/>
      <c r="CH71" s="1448"/>
      <c r="CI71" s="1448"/>
      <c r="CJ71" s="1448"/>
      <c r="CK71" s="1597"/>
      <c r="CL71" s="1597"/>
      <c r="CM71" s="1597"/>
      <c r="CN71" s="1597"/>
      <c r="CO71" s="1597"/>
      <c r="CP71" s="1597"/>
      <c r="CQ71" s="1597"/>
      <c r="CR71" s="1597"/>
      <c r="CS71" s="1597"/>
      <c r="CT71" s="1597"/>
      <c r="CU71" s="1597"/>
      <c r="CV71" s="1597"/>
      <c r="CW71" s="1597"/>
      <c r="CX71" s="1597"/>
      <c r="CY71" s="1597"/>
      <c r="CZ71" s="1597"/>
      <c r="DA71" s="1597"/>
      <c r="DB71" s="1597"/>
      <c r="DC71" s="1597"/>
      <c r="DD71" s="1597"/>
      <c r="DE71" s="1597"/>
      <c r="DF71" s="1597"/>
      <c r="DG71" s="1597"/>
      <c r="DH71" s="1597"/>
      <c r="DI71" s="1597"/>
      <c r="DJ71" s="1597"/>
      <c r="DK71" s="1597"/>
      <c r="DL71" s="1597"/>
      <c r="DM71" s="1597"/>
      <c r="DN71" s="1597"/>
      <c r="DO71" s="1597"/>
      <c r="DP71" s="1597"/>
      <c r="DQ71" s="1597"/>
      <c r="DR71" s="1597"/>
      <c r="DS71" s="1597"/>
      <c r="DT71" s="1597"/>
      <c r="DU71" s="1597"/>
      <c r="DV71" s="1597"/>
      <c r="DW71" s="1597"/>
      <c r="DX71" s="1597"/>
      <c r="DY71" s="1597"/>
      <c r="DZ71" s="1597"/>
      <c r="EA71" s="1597"/>
      <c r="EB71" s="1597"/>
      <c r="EC71" s="1597"/>
      <c r="ED71" s="1597"/>
      <c r="EE71" s="1597"/>
      <c r="EF71" s="1597"/>
      <c r="EG71" s="1597"/>
      <c r="EH71" s="1597"/>
      <c r="EI71" s="1597"/>
      <c r="EJ71" s="1597"/>
      <c r="EK71" s="1597"/>
      <c r="EL71" s="1597"/>
      <c r="EM71" s="1597"/>
      <c r="EN71" s="1597"/>
      <c r="EO71" s="1597"/>
      <c r="EP71" s="1597"/>
      <c r="EQ71" s="1597"/>
      <c r="ER71" s="1597"/>
      <c r="ES71" s="1597"/>
      <c r="ET71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30"/>
      <c r="EV71" s="1430"/>
      <c r="EW71" s="1430"/>
      <c r="EX71" s="1430"/>
      <c r="EY71" s="1430"/>
      <c r="EZ71" s="1430"/>
      <c r="FA71" s="1430"/>
      <c r="FB71" s="1430"/>
      <c r="FC71" s="1430"/>
      <c r="FD71" s="1431"/>
      <c r="FE71" s="549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404" t="s">
        <v>331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332</v>
      </c>
      <c r="AG72" s="1434"/>
      <c r="AH72" s="1434"/>
      <c r="AI72" s="1434"/>
      <c r="AJ72" s="1434"/>
      <c r="AK72" s="1435"/>
      <c r="AL72" s="1401"/>
      <c r="AM72" s="1402"/>
      <c r="AN72" s="1402"/>
      <c r="AO72" s="1402"/>
      <c r="AP72" s="1402"/>
      <c r="AQ72" s="1402"/>
      <c r="AR72" s="1402"/>
      <c r="AS72" s="1402"/>
      <c r="AT72" s="1402"/>
      <c r="AU72" s="1403"/>
      <c r="AV72" s="1597"/>
      <c r="AW72" s="1597"/>
      <c r="AX72" s="1597"/>
      <c r="AY72" s="1597"/>
      <c r="AZ72" s="1597"/>
      <c r="BA72" s="1597"/>
      <c r="BB72" s="1597"/>
      <c r="BC72" s="1597"/>
      <c r="BD72" s="1597"/>
      <c r="BE72" s="1597"/>
      <c r="BF72" s="1597"/>
      <c r="BG72" s="1597"/>
      <c r="BH72" s="1597"/>
      <c r="BI72" s="1597"/>
      <c r="BJ72" s="1597"/>
      <c r="BK72" s="1597"/>
      <c r="BL72" s="1597"/>
      <c r="BM72" s="1597"/>
      <c r="BN72" s="1597"/>
      <c r="BO72" s="1597"/>
      <c r="BP72" s="1597"/>
      <c r="BQ72" s="1597"/>
      <c r="BR72" s="1597"/>
      <c r="BS72" s="1597"/>
      <c r="BT72" s="1597"/>
      <c r="BU72" s="1597"/>
      <c r="BV72" s="1597"/>
      <c r="BW72" s="1597"/>
      <c r="BX72" s="1597"/>
      <c r="BY72" s="1597"/>
      <c r="BZ72" s="1597"/>
      <c r="CA72" s="1597"/>
      <c r="CB72" s="1597"/>
      <c r="CC72" s="1597"/>
      <c r="CD72" s="1597"/>
      <c r="CE72" s="1597"/>
      <c r="CF72" s="1597"/>
      <c r="CG72" s="1597"/>
      <c r="CH72" s="1597"/>
      <c r="CI72" s="1597"/>
      <c r="CJ72" s="1401"/>
      <c r="CK72" s="1597"/>
      <c r="CL72" s="1597"/>
      <c r="CM72" s="1597"/>
      <c r="CN72" s="1597"/>
      <c r="CO72" s="1597"/>
      <c r="CP72" s="1597"/>
      <c r="CQ72" s="1597"/>
      <c r="CR72" s="1597"/>
      <c r="CS72" s="1597"/>
      <c r="CT72" s="1597"/>
      <c r="CU72" s="1597"/>
      <c r="CV72" s="1597"/>
      <c r="CW72" s="1597"/>
      <c r="CX72" s="1597"/>
      <c r="CY72" s="1597"/>
      <c r="CZ72" s="1597"/>
      <c r="DA72" s="1597"/>
      <c r="DB72" s="1597"/>
      <c r="DC72" s="1597"/>
      <c r="DD72" s="1597"/>
      <c r="DE72" s="1597"/>
      <c r="DF72" s="1597"/>
      <c r="DG72" s="1597"/>
      <c r="DH72" s="1597"/>
      <c r="DI72" s="1597"/>
      <c r="DJ72" s="1597"/>
      <c r="DK72" s="1597"/>
      <c r="DL72" s="1597"/>
      <c r="DM72" s="1597"/>
      <c r="DN72" s="1597"/>
      <c r="DO72" s="1597"/>
      <c r="DP72" s="1597"/>
      <c r="DQ72" s="1597"/>
      <c r="DR72" s="1597"/>
      <c r="DS72" s="1597"/>
      <c r="DT72" s="1597"/>
      <c r="DU72" s="1597"/>
      <c r="DV72" s="1597"/>
      <c r="DW72" s="1597"/>
      <c r="DX72" s="1597"/>
      <c r="DY72" s="1597"/>
      <c r="DZ72" s="1597"/>
      <c r="EA72" s="1597"/>
      <c r="EB72" s="1597"/>
      <c r="EC72" s="1597"/>
      <c r="ED72" s="1597"/>
      <c r="EE72" s="1597"/>
      <c r="EF72" s="1597"/>
      <c r="EG72" s="1597"/>
      <c r="EH72" s="1597"/>
      <c r="EI72" s="1597"/>
      <c r="EJ72" s="1597"/>
      <c r="EK72" s="1597"/>
      <c r="EL72" s="1597"/>
      <c r="EM72" s="1597"/>
      <c r="EN72" s="1597"/>
      <c r="EO72" s="1597"/>
      <c r="EP72" s="1597"/>
      <c r="EQ72" s="1597"/>
      <c r="ER72" s="1597"/>
      <c r="ES72" s="1597"/>
      <c r="ET72" s="1402"/>
      <c r="EU72" s="1402"/>
      <c r="EV72" s="1402"/>
      <c r="EW72" s="1402"/>
      <c r="EX72" s="1402"/>
      <c r="EY72" s="1402"/>
      <c r="EZ72" s="1402"/>
      <c r="FA72" s="1402"/>
      <c r="FB72" s="1402"/>
      <c r="FC72" s="1402"/>
      <c r="FD72" s="1432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404" t="s">
        <v>276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333</v>
      </c>
      <c r="AG73" s="1434"/>
      <c r="AH73" s="1434"/>
      <c r="AI73" s="1434"/>
      <c r="AJ73" s="1434"/>
      <c r="AK73" s="1435"/>
      <c r="AL73" s="1429">
        <f>ET73</f>
        <v>0</v>
      </c>
      <c r="AM73" s="1430"/>
      <c r="AN73" s="1430"/>
      <c r="AO73" s="1430"/>
      <c r="AP73" s="1430"/>
      <c r="AQ73" s="1430"/>
      <c r="AR73" s="1430"/>
      <c r="AS73" s="1430"/>
      <c r="AT73" s="1430"/>
      <c r="AU73" s="1430"/>
      <c r="AV73" s="1597"/>
      <c r="AW73" s="1597"/>
      <c r="AX73" s="1597"/>
      <c r="AY73" s="1597"/>
      <c r="AZ73" s="1597"/>
      <c r="BA73" s="1597"/>
      <c r="BB73" s="1597"/>
      <c r="BC73" s="1597"/>
      <c r="BD73" s="1597"/>
      <c r="BE73" s="1597"/>
      <c r="BF73" s="1597"/>
      <c r="BG73" s="1597"/>
      <c r="BH73" s="1597"/>
      <c r="BI73" s="1597"/>
      <c r="BJ73" s="1597"/>
      <c r="BK73" s="1597"/>
      <c r="BL73" s="1597"/>
      <c r="BM73" s="1597"/>
      <c r="BN73" s="1597"/>
      <c r="BO73" s="1597"/>
      <c r="BP73" s="1597"/>
      <c r="BQ73" s="1597"/>
      <c r="BR73" s="1597"/>
      <c r="BS73" s="1597"/>
      <c r="BT73" s="1597"/>
      <c r="BU73" s="1597"/>
      <c r="BV73" s="1597"/>
      <c r="BW73" s="1597"/>
      <c r="BX73" s="1597"/>
      <c r="BY73" s="1597"/>
      <c r="BZ73" s="1597"/>
      <c r="CA73" s="1597"/>
      <c r="CB73" s="1597"/>
      <c r="CC73" s="1597"/>
      <c r="CD73" s="1597"/>
      <c r="CE73" s="1597"/>
      <c r="CF73" s="1597"/>
      <c r="CG73" s="1597"/>
      <c r="CH73" s="1597"/>
      <c r="CI73" s="1597"/>
      <c r="CJ73" s="1401"/>
      <c r="CK73" s="1597"/>
      <c r="CL73" s="1597"/>
      <c r="CM73" s="1597"/>
      <c r="CN73" s="1597"/>
      <c r="CO73" s="1597"/>
      <c r="CP73" s="1597"/>
      <c r="CQ73" s="1597"/>
      <c r="CR73" s="1597"/>
      <c r="CS73" s="1597"/>
      <c r="CT73" s="1597"/>
      <c r="CU73" s="1597"/>
      <c r="CV73" s="1597"/>
      <c r="CW73" s="1597"/>
      <c r="CX73" s="1597"/>
      <c r="CY73" s="1597"/>
      <c r="CZ73" s="1597"/>
      <c r="DA73" s="1597"/>
      <c r="DB73" s="1597"/>
      <c r="DC73" s="1597"/>
      <c r="DD73" s="1597"/>
      <c r="DE73" s="1597"/>
      <c r="DF73" s="1597"/>
      <c r="DG73" s="1597"/>
      <c r="DH73" s="1597"/>
      <c r="DI73" s="1597"/>
      <c r="DJ73" s="1597"/>
      <c r="DK73" s="1597"/>
      <c r="DL73" s="1597"/>
      <c r="DM73" s="1597"/>
      <c r="DN73" s="1597"/>
      <c r="DO73" s="1597"/>
      <c r="DP73" s="1597"/>
      <c r="DQ73" s="1597"/>
      <c r="DR73" s="1597"/>
      <c r="DS73" s="1597"/>
      <c r="DT73" s="1597"/>
      <c r="DU73" s="1597"/>
      <c r="DV73" s="1597"/>
      <c r="DW73" s="1597"/>
      <c r="DX73" s="1597"/>
      <c r="DY73" s="1597"/>
      <c r="DZ73" s="1597"/>
      <c r="EA73" s="1597"/>
      <c r="EB73" s="1597"/>
      <c r="EC73" s="1597"/>
      <c r="ED73" s="1597"/>
      <c r="EE73" s="1597"/>
      <c r="EF73" s="1597"/>
      <c r="EG73" s="1597"/>
      <c r="EH73" s="1597"/>
      <c r="EI73" s="1597"/>
      <c r="EJ73" s="1597"/>
      <c r="EK73" s="1597"/>
      <c r="EL73" s="1597"/>
      <c r="EM73" s="1597"/>
      <c r="EN73" s="1597"/>
      <c r="EO73" s="1597"/>
      <c r="EP73" s="1597"/>
      <c r="EQ73" s="1597"/>
      <c r="ER73" s="1597"/>
      <c r="ES73" s="1597"/>
      <c r="ET73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30"/>
      <c r="EV73" s="1430"/>
      <c r="EW73" s="1430"/>
      <c r="EX73" s="1430"/>
      <c r="EY73" s="1430"/>
      <c r="EZ73" s="1430"/>
      <c r="FA73" s="1430"/>
      <c r="FB73" s="1430"/>
      <c r="FC73" s="1430"/>
      <c r="FD73" s="1431"/>
      <c r="FE73" s="549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404" t="s">
        <v>334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335</v>
      </c>
      <c r="AG74" s="1434"/>
      <c r="AH74" s="1434"/>
      <c r="AI74" s="1434"/>
      <c r="AJ74" s="1434"/>
      <c r="AK74" s="1435"/>
      <c r="AL74" s="1401"/>
      <c r="AM74" s="1402"/>
      <c r="AN74" s="1402"/>
      <c r="AO74" s="1402"/>
      <c r="AP74" s="1402"/>
      <c r="AQ74" s="1402"/>
      <c r="AR74" s="1402"/>
      <c r="AS74" s="1402"/>
      <c r="AT74" s="1402"/>
      <c r="AU74" s="1403"/>
      <c r="AV74" s="1597"/>
      <c r="AW74" s="1597"/>
      <c r="AX74" s="1597"/>
      <c r="AY74" s="1597"/>
      <c r="AZ74" s="1597"/>
      <c r="BA74" s="1597"/>
      <c r="BB74" s="1597"/>
      <c r="BC74" s="1597"/>
      <c r="BD74" s="1597"/>
      <c r="BE74" s="1597"/>
      <c r="BF74" s="1597"/>
      <c r="BG74" s="1597"/>
      <c r="BH74" s="1597"/>
      <c r="BI74" s="1597"/>
      <c r="BJ74" s="1597"/>
      <c r="BK74" s="1597"/>
      <c r="BL74" s="1597"/>
      <c r="BM74" s="1597"/>
      <c r="BN74" s="1597"/>
      <c r="BO74" s="1597"/>
      <c r="BP74" s="1597"/>
      <c r="BQ74" s="1597"/>
      <c r="BR74" s="1597"/>
      <c r="BS74" s="1597"/>
      <c r="BT74" s="1597"/>
      <c r="BU74" s="1597"/>
      <c r="BV74" s="1597"/>
      <c r="BW74" s="1597"/>
      <c r="BX74" s="1597"/>
      <c r="BY74" s="1597"/>
      <c r="BZ74" s="1597"/>
      <c r="CA74" s="1597"/>
      <c r="CB74" s="1597"/>
      <c r="CC74" s="1597"/>
      <c r="CD74" s="1597"/>
      <c r="CE74" s="1597"/>
      <c r="CF74" s="1597"/>
      <c r="CG74" s="1597"/>
      <c r="CH74" s="1597"/>
      <c r="CI74" s="1597"/>
      <c r="CJ74" s="1401"/>
      <c r="CK74" s="1597"/>
      <c r="CL74" s="1597"/>
      <c r="CM74" s="1597"/>
      <c r="CN74" s="1597"/>
      <c r="CO74" s="1597"/>
      <c r="CP74" s="1597"/>
      <c r="CQ74" s="1597"/>
      <c r="CR74" s="1597"/>
      <c r="CS74" s="1597"/>
      <c r="CT74" s="1597"/>
      <c r="CU74" s="1597"/>
      <c r="CV74" s="1597"/>
      <c r="CW74" s="1597"/>
      <c r="CX74" s="1597"/>
      <c r="CY74" s="1597"/>
      <c r="CZ74" s="1597"/>
      <c r="DA74" s="1597"/>
      <c r="DB74" s="1597"/>
      <c r="DC74" s="1597"/>
      <c r="DD74" s="1597"/>
      <c r="DE74" s="1597"/>
      <c r="DF74" s="1597"/>
      <c r="DG74" s="1597"/>
      <c r="DH74" s="1597"/>
      <c r="DI74" s="1597"/>
      <c r="DJ74" s="1597"/>
      <c r="DK74" s="1597"/>
      <c r="DL74" s="1597"/>
      <c r="DM74" s="1597"/>
      <c r="DN74" s="1597"/>
      <c r="DO74" s="1597"/>
      <c r="DP74" s="1597"/>
      <c r="DQ74" s="1597"/>
      <c r="DR74" s="1597"/>
      <c r="DS74" s="1597"/>
      <c r="DT74" s="1597"/>
      <c r="DU74" s="1597"/>
      <c r="DV74" s="1597"/>
      <c r="DW74" s="1597"/>
      <c r="DX74" s="1597"/>
      <c r="DY74" s="1597"/>
      <c r="DZ74" s="1597"/>
      <c r="EA74" s="1597"/>
      <c r="EB74" s="1597"/>
      <c r="EC74" s="1597"/>
      <c r="ED74" s="1597"/>
      <c r="EE74" s="1597"/>
      <c r="EF74" s="1597"/>
      <c r="EG74" s="1597"/>
      <c r="EH74" s="1597"/>
      <c r="EI74" s="1597"/>
      <c r="EJ74" s="1597"/>
      <c r="EK74" s="1597"/>
      <c r="EL74" s="1597"/>
      <c r="EM74" s="1597"/>
      <c r="EN74" s="1597"/>
      <c r="EO74" s="1597"/>
      <c r="EP74" s="1597"/>
      <c r="EQ74" s="1597"/>
      <c r="ER74" s="1597"/>
      <c r="ES74" s="1597"/>
      <c r="ET74" s="1402"/>
      <c r="EU74" s="1402"/>
      <c r="EV74" s="1402"/>
      <c r="EW74" s="1402"/>
      <c r="EX74" s="1402"/>
      <c r="EY74" s="1402"/>
      <c r="EZ74" s="1402"/>
      <c r="FA74" s="1402"/>
      <c r="FB74" s="1402"/>
      <c r="FC74" s="1402"/>
      <c r="FD74" s="1432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404" t="s">
        <v>277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336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597"/>
      <c r="AW75" s="1597"/>
      <c r="AX75" s="1597"/>
      <c r="AY75" s="1597"/>
      <c r="AZ75" s="1597"/>
      <c r="BA75" s="1597"/>
      <c r="BB75" s="1597"/>
      <c r="BC75" s="1597"/>
      <c r="BD75" s="1597"/>
      <c r="BE75" s="1597"/>
      <c r="BF75" s="1597"/>
      <c r="BG75" s="1597"/>
      <c r="BH75" s="1597"/>
      <c r="BI75" s="1597"/>
      <c r="BJ75" s="1597"/>
      <c r="BK75" s="1597"/>
      <c r="BL75" s="1597"/>
      <c r="BM75" s="1597"/>
      <c r="BN75" s="1597"/>
      <c r="BO75" s="1597"/>
      <c r="BP75" s="1597"/>
      <c r="BQ75" s="1597"/>
      <c r="BR75" s="1597"/>
      <c r="BS75" s="1597"/>
      <c r="BT75" s="1597"/>
      <c r="BU75" s="1597"/>
      <c r="BV75" s="1597"/>
      <c r="BW75" s="1597"/>
      <c r="BX75" s="1597"/>
      <c r="BY75" s="1597"/>
      <c r="BZ75" s="1597"/>
      <c r="CA75" s="1597"/>
      <c r="CB75" s="1597"/>
      <c r="CC75" s="1597"/>
      <c r="CD75" s="1597"/>
      <c r="CE75" s="1597"/>
      <c r="CF75" s="1597"/>
      <c r="CG75" s="1597"/>
      <c r="CH75" s="1597"/>
      <c r="CI75" s="1597"/>
      <c r="CJ75" s="1401"/>
      <c r="CK75" s="1597"/>
      <c r="CL75" s="1597"/>
      <c r="CM75" s="1597"/>
      <c r="CN75" s="1597"/>
      <c r="CO75" s="1597"/>
      <c r="CP75" s="1597"/>
      <c r="CQ75" s="1597"/>
      <c r="CR75" s="1597"/>
      <c r="CS75" s="1597"/>
      <c r="CT75" s="1597"/>
      <c r="CU75" s="1597"/>
      <c r="CV75" s="1597"/>
      <c r="CW75" s="1597"/>
      <c r="CX75" s="1597"/>
      <c r="CY75" s="1597"/>
      <c r="CZ75" s="1597"/>
      <c r="DA75" s="1597"/>
      <c r="DB75" s="1597"/>
      <c r="DC75" s="1597"/>
      <c r="DD75" s="1597"/>
      <c r="DE75" s="1597"/>
      <c r="DF75" s="1597"/>
      <c r="DG75" s="1597"/>
      <c r="DH75" s="1597"/>
      <c r="DI75" s="1597"/>
      <c r="DJ75" s="1597"/>
      <c r="DK75" s="1597"/>
      <c r="DL75" s="1597"/>
      <c r="DM75" s="1597"/>
      <c r="DN75" s="1597"/>
      <c r="DO75" s="1597"/>
      <c r="DP75" s="1597"/>
      <c r="DQ75" s="1597"/>
      <c r="DR75" s="1597"/>
      <c r="DS75" s="1597"/>
      <c r="DT75" s="1597"/>
      <c r="DU75" s="1597"/>
      <c r="DV75" s="1597"/>
      <c r="DW75" s="1597"/>
      <c r="DX75" s="1597"/>
      <c r="DY75" s="1597"/>
      <c r="DZ75" s="1597"/>
      <c r="EA75" s="1597"/>
      <c r="EB75" s="1597"/>
      <c r="EC75" s="1597"/>
      <c r="ED75" s="1597"/>
      <c r="EE75" s="1597"/>
      <c r="EF75" s="1597"/>
      <c r="EG75" s="1597"/>
      <c r="EH75" s="1597"/>
      <c r="EI75" s="1597"/>
      <c r="EJ75" s="1597"/>
      <c r="EK75" s="1597"/>
      <c r="EL75" s="1597"/>
      <c r="EM75" s="1597"/>
      <c r="EN75" s="1597"/>
      <c r="EO75" s="1597"/>
      <c r="EP75" s="1597"/>
      <c r="EQ75" s="1597"/>
      <c r="ER75" s="1597"/>
      <c r="ES75" s="1597"/>
      <c r="ET75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49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404" t="s">
        <v>337</v>
      </c>
      <c r="B76" s="1405"/>
      <c r="C76" s="1405"/>
      <c r="D76" s="1405"/>
      <c r="E76" s="1405"/>
      <c r="F76" s="1405"/>
      <c r="G76" s="1405"/>
      <c r="H76" s="1405"/>
      <c r="I76" s="1405"/>
      <c r="J76" s="1405"/>
      <c r="K76" s="1405"/>
      <c r="L76" s="1405"/>
      <c r="M76" s="1405"/>
      <c r="N76" s="1405"/>
      <c r="O76" s="1405"/>
      <c r="P76" s="1405"/>
      <c r="Q76" s="1405"/>
      <c r="R76" s="1405"/>
      <c r="S76" s="1405"/>
      <c r="T76" s="1405"/>
      <c r="U76" s="1405"/>
      <c r="V76" s="1405"/>
      <c r="W76" s="1405"/>
      <c r="X76" s="1405"/>
      <c r="Y76" s="1405"/>
      <c r="Z76" s="1405"/>
      <c r="AA76" s="1405"/>
      <c r="AB76" s="1405"/>
      <c r="AC76" s="1405"/>
      <c r="AD76" s="1405"/>
      <c r="AE76" s="1406"/>
      <c r="AF76" s="1433" t="s">
        <v>338</v>
      </c>
      <c r="AG76" s="1434"/>
      <c r="AH76" s="1434"/>
      <c r="AI76" s="1434"/>
      <c r="AJ76" s="1434"/>
      <c r="AK76" s="1435"/>
      <c r="AL76" s="1429">
        <f>ET76</f>
        <v>0</v>
      </c>
      <c r="AM76" s="1430"/>
      <c r="AN76" s="1430"/>
      <c r="AO76" s="1430"/>
      <c r="AP76" s="1430"/>
      <c r="AQ76" s="1430"/>
      <c r="AR76" s="1430"/>
      <c r="AS76" s="1430"/>
      <c r="AT76" s="1430"/>
      <c r="AU76" s="1430"/>
      <c r="AV76" s="1597"/>
      <c r="AW76" s="1597"/>
      <c r="AX76" s="1597"/>
      <c r="AY76" s="1597"/>
      <c r="AZ76" s="1597"/>
      <c r="BA76" s="1597"/>
      <c r="BB76" s="1597"/>
      <c r="BC76" s="1597"/>
      <c r="BD76" s="1597"/>
      <c r="BE76" s="1597"/>
      <c r="BF76" s="1597"/>
      <c r="BG76" s="1597"/>
      <c r="BH76" s="1597"/>
      <c r="BI76" s="1597"/>
      <c r="BJ76" s="1597"/>
      <c r="BK76" s="1597"/>
      <c r="BL76" s="1597"/>
      <c r="BM76" s="1597"/>
      <c r="BN76" s="1597"/>
      <c r="BO76" s="1597"/>
      <c r="BP76" s="1597"/>
      <c r="BQ76" s="1597"/>
      <c r="BR76" s="1597"/>
      <c r="BS76" s="1597"/>
      <c r="BT76" s="1597"/>
      <c r="BU76" s="1597"/>
      <c r="BV76" s="1597"/>
      <c r="BW76" s="1597"/>
      <c r="BX76" s="1597"/>
      <c r="BY76" s="1597"/>
      <c r="BZ76" s="1597"/>
      <c r="CA76" s="1597"/>
      <c r="CB76" s="1597"/>
      <c r="CC76" s="1597"/>
      <c r="CD76" s="1597"/>
      <c r="CE76" s="1597"/>
      <c r="CF76" s="1597"/>
      <c r="CG76" s="1597"/>
      <c r="CH76" s="1597"/>
      <c r="CI76" s="1597"/>
      <c r="CJ76" s="1401"/>
      <c r="CK76" s="1597"/>
      <c r="CL76" s="1597"/>
      <c r="CM76" s="1597"/>
      <c r="CN76" s="1597"/>
      <c r="CO76" s="1597"/>
      <c r="CP76" s="1597"/>
      <c r="CQ76" s="1597"/>
      <c r="CR76" s="1597"/>
      <c r="CS76" s="1597"/>
      <c r="CT76" s="1597"/>
      <c r="CU76" s="1597"/>
      <c r="CV76" s="1597"/>
      <c r="CW76" s="1597"/>
      <c r="CX76" s="1597"/>
      <c r="CY76" s="1597"/>
      <c r="CZ76" s="1597"/>
      <c r="DA76" s="1597"/>
      <c r="DB76" s="1597"/>
      <c r="DC76" s="1597"/>
      <c r="DD76" s="1597"/>
      <c r="DE76" s="1597"/>
      <c r="DF76" s="1597"/>
      <c r="DG76" s="1597"/>
      <c r="DH76" s="1597"/>
      <c r="DI76" s="1597"/>
      <c r="DJ76" s="1597"/>
      <c r="DK76" s="1597"/>
      <c r="DL76" s="1597"/>
      <c r="DM76" s="1597"/>
      <c r="DN76" s="1597"/>
      <c r="DO76" s="1597"/>
      <c r="DP76" s="1597"/>
      <c r="DQ76" s="1597"/>
      <c r="DR76" s="1597"/>
      <c r="DS76" s="1597"/>
      <c r="DT76" s="1597"/>
      <c r="DU76" s="1597"/>
      <c r="DV76" s="1597"/>
      <c r="DW76" s="1597"/>
      <c r="DX76" s="1597"/>
      <c r="DY76" s="1597"/>
      <c r="DZ76" s="1597"/>
      <c r="EA76" s="1597"/>
      <c r="EB76" s="1597"/>
      <c r="EC76" s="1597"/>
      <c r="ED76" s="1597"/>
      <c r="EE76" s="1597"/>
      <c r="EF76" s="1597"/>
      <c r="EG76" s="1597"/>
      <c r="EH76" s="1597"/>
      <c r="EI76" s="1597"/>
      <c r="EJ76" s="1597"/>
      <c r="EK76" s="1597"/>
      <c r="EL76" s="1597"/>
      <c r="EM76" s="1597"/>
      <c r="EN76" s="1597"/>
      <c r="EO76" s="1597"/>
      <c r="EP76" s="1597"/>
      <c r="EQ76" s="1597"/>
      <c r="ER76" s="1597"/>
      <c r="ES76" s="1597"/>
      <c r="ET76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30"/>
      <c r="EV76" s="1430"/>
      <c r="EW76" s="1430"/>
      <c r="EX76" s="1430"/>
      <c r="EY76" s="1430"/>
      <c r="EZ76" s="1430"/>
      <c r="FA76" s="1430"/>
      <c r="FB76" s="1430"/>
      <c r="FC76" s="1430"/>
      <c r="FD76" s="1431"/>
      <c r="FE76" s="549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75" t="s">
        <v>263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  <c r="R77" s="1476"/>
      <c r="S77" s="1476"/>
      <c r="T77" s="1476"/>
      <c r="U77" s="1476"/>
      <c r="V77" s="1476"/>
      <c r="W77" s="1476"/>
      <c r="X77" s="1476"/>
      <c r="Y77" s="1476"/>
      <c r="Z77" s="1476"/>
      <c r="AA77" s="1476"/>
      <c r="AB77" s="1476"/>
      <c r="AC77" s="1476"/>
      <c r="AD77" s="1476"/>
      <c r="AE77" s="1477"/>
      <c r="AF77" s="1444" t="s">
        <v>339</v>
      </c>
      <c r="AG77" s="1445"/>
      <c r="AH77" s="1445"/>
      <c r="AI77" s="1445"/>
      <c r="AJ77" s="1445"/>
      <c r="AK77" s="1446"/>
      <c r="AL77" s="1447"/>
      <c r="AM77" s="1448"/>
      <c r="AN77" s="1448"/>
      <c r="AO77" s="1448"/>
      <c r="AP77" s="1448"/>
      <c r="AQ77" s="1448"/>
      <c r="AR77" s="1448"/>
      <c r="AS77" s="1448"/>
      <c r="AT77" s="1448"/>
      <c r="AU77" s="1449"/>
      <c r="AV77" s="1447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9"/>
      <c r="BR77" s="1447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615"/>
      <c r="CL77" s="1613"/>
      <c r="CM77" s="1613"/>
      <c r="CN77" s="1613"/>
      <c r="CO77" s="1613"/>
      <c r="CP77" s="1613"/>
      <c r="CQ77" s="1613"/>
      <c r="CR77" s="1613"/>
      <c r="CS77" s="1613"/>
      <c r="CT77" s="1613"/>
      <c r="CU77" s="1613"/>
      <c r="CV77" s="1613"/>
      <c r="CW77" s="1613"/>
      <c r="CX77" s="1613"/>
      <c r="CY77" s="1613"/>
      <c r="CZ77" s="1613"/>
      <c r="DA77" s="1613"/>
      <c r="DB77" s="1613"/>
      <c r="DC77" s="1613"/>
      <c r="DD77" s="1613"/>
      <c r="DE77" s="1613"/>
      <c r="DF77" s="1613"/>
      <c r="DG77" s="1613"/>
      <c r="DH77" s="1613"/>
      <c r="DI77" s="1613"/>
      <c r="DJ77" s="1614"/>
      <c r="DK77" s="1613"/>
      <c r="DL77" s="1613"/>
      <c r="DM77" s="1613"/>
      <c r="DN77" s="1613"/>
      <c r="DO77" s="1613"/>
      <c r="DP77" s="1613"/>
      <c r="DQ77" s="1613"/>
      <c r="DR77" s="1613"/>
      <c r="DS77" s="1613"/>
      <c r="DT77" s="1613"/>
      <c r="DU77" s="1613"/>
      <c r="DV77" s="1613"/>
      <c r="DW77" s="1613"/>
      <c r="DX77" s="1613"/>
      <c r="DY77" s="1613"/>
      <c r="DZ77" s="1613"/>
      <c r="EA77" s="1613"/>
      <c r="EB77" s="1613"/>
      <c r="EC77" s="1613"/>
      <c r="ED77" s="1613"/>
      <c r="EE77" s="1613"/>
      <c r="EF77" s="1613"/>
      <c r="EG77" s="1613"/>
      <c r="EH77" s="1613"/>
      <c r="EI77" s="1613"/>
      <c r="EJ77" s="1613"/>
      <c r="EK77" s="1613"/>
      <c r="EL77" s="1613"/>
      <c r="EM77" s="1613"/>
      <c r="EN77" s="1613"/>
      <c r="EO77" s="1613"/>
      <c r="EP77" s="1613"/>
      <c r="EQ77" s="1613"/>
      <c r="ER77" s="1613"/>
      <c r="ES77" s="1614"/>
      <c r="ET77" s="1447"/>
      <c r="EU77" s="1448"/>
      <c r="EV77" s="1448"/>
      <c r="EW77" s="1448"/>
      <c r="EX77" s="1448"/>
      <c r="EY77" s="1448"/>
      <c r="EZ77" s="1448"/>
      <c r="FA77" s="1448"/>
      <c r="FB77" s="1448"/>
      <c r="FC77" s="1448"/>
      <c r="FD77" s="147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69" t="s">
        <v>1025</v>
      </c>
      <c r="B78" s="1470"/>
      <c r="C78" s="1470"/>
      <c r="D78" s="1470"/>
      <c r="E78" s="1470"/>
      <c r="F78" s="1470"/>
      <c r="G78" s="1470"/>
      <c r="H78" s="1470"/>
      <c r="I78" s="1470"/>
      <c r="J78" s="1470"/>
      <c r="K78" s="1470"/>
      <c r="L78" s="1470"/>
      <c r="M78" s="1470"/>
      <c r="N78" s="1470"/>
      <c r="O78" s="1470"/>
      <c r="P78" s="1470"/>
      <c r="Q78" s="1470"/>
      <c r="R78" s="1470"/>
      <c r="S78" s="1470"/>
      <c r="T78" s="1470"/>
      <c r="U78" s="1470"/>
      <c r="V78" s="1470"/>
      <c r="W78" s="1470"/>
      <c r="X78" s="1470"/>
      <c r="Y78" s="1470"/>
      <c r="Z78" s="1470"/>
      <c r="AA78" s="1470"/>
      <c r="AB78" s="1470"/>
      <c r="AC78" s="1470"/>
      <c r="AD78" s="1470"/>
      <c r="AE78" s="1471"/>
      <c r="AF78" s="1478"/>
      <c r="AG78" s="1479"/>
      <c r="AH78" s="1479"/>
      <c r="AI78" s="1479"/>
      <c r="AJ78" s="1479"/>
      <c r="AK78" s="1480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68"/>
      <c r="AV78" s="1466"/>
      <c r="AW78" s="1467"/>
      <c r="AX78" s="1467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7"/>
      <c r="BJ78" s="1467"/>
      <c r="BK78" s="1467"/>
      <c r="BL78" s="1467"/>
      <c r="BM78" s="1467"/>
      <c r="BN78" s="1467"/>
      <c r="BO78" s="1467"/>
      <c r="BP78" s="1467"/>
      <c r="BQ78" s="1468"/>
      <c r="BR78" s="1466"/>
      <c r="BS78" s="1467"/>
      <c r="BT78" s="1467"/>
      <c r="BU78" s="1467"/>
      <c r="BV78" s="1467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7"/>
      <c r="CH78" s="1467"/>
      <c r="CI78" s="1467"/>
      <c r="CJ78" s="1467"/>
      <c r="CK78" s="1615"/>
      <c r="CL78" s="1613"/>
      <c r="CM78" s="1613"/>
      <c r="CN78" s="1613"/>
      <c r="CO78" s="1613"/>
      <c r="CP78" s="1613"/>
      <c r="CQ78" s="1613"/>
      <c r="CR78" s="1613"/>
      <c r="CS78" s="1613"/>
      <c r="CT78" s="1613"/>
      <c r="CU78" s="1613"/>
      <c r="CV78" s="1613"/>
      <c r="CW78" s="1613"/>
      <c r="CX78" s="1613"/>
      <c r="CY78" s="1613"/>
      <c r="CZ78" s="1613"/>
      <c r="DA78" s="1613"/>
      <c r="DB78" s="1613"/>
      <c r="DC78" s="1613"/>
      <c r="DD78" s="1613"/>
      <c r="DE78" s="1613"/>
      <c r="DF78" s="1613"/>
      <c r="DG78" s="1613"/>
      <c r="DH78" s="1613"/>
      <c r="DI78" s="1613"/>
      <c r="DJ78" s="1614"/>
      <c r="DK78" s="1613"/>
      <c r="DL78" s="1613"/>
      <c r="DM78" s="1613"/>
      <c r="DN78" s="1613"/>
      <c r="DO78" s="1613"/>
      <c r="DP78" s="1613"/>
      <c r="DQ78" s="1613"/>
      <c r="DR78" s="1613"/>
      <c r="DS78" s="1613"/>
      <c r="DT78" s="1613"/>
      <c r="DU78" s="1613"/>
      <c r="DV78" s="1613"/>
      <c r="DW78" s="1613"/>
      <c r="DX78" s="1613"/>
      <c r="DY78" s="1613"/>
      <c r="DZ78" s="1613"/>
      <c r="EA78" s="1613"/>
      <c r="EB78" s="1613"/>
      <c r="EC78" s="1613"/>
      <c r="ED78" s="1613"/>
      <c r="EE78" s="1613"/>
      <c r="EF78" s="1613"/>
      <c r="EG78" s="1613"/>
      <c r="EH78" s="1613"/>
      <c r="EI78" s="1613"/>
      <c r="EJ78" s="1613"/>
      <c r="EK78" s="1613"/>
      <c r="EL78" s="1613"/>
      <c r="EM78" s="1613"/>
      <c r="EN78" s="1613"/>
      <c r="EO78" s="1613"/>
      <c r="EP78" s="1613"/>
      <c r="EQ78" s="1613"/>
      <c r="ER78" s="1613"/>
      <c r="ES78" s="1614"/>
      <c r="ET78" s="1466"/>
      <c r="EU78" s="1467"/>
      <c r="EV78" s="1467"/>
      <c r="EW78" s="1467"/>
      <c r="EX78" s="1467"/>
      <c r="EY78" s="1467"/>
      <c r="EZ78" s="1467"/>
      <c r="FA78" s="1467"/>
      <c r="FB78" s="1467"/>
      <c r="FC78" s="1467"/>
      <c r="FD78" s="1474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404" t="s">
        <v>340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341</v>
      </c>
      <c r="AG79" s="1434"/>
      <c r="AH79" s="1434"/>
      <c r="AI79" s="1434"/>
      <c r="AJ79" s="1434"/>
      <c r="AK79" s="1435"/>
      <c r="AL79" s="1401"/>
      <c r="AM79" s="1402"/>
      <c r="AN79" s="1402"/>
      <c r="AO79" s="1402"/>
      <c r="AP79" s="1402"/>
      <c r="AQ79" s="1402"/>
      <c r="AR79" s="1402"/>
      <c r="AS79" s="1402"/>
      <c r="AT79" s="1402"/>
      <c r="AU79" s="1403"/>
      <c r="AV79" s="1597"/>
      <c r="AW79" s="1597"/>
      <c r="AX79" s="1597"/>
      <c r="AY79" s="1597"/>
      <c r="AZ79" s="1597"/>
      <c r="BA79" s="1597"/>
      <c r="BB79" s="1597"/>
      <c r="BC79" s="1597"/>
      <c r="BD79" s="1597"/>
      <c r="BE79" s="1597"/>
      <c r="BF79" s="1597"/>
      <c r="BG79" s="1597"/>
      <c r="BH79" s="1597"/>
      <c r="BI79" s="1597"/>
      <c r="BJ79" s="1597"/>
      <c r="BK79" s="1597"/>
      <c r="BL79" s="1597"/>
      <c r="BM79" s="1597"/>
      <c r="BN79" s="1597"/>
      <c r="BO79" s="1597"/>
      <c r="BP79" s="1597"/>
      <c r="BQ79" s="1597"/>
      <c r="BR79" s="1597"/>
      <c r="BS79" s="1597"/>
      <c r="BT79" s="1597"/>
      <c r="BU79" s="1597"/>
      <c r="BV79" s="1597"/>
      <c r="BW79" s="1597"/>
      <c r="BX79" s="1597"/>
      <c r="BY79" s="1597"/>
      <c r="BZ79" s="1597"/>
      <c r="CA79" s="1597"/>
      <c r="CB79" s="1597"/>
      <c r="CC79" s="1597"/>
      <c r="CD79" s="1597"/>
      <c r="CE79" s="1597"/>
      <c r="CF79" s="1597"/>
      <c r="CG79" s="1597"/>
      <c r="CH79" s="1597"/>
      <c r="CI79" s="1597"/>
      <c r="CJ79" s="1401"/>
      <c r="CK79" s="1597"/>
      <c r="CL79" s="1597"/>
      <c r="CM79" s="1597"/>
      <c r="CN79" s="1597"/>
      <c r="CO79" s="1597"/>
      <c r="CP79" s="1597"/>
      <c r="CQ79" s="1597"/>
      <c r="CR79" s="1597"/>
      <c r="CS79" s="1597"/>
      <c r="CT79" s="1597"/>
      <c r="CU79" s="1597"/>
      <c r="CV79" s="1597"/>
      <c r="CW79" s="1597"/>
      <c r="CX79" s="1597"/>
      <c r="CY79" s="1597"/>
      <c r="CZ79" s="1597"/>
      <c r="DA79" s="1597"/>
      <c r="DB79" s="1597"/>
      <c r="DC79" s="1597"/>
      <c r="DD79" s="1597"/>
      <c r="DE79" s="1597"/>
      <c r="DF79" s="1597"/>
      <c r="DG79" s="1597"/>
      <c r="DH79" s="1597"/>
      <c r="DI79" s="1597"/>
      <c r="DJ79" s="1597"/>
      <c r="DK79" s="1597"/>
      <c r="DL79" s="1597"/>
      <c r="DM79" s="1597"/>
      <c r="DN79" s="1597"/>
      <c r="DO79" s="1597"/>
      <c r="DP79" s="1597"/>
      <c r="DQ79" s="1597"/>
      <c r="DR79" s="1597"/>
      <c r="DS79" s="1597"/>
      <c r="DT79" s="1597"/>
      <c r="DU79" s="1597"/>
      <c r="DV79" s="1597"/>
      <c r="DW79" s="1597"/>
      <c r="DX79" s="1597"/>
      <c r="DY79" s="1597"/>
      <c r="DZ79" s="1597"/>
      <c r="EA79" s="1597"/>
      <c r="EB79" s="1597"/>
      <c r="EC79" s="1597"/>
      <c r="ED79" s="1597"/>
      <c r="EE79" s="1597"/>
      <c r="EF79" s="1597"/>
      <c r="EG79" s="1597"/>
      <c r="EH79" s="1597"/>
      <c r="EI79" s="1597"/>
      <c r="EJ79" s="1597"/>
      <c r="EK79" s="1597"/>
      <c r="EL79" s="1597"/>
      <c r="EM79" s="1597"/>
      <c r="EN79" s="1597"/>
      <c r="EO79" s="1597"/>
      <c r="EP79" s="1597"/>
      <c r="EQ79" s="1597"/>
      <c r="ER79" s="1597"/>
      <c r="ES79" s="1597"/>
      <c r="ET79" s="1402"/>
      <c r="EU79" s="1402"/>
      <c r="EV79" s="1402"/>
      <c r="EW79" s="1402"/>
      <c r="EX79" s="1402"/>
      <c r="EY79" s="1402"/>
      <c r="EZ79" s="1402"/>
      <c r="FA79" s="1402"/>
      <c r="FB79" s="1402"/>
      <c r="FC79" s="1402"/>
      <c r="FD79" s="1432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404" t="s">
        <v>261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342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597"/>
      <c r="AW80" s="1597"/>
      <c r="AX80" s="1597"/>
      <c r="AY80" s="1597"/>
      <c r="AZ80" s="1597"/>
      <c r="BA80" s="1597"/>
      <c r="BB80" s="1597"/>
      <c r="BC80" s="1597"/>
      <c r="BD80" s="1597"/>
      <c r="BE80" s="1597"/>
      <c r="BF80" s="1597"/>
      <c r="BG80" s="1597"/>
      <c r="BH80" s="1597"/>
      <c r="BI80" s="1597"/>
      <c r="BJ80" s="1597"/>
      <c r="BK80" s="1597"/>
      <c r="BL80" s="1597"/>
      <c r="BM80" s="1597"/>
      <c r="BN80" s="1597"/>
      <c r="BO80" s="1597"/>
      <c r="BP80" s="1597"/>
      <c r="BQ80" s="1597"/>
      <c r="BR80" s="1597"/>
      <c r="BS80" s="1597"/>
      <c r="BT80" s="1597"/>
      <c r="BU80" s="1597"/>
      <c r="BV80" s="1597"/>
      <c r="BW80" s="1597"/>
      <c r="BX80" s="1597"/>
      <c r="BY80" s="1597"/>
      <c r="BZ80" s="1597"/>
      <c r="CA80" s="1597"/>
      <c r="CB80" s="1597"/>
      <c r="CC80" s="1597"/>
      <c r="CD80" s="1597"/>
      <c r="CE80" s="1597"/>
      <c r="CF80" s="1597"/>
      <c r="CG80" s="1597"/>
      <c r="CH80" s="1597"/>
      <c r="CI80" s="1597"/>
      <c r="CJ80" s="1401"/>
      <c r="CK80" s="1597"/>
      <c r="CL80" s="1597"/>
      <c r="CM80" s="1597"/>
      <c r="CN80" s="1597"/>
      <c r="CO80" s="1597"/>
      <c r="CP80" s="1597"/>
      <c r="CQ80" s="1597"/>
      <c r="CR80" s="1597"/>
      <c r="CS80" s="1597"/>
      <c r="CT80" s="1597"/>
      <c r="CU80" s="1597"/>
      <c r="CV80" s="1597"/>
      <c r="CW80" s="1597"/>
      <c r="CX80" s="1597"/>
      <c r="CY80" s="1597"/>
      <c r="CZ80" s="1597"/>
      <c r="DA80" s="1597"/>
      <c r="DB80" s="1597"/>
      <c r="DC80" s="1597"/>
      <c r="DD80" s="1597"/>
      <c r="DE80" s="1597"/>
      <c r="DF80" s="1597"/>
      <c r="DG80" s="1597"/>
      <c r="DH80" s="1597"/>
      <c r="DI80" s="1597"/>
      <c r="DJ80" s="1597"/>
      <c r="DK80" s="1597"/>
      <c r="DL80" s="1597"/>
      <c r="DM80" s="1597"/>
      <c r="DN80" s="1597"/>
      <c r="DO80" s="1597"/>
      <c r="DP80" s="1597"/>
      <c r="DQ80" s="1597"/>
      <c r="DR80" s="1597"/>
      <c r="DS80" s="1597"/>
      <c r="DT80" s="1597"/>
      <c r="DU80" s="1597"/>
      <c r="DV80" s="1597"/>
      <c r="DW80" s="1597"/>
      <c r="DX80" s="1597"/>
      <c r="DY80" s="1597"/>
      <c r="DZ80" s="1597"/>
      <c r="EA80" s="1597"/>
      <c r="EB80" s="1597"/>
      <c r="EC80" s="1597"/>
      <c r="ED80" s="1597"/>
      <c r="EE80" s="1597"/>
      <c r="EF80" s="1597"/>
      <c r="EG80" s="1597"/>
      <c r="EH80" s="1597"/>
      <c r="EI80" s="1597"/>
      <c r="EJ80" s="1597"/>
      <c r="EK80" s="1597"/>
      <c r="EL80" s="1597"/>
      <c r="EM80" s="1597"/>
      <c r="EN80" s="1597"/>
      <c r="EO80" s="1597"/>
      <c r="EP80" s="1597"/>
      <c r="EQ80" s="1597"/>
      <c r="ER80" s="1597"/>
      <c r="ES80" s="1597"/>
      <c r="ET80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49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404" t="s">
        <v>262</v>
      </c>
      <c r="B81" s="1405"/>
      <c r="C81" s="1405"/>
      <c r="D81" s="1405"/>
      <c r="E81" s="1405"/>
      <c r="F81" s="1405"/>
      <c r="G81" s="1405"/>
      <c r="H81" s="1405"/>
      <c r="I81" s="1405"/>
      <c r="J81" s="1405"/>
      <c r="K81" s="1405"/>
      <c r="L81" s="1405"/>
      <c r="M81" s="1405"/>
      <c r="N81" s="1405"/>
      <c r="O81" s="1405"/>
      <c r="P81" s="1405"/>
      <c r="Q81" s="1405"/>
      <c r="R81" s="1405"/>
      <c r="S81" s="1405"/>
      <c r="T81" s="1405"/>
      <c r="U81" s="1405"/>
      <c r="V81" s="1405"/>
      <c r="W81" s="1405"/>
      <c r="X81" s="1405"/>
      <c r="Y81" s="1405"/>
      <c r="Z81" s="1405"/>
      <c r="AA81" s="1405"/>
      <c r="AB81" s="1405"/>
      <c r="AC81" s="1405"/>
      <c r="AD81" s="1405"/>
      <c r="AE81" s="1406"/>
      <c r="AF81" s="1433" t="s">
        <v>343</v>
      </c>
      <c r="AG81" s="1434"/>
      <c r="AH81" s="1434"/>
      <c r="AI81" s="1434"/>
      <c r="AJ81" s="1434"/>
      <c r="AK81" s="1435"/>
      <c r="AL81" s="1429">
        <f>ET81</f>
        <v>0</v>
      </c>
      <c r="AM81" s="1430"/>
      <c r="AN81" s="1430"/>
      <c r="AO81" s="1430"/>
      <c r="AP81" s="1430"/>
      <c r="AQ81" s="1430"/>
      <c r="AR81" s="1430"/>
      <c r="AS81" s="1430"/>
      <c r="AT81" s="1430"/>
      <c r="AU81" s="1430"/>
      <c r="AV81" s="1597"/>
      <c r="AW81" s="1597"/>
      <c r="AX81" s="1597"/>
      <c r="AY81" s="1597"/>
      <c r="AZ81" s="1597"/>
      <c r="BA81" s="1597"/>
      <c r="BB81" s="1597"/>
      <c r="BC81" s="1597"/>
      <c r="BD81" s="1597"/>
      <c r="BE81" s="1597"/>
      <c r="BF81" s="1597"/>
      <c r="BG81" s="1597"/>
      <c r="BH81" s="1597"/>
      <c r="BI81" s="1597"/>
      <c r="BJ81" s="1597"/>
      <c r="BK81" s="1597"/>
      <c r="BL81" s="1597"/>
      <c r="BM81" s="1597"/>
      <c r="BN81" s="1597"/>
      <c r="BO81" s="1597"/>
      <c r="BP81" s="1597"/>
      <c r="BQ81" s="1597"/>
      <c r="BR81" s="1597"/>
      <c r="BS81" s="1597"/>
      <c r="BT81" s="1597"/>
      <c r="BU81" s="1597"/>
      <c r="BV81" s="1597"/>
      <c r="BW81" s="1597"/>
      <c r="BX81" s="1597"/>
      <c r="BY81" s="1597"/>
      <c r="BZ81" s="1597"/>
      <c r="CA81" s="1597"/>
      <c r="CB81" s="1597"/>
      <c r="CC81" s="1597"/>
      <c r="CD81" s="1597"/>
      <c r="CE81" s="1597"/>
      <c r="CF81" s="1597"/>
      <c r="CG81" s="1597"/>
      <c r="CH81" s="1597"/>
      <c r="CI81" s="1597"/>
      <c r="CJ81" s="1401"/>
      <c r="CK81" s="1597"/>
      <c r="CL81" s="1597"/>
      <c r="CM81" s="1597"/>
      <c r="CN81" s="1597"/>
      <c r="CO81" s="1597"/>
      <c r="CP81" s="1597"/>
      <c r="CQ81" s="1597"/>
      <c r="CR81" s="1597"/>
      <c r="CS81" s="1597"/>
      <c r="CT81" s="1597"/>
      <c r="CU81" s="1597"/>
      <c r="CV81" s="1597"/>
      <c r="CW81" s="1597"/>
      <c r="CX81" s="1597"/>
      <c r="CY81" s="1597"/>
      <c r="CZ81" s="1597"/>
      <c r="DA81" s="1597"/>
      <c r="DB81" s="1597"/>
      <c r="DC81" s="1597"/>
      <c r="DD81" s="1597"/>
      <c r="DE81" s="1597"/>
      <c r="DF81" s="1597"/>
      <c r="DG81" s="1597"/>
      <c r="DH81" s="1597"/>
      <c r="DI81" s="1597"/>
      <c r="DJ81" s="1597"/>
      <c r="DK81" s="1597"/>
      <c r="DL81" s="1597"/>
      <c r="DM81" s="1597"/>
      <c r="DN81" s="1597"/>
      <c r="DO81" s="1597"/>
      <c r="DP81" s="1597"/>
      <c r="DQ81" s="1597"/>
      <c r="DR81" s="1597"/>
      <c r="DS81" s="1597"/>
      <c r="DT81" s="1597"/>
      <c r="DU81" s="1597"/>
      <c r="DV81" s="1597"/>
      <c r="DW81" s="1597"/>
      <c r="DX81" s="1597"/>
      <c r="DY81" s="1597"/>
      <c r="DZ81" s="1597"/>
      <c r="EA81" s="1597"/>
      <c r="EB81" s="1597"/>
      <c r="EC81" s="1597"/>
      <c r="ED81" s="1597"/>
      <c r="EE81" s="1597"/>
      <c r="EF81" s="1597"/>
      <c r="EG81" s="1597"/>
      <c r="EH81" s="1597"/>
      <c r="EI81" s="1597"/>
      <c r="EJ81" s="1597"/>
      <c r="EK81" s="1597"/>
      <c r="EL81" s="1597"/>
      <c r="EM81" s="1597"/>
      <c r="EN81" s="1597"/>
      <c r="EO81" s="1597"/>
      <c r="EP81" s="1597"/>
      <c r="EQ81" s="1597"/>
      <c r="ER81" s="1597"/>
      <c r="ES81" s="1597"/>
      <c r="ET81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30"/>
      <c r="EV81" s="1430"/>
      <c r="EW81" s="1430"/>
      <c r="EX81" s="1430"/>
      <c r="EY81" s="1430"/>
      <c r="EZ81" s="1430"/>
      <c r="FA81" s="1430"/>
      <c r="FB81" s="1430"/>
      <c r="FC81" s="1430"/>
      <c r="FD81" s="1431"/>
      <c r="FE81" s="549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404" t="s">
        <v>344</v>
      </c>
      <c r="B82" s="1405"/>
      <c r="C82" s="1405"/>
      <c r="D82" s="1405"/>
      <c r="E82" s="1405"/>
      <c r="F82" s="1405"/>
      <c r="G82" s="1405"/>
      <c r="H82" s="1405"/>
      <c r="I82" s="1405"/>
      <c r="J82" s="1405"/>
      <c r="K82" s="1405"/>
      <c r="L82" s="1405"/>
      <c r="M82" s="1405"/>
      <c r="N82" s="1405"/>
      <c r="O82" s="1405"/>
      <c r="P82" s="1405"/>
      <c r="Q82" s="1405"/>
      <c r="R82" s="1405"/>
      <c r="S82" s="1405"/>
      <c r="T82" s="1405"/>
      <c r="U82" s="1405"/>
      <c r="V82" s="1405"/>
      <c r="W82" s="1405"/>
      <c r="X82" s="1405"/>
      <c r="Y82" s="1405"/>
      <c r="Z82" s="1405"/>
      <c r="AA82" s="1405"/>
      <c r="AB82" s="1405"/>
      <c r="AC82" s="1405"/>
      <c r="AD82" s="1405"/>
      <c r="AE82" s="1406"/>
      <c r="AF82" s="1433" t="s">
        <v>345</v>
      </c>
      <c r="AG82" s="1434"/>
      <c r="AH82" s="1434"/>
      <c r="AI82" s="1434"/>
      <c r="AJ82" s="1434"/>
      <c r="AK82" s="1435"/>
      <c r="AL82" s="1429">
        <f>ET82</f>
        <v>0</v>
      </c>
      <c r="AM82" s="1430"/>
      <c r="AN82" s="1430"/>
      <c r="AO82" s="1430"/>
      <c r="AP82" s="1430"/>
      <c r="AQ82" s="1430"/>
      <c r="AR82" s="1430"/>
      <c r="AS82" s="1430"/>
      <c r="AT82" s="1430"/>
      <c r="AU82" s="1430"/>
      <c r="AV82" s="1597"/>
      <c r="AW82" s="1597"/>
      <c r="AX82" s="1597"/>
      <c r="AY82" s="1597"/>
      <c r="AZ82" s="1597"/>
      <c r="BA82" s="1597"/>
      <c r="BB82" s="1597"/>
      <c r="BC82" s="1597"/>
      <c r="BD82" s="1597"/>
      <c r="BE82" s="1597"/>
      <c r="BF82" s="1597"/>
      <c r="BG82" s="1597"/>
      <c r="BH82" s="1597"/>
      <c r="BI82" s="1597"/>
      <c r="BJ82" s="1597"/>
      <c r="BK82" s="1597"/>
      <c r="BL82" s="1597"/>
      <c r="BM82" s="1597"/>
      <c r="BN82" s="1597"/>
      <c r="BO82" s="1597"/>
      <c r="BP82" s="1597"/>
      <c r="BQ82" s="1597"/>
      <c r="BR82" s="1597"/>
      <c r="BS82" s="1597"/>
      <c r="BT82" s="1597"/>
      <c r="BU82" s="1597"/>
      <c r="BV82" s="1597"/>
      <c r="BW82" s="1597"/>
      <c r="BX82" s="1597"/>
      <c r="BY82" s="1597"/>
      <c r="BZ82" s="1597"/>
      <c r="CA82" s="1597"/>
      <c r="CB82" s="1597"/>
      <c r="CC82" s="1597"/>
      <c r="CD82" s="1597"/>
      <c r="CE82" s="1597"/>
      <c r="CF82" s="1597"/>
      <c r="CG82" s="1597"/>
      <c r="CH82" s="1597"/>
      <c r="CI82" s="1597"/>
      <c r="CJ82" s="1401"/>
      <c r="CK82" s="1597"/>
      <c r="CL82" s="1597"/>
      <c r="CM82" s="1597"/>
      <c r="CN82" s="1597"/>
      <c r="CO82" s="1597"/>
      <c r="CP82" s="1597"/>
      <c r="CQ82" s="1597"/>
      <c r="CR82" s="1597"/>
      <c r="CS82" s="1597"/>
      <c r="CT82" s="1597"/>
      <c r="CU82" s="1597"/>
      <c r="CV82" s="1597"/>
      <c r="CW82" s="1597"/>
      <c r="CX82" s="1597"/>
      <c r="CY82" s="1597"/>
      <c r="CZ82" s="1597"/>
      <c r="DA82" s="1597"/>
      <c r="DB82" s="1597"/>
      <c r="DC82" s="1597"/>
      <c r="DD82" s="1597"/>
      <c r="DE82" s="1597"/>
      <c r="DF82" s="1597"/>
      <c r="DG82" s="1597"/>
      <c r="DH82" s="1597"/>
      <c r="DI82" s="1597"/>
      <c r="DJ82" s="1597"/>
      <c r="DK82" s="1597"/>
      <c r="DL82" s="1597"/>
      <c r="DM82" s="1597"/>
      <c r="DN82" s="1597"/>
      <c r="DO82" s="1597"/>
      <c r="DP82" s="1597"/>
      <c r="DQ82" s="1597"/>
      <c r="DR82" s="1597"/>
      <c r="DS82" s="1597"/>
      <c r="DT82" s="1597"/>
      <c r="DU82" s="1597"/>
      <c r="DV82" s="1597"/>
      <c r="DW82" s="1597"/>
      <c r="DX82" s="1597"/>
      <c r="DY82" s="1597"/>
      <c r="DZ82" s="1597"/>
      <c r="EA82" s="1597"/>
      <c r="EB82" s="1597"/>
      <c r="EC82" s="1597"/>
      <c r="ED82" s="1597"/>
      <c r="EE82" s="1597"/>
      <c r="EF82" s="1597"/>
      <c r="EG82" s="1597"/>
      <c r="EH82" s="1597"/>
      <c r="EI82" s="1597"/>
      <c r="EJ82" s="1597"/>
      <c r="EK82" s="1597"/>
      <c r="EL82" s="1597"/>
      <c r="EM82" s="1597"/>
      <c r="EN82" s="1597"/>
      <c r="EO82" s="1597"/>
      <c r="EP82" s="1597"/>
      <c r="EQ82" s="1597"/>
      <c r="ER82" s="1597"/>
      <c r="ES82" s="1597"/>
      <c r="ET82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30"/>
      <c r="EV82" s="1430"/>
      <c r="EW82" s="1430"/>
      <c r="EX82" s="1430"/>
      <c r="EY82" s="1430"/>
      <c r="EZ82" s="1430"/>
      <c r="FA82" s="1430"/>
      <c r="FB82" s="1430"/>
      <c r="FC82" s="1430"/>
      <c r="FD82" s="1431"/>
      <c r="FE82" s="549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75" t="s">
        <v>263</v>
      </c>
      <c r="B83" s="1476"/>
      <c r="C83" s="1476"/>
      <c r="D83" s="1476"/>
      <c r="E83" s="1476"/>
      <c r="F83" s="1476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  <c r="R83" s="1476"/>
      <c r="S83" s="1476"/>
      <c r="T83" s="1476"/>
      <c r="U83" s="1476"/>
      <c r="V83" s="1476"/>
      <c r="W83" s="1476"/>
      <c r="X83" s="1476"/>
      <c r="Y83" s="1476"/>
      <c r="Z83" s="1476"/>
      <c r="AA83" s="1476"/>
      <c r="AB83" s="1476"/>
      <c r="AC83" s="1476"/>
      <c r="AD83" s="1476"/>
      <c r="AE83" s="1477"/>
      <c r="AF83" s="1444" t="s">
        <v>346</v>
      </c>
      <c r="AG83" s="1445"/>
      <c r="AH83" s="1445"/>
      <c r="AI83" s="1445"/>
      <c r="AJ83" s="1445"/>
      <c r="AK83" s="1446"/>
      <c r="AL83" s="1447"/>
      <c r="AM83" s="1448"/>
      <c r="AN83" s="1448"/>
      <c r="AO83" s="1448"/>
      <c r="AP83" s="1448"/>
      <c r="AQ83" s="1448"/>
      <c r="AR83" s="1448"/>
      <c r="AS83" s="1448"/>
      <c r="AT83" s="1448"/>
      <c r="AU83" s="1449"/>
      <c r="AV83" s="1447"/>
      <c r="AW83" s="1448"/>
      <c r="AX83" s="1448"/>
      <c r="AY83" s="1448"/>
      <c r="AZ83" s="1448"/>
      <c r="BA83" s="1448"/>
      <c r="BB83" s="1448"/>
      <c r="BC83" s="1448"/>
      <c r="BD83" s="1448"/>
      <c r="BE83" s="1448"/>
      <c r="BF83" s="1448"/>
      <c r="BG83" s="1448"/>
      <c r="BH83" s="1448"/>
      <c r="BI83" s="1448"/>
      <c r="BJ83" s="1448"/>
      <c r="BK83" s="1448"/>
      <c r="BL83" s="1448"/>
      <c r="BM83" s="1448"/>
      <c r="BN83" s="1448"/>
      <c r="BO83" s="1448"/>
      <c r="BP83" s="1448"/>
      <c r="BQ83" s="1449"/>
      <c r="BR83" s="1447"/>
      <c r="BS83" s="1448"/>
      <c r="BT83" s="1448"/>
      <c r="BU83" s="1448"/>
      <c r="BV83" s="1448"/>
      <c r="BW83" s="1448"/>
      <c r="BX83" s="1448"/>
      <c r="BY83" s="1448"/>
      <c r="BZ83" s="1448"/>
      <c r="CA83" s="1448"/>
      <c r="CB83" s="1448"/>
      <c r="CC83" s="1448"/>
      <c r="CD83" s="1448"/>
      <c r="CE83" s="1448"/>
      <c r="CF83" s="1448"/>
      <c r="CG83" s="1448"/>
      <c r="CH83" s="1448"/>
      <c r="CI83" s="1448"/>
      <c r="CJ83" s="1448"/>
      <c r="CK83" s="1447"/>
      <c r="CL83" s="1448"/>
      <c r="CM83" s="1448"/>
      <c r="CN83" s="1448"/>
      <c r="CO83" s="1448"/>
      <c r="CP83" s="1448"/>
      <c r="CQ83" s="1448"/>
      <c r="CR83" s="1448"/>
      <c r="CS83" s="1448"/>
      <c r="CT83" s="1448"/>
      <c r="CU83" s="1448"/>
      <c r="CV83" s="1448"/>
      <c r="CW83" s="1448"/>
      <c r="CX83" s="1448"/>
      <c r="CY83" s="1448"/>
      <c r="CZ83" s="1448"/>
      <c r="DA83" s="1448"/>
      <c r="DB83" s="1448"/>
      <c r="DC83" s="1448"/>
      <c r="DD83" s="1448"/>
      <c r="DE83" s="1448"/>
      <c r="DF83" s="1448"/>
      <c r="DG83" s="1448"/>
      <c r="DH83" s="1448"/>
      <c r="DI83" s="1448"/>
      <c r="DJ83" s="1449"/>
      <c r="DK83" s="1448"/>
      <c r="DL83" s="1448"/>
      <c r="DM83" s="1448"/>
      <c r="DN83" s="1448"/>
      <c r="DO83" s="1448"/>
      <c r="DP83" s="1448"/>
      <c r="DQ83" s="1448"/>
      <c r="DR83" s="1448"/>
      <c r="DS83" s="1448"/>
      <c r="DT83" s="1448"/>
      <c r="DU83" s="1448"/>
      <c r="DV83" s="1448"/>
      <c r="DW83" s="1448"/>
      <c r="DX83" s="1448"/>
      <c r="DY83" s="1448"/>
      <c r="DZ83" s="1448"/>
      <c r="EA83" s="1448"/>
      <c r="EB83" s="1448"/>
      <c r="EC83" s="1448"/>
      <c r="ED83" s="1448"/>
      <c r="EE83" s="1448"/>
      <c r="EF83" s="1448"/>
      <c r="EG83" s="1448"/>
      <c r="EH83" s="1448"/>
      <c r="EI83" s="1448"/>
      <c r="EJ83" s="1448"/>
      <c r="EK83" s="1448"/>
      <c r="EL83" s="1448"/>
      <c r="EM83" s="1448"/>
      <c r="EN83" s="1448"/>
      <c r="EO83" s="1448"/>
      <c r="EP83" s="1448"/>
      <c r="EQ83" s="1448"/>
      <c r="ER83" s="1448"/>
      <c r="ES83" s="1449"/>
      <c r="ET83" s="1448"/>
      <c r="EU83" s="1448"/>
      <c r="EV83" s="1448"/>
      <c r="EW83" s="1448"/>
      <c r="EX83" s="1448"/>
      <c r="EY83" s="1448"/>
      <c r="EZ83" s="1448"/>
      <c r="FA83" s="1448"/>
      <c r="FB83" s="1448"/>
      <c r="FC83" s="1448"/>
      <c r="FD83" s="147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69" t="s">
        <v>1026</v>
      </c>
      <c r="B84" s="1470"/>
      <c r="C84" s="1470"/>
      <c r="D84" s="1470"/>
      <c r="E84" s="1470"/>
      <c r="F84" s="1470"/>
      <c r="G84" s="1470"/>
      <c r="H84" s="1470"/>
      <c r="I84" s="1470"/>
      <c r="J84" s="1470"/>
      <c r="K84" s="1470"/>
      <c r="L84" s="1470"/>
      <c r="M84" s="1470"/>
      <c r="N84" s="1470"/>
      <c r="O84" s="1470"/>
      <c r="P84" s="1470"/>
      <c r="Q84" s="1470"/>
      <c r="R84" s="1470"/>
      <c r="S84" s="1470"/>
      <c r="T84" s="1470"/>
      <c r="U84" s="1470"/>
      <c r="V84" s="1470"/>
      <c r="W84" s="1470"/>
      <c r="X84" s="1470"/>
      <c r="Y84" s="1470"/>
      <c r="Z84" s="1470"/>
      <c r="AA84" s="1470"/>
      <c r="AB84" s="1470"/>
      <c r="AC84" s="1470"/>
      <c r="AD84" s="1470"/>
      <c r="AE84" s="1471"/>
      <c r="AF84" s="1616"/>
      <c r="AG84" s="1617"/>
      <c r="AH84" s="1617"/>
      <c r="AI84" s="1617"/>
      <c r="AJ84" s="1617"/>
      <c r="AK84" s="1618"/>
      <c r="AL84" s="1619"/>
      <c r="AM84" s="1620"/>
      <c r="AN84" s="1620"/>
      <c r="AO84" s="1620"/>
      <c r="AP84" s="1620"/>
      <c r="AQ84" s="1620"/>
      <c r="AR84" s="1620"/>
      <c r="AS84" s="1620"/>
      <c r="AT84" s="1620"/>
      <c r="AU84" s="1621"/>
      <c r="AV84" s="1619"/>
      <c r="AW84" s="1620"/>
      <c r="AX84" s="1620"/>
      <c r="AY84" s="1620"/>
      <c r="AZ84" s="1620"/>
      <c r="BA84" s="1620"/>
      <c r="BB84" s="1620"/>
      <c r="BC84" s="1620"/>
      <c r="BD84" s="1620"/>
      <c r="BE84" s="1620"/>
      <c r="BF84" s="1620"/>
      <c r="BG84" s="1620"/>
      <c r="BH84" s="1620"/>
      <c r="BI84" s="1620"/>
      <c r="BJ84" s="1620"/>
      <c r="BK84" s="1620"/>
      <c r="BL84" s="1620"/>
      <c r="BM84" s="1620"/>
      <c r="BN84" s="1620"/>
      <c r="BO84" s="1620"/>
      <c r="BP84" s="1620"/>
      <c r="BQ84" s="1621"/>
      <c r="BR84" s="1619"/>
      <c r="BS84" s="1620"/>
      <c r="BT84" s="1620"/>
      <c r="BU84" s="1620"/>
      <c r="BV84" s="1620"/>
      <c r="BW84" s="1620"/>
      <c r="BX84" s="1620"/>
      <c r="BY84" s="1620"/>
      <c r="BZ84" s="1620"/>
      <c r="CA84" s="1620"/>
      <c r="CB84" s="1620"/>
      <c r="CC84" s="1620"/>
      <c r="CD84" s="1620"/>
      <c r="CE84" s="1620"/>
      <c r="CF84" s="1620"/>
      <c r="CG84" s="1620"/>
      <c r="CH84" s="1620"/>
      <c r="CI84" s="1620"/>
      <c r="CJ84" s="1620"/>
      <c r="CK84" s="1619"/>
      <c r="CL84" s="1620"/>
      <c r="CM84" s="1620"/>
      <c r="CN84" s="1620"/>
      <c r="CO84" s="1620"/>
      <c r="CP84" s="1620"/>
      <c r="CQ84" s="1620"/>
      <c r="CR84" s="1620"/>
      <c r="CS84" s="1620"/>
      <c r="CT84" s="1620"/>
      <c r="CU84" s="1620"/>
      <c r="CV84" s="1620"/>
      <c r="CW84" s="1620"/>
      <c r="CX84" s="1620"/>
      <c r="CY84" s="1620"/>
      <c r="CZ84" s="1620"/>
      <c r="DA84" s="1620"/>
      <c r="DB84" s="1620"/>
      <c r="DC84" s="1620"/>
      <c r="DD84" s="1620"/>
      <c r="DE84" s="1620"/>
      <c r="DF84" s="1620"/>
      <c r="DG84" s="1620"/>
      <c r="DH84" s="1620"/>
      <c r="DI84" s="1620"/>
      <c r="DJ84" s="1621"/>
      <c r="DK84" s="1620"/>
      <c r="DL84" s="1620"/>
      <c r="DM84" s="1620"/>
      <c r="DN84" s="1620"/>
      <c r="DO84" s="1620"/>
      <c r="DP84" s="1620"/>
      <c r="DQ84" s="1620"/>
      <c r="DR84" s="1620"/>
      <c r="DS84" s="1620"/>
      <c r="DT84" s="1620"/>
      <c r="DU84" s="1620"/>
      <c r="DV84" s="1620"/>
      <c r="DW84" s="1620"/>
      <c r="DX84" s="1620"/>
      <c r="DY84" s="1620"/>
      <c r="DZ84" s="1620"/>
      <c r="EA84" s="1620"/>
      <c r="EB84" s="1620"/>
      <c r="EC84" s="1620"/>
      <c r="ED84" s="1620"/>
      <c r="EE84" s="1620"/>
      <c r="EF84" s="1620"/>
      <c r="EG84" s="1620"/>
      <c r="EH84" s="1620"/>
      <c r="EI84" s="1620"/>
      <c r="EJ84" s="1620"/>
      <c r="EK84" s="1620"/>
      <c r="EL84" s="1620"/>
      <c r="EM84" s="1620"/>
      <c r="EN84" s="1620"/>
      <c r="EO84" s="1620"/>
      <c r="EP84" s="1620"/>
      <c r="EQ84" s="1620"/>
      <c r="ER84" s="1620"/>
      <c r="ES84" s="1621"/>
      <c r="ET84" s="1620"/>
      <c r="EU84" s="1620"/>
      <c r="EV84" s="1620"/>
      <c r="EW84" s="1620"/>
      <c r="EX84" s="1620"/>
      <c r="EY84" s="1620"/>
      <c r="EZ84" s="1620"/>
      <c r="FA84" s="1620"/>
      <c r="FB84" s="1620"/>
      <c r="FC84" s="1620"/>
      <c r="FD84" s="1622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10" t="s">
        <v>197</v>
      </c>
      <c r="B88" s="1411"/>
      <c r="C88" s="1411"/>
      <c r="D88" s="1411"/>
      <c r="E88" s="1411"/>
      <c r="F88" s="1411"/>
      <c r="G88" s="1411"/>
      <c r="H88" s="1411"/>
      <c r="I88" s="1411"/>
      <c r="J88" s="1411"/>
      <c r="K88" s="1411"/>
      <c r="L88" s="1411"/>
      <c r="M88" s="1411"/>
      <c r="N88" s="1411"/>
      <c r="O88" s="1411"/>
      <c r="P88" s="1411"/>
      <c r="Q88" s="1411"/>
      <c r="R88" s="1411"/>
      <c r="S88" s="1411"/>
      <c r="T88" s="1411"/>
      <c r="U88" s="1411"/>
      <c r="V88" s="1411"/>
      <c r="W88" s="1411"/>
      <c r="X88" s="1411"/>
      <c r="Y88" s="1411"/>
      <c r="Z88" s="1411"/>
      <c r="AA88" s="1411"/>
      <c r="AB88" s="1411"/>
      <c r="AC88" s="1411"/>
      <c r="AD88" s="1411"/>
      <c r="AE88" s="1412"/>
      <c r="AF88" s="1410" t="s">
        <v>288</v>
      </c>
      <c r="AG88" s="1411"/>
      <c r="AH88" s="1411"/>
      <c r="AI88" s="1411"/>
      <c r="AJ88" s="1411"/>
      <c r="AK88" s="1412"/>
      <c r="AL88" s="1410" t="s">
        <v>304</v>
      </c>
      <c r="AM88" s="1411"/>
      <c r="AN88" s="1411"/>
      <c r="AO88" s="1411"/>
      <c r="AP88" s="1411"/>
      <c r="AQ88" s="1411"/>
      <c r="AR88" s="1411"/>
      <c r="AS88" s="1411"/>
      <c r="AT88" s="1411"/>
      <c r="AU88" s="1412"/>
      <c r="AV88" s="1419" t="s">
        <v>305</v>
      </c>
      <c r="AW88" s="1420"/>
      <c r="AX88" s="1420"/>
      <c r="AY88" s="1420"/>
      <c r="AZ88" s="1420"/>
      <c r="BA88" s="1420"/>
      <c r="BB88" s="1420"/>
      <c r="BC88" s="1420"/>
      <c r="BD88" s="1420"/>
      <c r="BE88" s="1420"/>
      <c r="BF88" s="1420"/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0"/>
      <c r="BR88" s="1420"/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0"/>
      <c r="CC88" s="1420"/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0"/>
      <c r="CP88" s="1420"/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0"/>
      <c r="DA88" s="1420"/>
      <c r="DB88" s="1420"/>
      <c r="DC88" s="1420"/>
      <c r="DD88" s="1420"/>
      <c r="DE88" s="1420"/>
      <c r="DF88" s="1420"/>
      <c r="DG88" s="1420"/>
      <c r="DH88" s="1420"/>
      <c r="DI88" s="1420"/>
      <c r="DJ88" s="1420"/>
      <c r="DK88" s="1420"/>
      <c r="DL88" s="1420"/>
      <c r="DM88" s="1420"/>
      <c r="DN88" s="1420"/>
      <c r="DO88" s="1420"/>
      <c r="DP88" s="1420"/>
      <c r="DQ88" s="1420"/>
      <c r="DR88" s="1420"/>
      <c r="DS88" s="1420"/>
      <c r="DT88" s="1420"/>
      <c r="DU88" s="1420"/>
      <c r="DV88" s="1420"/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0"/>
      <c r="EI88" s="1420"/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0"/>
      <c r="ET88" s="1420"/>
      <c r="EU88" s="1420"/>
      <c r="EV88" s="1420"/>
      <c r="EW88" s="1420"/>
      <c r="EX88" s="1420"/>
      <c r="EY88" s="1420"/>
      <c r="EZ88" s="1420"/>
      <c r="FA88" s="1420"/>
      <c r="FB88" s="1420"/>
      <c r="FC88" s="1420"/>
      <c r="FD88" s="1421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13"/>
      <c r="B89" s="1414"/>
      <c r="C89" s="1414"/>
      <c r="D89" s="1414"/>
      <c r="E89" s="1414"/>
      <c r="F89" s="1414"/>
      <c r="G89" s="1414"/>
      <c r="H89" s="1414"/>
      <c r="I89" s="1414"/>
      <c r="J89" s="1414"/>
      <c r="K89" s="1414"/>
      <c r="L89" s="1414"/>
      <c r="M89" s="1414"/>
      <c r="N89" s="1414"/>
      <c r="O89" s="1414"/>
      <c r="P89" s="1414"/>
      <c r="Q89" s="1414"/>
      <c r="R89" s="1414"/>
      <c r="S89" s="1414"/>
      <c r="T89" s="1414"/>
      <c r="U89" s="1414"/>
      <c r="V89" s="1414"/>
      <c r="W89" s="1414"/>
      <c r="X89" s="1414"/>
      <c r="Y89" s="1414"/>
      <c r="Z89" s="1414"/>
      <c r="AA89" s="1414"/>
      <c r="AB89" s="1414"/>
      <c r="AC89" s="1414"/>
      <c r="AD89" s="1414"/>
      <c r="AE89" s="1415"/>
      <c r="AF89" s="1413"/>
      <c r="AG89" s="1414"/>
      <c r="AH89" s="1414"/>
      <c r="AI89" s="1414"/>
      <c r="AJ89" s="1414"/>
      <c r="AK89" s="1415"/>
      <c r="AL89" s="1413"/>
      <c r="AM89" s="1414"/>
      <c r="AN89" s="1414"/>
      <c r="AO89" s="1414"/>
      <c r="AP89" s="1414"/>
      <c r="AQ89" s="1414"/>
      <c r="AR89" s="1414"/>
      <c r="AS89" s="1414"/>
      <c r="AT89" s="1414"/>
      <c r="AU89" s="1415"/>
      <c r="AV89" s="1592" t="s">
        <v>307</v>
      </c>
      <c r="AW89" s="1592"/>
      <c r="AX89" s="1592"/>
      <c r="AY89" s="1592"/>
      <c r="AZ89" s="1592"/>
      <c r="BA89" s="1592"/>
      <c r="BB89" s="1592"/>
      <c r="BC89" s="1592"/>
      <c r="BD89" s="1592"/>
      <c r="BE89" s="1592"/>
      <c r="BF89" s="1592"/>
      <c r="BG89" s="1592"/>
      <c r="BH89" s="1592"/>
      <c r="BI89" s="1592"/>
      <c r="BJ89" s="1592"/>
      <c r="BK89" s="1592"/>
      <c r="BL89" s="1592"/>
      <c r="BM89" s="1592"/>
      <c r="BN89" s="1592"/>
      <c r="BO89" s="1592"/>
      <c r="BP89" s="1592"/>
      <c r="BQ89" s="1592"/>
      <c r="BR89" s="1592" t="s">
        <v>475</v>
      </c>
      <c r="BS89" s="1592"/>
      <c r="BT89" s="1592"/>
      <c r="BU89" s="1592"/>
      <c r="BV89" s="1592"/>
      <c r="BW89" s="1592"/>
      <c r="BX89" s="1592"/>
      <c r="BY89" s="1592"/>
      <c r="BZ89" s="1592"/>
      <c r="CA89" s="1592"/>
      <c r="CB89" s="1592"/>
      <c r="CC89" s="1592"/>
      <c r="CD89" s="1592"/>
      <c r="CE89" s="1592"/>
      <c r="CF89" s="1592"/>
      <c r="CG89" s="1592"/>
      <c r="CH89" s="1592"/>
      <c r="CI89" s="1592"/>
      <c r="CJ89" s="1592"/>
      <c r="CK89" s="1592"/>
      <c r="CL89" s="1592"/>
      <c r="CM89" s="1592"/>
      <c r="CN89" s="1592"/>
      <c r="CO89" s="1592"/>
      <c r="CP89" s="1592"/>
      <c r="CQ89" s="1592"/>
      <c r="CR89" s="1592"/>
      <c r="CS89" s="1592"/>
      <c r="CT89" s="1592"/>
      <c r="CU89" s="1592"/>
      <c r="CV89" s="1592"/>
      <c r="CW89" s="1592"/>
      <c r="CX89" s="1592"/>
      <c r="CY89" s="1592"/>
      <c r="CZ89" s="1592"/>
      <c r="DA89" s="1592"/>
      <c r="DB89" s="1592"/>
      <c r="DC89" s="1592"/>
      <c r="DD89" s="1592"/>
      <c r="DE89" s="1592"/>
      <c r="DF89" s="1592"/>
      <c r="DG89" s="1592"/>
      <c r="DH89" s="1592"/>
      <c r="DI89" s="1592"/>
      <c r="DJ89" s="1592"/>
      <c r="DK89" s="1592"/>
      <c r="DL89" s="1592"/>
      <c r="DM89" s="1592"/>
      <c r="DN89" s="1592"/>
      <c r="DO89" s="1592"/>
      <c r="DP89" s="1592"/>
      <c r="DQ89" s="1592"/>
      <c r="DR89" s="1592"/>
      <c r="DS89" s="1592"/>
      <c r="DT89" s="1592"/>
      <c r="DU89" s="1592"/>
      <c r="DV89" s="1592"/>
      <c r="DW89" s="1592"/>
      <c r="DX89" s="1592" t="s">
        <v>479</v>
      </c>
      <c r="DY89" s="1592"/>
      <c r="DZ89" s="1592"/>
      <c r="EA89" s="1592"/>
      <c r="EB89" s="1592"/>
      <c r="EC89" s="1592"/>
      <c r="ED89" s="1592"/>
      <c r="EE89" s="1592"/>
      <c r="EF89" s="1592"/>
      <c r="EG89" s="1592"/>
      <c r="EH89" s="1592"/>
      <c r="EI89" s="1592"/>
      <c r="EJ89" s="1592"/>
      <c r="EK89" s="1592"/>
      <c r="EL89" s="1592"/>
      <c r="EM89" s="1592"/>
      <c r="EN89" s="1592"/>
      <c r="EO89" s="1592"/>
      <c r="EP89" s="1592"/>
      <c r="EQ89" s="1592"/>
      <c r="ER89" s="1592"/>
      <c r="ES89" s="1592"/>
      <c r="ET89" s="1592" t="s">
        <v>479</v>
      </c>
      <c r="EU89" s="1592"/>
      <c r="EV89" s="1592"/>
      <c r="EW89" s="1592"/>
      <c r="EX89" s="1592"/>
      <c r="EY89" s="1592"/>
      <c r="EZ89" s="1592"/>
      <c r="FA89" s="1592"/>
      <c r="FB89" s="1592"/>
      <c r="FC89" s="1592"/>
      <c r="FD89" s="1592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13"/>
      <c r="B90" s="1414"/>
      <c r="C90" s="1414"/>
      <c r="D90" s="1414"/>
      <c r="E90" s="1414"/>
      <c r="F90" s="1414"/>
      <c r="G90" s="1414"/>
      <c r="H90" s="1414"/>
      <c r="I90" s="1414"/>
      <c r="J90" s="1414"/>
      <c r="K90" s="1414"/>
      <c r="L90" s="1414"/>
      <c r="M90" s="1414"/>
      <c r="N90" s="1414"/>
      <c r="O90" s="1414"/>
      <c r="P90" s="1414"/>
      <c r="Q90" s="1414"/>
      <c r="R90" s="1414"/>
      <c r="S90" s="1414"/>
      <c r="T90" s="1414"/>
      <c r="U90" s="1414"/>
      <c r="V90" s="1414"/>
      <c r="W90" s="1414"/>
      <c r="X90" s="1414"/>
      <c r="Y90" s="1414"/>
      <c r="Z90" s="1414"/>
      <c r="AA90" s="1414"/>
      <c r="AB90" s="1414"/>
      <c r="AC90" s="1414"/>
      <c r="AD90" s="1414"/>
      <c r="AE90" s="1415"/>
      <c r="AF90" s="1413"/>
      <c r="AG90" s="1414"/>
      <c r="AH90" s="1414"/>
      <c r="AI90" s="1414"/>
      <c r="AJ90" s="1414"/>
      <c r="AK90" s="1415"/>
      <c r="AL90" s="1413"/>
      <c r="AM90" s="1414"/>
      <c r="AN90" s="1414"/>
      <c r="AO90" s="1414"/>
      <c r="AP90" s="1414"/>
      <c r="AQ90" s="1414"/>
      <c r="AR90" s="1414"/>
      <c r="AS90" s="1414"/>
      <c r="AT90" s="1414"/>
      <c r="AU90" s="1415"/>
      <c r="AV90" s="1592"/>
      <c r="AW90" s="1592"/>
      <c r="AX90" s="1592"/>
      <c r="AY90" s="1592"/>
      <c r="AZ90" s="1592"/>
      <c r="BA90" s="1592"/>
      <c r="BB90" s="1592"/>
      <c r="BC90" s="1592"/>
      <c r="BD90" s="1592"/>
      <c r="BE90" s="1592"/>
      <c r="BF90" s="1592"/>
      <c r="BG90" s="1592"/>
      <c r="BH90" s="1592"/>
      <c r="BI90" s="1592"/>
      <c r="BJ90" s="1592"/>
      <c r="BK90" s="1592"/>
      <c r="BL90" s="1592"/>
      <c r="BM90" s="1592"/>
      <c r="BN90" s="1592"/>
      <c r="BO90" s="1592"/>
      <c r="BP90" s="1592"/>
      <c r="BQ90" s="1592"/>
      <c r="BR90" s="1592" t="s">
        <v>308</v>
      </c>
      <c r="BS90" s="1592"/>
      <c r="BT90" s="1592"/>
      <c r="BU90" s="1592"/>
      <c r="BV90" s="1592"/>
      <c r="BW90" s="1592"/>
      <c r="BX90" s="1592"/>
      <c r="BY90" s="1592"/>
      <c r="BZ90" s="1592"/>
      <c r="CA90" s="1592"/>
      <c r="CB90" s="1592"/>
      <c r="CC90" s="1592"/>
      <c r="CD90" s="1592"/>
      <c r="CE90" s="1592"/>
      <c r="CF90" s="1592"/>
      <c r="CG90" s="1592"/>
      <c r="CH90" s="1592"/>
      <c r="CI90" s="1592"/>
      <c r="CJ90" s="1592"/>
      <c r="CK90" s="1592" t="s">
        <v>309</v>
      </c>
      <c r="CL90" s="1592"/>
      <c r="CM90" s="1592"/>
      <c r="CN90" s="1592"/>
      <c r="CO90" s="1592"/>
      <c r="CP90" s="1592"/>
      <c r="CQ90" s="1592"/>
      <c r="CR90" s="1592"/>
      <c r="CS90" s="1592"/>
      <c r="CT90" s="1592"/>
      <c r="CU90" s="1592"/>
      <c r="CV90" s="1592"/>
      <c r="CW90" s="1592"/>
      <c r="CX90" s="1592"/>
      <c r="CY90" s="1592"/>
      <c r="CZ90" s="1592"/>
      <c r="DA90" s="1592"/>
      <c r="DB90" s="1592"/>
      <c r="DC90" s="1592"/>
      <c r="DD90" s="1592"/>
      <c r="DE90" s="1592"/>
      <c r="DF90" s="1592"/>
      <c r="DG90" s="1592"/>
      <c r="DH90" s="1592"/>
      <c r="DI90" s="1592"/>
      <c r="DJ90" s="1592"/>
      <c r="DK90" s="1592"/>
      <c r="DL90" s="1592"/>
      <c r="DM90" s="1592"/>
      <c r="DN90" s="1592"/>
      <c r="DO90" s="1592"/>
      <c r="DP90" s="1592"/>
      <c r="DQ90" s="1592"/>
      <c r="DR90" s="1592"/>
      <c r="DS90" s="1592"/>
      <c r="DT90" s="1592"/>
      <c r="DU90" s="1592"/>
      <c r="DV90" s="1592"/>
      <c r="DW90" s="1592"/>
      <c r="DX90" s="1592"/>
      <c r="DY90" s="1592"/>
      <c r="DZ90" s="1592"/>
      <c r="EA90" s="1592"/>
      <c r="EB90" s="1592"/>
      <c r="EC90" s="1592"/>
      <c r="ED90" s="1592"/>
      <c r="EE90" s="1592"/>
      <c r="EF90" s="1592"/>
      <c r="EG90" s="1592"/>
      <c r="EH90" s="1592"/>
      <c r="EI90" s="1592"/>
      <c r="EJ90" s="1592"/>
      <c r="EK90" s="1592"/>
      <c r="EL90" s="1592"/>
      <c r="EM90" s="1592"/>
      <c r="EN90" s="1592"/>
      <c r="EO90" s="1592"/>
      <c r="EP90" s="1592"/>
      <c r="EQ90" s="1592"/>
      <c r="ER90" s="1592"/>
      <c r="ES90" s="1592"/>
      <c r="ET90" s="1592"/>
      <c r="EU90" s="1592"/>
      <c r="EV90" s="1592"/>
      <c r="EW90" s="1592"/>
      <c r="EX90" s="1592"/>
      <c r="EY90" s="1592"/>
      <c r="EZ90" s="1592"/>
      <c r="FA90" s="1592"/>
      <c r="FB90" s="1592"/>
      <c r="FC90" s="1592"/>
      <c r="FD90" s="1592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16"/>
      <c r="B91" s="1417"/>
      <c r="C91" s="1417"/>
      <c r="D91" s="1417"/>
      <c r="E91" s="1417"/>
      <c r="F91" s="1417"/>
      <c r="G91" s="1417"/>
      <c r="H91" s="1417"/>
      <c r="I91" s="1417"/>
      <c r="J91" s="1417"/>
      <c r="K91" s="1417"/>
      <c r="L91" s="1417"/>
      <c r="M91" s="1417"/>
      <c r="N91" s="1417"/>
      <c r="O91" s="1417"/>
      <c r="P91" s="1417"/>
      <c r="Q91" s="1417"/>
      <c r="R91" s="1417"/>
      <c r="S91" s="1417"/>
      <c r="T91" s="1417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8"/>
      <c r="AF91" s="1416"/>
      <c r="AG91" s="1417"/>
      <c r="AH91" s="1417"/>
      <c r="AI91" s="1417"/>
      <c r="AJ91" s="1417"/>
      <c r="AK91" s="1418"/>
      <c r="AL91" s="1416"/>
      <c r="AM91" s="1417"/>
      <c r="AN91" s="1417"/>
      <c r="AO91" s="1417"/>
      <c r="AP91" s="1417"/>
      <c r="AQ91" s="1417"/>
      <c r="AR91" s="1417"/>
      <c r="AS91" s="1417"/>
      <c r="AT91" s="1417"/>
      <c r="AU91" s="1418"/>
      <c r="AV91" s="1592"/>
      <c r="AW91" s="1592"/>
      <c r="AX91" s="1592"/>
      <c r="AY91" s="1592"/>
      <c r="AZ91" s="1592"/>
      <c r="BA91" s="1592"/>
      <c r="BB91" s="1592"/>
      <c r="BC91" s="1592"/>
      <c r="BD91" s="1592"/>
      <c r="BE91" s="1592"/>
      <c r="BF91" s="1592"/>
      <c r="BG91" s="1592"/>
      <c r="BH91" s="1592"/>
      <c r="BI91" s="1592"/>
      <c r="BJ91" s="1592"/>
      <c r="BK91" s="1592"/>
      <c r="BL91" s="1592"/>
      <c r="BM91" s="1592"/>
      <c r="BN91" s="1592"/>
      <c r="BO91" s="1592"/>
      <c r="BP91" s="1592"/>
      <c r="BQ91" s="1592"/>
      <c r="BR91" s="1592"/>
      <c r="BS91" s="1592"/>
      <c r="BT91" s="1592"/>
      <c r="BU91" s="1592"/>
      <c r="BV91" s="1592"/>
      <c r="BW91" s="1592"/>
      <c r="BX91" s="1592"/>
      <c r="BY91" s="1592"/>
      <c r="BZ91" s="1592"/>
      <c r="CA91" s="1592"/>
      <c r="CB91" s="1592"/>
      <c r="CC91" s="1592"/>
      <c r="CD91" s="1592"/>
      <c r="CE91" s="1592"/>
      <c r="CF91" s="1592"/>
      <c r="CG91" s="1592"/>
      <c r="CH91" s="1592"/>
      <c r="CI91" s="1592"/>
      <c r="CJ91" s="1592"/>
      <c r="CK91" s="1410" t="s">
        <v>478</v>
      </c>
      <c r="CL91" s="1411"/>
      <c r="CM91" s="1411"/>
      <c r="CN91" s="1411"/>
      <c r="CO91" s="1411"/>
      <c r="CP91" s="1411"/>
      <c r="CQ91" s="1411"/>
      <c r="CR91" s="1411"/>
      <c r="CS91" s="1411"/>
      <c r="CT91" s="1411"/>
      <c r="CU91" s="1411"/>
      <c r="CV91" s="1411"/>
      <c r="CW91" s="1411"/>
      <c r="CX91" s="1411"/>
      <c r="CY91" s="1411"/>
      <c r="CZ91" s="1411"/>
      <c r="DA91" s="1411"/>
      <c r="DB91" s="1411"/>
      <c r="DC91" s="1411"/>
      <c r="DD91" s="1411"/>
      <c r="DE91" s="1411"/>
      <c r="DF91" s="1411"/>
      <c r="DG91" s="1411" t="s">
        <v>477</v>
      </c>
      <c r="DH91" s="1411"/>
      <c r="DI91" s="1411"/>
      <c r="DJ91" s="1412"/>
      <c r="DK91" s="1410" t="s">
        <v>477</v>
      </c>
      <c r="DL91" s="1411"/>
      <c r="DM91" s="1411"/>
      <c r="DN91" s="1411"/>
      <c r="DO91" s="1411"/>
      <c r="DP91" s="1411"/>
      <c r="DQ91" s="1411"/>
      <c r="DR91" s="1411"/>
      <c r="DS91" s="1411"/>
      <c r="DT91" s="1411"/>
      <c r="DU91" s="1411"/>
      <c r="DV91" s="1411"/>
      <c r="DW91" s="1411"/>
      <c r="DX91" s="1411"/>
      <c r="DY91" s="1411"/>
      <c r="DZ91" s="1411"/>
      <c r="EA91" s="1411"/>
      <c r="EB91" s="1411"/>
      <c r="EC91" s="1411"/>
      <c r="ED91" s="1411"/>
      <c r="EE91" s="1411"/>
      <c r="EF91" s="1411"/>
      <c r="EG91" s="1411"/>
      <c r="EH91" s="1411"/>
      <c r="EI91" s="1411"/>
      <c r="EJ91" s="1411"/>
      <c r="EK91" s="1411"/>
      <c r="EL91" s="1411"/>
      <c r="EM91" s="1411"/>
      <c r="EN91" s="1411"/>
      <c r="EO91" s="1411"/>
      <c r="EP91" s="1411"/>
      <c r="EQ91" s="1411"/>
      <c r="ER91" s="1411"/>
      <c r="ES91" s="1412"/>
      <c r="ET91" s="1592"/>
      <c r="EU91" s="1592"/>
      <c r="EV91" s="1592"/>
      <c r="EW91" s="1592"/>
      <c r="EX91" s="1592"/>
      <c r="EY91" s="1592"/>
      <c r="EZ91" s="1592"/>
      <c r="FA91" s="1592"/>
      <c r="FB91" s="1592"/>
      <c r="FC91" s="1592"/>
      <c r="FD91" s="1592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422" t="s">
        <v>399</v>
      </c>
      <c r="B92" s="1423"/>
      <c r="C92" s="1423"/>
      <c r="D92" s="1423"/>
      <c r="E92" s="1423"/>
      <c r="F92" s="1423"/>
      <c r="G92" s="1423"/>
      <c r="H92" s="1423"/>
      <c r="I92" s="1423"/>
      <c r="J92" s="1423"/>
      <c r="K92" s="1423"/>
      <c r="L92" s="1423"/>
      <c r="M92" s="1423"/>
      <c r="N92" s="1423"/>
      <c r="O92" s="1423"/>
      <c r="P92" s="1423"/>
      <c r="Q92" s="1423"/>
      <c r="R92" s="1423"/>
      <c r="S92" s="1423"/>
      <c r="T92" s="1423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4"/>
      <c r="AF92" s="1407" t="s">
        <v>400</v>
      </c>
      <c r="AG92" s="1408"/>
      <c r="AH92" s="1408"/>
      <c r="AI92" s="1408"/>
      <c r="AJ92" s="1408"/>
      <c r="AK92" s="1409"/>
      <c r="AL92" s="1407" t="s">
        <v>401</v>
      </c>
      <c r="AM92" s="1408"/>
      <c r="AN92" s="1408"/>
      <c r="AO92" s="1408"/>
      <c r="AP92" s="1408"/>
      <c r="AQ92" s="1408"/>
      <c r="AR92" s="1408"/>
      <c r="AS92" s="1408"/>
      <c r="AT92" s="1408"/>
      <c r="AU92" s="1409"/>
      <c r="AV92" s="1603" t="s">
        <v>402</v>
      </c>
      <c r="AW92" s="1604"/>
      <c r="AX92" s="1604"/>
      <c r="AY92" s="1604"/>
      <c r="AZ92" s="1604"/>
      <c r="BA92" s="1604"/>
      <c r="BB92" s="1604"/>
      <c r="BC92" s="1604"/>
      <c r="BD92" s="1604"/>
      <c r="BE92" s="1604"/>
      <c r="BF92" s="1604"/>
      <c r="BG92" s="1604"/>
      <c r="BH92" s="1604"/>
      <c r="BI92" s="1604"/>
      <c r="BJ92" s="1604"/>
      <c r="BK92" s="1604"/>
      <c r="BL92" s="1604"/>
      <c r="BM92" s="1604"/>
      <c r="BN92" s="1604"/>
      <c r="BO92" s="1604"/>
      <c r="BP92" s="1604"/>
      <c r="BQ92" s="1604"/>
      <c r="BR92" s="1603" t="s">
        <v>403</v>
      </c>
      <c r="BS92" s="1604"/>
      <c r="BT92" s="1604"/>
      <c r="BU92" s="1604"/>
      <c r="BV92" s="1604"/>
      <c r="BW92" s="1604"/>
      <c r="BX92" s="1604"/>
      <c r="BY92" s="1604"/>
      <c r="BZ92" s="1604"/>
      <c r="CA92" s="1604"/>
      <c r="CB92" s="1604"/>
      <c r="CC92" s="1604"/>
      <c r="CD92" s="1604"/>
      <c r="CE92" s="1604"/>
      <c r="CF92" s="1604"/>
      <c r="CG92" s="1604"/>
      <c r="CH92" s="1604"/>
      <c r="CI92" s="1604"/>
      <c r="CJ92" s="1604"/>
      <c r="CK92" s="1590" t="s">
        <v>404</v>
      </c>
      <c r="CL92" s="1590"/>
      <c r="CM92" s="1590"/>
      <c r="CN92" s="1590"/>
      <c r="CO92" s="1590"/>
      <c r="CP92" s="1590"/>
      <c r="CQ92" s="1590"/>
      <c r="CR92" s="1590"/>
      <c r="CS92" s="1590"/>
      <c r="CT92" s="1590"/>
      <c r="CU92" s="1590"/>
      <c r="CV92" s="1590"/>
      <c r="CW92" s="1590"/>
      <c r="CX92" s="1590"/>
      <c r="CY92" s="1590"/>
      <c r="CZ92" s="1590"/>
      <c r="DA92" s="1590"/>
      <c r="DB92" s="1590"/>
      <c r="DC92" s="1590"/>
      <c r="DD92" s="1590"/>
      <c r="DE92" s="1590"/>
      <c r="DF92" s="1590"/>
      <c r="DG92" s="1590" t="s">
        <v>405</v>
      </c>
      <c r="DH92" s="1590"/>
      <c r="DI92" s="1590"/>
      <c r="DJ92" s="1590"/>
      <c r="DK92" s="1591" t="s">
        <v>405</v>
      </c>
      <c r="DL92" s="1591"/>
      <c r="DM92" s="1591"/>
      <c r="DN92" s="1591"/>
      <c r="DO92" s="1591"/>
      <c r="DP92" s="1591"/>
      <c r="DQ92" s="1591"/>
      <c r="DR92" s="1591"/>
      <c r="DS92" s="1591"/>
      <c r="DT92" s="1591"/>
      <c r="DU92" s="1591"/>
      <c r="DV92" s="1591"/>
      <c r="DW92" s="1591"/>
      <c r="DX92" s="1591"/>
      <c r="DY92" s="1591"/>
      <c r="DZ92" s="1591"/>
      <c r="EA92" s="1591"/>
      <c r="EB92" s="1591"/>
      <c r="EC92" s="1591"/>
      <c r="ED92" s="1591"/>
      <c r="EE92" s="1591"/>
      <c r="EF92" s="1591"/>
      <c r="EG92" s="1591"/>
      <c r="EH92" s="1591"/>
      <c r="EI92" s="1591"/>
      <c r="EJ92" s="1591"/>
      <c r="EK92" s="1591"/>
      <c r="EL92" s="1591"/>
      <c r="EM92" s="1591"/>
      <c r="EN92" s="1591"/>
      <c r="EO92" s="1591"/>
      <c r="EP92" s="1591"/>
      <c r="EQ92" s="1591"/>
      <c r="ER92" s="1591"/>
      <c r="ES92" s="1591"/>
      <c r="ET92" s="1407">
        <v>8</v>
      </c>
      <c r="EU92" s="1606"/>
      <c r="EV92" s="1606"/>
      <c r="EW92" s="1606"/>
      <c r="EX92" s="1606"/>
      <c r="EY92" s="1606"/>
      <c r="EZ92" s="1606"/>
      <c r="FA92" s="1606"/>
      <c r="FB92" s="1606"/>
      <c r="FC92" s="1606"/>
      <c r="FD92" s="1607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404" t="s">
        <v>348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41" t="s">
        <v>349</v>
      </c>
      <c r="AG93" s="1442"/>
      <c r="AH93" s="1442"/>
      <c r="AI93" s="1442"/>
      <c r="AJ93" s="1442"/>
      <c r="AK93" s="1443"/>
      <c r="AL93" s="1453">
        <f>ET93</f>
        <v>0</v>
      </c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595"/>
      <c r="AW93" s="1595"/>
      <c r="AX93" s="1595"/>
      <c r="AY93" s="1595"/>
      <c r="AZ93" s="1595"/>
      <c r="BA93" s="1595"/>
      <c r="BB93" s="1595"/>
      <c r="BC93" s="1595"/>
      <c r="BD93" s="1595"/>
      <c r="BE93" s="1595"/>
      <c r="BF93" s="1595"/>
      <c r="BG93" s="1595"/>
      <c r="BH93" s="1595"/>
      <c r="BI93" s="1595"/>
      <c r="BJ93" s="1595"/>
      <c r="BK93" s="1595"/>
      <c r="BL93" s="1595"/>
      <c r="BM93" s="1595"/>
      <c r="BN93" s="1595"/>
      <c r="BO93" s="1595"/>
      <c r="BP93" s="1595"/>
      <c r="BQ93" s="1595"/>
      <c r="BR93" s="1595"/>
      <c r="BS93" s="1595"/>
      <c r="BT93" s="1595"/>
      <c r="BU93" s="1595"/>
      <c r="BV93" s="1595"/>
      <c r="BW93" s="1595"/>
      <c r="BX93" s="1595"/>
      <c r="BY93" s="1595"/>
      <c r="BZ93" s="1595"/>
      <c r="CA93" s="1595"/>
      <c r="CB93" s="1595"/>
      <c r="CC93" s="1595"/>
      <c r="CD93" s="1595"/>
      <c r="CE93" s="1595"/>
      <c r="CF93" s="1595"/>
      <c r="CG93" s="1595"/>
      <c r="CH93" s="1595"/>
      <c r="CI93" s="1595"/>
      <c r="CJ93" s="1595"/>
      <c r="CK93" s="1598"/>
      <c r="CL93" s="1598"/>
      <c r="CM93" s="1598"/>
      <c r="CN93" s="1598"/>
      <c r="CO93" s="1598"/>
      <c r="CP93" s="1598"/>
      <c r="CQ93" s="1598"/>
      <c r="CR93" s="1598"/>
      <c r="CS93" s="1598"/>
      <c r="CT93" s="1598"/>
      <c r="CU93" s="1598"/>
      <c r="CV93" s="1598"/>
      <c r="CW93" s="1598"/>
      <c r="CX93" s="1598"/>
      <c r="CY93" s="1598"/>
      <c r="CZ93" s="1598"/>
      <c r="DA93" s="1598"/>
      <c r="DB93" s="1598"/>
      <c r="DC93" s="1598"/>
      <c r="DD93" s="1598"/>
      <c r="DE93" s="1598"/>
      <c r="DF93" s="1598"/>
      <c r="DG93" s="1598"/>
      <c r="DH93" s="1598"/>
      <c r="DI93" s="1598"/>
      <c r="DJ93" s="1598"/>
      <c r="DK93" s="1598"/>
      <c r="DL93" s="1598"/>
      <c r="DM93" s="1598"/>
      <c r="DN93" s="1598"/>
      <c r="DO93" s="1598"/>
      <c r="DP93" s="1598"/>
      <c r="DQ93" s="1598"/>
      <c r="DR93" s="1598"/>
      <c r="DS93" s="1598"/>
      <c r="DT93" s="1598"/>
      <c r="DU93" s="1598"/>
      <c r="DV93" s="1598"/>
      <c r="DW93" s="1598"/>
      <c r="DX93" s="1598"/>
      <c r="DY93" s="1598"/>
      <c r="DZ93" s="1598"/>
      <c r="EA93" s="1598"/>
      <c r="EB93" s="1598"/>
      <c r="EC93" s="1598"/>
      <c r="ED93" s="1598"/>
      <c r="EE93" s="1598"/>
      <c r="EF93" s="1598"/>
      <c r="EG93" s="1598"/>
      <c r="EH93" s="1598"/>
      <c r="EI93" s="1598"/>
      <c r="EJ93" s="1598"/>
      <c r="EK93" s="1598"/>
      <c r="EL93" s="1598"/>
      <c r="EM93" s="1598"/>
      <c r="EN93" s="1598"/>
      <c r="EO93" s="1598"/>
      <c r="EP93" s="1598"/>
      <c r="EQ93" s="1598"/>
      <c r="ER93" s="1598"/>
      <c r="ES93" s="1598"/>
      <c r="ET93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4"/>
      <c r="EV93" s="1454"/>
      <c r="EW93" s="1454"/>
      <c r="EX93" s="1454"/>
      <c r="EY93" s="1454"/>
      <c r="EZ93" s="1454"/>
      <c r="FA93" s="1454"/>
      <c r="FB93" s="1454"/>
      <c r="FC93" s="1454"/>
      <c r="FD93" s="1458"/>
      <c r="FE93" s="549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404" t="s">
        <v>350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33" t="s">
        <v>351</v>
      </c>
      <c r="AG94" s="1434"/>
      <c r="AH94" s="1434"/>
      <c r="AI94" s="1434"/>
      <c r="AJ94" s="1434"/>
      <c r="AK94" s="1435"/>
      <c r="AL94" s="1429">
        <f>ET94</f>
        <v>0</v>
      </c>
      <c r="AM94" s="1430"/>
      <c r="AN94" s="1430"/>
      <c r="AO94" s="1430"/>
      <c r="AP94" s="1430"/>
      <c r="AQ94" s="1430"/>
      <c r="AR94" s="1430"/>
      <c r="AS94" s="1430"/>
      <c r="AT94" s="1430"/>
      <c r="AU94" s="1430"/>
      <c r="AV94" s="1597"/>
      <c r="AW94" s="1597"/>
      <c r="AX94" s="1597"/>
      <c r="AY94" s="1597"/>
      <c r="AZ94" s="1597"/>
      <c r="BA94" s="1597"/>
      <c r="BB94" s="1597"/>
      <c r="BC94" s="1597"/>
      <c r="BD94" s="1597"/>
      <c r="BE94" s="1597"/>
      <c r="BF94" s="1597"/>
      <c r="BG94" s="1597"/>
      <c r="BH94" s="1597"/>
      <c r="BI94" s="1597"/>
      <c r="BJ94" s="1597"/>
      <c r="BK94" s="1597"/>
      <c r="BL94" s="1597"/>
      <c r="BM94" s="1597"/>
      <c r="BN94" s="1597"/>
      <c r="BO94" s="1597"/>
      <c r="BP94" s="1597"/>
      <c r="BQ94" s="1597"/>
      <c r="BR94" s="1597"/>
      <c r="BS94" s="1597"/>
      <c r="BT94" s="1597"/>
      <c r="BU94" s="1597"/>
      <c r="BV94" s="1597"/>
      <c r="BW94" s="1597"/>
      <c r="BX94" s="1597"/>
      <c r="BY94" s="1597"/>
      <c r="BZ94" s="1597"/>
      <c r="CA94" s="1597"/>
      <c r="CB94" s="1597"/>
      <c r="CC94" s="1597"/>
      <c r="CD94" s="1597"/>
      <c r="CE94" s="1597"/>
      <c r="CF94" s="1597"/>
      <c r="CG94" s="1597"/>
      <c r="CH94" s="1597"/>
      <c r="CI94" s="1597"/>
      <c r="CJ94" s="1597"/>
      <c r="CK94" s="1597"/>
      <c r="CL94" s="1597"/>
      <c r="CM94" s="1597"/>
      <c r="CN94" s="1597"/>
      <c r="CO94" s="1597"/>
      <c r="CP94" s="1597"/>
      <c r="CQ94" s="1597"/>
      <c r="CR94" s="1597"/>
      <c r="CS94" s="1597"/>
      <c r="CT94" s="1597"/>
      <c r="CU94" s="1597"/>
      <c r="CV94" s="1597"/>
      <c r="CW94" s="1597"/>
      <c r="CX94" s="1597"/>
      <c r="CY94" s="1597"/>
      <c r="CZ94" s="1597"/>
      <c r="DA94" s="1597"/>
      <c r="DB94" s="1597"/>
      <c r="DC94" s="1597"/>
      <c r="DD94" s="1597"/>
      <c r="DE94" s="1597"/>
      <c r="DF94" s="1597"/>
      <c r="DG94" s="1597"/>
      <c r="DH94" s="1597"/>
      <c r="DI94" s="1597"/>
      <c r="DJ94" s="1597"/>
      <c r="DK94" s="1597"/>
      <c r="DL94" s="1597"/>
      <c r="DM94" s="1597"/>
      <c r="DN94" s="1597"/>
      <c r="DO94" s="1597"/>
      <c r="DP94" s="1597"/>
      <c r="DQ94" s="1597"/>
      <c r="DR94" s="1597"/>
      <c r="DS94" s="1597"/>
      <c r="DT94" s="1597"/>
      <c r="DU94" s="1597"/>
      <c r="DV94" s="1597"/>
      <c r="DW94" s="1597"/>
      <c r="DX94" s="1597"/>
      <c r="DY94" s="1597"/>
      <c r="DZ94" s="1597"/>
      <c r="EA94" s="1597"/>
      <c r="EB94" s="1597"/>
      <c r="EC94" s="1597"/>
      <c r="ED94" s="1597"/>
      <c r="EE94" s="1597"/>
      <c r="EF94" s="1597"/>
      <c r="EG94" s="1597"/>
      <c r="EH94" s="1597"/>
      <c r="EI94" s="1597"/>
      <c r="EJ94" s="1597"/>
      <c r="EK94" s="1597"/>
      <c r="EL94" s="1597"/>
      <c r="EM94" s="1597"/>
      <c r="EN94" s="1597"/>
      <c r="EO94" s="1597"/>
      <c r="EP94" s="1597"/>
      <c r="EQ94" s="1597"/>
      <c r="ER94" s="1597"/>
      <c r="ES94" s="1597"/>
      <c r="ET94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49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404" t="s">
        <v>352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353</v>
      </c>
      <c r="AG95" s="1434"/>
      <c r="AH95" s="1434"/>
      <c r="AI95" s="1434"/>
      <c r="AJ95" s="1434"/>
      <c r="AK95" s="1435"/>
      <c r="AL95" s="1401"/>
      <c r="AM95" s="1402"/>
      <c r="AN95" s="1402"/>
      <c r="AO95" s="1402"/>
      <c r="AP95" s="1402"/>
      <c r="AQ95" s="1402"/>
      <c r="AR95" s="1402"/>
      <c r="AS95" s="1402"/>
      <c r="AT95" s="1402"/>
      <c r="AU95" s="1403"/>
      <c r="AV95" s="1597"/>
      <c r="AW95" s="1597"/>
      <c r="AX95" s="1597"/>
      <c r="AY95" s="1597"/>
      <c r="AZ95" s="1597"/>
      <c r="BA95" s="1597"/>
      <c r="BB95" s="1597"/>
      <c r="BC95" s="1597"/>
      <c r="BD95" s="1597"/>
      <c r="BE95" s="1597"/>
      <c r="BF95" s="1597"/>
      <c r="BG95" s="1597"/>
      <c r="BH95" s="1597"/>
      <c r="BI95" s="1597"/>
      <c r="BJ95" s="1597"/>
      <c r="BK95" s="1597"/>
      <c r="BL95" s="1597"/>
      <c r="BM95" s="1597"/>
      <c r="BN95" s="1597"/>
      <c r="BO95" s="1597"/>
      <c r="BP95" s="1597"/>
      <c r="BQ95" s="1597"/>
      <c r="BR95" s="1597"/>
      <c r="BS95" s="1597"/>
      <c r="BT95" s="1597"/>
      <c r="BU95" s="1597"/>
      <c r="BV95" s="1597"/>
      <c r="BW95" s="1597"/>
      <c r="BX95" s="1597"/>
      <c r="BY95" s="1597"/>
      <c r="BZ95" s="1597"/>
      <c r="CA95" s="1597"/>
      <c r="CB95" s="1597"/>
      <c r="CC95" s="1597"/>
      <c r="CD95" s="1597"/>
      <c r="CE95" s="1597"/>
      <c r="CF95" s="1597"/>
      <c r="CG95" s="1597"/>
      <c r="CH95" s="1597"/>
      <c r="CI95" s="1597"/>
      <c r="CJ95" s="1597"/>
      <c r="CK95" s="1597"/>
      <c r="CL95" s="1597"/>
      <c r="CM95" s="1597"/>
      <c r="CN95" s="1597"/>
      <c r="CO95" s="1597"/>
      <c r="CP95" s="1597"/>
      <c r="CQ95" s="1597"/>
      <c r="CR95" s="1597"/>
      <c r="CS95" s="1597"/>
      <c r="CT95" s="1597"/>
      <c r="CU95" s="1597"/>
      <c r="CV95" s="1597"/>
      <c r="CW95" s="1597"/>
      <c r="CX95" s="1597"/>
      <c r="CY95" s="1597"/>
      <c r="CZ95" s="1597"/>
      <c r="DA95" s="1597"/>
      <c r="DB95" s="1597"/>
      <c r="DC95" s="1597"/>
      <c r="DD95" s="1597"/>
      <c r="DE95" s="1597"/>
      <c r="DF95" s="1597"/>
      <c r="DG95" s="1597"/>
      <c r="DH95" s="1597"/>
      <c r="DI95" s="1597"/>
      <c r="DJ95" s="1597"/>
      <c r="DK95" s="1597"/>
      <c r="DL95" s="1597"/>
      <c r="DM95" s="1597"/>
      <c r="DN95" s="1597"/>
      <c r="DO95" s="1597"/>
      <c r="DP95" s="1597"/>
      <c r="DQ95" s="1597"/>
      <c r="DR95" s="1597"/>
      <c r="DS95" s="1597"/>
      <c r="DT95" s="1597"/>
      <c r="DU95" s="1597"/>
      <c r="DV95" s="1597"/>
      <c r="DW95" s="1597"/>
      <c r="DX95" s="1597"/>
      <c r="DY95" s="1597"/>
      <c r="DZ95" s="1597"/>
      <c r="EA95" s="1597"/>
      <c r="EB95" s="1597"/>
      <c r="EC95" s="1597"/>
      <c r="ED95" s="1597"/>
      <c r="EE95" s="1597"/>
      <c r="EF95" s="1597"/>
      <c r="EG95" s="1597"/>
      <c r="EH95" s="1597"/>
      <c r="EI95" s="1597"/>
      <c r="EJ95" s="1597"/>
      <c r="EK95" s="1597"/>
      <c r="EL95" s="1597"/>
      <c r="EM95" s="1597"/>
      <c r="EN95" s="1597"/>
      <c r="EO95" s="1597"/>
      <c r="EP95" s="1597"/>
      <c r="EQ95" s="1597"/>
      <c r="ER95" s="1597"/>
      <c r="ES95" s="1597"/>
      <c r="ET95" s="1401"/>
      <c r="EU95" s="1402"/>
      <c r="EV95" s="1402"/>
      <c r="EW95" s="1402"/>
      <c r="EX95" s="1402"/>
      <c r="EY95" s="1402"/>
      <c r="EZ95" s="1402"/>
      <c r="FA95" s="1402"/>
      <c r="FB95" s="1402"/>
      <c r="FC95" s="1402"/>
      <c r="FD95" s="1432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404" t="s">
        <v>354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355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597"/>
      <c r="AW96" s="1597"/>
      <c r="AX96" s="1597"/>
      <c r="AY96" s="1597"/>
      <c r="AZ96" s="1597"/>
      <c r="BA96" s="1597"/>
      <c r="BB96" s="1597"/>
      <c r="BC96" s="1597"/>
      <c r="BD96" s="1597"/>
      <c r="BE96" s="1597"/>
      <c r="BF96" s="1597"/>
      <c r="BG96" s="1597"/>
      <c r="BH96" s="1597"/>
      <c r="BI96" s="1597"/>
      <c r="BJ96" s="1597"/>
      <c r="BK96" s="1597"/>
      <c r="BL96" s="1597"/>
      <c r="BM96" s="1597"/>
      <c r="BN96" s="1597"/>
      <c r="BO96" s="1597"/>
      <c r="BP96" s="1597"/>
      <c r="BQ96" s="1597"/>
      <c r="BR96" s="1597"/>
      <c r="BS96" s="1597"/>
      <c r="BT96" s="1597"/>
      <c r="BU96" s="1597"/>
      <c r="BV96" s="1597"/>
      <c r="BW96" s="1597"/>
      <c r="BX96" s="1597"/>
      <c r="BY96" s="1597"/>
      <c r="BZ96" s="1597"/>
      <c r="CA96" s="1597"/>
      <c r="CB96" s="1597"/>
      <c r="CC96" s="1597"/>
      <c r="CD96" s="1597"/>
      <c r="CE96" s="1597"/>
      <c r="CF96" s="1597"/>
      <c r="CG96" s="1597"/>
      <c r="CH96" s="1597"/>
      <c r="CI96" s="1597"/>
      <c r="CJ96" s="1597"/>
      <c r="CK96" s="1597"/>
      <c r="CL96" s="1597"/>
      <c r="CM96" s="1597"/>
      <c r="CN96" s="1597"/>
      <c r="CO96" s="1597"/>
      <c r="CP96" s="1597"/>
      <c r="CQ96" s="1597"/>
      <c r="CR96" s="1597"/>
      <c r="CS96" s="1597"/>
      <c r="CT96" s="1597"/>
      <c r="CU96" s="1597"/>
      <c r="CV96" s="1597"/>
      <c r="CW96" s="1597"/>
      <c r="CX96" s="1597"/>
      <c r="CY96" s="1597"/>
      <c r="CZ96" s="1597"/>
      <c r="DA96" s="1597"/>
      <c r="DB96" s="1597"/>
      <c r="DC96" s="1597"/>
      <c r="DD96" s="1597"/>
      <c r="DE96" s="1597"/>
      <c r="DF96" s="1597"/>
      <c r="DG96" s="1597"/>
      <c r="DH96" s="1597"/>
      <c r="DI96" s="1597"/>
      <c r="DJ96" s="1597"/>
      <c r="DK96" s="1597"/>
      <c r="DL96" s="1597"/>
      <c r="DM96" s="1597"/>
      <c r="DN96" s="1597"/>
      <c r="DO96" s="1597"/>
      <c r="DP96" s="1597"/>
      <c r="DQ96" s="1597"/>
      <c r="DR96" s="1597"/>
      <c r="DS96" s="1597"/>
      <c r="DT96" s="1597"/>
      <c r="DU96" s="1597"/>
      <c r="DV96" s="1597"/>
      <c r="DW96" s="1597"/>
      <c r="DX96" s="1597"/>
      <c r="DY96" s="1597"/>
      <c r="DZ96" s="1597"/>
      <c r="EA96" s="1597"/>
      <c r="EB96" s="1597"/>
      <c r="EC96" s="1597"/>
      <c r="ED96" s="1597"/>
      <c r="EE96" s="1597"/>
      <c r="EF96" s="1597"/>
      <c r="EG96" s="1597"/>
      <c r="EH96" s="1597"/>
      <c r="EI96" s="1597"/>
      <c r="EJ96" s="1597"/>
      <c r="EK96" s="1597"/>
      <c r="EL96" s="1597"/>
      <c r="EM96" s="1597"/>
      <c r="EN96" s="1597"/>
      <c r="EO96" s="1597"/>
      <c r="EP96" s="1597"/>
      <c r="EQ96" s="1597"/>
      <c r="ER96" s="1597"/>
      <c r="ES96" s="1597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49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404" t="s">
        <v>1027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44" t="s">
        <v>356</v>
      </c>
      <c r="AG97" s="1445"/>
      <c r="AH97" s="1445"/>
      <c r="AI97" s="1445"/>
      <c r="AJ97" s="1445"/>
      <c r="AK97" s="1446"/>
      <c r="AL97" s="1450">
        <f>ET97</f>
        <v>0</v>
      </c>
      <c r="AM97" s="1611"/>
      <c r="AN97" s="1611"/>
      <c r="AO97" s="1611"/>
      <c r="AP97" s="1611"/>
      <c r="AQ97" s="1611"/>
      <c r="AR97" s="1611"/>
      <c r="AS97" s="1611"/>
      <c r="AT97" s="1611"/>
      <c r="AU97" s="1612"/>
      <c r="AV97" s="1447"/>
      <c r="AW97" s="1448"/>
      <c r="AX97" s="1448"/>
      <c r="AY97" s="1448"/>
      <c r="AZ97" s="1448"/>
      <c r="BA97" s="1448"/>
      <c r="BB97" s="1448"/>
      <c r="BC97" s="1448"/>
      <c r="BD97" s="1448"/>
      <c r="BE97" s="1448"/>
      <c r="BF97" s="1448"/>
      <c r="BG97" s="1448"/>
      <c r="BH97" s="1448"/>
      <c r="BI97" s="1448"/>
      <c r="BJ97" s="1448"/>
      <c r="BK97" s="1448"/>
      <c r="BL97" s="1448"/>
      <c r="BM97" s="1448"/>
      <c r="BN97" s="1448"/>
      <c r="BO97" s="1448"/>
      <c r="BP97" s="1448"/>
      <c r="BQ97" s="1449"/>
      <c r="BR97" s="1447"/>
      <c r="BS97" s="1448"/>
      <c r="BT97" s="1448"/>
      <c r="BU97" s="1448"/>
      <c r="BV97" s="1448"/>
      <c r="BW97" s="1448"/>
      <c r="BX97" s="1448"/>
      <c r="BY97" s="1448"/>
      <c r="BZ97" s="1448"/>
      <c r="CA97" s="1448"/>
      <c r="CB97" s="1448"/>
      <c r="CC97" s="1448"/>
      <c r="CD97" s="1448"/>
      <c r="CE97" s="1448"/>
      <c r="CF97" s="1448"/>
      <c r="CG97" s="1448"/>
      <c r="CH97" s="1448"/>
      <c r="CI97" s="1448"/>
      <c r="CJ97" s="1449"/>
      <c r="CK97" s="1597"/>
      <c r="CL97" s="1597"/>
      <c r="CM97" s="1597"/>
      <c r="CN97" s="1597"/>
      <c r="CO97" s="1597"/>
      <c r="CP97" s="1597"/>
      <c r="CQ97" s="1597"/>
      <c r="CR97" s="1597"/>
      <c r="CS97" s="1597"/>
      <c r="CT97" s="1597"/>
      <c r="CU97" s="1597"/>
      <c r="CV97" s="1597"/>
      <c r="CW97" s="1597"/>
      <c r="CX97" s="1597"/>
      <c r="CY97" s="1597"/>
      <c r="CZ97" s="1597"/>
      <c r="DA97" s="1597"/>
      <c r="DB97" s="1597"/>
      <c r="DC97" s="1597"/>
      <c r="DD97" s="1597"/>
      <c r="DE97" s="1597"/>
      <c r="DF97" s="1597"/>
      <c r="DG97" s="1597"/>
      <c r="DH97" s="1597"/>
      <c r="DI97" s="1597"/>
      <c r="DJ97" s="1597"/>
      <c r="DK97" s="1597"/>
      <c r="DL97" s="1597"/>
      <c r="DM97" s="1597"/>
      <c r="DN97" s="1597"/>
      <c r="DO97" s="1597"/>
      <c r="DP97" s="1597"/>
      <c r="DQ97" s="1597"/>
      <c r="DR97" s="1597"/>
      <c r="DS97" s="1597"/>
      <c r="DT97" s="1597"/>
      <c r="DU97" s="1597"/>
      <c r="DV97" s="1597"/>
      <c r="DW97" s="1597"/>
      <c r="DX97" s="1597"/>
      <c r="DY97" s="1597"/>
      <c r="DZ97" s="1597"/>
      <c r="EA97" s="1597"/>
      <c r="EB97" s="1597"/>
      <c r="EC97" s="1597"/>
      <c r="ED97" s="1597"/>
      <c r="EE97" s="1597"/>
      <c r="EF97" s="1597"/>
      <c r="EG97" s="1597"/>
      <c r="EH97" s="1597"/>
      <c r="EI97" s="1597"/>
      <c r="EJ97" s="1597"/>
      <c r="EK97" s="1597"/>
      <c r="EL97" s="1597"/>
      <c r="EM97" s="1597"/>
      <c r="EN97" s="1597"/>
      <c r="EO97" s="1597"/>
      <c r="EP97" s="1597"/>
      <c r="EQ97" s="1597"/>
      <c r="ER97" s="1597"/>
      <c r="ES97" s="1597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49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404" t="s">
        <v>264</v>
      </c>
      <c r="B98" s="1405"/>
      <c r="C98" s="1405"/>
      <c r="D98" s="1405"/>
      <c r="E98" s="1405"/>
      <c r="F98" s="1405"/>
      <c r="G98" s="1405"/>
      <c r="H98" s="1405"/>
      <c r="I98" s="1405"/>
      <c r="J98" s="1405"/>
      <c r="K98" s="1405"/>
      <c r="L98" s="1405"/>
      <c r="M98" s="1405"/>
      <c r="N98" s="1405"/>
      <c r="O98" s="1405"/>
      <c r="P98" s="1405"/>
      <c r="Q98" s="1405"/>
      <c r="R98" s="1405"/>
      <c r="S98" s="1405"/>
      <c r="T98" s="1405"/>
      <c r="U98" s="1405"/>
      <c r="V98" s="1405"/>
      <c r="W98" s="1405"/>
      <c r="X98" s="1405"/>
      <c r="Y98" s="1405"/>
      <c r="Z98" s="1405"/>
      <c r="AA98" s="1405"/>
      <c r="AB98" s="1405"/>
      <c r="AC98" s="1405"/>
      <c r="AD98" s="1405"/>
      <c r="AE98" s="1406"/>
      <c r="AF98" s="1433" t="s">
        <v>357</v>
      </c>
      <c r="AG98" s="1434"/>
      <c r="AH98" s="1434"/>
      <c r="AI98" s="1434"/>
      <c r="AJ98" s="1434"/>
      <c r="AK98" s="1435"/>
      <c r="AL98" s="1429">
        <f>ET98</f>
        <v>0</v>
      </c>
      <c r="AM98" s="1430"/>
      <c r="AN98" s="1430"/>
      <c r="AO98" s="1430"/>
      <c r="AP98" s="1430"/>
      <c r="AQ98" s="1430"/>
      <c r="AR98" s="1430"/>
      <c r="AS98" s="1430"/>
      <c r="AT98" s="1430"/>
      <c r="AU98" s="1430"/>
      <c r="AV98" s="1597"/>
      <c r="AW98" s="1597"/>
      <c r="AX98" s="1597"/>
      <c r="AY98" s="1597"/>
      <c r="AZ98" s="1597"/>
      <c r="BA98" s="1597"/>
      <c r="BB98" s="1597"/>
      <c r="BC98" s="1597"/>
      <c r="BD98" s="1597"/>
      <c r="BE98" s="1597"/>
      <c r="BF98" s="1597"/>
      <c r="BG98" s="1597"/>
      <c r="BH98" s="1597"/>
      <c r="BI98" s="1597"/>
      <c r="BJ98" s="1597"/>
      <c r="BK98" s="1597"/>
      <c r="BL98" s="1597"/>
      <c r="BM98" s="1597"/>
      <c r="BN98" s="1597"/>
      <c r="BO98" s="1597"/>
      <c r="BP98" s="1597"/>
      <c r="BQ98" s="1597"/>
      <c r="BR98" s="1597"/>
      <c r="BS98" s="1597"/>
      <c r="BT98" s="1597"/>
      <c r="BU98" s="1597"/>
      <c r="BV98" s="1597"/>
      <c r="BW98" s="1597"/>
      <c r="BX98" s="1597"/>
      <c r="BY98" s="1597"/>
      <c r="BZ98" s="1597"/>
      <c r="CA98" s="1597"/>
      <c r="CB98" s="1597"/>
      <c r="CC98" s="1597"/>
      <c r="CD98" s="1597"/>
      <c r="CE98" s="1597"/>
      <c r="CF98" s="1597"/>
      <c r="CG98" s="1597"/>
      <c r="CH98" s="1597"/>
      <c r="CI98" s="1597"/>
      <c r="CJ98" s="1597"/>
      <c r="CK98" s="1597"/>
      <c r="CL98" s="1597"/>
      <c r="CM98" s="1597"/>
      <c r="CN98" s="1597"/>
      <c r="CO98" s="1597"/>
      <c r="CP98" s="1597"/>
      <c r="CQ98" s="1597"/>
      <c r="CR98" s="1597"/>
      <c r="CS98" s="1597"/>
      <c r="CT98" s="1597"/>
      <c r="CU98" s="1597"/>
      <c r="CV98" s="1597"/>
      <c r="CW98" s="1597"/>
      <c r="CX98" s="1597"/>
      <c r="CY98" s="1597"/>
      <c r="CZ98" s="1597"/>
      <c r="DA98" s="1597"/>
      <c r="DB98" s="1597"/>
      <c r="DC98" s="1597"/>
      <c r="DD98" s="1597"/>
      <c r="DE98" s="1597"/>
      <c r="DF98" s="1597"/>
      <c r="DG98" s="1597"/>
      <c r="DH98" s="1597"/>
      <c r="DI98" s="1597"/>
      <c r="DJ98" s="1597"/>
      <c r="DK98" s="1597"/>
      <c r="DL98" s="1597"/>
      <c r="DM98" s="1597"/>
      <c r="DN98" s="1597"/>
      <c r="DO98" s="1597"/>
      <c r="DP98" s="1597"/>
      <c r="DQ98" s="1597"/>
      <c r="DR98" s="1597"/>
      <c r="DS98" s="1597"/>
      <c r="DT98" s="1597"/>
      <c r="DU98" s="1597"/>
      <c r="DV98" s="1597"/>
      <c r="DW98" s="1597"/>
      <c r="DX98" s="1597"/>
      <c r="DY98" s="1597"/>
      <c r="DZ98" s="1597"/>
      <c r="EA98" s="1597"/>
      <c r="EB98" s="1597"/>
      <c r="EC98" s="1597"/>
      <c r="ED98" s="1597"/>
      <c r="EE98" s="1597"/>
      <c r="EF98" s="1597"/>
      <c r="EG98" s="1597"/>
      <c r="EH98" s="1597"/>
      <c r="EI98" s="1597"/>
      <c r="EJ98" s="1597"/>
      <c r="EK98" s="1597"/>
      <c r="EL98" s="1597"/>
      <c r="EM98" s="1597"/>
      <c r="EN98" s="1597"/>
      <c r="EO98" s="1597"/>
      <c r="EP98" s="1597"/>
      <c r="EQ98" s="1597"/>
      <c r="ER98" s="1597"/>
      <c r="ES98" s="1597"/>
      <c r="ET98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30"/>
      <c r="EV98" s="1430"/>
      <c r="EW98" s="1430"/>
      <c r="EX98" s="1430"/>
      <c r="EY98" s="1430"/>
      <c r="EZ98" s="1430"/>
      <c r="FA98" s="1430"/>
      <c r="FB98" s="1430"/>
      <c r="FC98" s="1430"/>
      <c r="FD98" s="1431"/>
      <c r="FE98" s="549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404" t="s">
        <v>480</v>
      </c>
      <c r="B99" s="1405"/>
      <c r="C99" s="1405"/>
      <c r="D99" s="1405"/>
      <c r="E99" s="1405"/>
      <c r="F99" s="1405"/>
      <c r="G99" s="1405"/>
      <c r="H99" s="1405"/>
      <c r="I99" s="1405"/>
      <c r="J99" s="1405"/>
      <c r="K99" s="1405"/>
      <c r="L99" s="1405"/>
      <c r="M99" s="1405"/>
      <c r="N99" s="1405"/>
      <c r="O99" s="1405"/>
      <c r="P99" s="1405"/>
      <c r="Q99" s="1405"/>
      <c r="R99" s="1405"/>
      <c r="S99" s="1405"/>
      <c r="T99" s="1405"/>
      <c r="U99" s="1405"/>
      <c r="V99" s="1405"/>
      <c r="W99" s="1405"/>
      <c r="X99" s="1405"/>
      <c r="Y99" s="1405"/>
      <c r="Z99" s="1405"/>
      <c r="AA99" s="1405"/>
      <c r="AB99" s="1405"/>
      <c r="AC99" s="1405"/>
      <c r="AD99" s="1405"/>
      <c r="AE99" s="1406"/>
      <c r="AF99" s="1433" t="s">
        <v>358</v>
      </c>
      <c r="AG99" s="1434"/>
      <c r="AH99" s="1434"/>
      <c r="AI99" s="1434"/>
      <c r="AJ99" s="1434"/>
      <c r="AK99" s="1435"/>
      <c r="AL99" s="1429">
        <f>ET99</f>
        <v>0</v>
      </c>
      <c r="AM99" s="1430"/>
      <c r="AN99" s="1430"/>
      <c r="AO99" s="1430"/>
      <c r="AP99" s="1430"/>
      <c r="AQ99" s="1430"/>
      <c r="AR99" s="1430"/>
      <c r="AS99" s="1430"/>
      <c r="AT99" s="1430"/>
      <c r="AU99" s="1430"/>
      <c r="AV99" s="1597"/>
      <c r="AW99" s="1597"/>
      <c r="AX99" s="1597"/>
      <c r="AY99" s="1597"/>
      <c r="AZ99" s="1597"/>
      <c r="BA99" s="1597"/>
      <c r="BB99" s="1597"/>
      <c r="BC99" s="1597"/>
      <c r="BD99" s="1597"/>
      <c r="BE99" s="1597"/>
      <c r="BF99" s="1597"/>
      <c r="BG99" s="1597"/>
      <c r="BH99" s="1597"/>
      <c r="BI99" s="1597"/>
      <c r="BJ99" s="1597"/>
      <c r="BK99" s="1597"/>
      <c r="BL99" s="1597"/>
      <c r="BM99" s="1597"/>
      <c r="BN99" s="1597"/>
      <c r="BO99" s="1597"/>
      <c r="BP99" s="1597"/>
      <c r="BQ99" s="1597"/>
      <c r="BR99" s="1597"/>
      <c r="BS99" s="1597"/>
      <c r="BT99" s="1597"/>
      <c r="BU99" s="1597"/>
      <c r="BV99" s="1597"/>
      <c r="BW99" s="1597"/>
      <c r="BX99" s="1597"/>
      <c r="BY99" s="1597"/>
      <c r="BZ99" s="1597"/>
      <c r="CA99" s="1597"/>
      <c r="CB99" s="1597"/>
      <c r="CC99" s="1597"/>
      <c r="CD99" s="1597"/>
      <c r="CE99" s="1597"/>
      <c r="CF99" s="1597"/>
      <c r="CG99" s="1597"/>
      <c r="CH99" s="1597"/>
      <c r="CI99" s="1597"/>
      <c r="CJ99" s="1597"/>
      <c r="CK99" s="1597"/>
      <c r="CL99" s="1597"/>
      <c r="CM99" s="1597"/>
      <c r="CN99" s="1597"/>
      <c r="CO99" s="1597"/>
      <c r="CP99" s="1597"/>
      <c r="CQ99" s="1597"/>
      <c r="CR99" s="1597"/>
      <c r="CS99" s="1597"/>
      <c r="CT99" s="1597"/>
      <c r="CU99" s="1597"/>
      <c r="CV99" s="1597"/>
      <c r="CW99" s="1597"/>
      <c r="CX99" s="1597"/>
      <c r="CY99" s="1597"/>
      <c r="CZ99" s="1597"/>
      <c r="DA99" s="1597"/>
      <c r="DB99" s="1597"/>
      <c r="DC99" s="1597"/>
      <c r="DD99" s="1597"/>
      <c r="DE99" s="1597"/>
      <c r="DF99" s="1597"/>
      <c r="DG99" s="1597"/>
      <c r="DH99" s="1597"/>
      <c r="DI99" s="1597"/>
      <c r="DJ99" s="1597"/>
      <c r="DK99" s="1597"/>
      <c r="DL99" s="1597"/>
      <c r="DM99" s="1597"/>
      <c r="DN99" s="1597"/>
      <c r="DO99" s="1597"/>
      <c r="DP99" s="1597"/>
      <c r="DQ99" s="1597"/>
      <c r="DR99" s="1597"/>
      <c r="DS99" s="1597"/>
      <c r="DT99" s="1597"/>
      <c r="DU99" s="1597"/>
      <c r="DV99" s="1597"/>
      <c r="DW99" s="1597"/>
      <c r="DX99" s="1597"/>
      <c r="DY99" s="1597"/>
      <c r="DZ99" s="1597"/>
      <c r="EA99" s="1597"/>
      <c r="EB99" s="1597"/>
      <c r="EC99" s="1597"/>
      <c r="ED99" s="1597"/>
      <c r="EE99" s="1597"/>
      <c r="EF99" s="1597"/>
      <c r="EG99" s="1597"/>
      <c r="EH99" s="1597"/>
      <c r="EI99" s="1597"/>
      <c r="EJ99" s="1597"/>
      <c r="EK99" s="1597"/>
      <c r="EL99" s="1597"/>
      <c r="EM99" s="1597"/>
      <c r="EN99" s="1597"/>
      <c r="EO99" s="1597"/>
      <c r="EP99" s="1597"/>
      <c r="EQ99" s="1597"/>
      <c r="ER99" s="1597"/>
      <c r="ES99" s="1597"/>
      <c r="ET99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30"/>
      <c r="EV99" s="1430"/>
      <c r="EW99" s="1430"/>
      <c r="EX99" s="1430"/>
      <c r="EY99" s="1430"/>
      <c r="EZ99" s="1430"/>
      <c r="FA99" s="1430"/>
      <c r="FB99" s="1430"/>
      <c r="FC99" s="1430"/>
      <c r="FD99" s="1431"/>
      <c r="FE99" s="549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404" t="s">
        <v>481</v>
      </c>
      <c r="B100" s="1405"/>
      <c r="C100" s="1405"/>
      <c r="D100" s="1405"/>
      <c r="E100" s="1405"/>
      <c r="F100" s="1405"/>
      <c r="G100" s="1405"/>
      <c r="H100" s="1405"/>
      <c r="I100" s="1405"/>
      <c r="J100" s="1405"/>
      <c r="K100" s="1405"/>
      <c r="L100" s="1405"/>
      <c r="M100" s="1405"/>
      <c r="N100" s="1405"/>
      <c r="O100" s="1405"/>
      <c r="P100" s="1405"/>
      <c r="Q100" s="1405"/>
      <c r="R100" s="1405"/>
      <c r="S100" s="1405"/>
      <c r="T100" s="1405"/>
      <c r="U100" s="1405"/>
      <c r="V100" s="1405"/>
      <c r="W100" s="1405"/>
      <c r="X100" s="1405"/>
      <c r="Y100" s="1405"/>
      <c r="Z100" s="1405"/>
      <c r="AA100" s="1405"/>
      <c r="AB100" s="1405"/>
      <c r="AC100" s="1405"/>
      <c r="AD100" s="1405"/>
      <c r="AE100" s="1406"/>
      <c r="AF100" s="1436" t="s">
        <v>359</v>
      </c>
      <c r="AG100" s="1437"/>
      <c r="AH100" s="1437"/>
      <c r="AI100" s="1437"/>
      <c r="AJ100" s="1437"/>
      <c r="AK100" s="1438"/>
      <c r="AL100" s="1439">
        <f>ET100</f>
        <v>0</v>
      </c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602"/>
      <c r="AW100" s="1602"/>
      <c r="AX100" s="1602"/>
      <c r="AY100" s="1602"/>
      <c r="AZ100" s="1602"/>
      <c r="BA100" s="1602"/>
      <c r="BB100" s="1602"/>
      <c r="BC100" s="1602"/>
      <c r="BD100" s="1602"/>
      <c r="BE100" s="1602"/>
      <c r="BF100" s="1602"/>
      <c r="BG100" s="1602"/>
      <c r="BH100" s="1602"/>
      <c r="BI100" s="1602"/>
      <c r="BJ100" s="1602"/>
      <c r="BK100" s="1602"/>
      <c r="BL100" s="1602"/>
      <c r="BM100" s="1602"/>
      <c r="BN100" s="1602"/>
      <c r="BO100" s="1602"/>
      <c r="BP100" s="1602"/>
      <c r="BQ100" s="1602"/>
      <c r="BR100" s="1602"/>
      <c r="BS100" s="1602"/>
      <c r="BT100" s="1602"/>
      <c r="BU100" s="1602"/>
      <c r="BV100" s="1602"/>
      <c r="BW100" s="1602"/>
      <c r="BX100" s="1602"/>
      <c r="BY100" s="1602"/>
      <c r="BZ100" s="1602"/>
      <c r="CA100" s="1602"/>
      <c r="CB100" s="1602"/>
      <c r="CC100" s="1602"/>
      <c r="CD100" s="1602"/>
      <c r="CE100" s="1602"/>
      <c r="CF100" s="1602"/>
      <c r="CG100" s="1602"/>
      <c r="CH100" s="1602"/>
      <c r="CI100" s="1602"/>
      <c r="CJ100" s="1602"/>
      <c r="CK100" s="1602"/>
      <c r="CL100" s="1602"/>
      <c r="CM100" s="1602"/>
      <c r="CN100" s="1602"/>
      <c r="CO100" s="1602"/>
      <c r="CP100" s="1602"/>
      <c r="CQ100" s="1602"/>
      <c r="CR100" s="1602"/>
      <c r="CS100" s="1602"/>
      <c r="CT100" s="1602"/>
      <c r="CU100" s="1602"/>
      <c r="CV100" s="1602"/>
      <c r="CW100" s="1602"/>
      <c r="CX100" s="1602"/>
      <c r="CY100" s="1602"/>
      <c r="CZ100" s="1602"/>
      <c r="DA100" s="1602"/>
      <c r="DB100" s="1602"/>
      <c r="DC100" s="1602"/>
      <c r="DD100" s="1602"/>
      <c r="DE100" s="1602"/>
      <c r="DF100" s="1602"/>
      <c r="DG100" s="1602"/>
      <c r="DH100" s="1602"/>
      <c r="DI100" s="1602"/>
      <c r="DJ100" s="1602"/>
      <c r="DK100" s="1602"/>
      <c r="DL100" s="1602"/>
      <c r="DM100" s="1602"/>
      <c r="DN100" s="1602"/>
      <c r="DO100" s="1602"/>
      <c r="DP100" s="1602"/>
      <c r="DQ100" s="1602"/>
      <c r="DR100" s="1602"/>
      <c r="DS100" s="1602"/>
      <c r="DT100" s="1602"/>
      <c r="DU100" s="1602"/>
      <c r="DV100" s="1602"/>
      <c r="DW100" s="1602"/>
      <c r="DX100" s="1602"/>
      <c r="DY100" s="1602"/>
      <c r="DZ100" s="1602"/>
      <c r="EA100" s="1602"/>
      <c r="EB100" s="1602"/>
      <c r="EC100" s="1602"/>
      <c r="ED100" s="1602"/>
      <c r="EE100" s="1602"/>
      <c r="EF100" s="1602"/>
      <c r="EG100" s="1602"/>
      <c r="EH100" s="1602"/>
      <c r="EI100" s="1602"/>
      <c r="EJ100" s="1602"/>
      <c r="EK100" s="1602"/>
      <c r="EL100" s="1602"/>
      <c r="EM100" s="1602"/>
      <c r="EN100" s="1602"/>
      <c r="EO100" s="1602"/>
      <c r="EP100" s="1602"/>
      <c r="EQ100" s="1602"/>
      <c r="ER100" s="1602"/>
      <c r="ES100" s="1602"/>
      <c r="ET100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30"/>
      <c r="EV100" s="1430"/>
      <c r="EW100" s="1430"/>
      <c r="EX100" s="1430"/>
      <c r="EY100" s="1430"/>
      <c r="EZ100" s="1430"/>
      <c r="FA100" s="1430"/>
      <c r="FB100" s="1430"/>
      <c r="FC100" s="1430"/>
      <c r="FD100" s="1431"/>
      <c r="FE100" s="549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10" t="s">
        <v>197</v>
      </c>
      <c r="B104" s="1411"/>
      <c r="C104" s="1411"/>
      <c r="D104" s="1411"/>
      <c r="E104" s="1411"/>
      <c r="F104" s="1411"/>
      <c r="G104" s="1411"/>
      <c r="H104" s="1411"/>
      <c r="I104" s="1411"/>
      <c r="J104" s="1411"/>
      <c r="K104" s="1411"/>
      <c r="L104" s="1411"/>
      <c r="M104" s="1411"/>
      <c r="N104" s="1411"/>
      <c r="O104" s="1411"/>
      <c r="P104" s="1411"/>
      <c r="Q104" s="1411"/>
      <c r="R104" s="1411"/>
      <c r="S104" s="1411"/>
      <c r="T104" s="1411"/>
      <c r="U104" s="1411"/>
      <c r="V104" s="1411"/>
      <c r="W104" s="1411"/>
      <c r="X104" s="1411"/>
      <c r="Y104" s="1411"/>
      <c r="Z104" s="1411"/>
      <c r="AA104" s="1411"/>
      <c r="AB104" s="1411"/>
      <c r="AC104" s="1411"/>
      <c r="AD104" s="1411"/>
      <c r="AE104" s="1412"/>
      <c r="AF104" s="1410" t="s">
        <v>288</v>
      </c>
      <c r="AG104" s="1411"/>
      <c r="AH104" s="1411"/>
      <c r="AI104" s="1411"/>
      <c r="AJ104" s="1411"/>
      <c r="AK104" s="1412"/>
      <c r="AL104" s="1410" t="s">
        <v>304</v>
      </c>
      <c r="AM104" s="1411"/>
      <c r="AN104" s="1411"/>
      <c r="AO104" s="1411"/>
      <c r="AP104" s="1411"/>
      <c r="AQ104" s="1411"/>
      <c r="AR104" s="1411"/>
      <c r="AS104" s="1411"/>
      <c r="AT104" s="1411"/>
      <c r="AU104" s="1412"/>
      <c r="AV104" s="1419" t="s">
        <v>305</v>
      </c>
      <c r="AW104" s="1420"/>
      <c r="AX104" s="1420"/>
      <c r="AY104" s="1420"/>
      <c r="AZ104" s="1420"/>
      <c r="BA104" s="1420"/>
      <c r="BB104" s="1420"/>
      <c r="BC104" s="1420"/>
      <c r="BD104" s="1420"/>
      <c r="BE104" s="1420"/>
      <c r="BF104" s="1420"/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0"/>
      <c r="BR104" s="1420"/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0"/>
      <c r="CC104" s="1420"/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0"/>
      <c r="CP104" s="1420"/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0"/>
      <c r="DA104" s="1420"/>
      <c r="DB104" s="1420"/>
      <c r="DC104" s="1420"/>
      <c r="DD104" s="1420"/>
      <c r="DE104" s="1420"/>
      <c r="DF104" s="1420"/>
      <c r="DG104" s="1420"/>
      <c r="DH104" s="1420"/>
      <c r="DI104" s="1420"/>
      <c r="DJ104" s="1420"/>
      <c r="DK104" s="1420"/>
      <c r="DL104" s="1420"/>
      <c r="DM104" s="1420"/>
      <c r="DN104" s="1420"/>
      <c r="DO104" s="1420"/>
      <c r="DP104" s="1420"/>
      <c r="DQ104" s="1420"/>
      <c r="DR104" s="1420"/>
      <c r="DS104" s="1420"/>
      <c r="DT104" s="1420"/>
      <c r="DU104" s="1420"/>
      <c r="DV104" s="1420"/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0"/>
      <c r="EI104" s="1420"/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0"/>
      <c r="ET104" s="1420"/>
      <c r="EU104" s="1420"/>
      <c r="EV104" s="1420"/>
      <c r="EW104" s="1420"/>
      <c r="EX104" s="1420"/>
      <c r="EY104" s="1420"/>
      <c r="EZ104" s="1420"/>
      <c r="FA104" s="1420"/>
      <c r="FB104" s="1420"/>
      <c r="FC104" s="1420"/>
      <c r="FD104" s="1421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13"/>
      <c r="B105" s="1414"/>
      <c r="C105" s="1414"/>
      <c r="D105" s="1414"/>
      <c r="E105" s="1414"/>
      <c r="F105" s="1414"/>
      <c r="G105" s="1414"/>
      <c r="H105" s="1414"/>
      <c r="I105" s="1414"/>
      <c r="J105" s="1414"/>
      <c r="K105" s="1414"/>
      <c r="L105" s="1414"/>
      <c r="M105" s="1414"/>
      <c r="N105" s="1414"/>
      <c r="O105" s="1414"/>
      <c r="P105" s="1414"/>
      <c r="Q105" s="1414"/>
      <c r="R105" s="1414"/>
      <c r="S105" s="1414"/>
      <c r="T105" s="1414"/>
      <c r="U105" s="1414"/>
      <c r="V105" s="1414"/>
      <c r="W105" s="1414"/>
      <c r="X105" s="1414"/>
      <c r="Y105" s="1414"/>
      <c r="Z105" s="1414"/>
      <c r="AA105" s="1414"/>
      <c r="AB105" s="1414"/>
      <c r="AC105" s="1414"/>
      <c r="AD105" s="1414"/>
      <c r="AE105" s="1415"/>
      <c r="AF105" s="1413"/>
      <c r="AG105" s="1414"/>
      <c r="AH105" s="1414"/>
      <c r="AI105" s="1414"/>
      <c r="AJ105" s="1414"/>
      <c r="AK105" s="1415"/>
      <c r="AL105" s="1413"/>
      <c r="AM105" s="1414"/>
      <c r="AN105" s="1414"/>
      <c r="AO105" s="1414"/>
      <c r="AP105" s="1414"/>
      <c r="AQ105" s="1414"/>
      <c r="AR105" s="1414"/>
      <c r="AS105" s="1414"/>
      <c r="AT105" s="1414"/>
      <c r="AU105" s="1415"/>
      <c r="AV105" s="1592" t="s">
        <v>307</v>
      </c>
      <c r="AW105" s="1592"/>
      <c r="AX105" s="1592"/>
      <c r="AY105" s="1592"/>
      <c r="AZ105" s="1592"/>
      <c r="BA105" s="1592"/>
      <c r="BB105" s="1592"/>
      <c r="BC105" s="1592"/>
      <c r="BD105" s="1592"/>
      <c r="BE105" s="1592"/>
      <c r="BF105" s="1592"/>
      <c r="BG105" s="1592"/>
      <c r="BH105" s="1592"/>
      <c r="BI105" s="1592"/>
      <c r="BJ105" s="1592"/>
      <c r="BK105" s="1592"/>
      <c r="BL105" s="1592"/>
      <c r="BM105" s="1592"/>
      <c r="BN105" s="1592"/>
      <c r="BO105" s="1592"/>
      <c r="BP105" s="1592"/>
      <c r="BQ105" s="1592"/>
      <c r="BR105" s="1592" t="s">
        <v>475</v>
      </c>
      <c r="BS105" s="1592"/>
      <c r="BT105" s="1592"/>
      <c r="BU105" s="1592"/>
      <c r="BV105" s="1592"/>
      <c r="BW105" s="1592"/>
      <c r="BX105" s="1592"/>
      <c r="BY105" s="1592"/>
      <c r="BZ105" s="1592"/>
      <c r="CA105" s="1592"/>
      <c r="CB105" s="1592"/>
      <c r="CC105" s="1592"/>
      <c r="CD105" s="1592"/>
      <c r="CE105" s="1592"/>
      <c r="CF105" s="1592"/>
      <c r="CG105" s="1592"/>
      <c r="CH105" s="1592"/>
      <c r="CI105" s="1592"/>
      <c r="CJ105" s="1592"/>
      <c r="CK105" s="1592"/>
      <c r="CL105" s="1592"/>
      <c r="CM105" s="1592"/>
      <c r="CN105" s="1592"/>
      <c r="CO105" s="1592"/>
      <c r="CP105" s="1592"/>
      <c r="CQ105" s="1592"/>
      <c r="CR105" s="1592"/>
      <c r="CS105" s="1592"/>
      <c r="CT105" s="1592"/>
      <c r="CU105" s="1592"/>
      <c r="CV105" s="1592"/>
      <c r="CW105" s="1592"/>
      <c r="CX105" s="1592"/>
      <c r="CY105" s="1592"/>
      <c r="CZ105" s="1592"/>
      <c r="DA105" s="1592"/>
      <c r="DB105" s="1592"/>
      <c r="DC105" s="1592"/>
      <c r="DD105" s="1592"/>
      <c r="DE105" s="1592"/>
      <c r="DF105" s="1592"/>
      <c r="DG105" s="1592"/>
      <c r="DH105" s="1592"/>
      <c r="DI105" s="1592"/>
      <c r="DJ105" s="1592"/>
      <c r="DK105" s="1592"/>
      <c r="DL105" s="1592"/>
      <c r="DM105" s="1592"/>
      <c r="DN105" s="1592"/>
      <c r="DO105" s="1592"/>
      <c r="DP105" s="1592"/>
      <c r="DQ105" s="1592"/>
      <c r="DR105" s="1592"/>
      <c r="DS105" s="1592"/>
      <c r="DT105" s="1592"/>
      <c r="DU105" s="1592"/>
      <c r="DV105" s="1592"/>
      <c r="DW105" s="1592"/>
      <c r="DX105" s="1592" t="s">
        <v>479</v>
      </c>
      <c r="DY105" s="1592"/>
      <c r="DZ105" s="1592"/>
      <c r="EA105" s="1592"/>
      <c r="EB105" s="1592"/>
      <c r="EC105" s="1592"/>
      <c r="ED105" s="1592"/>
      <c r="EE105" s="1592"/>
      <c r="EF105" s="1592"/>
      <c r="EG105" s="1592"/>
      <c r="EH105" s="1592"/>
      <c r="EI105" s="1592"/>
      <c r="EJ105" s="1592"/>
      <c r="EK105" s="1592"/>
      <c r="EL105" s="1592"/>
      <c r="EM105" s="1592"/>
      <c r="EN105" s="1592"/>
      <c r="EO105" s="1592"/>
      <c r="EP105" s="1592"/>
      <c r="EQ105" s="1592"/>
      <c r="ER105" s="1592"/>
      <c r="ES105" s="1592"/>
      <c r="ET105" s="1592" t="s">
        <v>479</v>
      </c>
      <c r="EU105" s="1592"/>
      <c r="EV105" s="1592"/>
      <c r="EW105" s="1592"/>
      <c r="EX105" s="1592"/>
      <c r="EY105" s="1592"/>
      <c r="EZ105" s="1592"/>
      <c r="FA105" s="1592"/>
      <c r="FB105" s="1592"/>
      <c r="FC105" s="1592"/>
      <c r="FD105" s="1592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13"/>
      <c r="B106" s="1414"/>
      <c r="C106" s="1414"/>
      <c r="D106" s="1414"/>
      <c r="E106" s="1414"/>
      <c r="F106" s="1414"/>
      <c r="G106" s="1414"/>
      <c r="H106" s="1414"/>
      <c r="I106" s="1414"/>
      <c r="J106" s="1414"/>
      <c r="K106" s="1414"/>
      <c r="L106" s="1414"/>
      <c r="M106" s="1414"/>
      <c r="N106" s="1414"/>
      <c r="O106" s="1414"/>
      <c r="P106" s="1414"/>
      <c r="Q106" s="1414"/>
      <c r="R106" s="1414"/>
      <c r="S106" s="1414"/>
      <c r="T106" s="1414"/>
      <c r="U106" s="1414"/>
      <c r="V106" s="1414"/>
      <c r="W106" s="1414"/>
      <c r="X106" s="1414"/>
      <c r="Y106" s="1414"/>
      <c r="Z106" s="1414"/>
      <c r="AA106" s="1414"/>
      <c r="AB106" s="1414"/>
      <c r="AC106" s="1414"/>
      <c r="AD106" s="1414"/>
      <c r="AE106" s="1415"/>
      <c r="AF106" s="1413"/>
      <c r="AG106" s="1414"/>
      <c r="AH106" s="1414"/>
      <c r="AI106" s="1414"/>
      <c r="AJ106" s="1414"/>
      <c r="AK106" s="1415"/>
      <c r="AL106" s="1413"/>
      <c r="AM106" s="1414"/>
      <c r="AN106" s="1414"/>
      <c r="AO106" s="1414"/>
      <c r="AP106" s="1414"/>
      <c r="AQ106" s="1414"/>
      <c r="AR106" s="1414"/>
      <c r="AS106" s="1414"/>
      <c r="AT106" s="1414"/>
      <c r="AU106" s="1415"/>
      <c r="AV106" s="1592"/>
      <c r="AW106" s="1592"/>
      <c r="AX106" s="1592"/>
      <c r="AY106" s="1592"/>
      <c r="AZ106" s="1592"/>
      <c r="BA106" s="1592"/>
      <c r="BB106" s="1592"/>
      <c r="BC106" s="1592"/>
      <c r="BD106" s="1592"/>
      <c r="BE106" s="1592"/>
      <c r="BF106" s="1592"/>
      <c r="BG106" s="1592"/>
      <c r="BH106" s="1592"/>
      <c r="BI106" s="1592"/>
      <c r="BJ106" s="1592"/>
      <c r="BK106" s="1592"/>
      <c r="BL106" s="1592"/>
      <c r="BM106" s="1592"/>
      <c r="BN106" s="1592"/>
      <c r="BO106" s="1592"/>
      <c r="BP106" s="1592"/>
      <c r="BQ106" s="1592"/>
      <c r="BR106" s="1592" t="s">
        <v>308</v>
      </c>
      <c r="BS106" s="1592"/>
      <c r="BT106" s="1592"/>
      <c r="BU106" s="1592"/>
      <c r="BV106" s="1592"/>
      <c r="BW106" s="1592"/>
      <c r="BX106" s="1592"/>
      <c r="BY106" s="1592"/>
      <c r="BZ106" s="1592"/>
      <c r="CA106" s="1592"/>
      <c r="CB106" s="1592"/>
      <c r="CC106" s="1592"/>
      <c r="CD106" s="1592"/>
      <c r="CE106" s="1592"/>
      <c r="CF106" s="1592"/>
      <c r="CG106" s="1592"/>
      <c r="CH106" s="1592"/>
      <c r="CI106" s="1592"/>
      <c r="CJ106" s="1592"/>
      <c r="CK106" s="1592" t="s">
        <v>309</v>
      </c>
      <c r="CL106" s="1592"/>
      <c r="CM106" s="1592"/>
      <c r="CN106" s="1592"/>
      <c r="CO106" s="1592"/>
      <c r="CP106" s="1592"/>
      <c r="CQ106" s="1592"/>
      <c r="CR106" s="1592"/>
      <c r="CS106" s="1592"/>
      <c r="CT106" s="1592"/>
      <c r="CU106" s="1592"/>
      <c r="CV106" s="1592"/>
      <c r="CW106" s="1592"/>
      <c r="CX106" s="1592"/>
      <c r="CY106" s="1592"/>
      <c r="CZ106" s="1592"/>
      <c r="DA106" s="1592"/>
      <c r="DB106" s="1592"/>
      <c r="DC106" s="1592"/>
      <c r="DD106" s="1592"/>
      <c r="DE106" s="1592"/>
      <c r="DF106" s="1592"/>
      <c r="DG106" s="1592"/>
      <c r="DH106" s="1592"/>
      <c r="DI106" s="1592"/>
      <c r="DJ106" s="1592"/>
      <c r="DK106" s="1592"/>
      <c r="DL106" s="1592"/>
      <c r="DM106" s="1592"/>
      <c r="DN106" s="1592"/>
      <c r="DO106" s="1592"/>
      <c r="DP106" s="1592"/>
      <c r="DQ106" s="1592"/>
      <c r="DR106" s="1592"/>
      <c r="DS106" s="1592"/>
      <c r="DT106" s="1592"/>
      <c r="DU106" s="1592"/>
      <c r="DV106" s="1592"/>
      <c r="DW106" s="1592"/>
      <c r="DX106" s="1592"/>
      <c r="DY106" s="1592"/>
      <c r="DZ106" s="1592"/>
      <c r="EA106" s="1592"/>
      <c r="EB106" s="1592"/>
      <c r="EC106" s="1592"/>
      <c r="ED106" s="1592"/>
      <c r="EE106" s="1592"/>
      <c r="EF106" s="1592"/>
      <c r="EG106" s="1592"/>
      <c r="EH106" s="1592"/>
      <c r="EI106" s="1592"/>
      <c r="EJ106" s="1592"/>
      <c r="EK106" s="1592"/>
      <c r="EL106" s="1592"/>
      <c r="EM106" s="1592"/>
      <c r="EN106" s="1592"/>
      <c r="EO106" s="1592"/>
      <c r="EP106" s="1592"/>
      <c r="EQ106" s="1592"/>
      <c r="ER106" s="1592"/>
      <c r="ES106" s="1592"/>
      <c r="ET106" s="1592"/>
      <c r="EU106" s="1592"/>
      <c r="EV106" s="1592"/>
      <c r="EW106" s="1592"/>
      <c r="EX106" s="1592"/>
      <c r="EY106" s="1592"/>
      <c r="EZ106" s="1592"/>
      <c r="FA106" s="1592"/>
      <c r="FB106" s="1592"/>
      <c r="FC106" s="1592"/>
      <c r="FD106" s="1592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16"/>
      <c r="B107" s="1417"/>
      <c r="C107" s="1417"/>
      <c r="D107" s="1417"/>
      <c r="E107" s="1417"/>
      <c r="F107" s="1417"/>
      <c r="G107" s="1417"/>
      <c r="H107" s="1417"/>
      <c r="I107" s="1417"/>
      <c r="J107" s="1417"/>
      <c r="K107" s="1417"/>
      <c r="L107" s="1417"/>
      <c r="M107" s="1417"/>
      <c r="N107" s="1417"/>
      <c r="O107" s="1417"/>
      <c r="P107" s="1417"/>
      <c r="Q107" s="1417"/>
      <c r="R107" s="1417"/>
      <c r="S107" s="1417"/>
      <c r="T107" s="1417"/>
      <c r="U107" s="1417"/>
      <c r="V107" s="1417"/>
      <c r="W107" s="1417"/>
      <c r="X107" s="1417"/>
      <c r="Y107" s="1417"/>
      <c r="Z107" s="1417"/>
      <c r="AA107" s="1417"/>
      <c r="AB107" s="1417"/>
      <c r="AC107" s="1417"/>
      <c r="AD107" s="1417"/>
      <c r="AE107" s="1418"/>
      <c r="AF107" s="1416"/>
      <c r="AG107" s="1417"/>
      <c r="AH107" s="1417"/>
      <c r="AI107" s="1417"/>
      <c r="AJ107" s="1417"/>
      <c r="AK107" s="1418"/>
      <c r="AL107" s="1416"/>
      <c r="AM107" s="1417"/>
      <c r="AN107" s="1417"/>
      <c r="AO107" s="1417"/>
      <c r="AP107" s="1417"/>
      <c r="AQ107" s="1417"/>
      <c r="AR107" s="1417"/>
      <c r="AS107" s="1417"/>
      <c r="AT107" s="1417"/>
      <c r="AU107" s="1418"/>
      <c r="AV107" s="1592"/>
      <c r="AW107" s="1592"/>
      <c r="AX107" s="1592"/>
      <c r="AY107" s="1592"/>
      <c r="AZ107" s="1592"/>
      <c r="BA107" s="1592"/>
      <c r="BB107" s="1592"/>
      <c r="BC107" s="1592"/>
      <c r="BD107" s="1592"/>
      <c r="BE107" s="1592"/>
      <c r="BF107" s="1592"/>
      <c r="BG107" s="1592"/>
      <c r="BH107" s="1592"/>
      <c r="BI107" s="1592"/>
      <c r="BJ107" s="1592"/>
      <c r="BK107" s="1592"/>
      <c r="BL107" s="1592"/>
      <c r="BM107" s="1592"/>
      <c r="BN107" s="1592"/>
      <c r="BO107" s="1592"/>
      <c r="BP107" s="1592"/>
      <c r="BQ107" s="1592"/>
      <c r="BR107" s="1592"/>
      <c r="BS107" s="1592"/>
      <c r="BT107" s="1592"/>
      <c r="BU107" s="1592"/>
      <c r="BV107" s="1592"/>
      <c r="BW107" s="1592"/>
      <c r="BX107" s="1592"/>
      <c r="BY107" s="1592"/>
      <c r="BZ107" s="1592"/>
      <c r="CA107" s="1592"/>
      <c r="CB107" s="1592"/>
      <c r="CC107" s="1592"/>
      <c r="CD107" s="1592"/>
      <c r="CE107" s="1592"/>
      <c r="CF107" s="1592"/>
      <c r="CG107" s="1592"/>
      <c r="CH107" s="1592"/>
      <c r="CI107" s="1592"/>
      <c r="CJ107" s="1592"/>
      <c r="CK107" s="1410" t="s">
        <v>478</v>
      </c>
      <c r="CL107" s="1411"/>
      <c r="CM107" s="1411"/>
      <c r="CN107" s="1411"/>
      <c r="CO107" s="1411"/>
      <c r="CP107" s="1411"/>
      <c r="CQ107" s="1411"/>
      <c r="CR107" s="1411"/>
      <c r="CS107" s="1411"/>
      <c r="CT107" s="1411"/>
      <c r="CU107" s="1411"/>
      <c r="CV107" s="1411"/>
      <c r="CW107" s="1411"/>
      <c r="CX107" s="1411"/>
      <c r="CY107" s="1411"/>
      <c r="CZ107" s="1411"/>
      <c r="DA107" s="1411"/>
      <c r="DB107" s="1411"/>
      <c r="DC107" s="1411"/>
      <c r="DD107" s="1411"/>
      <c r="DE107" s="1411"/>
      <c r="DF107" s="1411"/>
      <c r="DG107" s="1411" t="s">
        <v>477</v>
      </c>
      <c r="DH107" s="1411"/>
      <c r="DI107" s="1411"/>
      <c r="DJ107" s="1412"/>
      <c r="DK107" s="1410" t="s">
        <v>477</v>
      </c>
      <c r="DL107" s="1411"/>
      <c r="DM107" s="1411"/>
      <c r="DN107" s="1411"/>
      <c r="DO107" s="1411"/>
      <c r="DP107" s="1411"/>
      <c r="DQ107" s="1411"/>
      <c r="DR107" s="1411"/>
      <c r="DS107" s="1411"/>
      <c r="DT107" s="1411"/>
      <c r="DU107" s="1411"/>
      <c r="DV107" s="1411"/>
      <c r="DW107" s="1411"/>
      <c r="DX107" s="1411"/>
      <c r="DY107" s="1411"/>
      <c r="DZ107" s="1411"/>
      <c r="EA107" s="1411"/>
      <c r="EB107" s="1411"/>
      <c r="EC107" s="1411"/>
      <c r="ED107" s="1411"/>
      <c r="EE107" s="1411"/>
      <c r="EF107" s="1411"/>
      <c r="EG107" s="1411"/>
      <c r="EH107" s="1411"/>
      <c r="EI107" s="1411"/>
      <c r="EJ107" s="1411"/>
      <c r="EK107" s="1411"/>
      <c r="EL107" s="1411"/>
      <c r="EM107" s="1411"/>
      <c r="EN107" s="1411"/>
      <c r="EO107" s="1411"/>
      <c r="EP107" s="1411"/>
      <c r="EQ107" s="1411"/>
      <c r="ER107" s="1411"/>
      <c r="ES107" s="1412"/>
      <c r="ET107" s="1592"/>
      <c r="EU107" s="1592"/>
      <c r="EV107" s="1592"/>
      <c r="EW107" s="1592"/>
      <c r="EX107" s="1592"/>
      <c r="EY107" s="1592"/>
      <c r="EZ107" s="1592"/>
      <c r="FA107" s="1592"/>
      <c r="FB107" s="1592"/>
      <c r="FC107" s="1592"/>
      <c r="FD107" s="1592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422" t="s">
        <v>399</v>
      </c>
      <c r="B108" s="1423"/>
      <c r="C108" s="1423"/>
      <c r="D108" s="1423"/>
      <c r="E108" s="1423"/>
      <c r="F108" s="1423"/>
      <c r="G108" s="1423"/>
      <c r="H108" s="1423"/>
      <c r="I108" s="1423"/>
      <c r="J108" s="1423"/>
      <c r="K108" s="1423"/>
      <c r="L108" s="1423"/>
      <c r="M108" s="1423"/>
      <c r="N108" s="1423"/>
      <c r="O108" s="1423"/>
      <c r="P108" s="1423"/>
      <c r="Q108" s="1423"/>
      <c r="R108" s="1423"/>
      <c r="S108" s="1423"/>
      <c r="T108" s="1423"/>
      <c r="U108" s="1423"/>
      <c r="V108" s="1423"/>
      <c r="W108" s="1423"/>
      <c r="X108" s="1423"/>
      <c r="Y108" s="1423"/>
      <c r="Z108" s="1423"/>
      <c r="AA108" s="1423"/>
      <c r="AB108" s="1423"/>
      <c r="AC108" s="1423"/>
      <c r="AD108" s="1423"/>
      <c r="AE108" s="1424"/>
      <c r="AF108" s="1407" t="s">
        <v>400</v>
      </c>
      <c r="AG108" s="1408"/>
      <c r="AH108" s="1408"/>
      <c r="AI108" s="1408"/>
      <c r="AJ108" s="1408"/>
      <c r="AK108" s="1409"/>
      <c r="AL108" s="1407" t="s">
        <v>401</v>
      </c>
      <c r="AM108" s="1408"/>
      <c r="AN108" s="1408"/>
      <c r="AO108" s="1408"/>
      <c r="AP108" s="1408"/>
      <c r="AQ108" s="1408"/>
      <c r="AR108" s="1408"/>
      <c r="AS108" s="1408"/>
      <c r="AT108" s="1408"/>
      <c r="AU108" s="1409"/>
      <c r="AV108" s="1603" t="s">
        <v>402</v>
      </c>
      <c r="AW108" s="1604"/>
      <c r="AX108" s="1604"/>
      <c r="AY108" s="1604"/>
      <c r="AZ108" s="1604"/>
      <c r="BA108" s="1604"/>
      <c r="BB108" s="1604"/>
      <c r="BC108" s="1604"/>
      <c r="BD108" s="1604"/>
      <c r="BE108" s="1604"/>
      <c r="BF108" s="1604"/>
      <c r="BG108" s="1604"/>
      <c r="BH108" s="1604"/>
      <c r="BI108" s="1604"/>
      <c r="BJ108" s="1604"/>
      <c r="BK108" s="1604"/>
      <c r="BL108" s="1604"/>
      <c r="BM108" s="1604"/>
      <c r="BN108" s="1604"/>
      <c r="BO108" s="1604"/>
      <c r="BP108" s="1604"/>
      <c r="BQ108" s="1604"/>
      <c r="BR108" s="1603" t="s">
        <v>403</v>
      </c>
      <c r="BS108" s="1604"/>
      <c r="BT108" s="1604"/>
      <c r="BU108" s="1604"/>
      <c r="BV108" s="1604"/>
      <c r="BW108" s="1604"/>
      <c r="BX108" s="1604"/>
      <c r="BY108" s="1604"/>
      <c r="BZ108" s="1604"/>
      <c r="CA108" s="1604"/>
      <c r="CB108" s="1604"/>
      <c r="CC108" s="1604"/>
      <c r="CD108" s="1604"/>
      <c r="CE108" s="1604"/>
      <c r="CF108" s="1604"/>
      <c r="CG108" s="1604"/>
      <c r="CH108" s="1604"/>
      <c r="CI108" s="1604"/>
      <c r="CJ108" s="1604"/>
      <c r="CK108" s="1590" t="s">
        <v>404</v>
      </c>
      <c r="CL108" s="1590"/>
      <c r="CM108" s="1590"/>
      <c r="CN108" s="1590"/>
      <c r="CO108" s="1590"/>
      <c r="CP108" s="1590"/>
      <c r="CQ108" s="1590"/>
      <c r="CR108" s="1590"/>
      <c r="CS108" s="1590"/>
      <c r="CT108" s="1590"/>
      <c r="CU108" s="1590"/>
      <c r="CV108" s="1590"/>
      <c r="CW108" s="1590"/>
      <c r="CX108" s="1590"/>
      <c r="CY108" s="1590"/>
      <c r="CZ108" s="1590"/>
      <c r="DA108" s="1590"/>
      <c r="DB108" s="1590"/>
      <c r="DC108" s="1590"/>
      <c r="DD108" s="1590"/>
      <c r="DE108" s="1590"/>
      <c r="DF108" s="1590"/>
      <c r="DG108" s="1590" t="s">
        <v>405</v>
      </c>
      <c r="DH108" s="1590"/>
      <c r="DI108" s="1590"/>
      <c r="DJ108" s="1590"/>
      <c r="DK108" s="1591" t="s">
        <v>405</v>
      </c>
      <c r="DL108" s="1591"/>
      <c r="DM108" s="1591"/>
      <c r="DN108" s="1591"/>
      <c r="DO108" s="1591"/>
      <c r="DP108" s="1591"/>
      <c r="DQ108" s="1591"/>
      <c r="DR108" s="1591"/>
      <c r="DS108" s="1591"/>
      <c r="DT108" s="1591"/>
      <c r="DU108" s="1591"/>
      <c r="DV108" s="1591"/>
      <c r="DW108" s="1591"/>
      <c r="DX108" s="1591"/>
      <c r="DY108" s="1591"/>
      <c r="DZ108" s="1591"/>
      <c r="EA108" s="1591"/>
      <c r="EB108" s="1591"/>
      <c r="EC108" s="1591"/>
      <c r="ED108" s="1591"/>
      <c r="EE108" s="1591"/>
      <c r="EF108" s="1591"/>
      <c r="EG108" s="1591"/>
      <c r="EH108" s="1591"/>
      <c r="EI108" s="1591"/>
      <c r="EJ108" s="1591"/>
      <c r="EK108" s="1591"/>
      <c r="EL108" s="1591"/>
      <c r="EM108" s="1591"/>
      <c r="EN108" s="1591"/>
      <c r="EO108" s="1591"/>
      <c r="EP108" s="1591"/>
      <c r="EQ108" s="1591"/>
      <c r="ER108" s="1591"/>
      <c r="ES108" s="1591"/>
      <c r="ET108" s="1455">
        <v>8</v>
      </c>
      <c r="EU108" s="1593"/>
      <c r="EV108" s="1593"/>
      <c r="EW108" s="1593"/>
      <c r="EX108" s="1593"/>
      <c r="EY108" s="1593"/>
      <c r="EZ108" s="1593"/>
      <c r="FA108" s="1593"/>
      <c r="FB108" s="1593"/>
      <c r="FC108" s="1593"/>
      <c r="FD108" s="159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404" t="s">
        <v>482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41" t="s">
        <v>361</v>
      </c>
      <c r="AG109" s="1442"/>
      <c r="AH109" s="1442"/>
      <c r="AI109" s="1442"/>
      <c r="AJ109" s="1442"/>
      <c r="AK109" s="1443"/>
      <c r="AL109" s="1425"/>
      <c r="AM109" s="1426"/>
      <c r="AN109" s="1426"/>
      <c r="AO109" s="1426"/>
      <c r="AP109" s="1426"/>
      <c r="AQ109" s="1426"/>
      <c r="AR109" s="1426"/>
      <c r="AS109" s="1426"/>
      <c r="AT109" s="1426"/>
      <c r="AU109" s="1427"/>
      <c r="AV109" s="1595"/>
      <c r="AW109" s="1595"/>
      <c r="AX109" s="1595"/>
      <c r="AY109" s="1595"/>
      <c r="AZ109" s="1595"/>
      <c r="BA109" s="1595"/>
      <c r="BB109" s="1595"/>
      <c r="BC109" s="1595"/>
      <c r="BD109" s="1595"/>
      <c r="BE109" s="1595"/>
      <c r="BF109" s="1595"/>
      <c r="BG109" s="1595"/>
      <c r="BH109" s="1595"/>
      <c r="BI109" s="1595"/>
      <c r="BJ109" s="1595"/>
      <c r="BK109" s="1595"/>
      <c r="BL109" s="1595"/>
      <c r="BM109" s="1595"/>
      <c r="BN109" s="1595"/>
      <c r="BO109" s="1595"/>
      <c r="BP109" s="1595"/>
      <c r="BQ109" s="1595"/>
      <c r="BR109" s="1595"/>
      <c r="BS109" s="1595"/>
      <c r="BT109" s="1595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7"/>
      <c r="CL109" s="1597"/>
      <c r="CM109" s="1597"/>
      <c r="CN109" s="1597"/>
      <c r="CO109" s="1597"/>
      <c r="CP109" s="1597"/>
      <c r="CQ109" s="1597"/>
      <c r="CR109" s="1597"/>
      <c r="CS109" s="1597"/>
      <c r="CT109" s="1597"/>
      <c r="CU109" s="1597"/>
      <c r="CV109" s="1597"/>
      <c r="CW109" s="1597"/>
      <c r="CX109" s="1597"/>
      <c r="CY109" s="1597"/>
      <c r="CZ109" s="1597"/>
      <c r="DA109" s="1597"/>
      <c r="DB109" s="1597"/>
      <c r="DC109" s="1597"/>
      <c r="DD109" s="1597"/>
      <c r="DE109" s="1597"/>
      <c r="DF109" s="1597"/>
      <c r="DG109" s="1597"/>
      <c r="DH109" s="1597"/>
      <c r="DI109" s="1597"/>
      <c r="DJ109" s="1597"/>
      <c r="DK109" s="1597"/>
      <c r="DL109" s="1597"/>
      <c r="DM109" s="1597"/>
      <c r="DN109" s="1597"/>
      <c r="DO109" s="1597"/>
      <c r="DP109" s="1597"/>
      <c r="DQ109" s="1597"/>
      <c r="DR109" s="1597"/>
      <c r="DS109" s="1597"/>
      <c r="DT109" s="1597"/>
      <c r="DU109" s="1597"/>
      <c r="DV109" s="1597"/>
      <c r="DW109" s="1597"/>
      <c r="DX109" s="1597"/>
      <c r="DY109" s="1597"/>
      <c r="DZ109" s="1597"/>
      <c r="EA109" s="1597"/>
      <c r="EB109" s="1597"/>
      <c r="EC109" s="1597"/>
      <c r="ED109" s="1597"/>
      <c r="EE109" s="1597"/>
      <c r="EF109" s="1597"/>
      <c r="EG109" s="1597"/>
      <c r="EH109" s="1597"/>
      <c r="EI109" s="1597"/>
      <c r="EJ109" s="1597"/>
      <c r="EK109" s="1597"/>
      <c r="EL109" s="1597"/>
      <c r="EM109" s="1597"/>
      <c r="EN109" s="1597"/>
      <c r="EO109" s="1597"/>
      <c r="EP109" s="1597"/>
      <c r="EQ109" s="1597"/>
      <c r="ER109" s="1597"/>
      <c r="ES109" s="1597"/>
      <c r="ET109" s="1466"/>
      <c r="EU109" s="1467"/>
      <c r="EV109" s="1467"/>
      <c r="EW109" s="1467"/>
      <c r="EX109" s="1467"/>
      <c r="EY109" s="1467"/>
      <c r="EZ109" s="1467"/>
      <c r="FA109" s="1467"/>
      <c r="FB109" s="1467"/>
      <c r="FC109" s="1467"/>
      <c r="FD109" s="147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404" t="s">
        <v>464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3" t="s">
        <v>362</v>
      </c>
      <c r="AG110" s="1434"/>
      <c r="AH110" s="1434"/>
      <c r="AI110" s="1434"/>
      <c r="AJ110" s="1434"/>
      <c r="AK110" s="1435"/>
      <c r="AL110" s="1429">
        <f>ET110</f>
        <v>0</v>
      </c>
      <c r="AM110" s="1430"/>
      <c r="AN110" s="1430"/>
      <c r="AO110" s="1430"/>
      <c r="AP110" s="1430"/>
      <c r="AQ110" s="1430"/>
      <c r="AR110" s="1430"/>
      <c r="AS110" s="1430"/>
      <c r="AT110" s="1430"/>
      <c r="AU110" s="1430"/>
      <c r="AV110" s="1597"/>
      <c r="AW110" s="1597"/>
      <c r="AX110" s="1597"/>
      <c r="AY110" s="1597"/>
      <c r="AZ110" s="1597"/>
      <c r="BA110" s="1597"/>
      <c r="BB110" s="1597"/>
      <c r="BC110" s="1597"/>
      <c r="BD110" s="1597"/>
      <c r="BE110" s="1597"/>
      <c r="BF110" s="1597"/>
      <c r="BG110" s="1597"/>
      <c r="BH110" s="1597"/>
      <c r="BI110" s="1597"/>
      <c r="BJ110" s="1597"/>
      <c r="BK110" s="1597"/>
      <c r="BL110" s="1597"/>
      <c r="BM110" s="1597"/>
      <c r="BN110" s="1597"/>
      <c r="BO110" s="1597"/>
      <c r="BP110" s="1597"/>
      <c r="BQ110" s="1597"/>
      <c r="BR110" s="1597"/>
      <c r="BS110" s="1597"/>
      <c r="BT110" s="1597"/>
      <c r="BU110" s="1597"/>
      <c r="BV110" s="1597"/>
      <c r="BW110" s="1597"/>
      <c r="BX110" s="1597"/>
      <c r="BY110" s="1597"/>
      <c r="BZ110" s="1597"/>
      <c r="CA110" s="1597"/>
      <c r="CB110" s="1597"/>
      <c r="CC110" s="1597"/>
      <c r="CD110" s="1597"/>
      <c r="CE110" s="1597"/>
      <c r="CF110" s="1597"/>
      <c r="CG110" s="1597"/>
      <c r="CH110" s="1597"/>
      <c r="CI110" s="1597"/>
      <c r="CJ110" s="1597"/>
      <c r="CK110" s="1597"/>
      <c r="CL110" s="1597"/>
      <c r="CM110" s="1597"/>
      <c r="CN110" s="1597"/>
      <c r="CO110" s="1597"/>
      <c r="CP110" s="1597"/>
      <c r="CQ110" s="1597"/>
      <c r="CR110" s="1597"/>
      <c r="CS110" s="1597"/>
      <c r="CT110" s="1597"/>
      <c r="CU110" s="1597"/>
      <c r="CV110" s="1597"/>
      <c r="CW110" s="1597"/>
      <c r="CX110" s="1597"/>
      <c r="CY110" s="1597"/>
      <c r="CZ110" s="1597"/>
      <c r="DA110" s="1597"/>
      <c r="DB110" s="1597"/>
      <c r="DC110" s="1597"/>
      <c r="DD110" s="1597"/>
      <c r="DE110" s="1597"/>
      <c r="DF110" s="1597"/>
      <c r="DG110" s="1597"/>
      <c r="DH110" s="1597"/>
      <c r="DI110" s="1597"/>
      <c r="DJ110" s="1597"/>
      <c r="DK110" s="1597"/>
      <c r="DL110" s="1597"/>
      <c r="DM110" s="1597"/>
      <c r="DN110" s="1597"/>
      <c r="DO110" s="1597"/>
      <c r="DP110" s="1597"/>
      <c r="DQ110" s="1597"/>
      <c r="DR110" s="1597"/>
      <c r="DS110" s="1597"/>
      <c r="DT110" s="1597"/>
      <c r="DU110" s="1597"/>
      <c r="DV110" s="1597"/>
      <c r="DW110" s="1597"/>
      <c r="DX110" s="1597"/>
      <c r="DY110" s="1597"/>
      <c r="DZ110" s="1597"/>
      <c r="EA110" s="1597"/>
      <c r="EB110" s="1597"/>
      <c r="EC110" s="1597"/>
      <c r="ED110" s="1597"/>
      <c r="EE110" s="1597"/>
      <c r="EF110" s="1597"/>
      <c r="EG110" s="1597"/>
      <c r="EH110" s="1597"/>
      <c r="EI110" s="1597"/>
      <c r="EJ110" s="1597"/>
      <c r="EK110" s="1597"/>
      <c r="EL110" s="1597"/>
      <c r="EM110" s="1597"/>
      <c r="EN110" s="1597"/>
      <c r="EO110" s="1597"/>
      <c r="EP110" s="1597"/>
      <c r="EQ110" s="1597"/>
      <c r="ER110" s="1597"/>
      <c r="ES110" s="1597"/>
      <c r="ET110" s="14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30"/>
      <c r="EV110" s="1430"/>
      <c r="EW110" s="1430"/>
      <c r="EX110" s="1430"/>
      <c r="EY110" s="1430"/>
      <c r="EZ110" s="1430"/>
      <c r="FA110" s="1430"/>
      <c r="FB110" s="1430"/>
      <c r="FC110" s="1430"/>
      <c r="FD110" s="1431"/>
      <c r="FE110" s="549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404" t="s">
        <v>483</v>
      </c>
      <c r="B111" s="1405"/>
      <c r="C111" s="1405"/>
      <c r="D111" s="1405"/>
      <c r="E111" s="1405"/>
      <c r="F111" s="1405"/>
      <c r="G111" s="1405"/>
      <c r="H111" s="1405"/>
      <c r="I111" s="1405"/>
      <c r="J111" s="1405"/>
      <c r="K111" s="1405"/>
      <c r="L111" s="1405"/>
      <c r="M111" s="1405"/>
      <c r="N111" s="1405"/>
      <c r="O111" s="1405"/>
      <c r="P111" s="1405"/>
      <c r="Q111" s="1405"/>
      <c r="R111" s="1405"/>
      <c r="S111" s="1405"/>
      <c r="T111" s="1405"/>
      <c r="U111" s="1405"/>
      <c r="V111" s="1405"/>
      <c r="W111" s="1405"/>
      <c r="X111" s="1405"/>
      <c r="Y111" s="1405"/>
      <c r="Z111" s="1405"/>
      <c r="AA111" s="1405"/>
      <c r="AB111" s="1405"/>
      <c r="AC111" s="1405"/>
      <c r="AD111" s="1405"/>
      <c r="AE111" s="1406"/>
      <c r="AF111" s="1433" t="s">
        <v>363</v>
      </c>
      <c r="AG111" s="1434"/>
      <c r="AH111" s="1434"/>
      <c r="AI111" s="1434"/>
      <c r="AJ111" s="1434"/>
      <c r="AK111" s="1435"/>
      <c r="AL111" s="1429">
        <f>ET111</f>
        <v>0</v>
      </c>
      <c r="AM111" s="1430"/>
      <c r="AN111" s="1430"/>
      <c r="AO111" s="1430"/>
      <c r="AP111" s="1430"/>
      <c r="AQ111" s="1430"/>
      <c r="AR111" s="1430"/>
      <c r="AS111" s="1430"/>
      <c r="AT111" s="1430"/>
      <c r="AU111" s="1430"/>
      <c r="AV111" s="1597"/>
      <c r="AW111" s="1597"/>
      <c r="AX111" s="1597"/>
      <c r="AY111" s="1597"/>
      <c r="AZ111" s="1597"/>
      <c r="BA111" s="1597"/>
      <c r="BB111" s="1597"/>
      <c r="BC111" s="1597"/>
      <c r="BD111" s="1597"/>
      <c r="BE111" s="1597"/>
      <c r="BF111" s="1597"/>
      <c r="BG111" s="1597"/>
      <c r="BH111" s="1597"/>
      <c r="BI111" s="1597"/>
      <c r="BJ111" s="1597"/>
      <c r="BK111" s="1597"/>
      <c r="BL111" s="1597"/>
      <c r="BM111" s="1597"/>
      <c r="BN111" s="1597"/>
      <c r="BO111" s="1597"/>
      <c r="BP111" s="1597"/>
      <c r="BQ111" s="1597"/>
      <c r="BR111" s="1597"/>
      <c r="BS111" s="1597"/>
      <c r="BT111" s="1597"/>
      <c r="BU111" s="1597"/>
      <c r="BV111" s="1597"/>
      <c r="BW111" s="1597"/>
      <c r="BX111" s="1597"/>
      <c r="BY111" s="1597"/>
      <c r="BZ111" s="1597"/>
      <c r="CA111" s="1597"/>
      <c r="CB111" s="1597"/>
      <c r="CC111" s="1597"/>
      <c r="CD111" s="1597"/>
      <c r="CE111" s="1597"/>
      <c r="CF111" s="1597"/>
      <c r="CG111" s="1597"/>
      <c r="CH111" s="1597"/>
      <c r="CI111" s="1597"/>
      <c r="CJ111" s="1597"/>
      <c r="CK111" s="1597"/>
      <c r="CL111" s="1597"/>
      <c r="CM111" s="1597"/>
      <c r="CN111" s="1597"/>
      <c r="CO111" s="1597"/>
      <c r="CP111" s="1597"/>
      <c r="CQ111" s="1597"/>
      <c r="CR111" s="1597"/>
      <c r="CS111" s="1597"/>
      <c r="CT111" s="1597"/>
      <c r="CU111" s="1597"/>
      <c r="CV111" s="1597"/>
      <c r="CW111" s="1597"/>
      <c r="CX111" s="1597"/>
      <c r="CY111" s="1597"/>
      <c r="CZ111" s="1597"/>
      <c r="DA111" s="1597"/>
      <c r="DB111" s="1597"/>
      <c r="DC111" s="1597"/>
      <c r="DD111" s="1597"/>
      <c r="DE111" s="1597"/>
      <c r="DF111" s="1597"/>
      <c r="DG111" s="1597"/>
      <c r="DH111" s="1597"/>
      <c r="DI111" s="1597"/>
      <c r="DJ111" s="1597"/>
      <c r="DK111" s="1597"/>
      <c r="DL111" s="1597"/>
      <c r="DM111" s="1597"/>
      <c r="DN111" s="1597"/>
      <c r="DO111" s="1597"/>
      <c r="DP111" s="1597"/>
      <c r="DQ111" s="1597"/>
      <c r="DR111" s="1597"/>
      <c r="DS111" s="1597"/>
      <c r="DT111" s="1597"/>
      <c r="DU111" s="1597"/>
      <c r="DV111" s="1597"/>
      <c r="DW111" s="1597"/>
      <c r="DX111" s="1597"/>
      <c r="DY111" s="1597"/>
      <c r="DZ111" s="1597"/>
      <c r="EA111" s="1597"/>
      <c r="EB111" s="1597"/>
      <c r="EC111" s="1597"/>
      <c r="ED111" s="1597"/>
      <c r="EE111" s="1597"/>
      <c r="EF111" s="1597"/>
      <c r="EG111" s="1597"/>
      <c r="EH111" s="1597"/>
      <c r="EI111" s="1597"/>
      <c r="EJ111" s="1597"/>
      <c r="EK111" s="1597"/>
      <c r="EL111" s="1597"/>
      <c r="EM111" s="1597"/>
      <c r="EN111" s="1597"/>
      <c r="EO111" s="1597"/>
      <c r="EP111" s="1597"/>
      <c r="EQ111" s="1597"/>
      <c r="ER111" s="1597"/>
      <c r="ES111" s="1597"/>
      <c r="ET111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30"/>
      <c r="EV111" s="1430"/>
      <c r="EW111" s="1430"/>
      <c r="EX111" s="1430"/>
      <c r="EY111" s="1430"/>
      <c r="EZ111" s="1430"/>
      <c r="FA111" s="1430"/>
      <c r="FB111" s="1430"/>
      <c r="FC111" s="1430"/>
      <c r="FD111" s="1431"/>
      <c r="FE111" s="549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623" t="s">
        <v>484</v>
      </c>
      <c r="B112" s="1624"/>
      <c r="C112" s="1624"/>
      <c r="D112" s="1624"/>
      <c r="E112" s="1624"/>
      <c r="F112" s="1624"/>
      <c r="G112" s="1624"/>
      <c r="H112" s="1624"/>
      <c r="I112" s="1624"/>
      <c r="J112" s="1624"/>
      <c r="K112" s="1624"/>
      <c r="L112" s="1624"/>
      <c r="M112" s="1624"/>
      <c r="N112" s="1624"/>
      <c r="O112" s="1624"/>
      <c r="P112" s="1624"/>
      <c r="Q112" s="1624"/>
      <c r="R112" s="1624"/>
      <c r="S112" s="1624"/>
      <c r="T112" s="1624"/>
      <c r="U112" s="1624"/>
      <c r="V112" s="1624"/>
      <c r="W112" s="1624"/>
      <c r="X112" s="1624"/>
      <c r="Y112" s="1624"/>
      <c r="Z112" s="1624"/>
      <c r="AA112" s="1624"/>
      <c r="AB112" s="1624"/>
      <c r="AC112" s="1624"/>
      <c r="AD112" s="1624"/>
      <c r="AE112" s="1625"/>
      <c r="AF112" s="1626" t="s">
        <v>364</v>
      </c>
      <c r="AG112" s="1627"/>
      <c r="AH112" s="1627"/>
      <c r="AI112" s="1627"/>
      <c r="AJ112" s="1627"/>
      <c r="AK112" s="1628"/>
      <c r="AL112" s="16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630"/>
      <c r="AN112" s="1630"/>
      <c r="AO112" s="1630"/>
      <c r="AP112" s="1630"/>
      <c r="AQ112" s="1630"/>
      <c r="AR112" s="1630"/>
      <c r="AS112" s="1630"/>
      <c r="AT112" s="1630"/>
      <c r="AU112" s="1630"/>
      <c r="AV112" s="1597"/>
      <c r="AW112" s="1597"/>
      <c r="AX112" s="1597"/>
      <c r="AY112" s="1597"/>
      <c r="AZ112" s="1597"/>
      <c r="BA112" s="1597"/>
      <c r="BB112" s="1597"/>
      <c r="BC112" s="1597"/>
      <c r="BD112" s="1597"/>
      <c r="BE112" s="1597"/>
      <c r="BF112" s="1597"/>
      <c r="BG112" s="1597"/>
      <c r="BH112" s="1597"/>
      <c r="BI112" s="1597"/>
      <c r="BJ112" s="1597"/>
      <c r="BK112" s="1597"/>
      <c r="BL112" s="1597"/>
      <c r="BM112" s="1597"/>
      <c r="BN112" s="1597"/>
      <c r="BO112" s="1597"/>
      <c r="BP112" s="1597"/>
      <c r="BQ112" s="1597"/>
      <c r="BR112" s="1597"/>
      <c r="BS112" s="1597"/>
      <c r="BT112" s="1597"/>
      <c r="BU112" s="1597"/>
      <c r="BV112" s="1597"/>
      <c r="BW112" s="1597"/>
      <c r="BX112" s="1597"/>
      <c r="BY112" s="1597"/>
      <c r="BZ112" s="1597"/>
      <c r="CA112" s="1597"/>
      <c r="CB112" s="1597"/>
      <c r="CC112" s="1597"/>
      <c r="CD112" s="1597"/>
      <c r="CE112" s="1597"/>
      <c r="CF112" s="1597"/>
      <c r="CG112" s="1597"/>
      <c r="CH112" s="1597"/>
      <c r="CI112" s="1597"/>
      <c r="CJ112" s="1597"/>
      <c r="CK112" s="1597"/>
      <c r="CL112" s="1597"/>
      <c r="CM112" s="1597"/>
      <c r="CN112" s="1597"/>
      <c r="CO112" s="1597"/>
      <c r="CP112" s="1597"/>
      <c r="CQ112" s="1597"/>
      <c r="CR112" s="1597"/>
      <c r="CS112" s="1597"/>
      <c r="CT112" s="1597"/>
      <c r="CU112" s="1597"/>
      <c r="CV112" s="1597"/>
      <c r="CW112" s="1597"/>
      <c r="CX112" s="1597"/>
      <c r="CY112" s="1597"/>
      <c r="CZ112" s="1597"/>
      <c r="DA112" s="1597"/>
      <c r="DB112" s="1597"/>
      <c r="DC112" s="1597"/>
      <c r="DD112" s="1597"/>
      <c r="DE112" s="1597"/>
      <c r="DF112" s="1597"/>
      <c r="DG112" s="1597"/>
      <c r="DH112" s="1597"/>
      <c r="DI112" s="1597"/>
      <c r="DJ112" s="1597"/>
      <c r="DK112" s="1597"/>
      <c r="DL112" s="1597"/>
      <c r="DM112" s="1597"/>
      <c r="DN112" s="1597"/>
      <c r="DO112" s="1597"/>
      <c r="DP112" s="1597"/>
      <c r="DQ112" s="1597"/>
      <c r="DR112" s="1597"/>
      <c r="DS112" s="1597"/>
      <c r="DT112" s="1597"/>
      <c r="DU112" s="1597"/>
      <c r="DV112" s="1597"/>
      <c r="DW112" s="1597"/>
      <c r="DX112" s="1597"/>
      <c r="DY112" s="1597"/>
      <c r="DZ112" s="1597"/>
      <c r="EA112" s="1597"/>
      <c r="EB112" s="1597"/>
      <c r="EC112" s="1597"/>
      <c r="ED112" s="1597"/>
      <c r="EE112" s="1597"/>
      <c r="EF112" s="1597"/>
      <c r="EG112" s="1597"/>
      <c r="EH112" s="1597"/>
      <c r="EI112" s="1597"/>
      <c r="EJ112" s="1597"/>
      <c r="EK112" s="1597"/>
      <c r="EL112" s="1597"/>
      <c r="EM112" s="1597"/>
      <c r="EN112" s="1597"/>
      <c r="EO112" s="1597"/>
      <c r="EP112" s="1597"/>
      <c r="EQ112" s="1597"/>
      <c r="ER112" s="1597"/>
      <c r="ES112" s="1597"/>
      <c r="ET112" s="1401"/>
      <c r="EU112" s="1402"/>
      <c r="EV112" s="1402"/>
      <c r="EW112" s="1402"/>
      <c r="EX112" s="1402"/>
      <c r="EY112" s="1402"/>
      <c r="EZ112" s="1402"/>
      <c r="FA112" s="1402"/>
      <c r="FB112" s="1402"/>
      <c r="FC112" s="1402"/>
      <c r="FD112" s="1432"/>
      <c r="FE112" s="549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637" t="s">
        <v>365</v>
      </c>
      <c r="B113" s="1638"/>
      <c r="C113" s="1638"/>
      <c r="D113" s="1638"/>
      <c r="E113" s="1638"/>
      <c r="F113" s="1638"/>
      <c r="G113" s="1638"/>
      <c r="H113" s="1638"/>
      <c r="I113" s="1638"/>
      <c r="J113" s="1638"/>
      <c r="K113" s="1638"/>
      <c r="L113" s="1638"/>
      <c r="M113" s="1638"/>
      <c r="N113" s="1638"/>
      <c r="O113" s="1638"/>
      <c r="P113" s="1638"/>
      <c r="Q113" s="1638"/>
      <c r="R113" s="1638"/>
      <c r="S113" s="1638"/>
      <c r="T113" s="1638"/>
      <c r="U113" s="1638"/>
      <c r="V113" s="1638"/>
      <c r="W113" s="1638"/>
      <c r="X113" s="1638"/>
      <c r="Y113" s="1638"/>
      <c r="Z113" s="1638"/>
      <c r="AA113" s="1638"/>
      <c r="AB113" s="1638"/>
      <c r="AC113" s="1638"/>
      <c r="AD113" s="1638"/>
      <c r="AE113" s="1639"/>
      <c r="AF113" s="1616" t="s">
        <v>366</v>
      </c>
      <c r="AG113" s="1617"/>
      <c r="AH113" s="1617"/>
      <c r="AI113" s="1617"/>
      <c r="AJ113" s="1617"/>
      <c r="AK113" s="1618"/>
      <c r="AL113" s="1640">
        <f ca="1">AL112-AL111</f>
        <v>0</v>
      </c>
      <c r="AM113" s="1641"/>
      <c r="AN113" s="1641"/>
      <c r="AO113" s="1641"/>
      <c r="AP113" s="1641"/>
      <c r="AQ113" s="1641"/>
      <c r="AR113" s="1641"/>
      <c r="AS113" s="1641"/>
      <c r="AT113" s="1641"/>
      <c r="AU113" s="1641"/>
      <c r="AV113" s="1602"/>
      <c r="AW113" s="1602"/>
      <c r="AX113" s="1602"/>
      <c r="AY113" s="1602"/>
      <c r="AZ113" s="1602"/>
      <c r="BA113" s="1602"/>
      <c r="BB113" s="1602"/>
      <c r="BC113" s="1602"/>
      <c r="BD113" s="1602"/>
      <c r="BE113" s="1602"/>
      <c r="BF113" s="1602"/>
      <c r="BG113" s="1602"/>
      <c r="BH113" s="1602"/>
      <c r="BI113" s="1602"/>
      <c r="BJ113" s="1602"/>
      <c r="BK113" s="1602"/>
      <c r="BL113" s="1602"/>
      <c r="BM113" s="1602"/>
      <c r="BN113" s="1602"/>
      <c r="BO113" s="1602"/>
      <c r="BP113" s="1602"/>
      <c r="BQ113" s="1602"/>
      <c r="BR113" s="1602"/>
      <c r="BS113" s="1602"/>
      <c r="BT113" s="1602"/>
      <c r="BU113" s="1602"/>
      <c r="BV113" s="1602"/>
      <c r="BW113" s="1602"/>
      <c r="BX113" s="1602"/>
      <c r="BY113" s="1602"/>
      <c r="BZ113" s="1602"/>
      <c r="CA113" s="1602"/>
      <c r="CB113" s="1602"/>
      <c r="CC113" s="1602"/>
      <c r="CD113" s="1602"/>
      <c r="CE113" s="1602"/>
      <c r="CF113" s="1602"/>
      <c r="CG113" s="1602"/>
      <c r="CH113" s="1602"/>
      <c r="CI113" s="1602"/>
      <c r="CJ113" s="1602"/>
      <c r="CK113" s="1602"/>
      <c r="CL113" s="1602"/>
      <c r="CM113" s="1602"/>
      <c r="CN113" s="1602"/>
      <c r="CO113" s="1602"/>
      <c r="CP113" s="1602"/>
      <c r="CQ113" s="1602"/>
      <c r="CR113" s="1602"/>
      <c r="CS113" s="1602"/>
      <c r="CT113" s="1602"/>
      <c r="CU113" s="1602"/>
      <c r="CV113" s="1602"/>
      <c r="CW113" s="1602"/>
      <c r="CX113" s="1602"/>
      <c r="CY113" s="1602"/>
      <c r="CZ113" s="1602"/>
      <c r="DA113" s="1602"/>
      <c r="DB113" s="1602"/>
      <c r="DC113" s="1602"/>
      <c r="DD113" s="1602"/>
      <c r="DE113" s="1602"/>
      <c r="DF113" s="1602"/>
      <c r="DG113" s="1602"/>
      <c r="DH113" s="1602"/>
      <c r="DI113" s="1602"/>
      <c r="DJ113" s="1602"/>
      <c r="DK113" s="1602"/>
      <c r="DL113" s="1602"/>
      <c r="DM113" s="1602"/>
      <c r="DN113" s="1602"/>
      <c r="DO113" s="1602"/>
      <c r="DP113" s="1602"/>
      <c r="DQ113" s="1602"/>
      <c r="DR113" s="1602"/>
      <c r="DS113" s="1602"/>
      <c r="DT113" s="1602"/>
      <c r="DU113" s="1602"/>
      <c r="DV113" s="1602"/>
      <c r="DW113" s="1602"/>
      <c r="DX113" s="1602"/>
      <c r="DY113" s="1602"/>
      <c r="DZ113" s="1602"/>
      <c r="EA113" s="1602"/>
      <c r="EB113" s="1602"/>
      <c r="EC113" s="1602"/>
      <c r="ED113" s="1602"/>
      <c r="EE113" s="1602"/>
      <c r="EF113" s="1602"/>
      <c r="EG113" s="1602"/>
      <c r="EH113" s="1602"/>
      <c r="EI113" s="1602"/>
      <c r="EJ113" s="1602"/>
      <c r="EK113" s="1602"/>
      <c r="EL113" s="1602"/>
      <c r="EM113" s="1602"/>
      <c r="EN113" s="1602"/>
      <c r="EO113" s="1602"/>
      <c r="EP113" s="1602"/>
      <c r="EQ113" s="1602"/>
      <c r="ER113" s="1602"/>
      <c r="ES113" s="1602"/>
      <c r="ET113" s="1380"/>
      <c r="EU113" s="1381"/>
      <c r="EV113" s="1381"/>
      <c r="EW113" s="1381"/>
      <c r="EX113" s="1381"/>
      <c r="EY113" s="1381"/>
      <c r="EZ113" s="1381"/>
      <c r="FA113" s="1381"/>
      <c r="FB113" s="1381"/>
      <c r="FC113" s="1381"/>
      <c r="FD113" s="1398"/>
      <c r="FE113" s="549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6"/>
      <c r="N114" s="626"/>
      <c r="O114" s="626"/>
      <c r="P114" s="626"/>
      <c r="Q114" s="626"/>
      <c r="R114" s="626"/>
      <c r="S114" s="626"/>
      <c r="T114" s="626"/>
      <c r="U114" s="626"/>
      <c r="V114" s="626"/>
      <c r="W114" s="626"/>
      <c r="X114" s="626"/>
      <c r="Y114" s="626"/>
      <c r="Z114" s="626"/>
      <c r="AA114" s="626"/>
      <c r="AB114" s="626"/>
      <c r="AC114" s="626"/>
      <c r="AD114" s="626"/>
      <c r="AE114" s="626"/>
      <c r="AF114" s="626"/>
      <c r="AG114" s="626"/>
      <c r="AH114" s="626"/>
      <c r="AI114" s="626"/>
      <c r="AJ114" s="626"/>
      <c r="AK114" s="626"/>
      <c r="AL114" s="626"/>
      <c r="AM114" s="626"/>
      <c r="AN114" s="626"/>
      <c r="AO114" s="626"/>
      <c r="AP114" s="626"/>
      <c r="AQ114" s="626"/>
      <c r="AR114" s="626"/>
      <c r="AS114" s="626"/>
      <c r="AT114" s="626"/>
      <c r="AU114" s="626"/>
      <c r="AV114" s="626"/>
      <c r="AW114" s="626"/>
      <c r="AX114" s="626"/>
      <c r="AY114" s="626"/>
      <c r="AZ114" s="626"/>
      <c r="BA114" s="626"/>
      <c r="BB114" s="626"/>
      <c r="BC114" s="626"/>
      <c r="BD114" s="626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6"/>
      <c r="N115" s="626"/>
      <c r="O115" s="626"/>
      <c r="P115" s="626"/>
      <c r="Q115" s="626"/>
      <c r="R115" s="626"/>
      <c r="S115" s="626"/>
      <c r="T115" s="626"/>
      <c r="U115" s="626"/>
      <c r="V115" s="626"/>
      <c r="W115" s="626"/>
      <c r="X115" s="626"/>
      <c r="Y115" s="626"/>
      <c r="Z115" s="626"/>
      <c r="AA115" s="626"/>
      <c r="AB115" s="626"/>
      <c r="AC115" s="626"/>
      <c r="AD115" s="626"/>
      <c r="AE115" s="626"/>
      <c r="AF115" s="626"/>
      <c r="AG115" s="626"/>
      <c r="AH115" s="626"/>
      <c r="AI115" s="626"/>
      <c r="AJ115" s="626"/>
      <c r="AK115" s="626"/>
      <c r="AL115" s="626"/>
      <c r="AM115" s="626"/>
      <c r="AN115" s="626"/>
      <c r="AO115" s="626"/>
      <c r="AP115" s="626"/>
      <c r="AQ115" s="626"/>
      <c r="AR115" s="626"/>
      <c r="AS115" s="626"/>
      <c r="AT115" s="626"/>
      <c r="AU115" s="626"/>
      <c r="AV115" s="626"/>
      <c r="AW115" s="626"/>
      <c r="AX115" s="626"/>
      <c r="AY115" s="626"/>
      <c r="AZ115" s="626"/>
      <c r="BA115" s="626"/>
      <c r="BB115" s="626"/>
      <c r="BC115" s="626"/>
      <c r="BD115" s="626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6"/>
      <c r="N116" s="626"/>
      <c r="O116" s="626"/>
      <c r="P116" s="626"/>
      <c r="Q116" s="626"/>
      <c r="R116" s="626"/>
      <c r="S116" s="626"/>
      <c r="T116" s="626"/>
      <c r="U116" s="626"/>
      <c r="V116" s="626"/>
      <c r="W116" s="626"/>
      <c r="X116" s="626"/>
      <c r="Y116" s="626"/>
      <c r="Z116" s="626"/>
      <c r="AA116" s="626"/>
      <c r="AB116" s="626"/>
      <c r="AC116" s="626"/>
      <c r="AD116" s="626"/>
      <c r="AE116" s="626"/>
      <c r="AF116" s="626"/>
      <c r="AG116" s="626"/>
      <c r="AH116" s="626"/>
      <c r="AI116" s="626"/>
      <c r="AJ116" s="626"/>
      <c r="AK116" s="626"/>
      <c r="AL116" s="626"/>
      <c r="AM116" s="626"/>
      <c r="AN116" s="626"/>
      <c r="AO116" s="626"/>
      <c r="AP116" s="626"/>
      <c r="AQ116" s="626"/>
      <c r="AR116" s="626"/>
      <c r="AS116" s="626"/>
      <c r="AT116" s="626"/>
      <c r="AU116" s="626"/>
      <c r="AV116" s="626"/>
      <c r="AW116" s="626"/>
      <c r="AX116" s="626"/>
      <c r="AY116" s="626"/>
      <c r="AZ116" s="626"/>
      <c r="BA116" s="626"/>
      <c r="BB116" s="626"/>
      <c r="BC116" s="626"/>
      <c r="BD116" s="626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3" t="str">
        <f>IF('Настройки УИК'!$C$26="","",'Настройки УИК'!$C$26)</f>
        <v/>
      </c>
      <c r="AA118" s="1383"/>
      <c r="AB118" s="1383"/>
      <c r="AC118" s="1383"/>
      <c r="AD118" s="1383"/>
      <c r="AE118" s="1383"/>
      <c r="AF118" s="1383"/>
      <c r="AG118" s="1383"/>
      <c r="AH118" s="1383"/>
      <c r="AI118" s="1383"/>
      <c r="AJ118" s="1383"/>
      <c r="AK118" s="1383"/>
      <c r="AL118" s="1383"/>
      <c r="AM118" s="1383"/>
      <c r="AN118" s="1383"/>
      <c r="AO118" s="1383"/>
      <c r="AP118" s="1383"/>
      <c r="AQ118" s="1383"/>
      <c r="AR118" s="1383"/>
      <c r="AS118" s="1383"/>
      <c r="AT118" s="1383"/>
      <c r="AU118" s="1383"/>
      <c r="AV118" s="1383"/>
      <c r="AW118" s="1383"/>
      <c r="AX118" s="1383"/>
      <c r="AY118" s="1383"/>
      <c r="AZ118" s="1383"/>
      <c r="BA118" s="1383"/>
      <c r="BB118" s="1383"/>
      <c r="BC118" s="1383"/>
      <c r="BD118" s="1383"/>
      <c r="BE118" s="1383"/>
      <c r="BF118" s="1383"/>
      <c r="BG118" s="1383"/>
      <c r="BH118" s="1383"/>
      <c r="BI118" s="1383"/>
      <c r="BJ118" s="1383"/>
      <c r="BK118" s="1383"/>
      <c r="BL118" s="1383"/>
      <c r="BM118" s="1383"/>
      <c r="BN118" s="1383"/>
      <c r="BO118" s="1383"/>
      <c r="BP118" s="1383"/>
      <c r="BQ118" s="1383"/>
      <c r="BR118" s="1383"/>
      <c r="BS118" s="1383"/>
      <c r="BT118" s="1383"/>
      <c r="BU118" s="1383"/>
      <c r="BV118" s="1383"/>
      <c r="BW118" s="1383"/>
      <c r="BX118" s="1383"/>
      <c r="BY118" s="627"/>
      <c r="BZ118" s="258"/>
      <c r="CA118" s="258"/>
      <c r="CB118" s="1385"/>
      <c r="CC118" s="1385"/>
      <c r="CD118" s="1385"/>
      <c r="CE118" s="1385"/>
      <c r="CF118" s="1385"/>
      <c r="CG118" s="1385"/>
      <c r="CH118" s="1385"/>
      <c r="CI118" s="1385"/>
      <c r="CJ118" s="1385"/>
      <c r="CK118" s="1385"/>
      <c r="CL118" s="1385"/>
      <c r="CM118" s="1385"/>
      <c r="CN118" s="1385"/>
      <c r="CO118" s="1385"/>
      <c r="CP118" s="1385"/>
      <c r="CQ118" s="1385"/>
      <c r="CR118" s="1385"/>
      <c r="CS118" s="1385"/>
      <c r="CT118" s="1385"/>
      <c r="CU118" s="1385"/>
      <c r="CV118" s="1385"/>
      <c r="CW118" s="1385"/>
      <c r="CX118" s="258"/>
      <c r="CY118" s="258"/>
      <c r="CZ118" s="258"/>
      <c r="DA118" s="258"/>
      <c r="DB118" s="258"/>
      <c r="DC118" s="258"/>
      <c r="DD118" s="258"/>
      <c r="DE118" s="1383" t="e">
        <f>INDEX('Настройки УИК'!B22:B22,19-MATCH('Настройки ТИК'!B39,'Настройки УИК'!M22:M22,0),1)</f>
        <v>#N/A</v>
      </c>
      <c r="DF118" s="1383"/>
      <c r="DG118" s="1383"/>
      <c r="DH118" s="1383"/>
      <c r="DI118" s="1383"/>
      <c r="DJ118" s="1383"/>
      <c r="DK118" s="1383"/>
      <c r="DL118" s="1383"/>
      <c r="DM118" s="1383"/>
      <c r="DN118" s="1383"/>
      <c r="DO118" s="1383"/>
      <c r="DP118" s="1383"/>
      <c r="DQ118" s="1383"/>
      <c r="DR118" s="1383"/>
      <c r="DS118" s="1383"/>
      <c r="DT118" s="1383"/>
      <c r="DU118" s="1383"/>
      <c r="DV118" s="1383"/>
      <c r="DW118" s="1383"/>
      <c r="DX118" s="1383"/>
      <c r="DY118" s="1383"/>
      <c r="DZ118" s="1383"/>
      <c r="EA118" s="1383"/>
      <c r="EB118" s="1383"/>
      <c r="EC118" s="1383"/>
      <c r="ED118" s="1383"/>
      <c r="EE118" s="1383"/>
      <c r="EF118" s="1383"/>
      <c r="EG118" s="1383"/>
      <c r="EH118" s="1383"/>
      <c r="EI118" s="1383"/>
      <c r="EJ118" s="1383"/>
      <c r="EK118" s="1383"/>
      <c r="EL118" s="1383"/>
      <c r="EM118" s="1383"/>
      <c r="EN118" s="1383"/>
      <c r="EO118" s="1383"/>
      <c r="EP118" s="1383"/>
      <c r="EQ118" s="1383"/>
      <c r="ER118" s="1383"/>
      <c r="ES118" s="1383"/>
      <c r="ET118" s="1383"/>
      <c r="EU118" s="1383"/>
      <c r="EV118" s="1383"/>
      <c r="EW118" s="1383"/>
      <c r="EX118" s="1383"/>
      <c r="EY118" s="1383"/>
      <c r="EZ118" s="1383"/>
      <c r="FA118" s="1383"/>
      <c r="FB118" s="1383"/>
      <c r="FC118" s="1383"/>
      <c r="FD118" s="1383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4"/>
      <c r="AA119" s="1384"/>
      <c r="AB119" s="1384"/>
      <c r="AC119" s="1384"/>
      <c r="AD119" s="1384"/>
      <c r="AE119" s="1384"/>
      <c r="AF119" s="1384"/>
      <c r="AG119" s="1384"/>
      <c r="AH119" s="1384"/>
      <c r="AI119" s="1384"/>
      <c r="AJ119" s="1384"/>
      <c r="AK119" s="1384"/>
      <c r="AL119" s="1384"/>
      <c r="AM119" s="1384"/>
      <c r="AN119" s="1384"/>
      <c r="AO119" s="1384"/>
      <c r="AP119" s="1384"/>
      <c r="AQ119" s="1384"/>
      <c r="AR119" s="1384"/>
      <c r="AS119" s="1384"/>
      <c r="AT119" s="1384"/>
      <c r="AU119" s="1384"/>
      <c r="AV119" s="1384"/>
      <c r="AW119" s="1384"/>
      <c r="AX119" s="1384"/>
      <c r="AY119" s="1384"/>
      <c r="AZ119" s="1384"/>
      <c r="BA119" s="1384"/>
      <c r="BB119" s="1384"/>
      <c r="BC119" s="1384"/>
      <c r="BD119" s="1384"/>
      <c r="BE119" s="1384"/>
      <c r="BF119" s="1384"/>
      <c r="BG119" s="1384"/>
      <c r="BH119" s="1384"/>
      <c r="BI119" s="1384"/>
      <c r="BJ119" s="1384"/>
      <c r="BK119" s="1384"/>
      <c r="BL119" s="1384"/>
      <c r="BM119" s="1384"/>
      <c r="BN119" s="1384"/>
      <c r="BO119" s="1384"/>
      <c r="BP119" s="1384"/>
      <c r="BQ119" s="1384"/>
      <c r="BR119" s="1384"/>
      <c r="BS119" s="1384"/>
      <c r="BT119" s="1384"/>
      <c r="BU119" s="1384"/>
      <c r="BV119" s="1384"/>
      <c r="BW119" s="1384"/>
      <c r="BX119" s="1384"/>
      <c r="BY119" s="628"/>
      <c r="BZ119" s="258"/>
      <c r="CA119" s="258"/>
      <c r="CB119" s="1386"/>
      <c r="CC119" s="1386"/>
      <c r="CD119" s="1386"/>
      <c r="CE119" s="1386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6"/>
      <c r="CU119" s="1386"/>
      <c r="CV119" s="1386"/>
      <c r="CW119" s="1386"/>
      <c r="CX119" s="258"/>
      <c r="CY119" s="258"/>
      <c r="CZ119" s="258"/>
      <c r="DA119" s="258"/>
      <c r="DB119" s="258"/>
      <c r="DC119" s="258"/>
      <c r="DD119" s="258"/>
      <c r="DE119" s="1384"/>
      <c r="DF119" s="1384"/>
      <c r="DG119" s="1384"/>
      <c r="DH119" s="1384"/>
      <c r="DI119" s="1384"/>
      <c r="DJ119" s="1384"/>
      <c r="DK119" s="1384"/>
      <c r="DL119" s="1384"/>
      <c r="DM119" s="1384"/>
      <c r="DN119" s="1384"/>
      <c r="DO119" s="1384"/>
      <c r="DP119" s="1384"/>
      <c r="DQ119" s="1384"/>
      <c r="DR119" s="1384"/>
      <c r="DS119" s="1384"/>
      <c r="DT119" s="1384"/>
      <c r="DU119" s="1384"/>
      <c r="DV119" s="1384"/>
      <c r="DW119" s="1384"/>
      <c r="DX119" s="1384"/>
      <c r="DY119" s="1384"/>
      <c r="DZ119" s="1384"/>
      <c r="EA119" s="1384"/>
      <c r="EB119" s="1384"/>
      <c r="EC119" s="1384"/>
      <c r="ED119" s="1384"/>
      <c r="EE119" s="1384"/>
      <c r="EF119" s="1384"/>
      <c r="EG119" s="1384"/>
      <c r="EH119" s="1384"/>
      <c r="EI119" s="1384"/>
      <c r="EJ119" s="1384"/>
      <c r="EK119" s="1384"/>
      <c r="EL119" s="1384"/>
      <c r="EM119" s="1384"/>
      <c r="EN119" s="1384"/>
      <c r="EO119" s="1384"/>
      <c r="EP119" s="1384"/>
      <c r="EQ119" s="1384"/>
      <c r="ER119" s="1384"/>
      <c r="ES119" s="1384"/>
      <c r="ET119" s="1384"/>
      <c r="EU119" s="1384"/>
      <c r="EV119" s="1384"/>
      <c r="EW119" s="1384"/>
      <c r="EX119" s="1384"/>
      <c r="EY119" s="1384"/>
      <c r="EZ119" s="1384"/>
      <c r="FA119" s="1384"/>
      <c r="FB119" s="1384"/>
      <c r="FC119" s="1384"/>
      <c r="FD119" s="1384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7" t="s">
        <v>485</v>
      </c>
      <c r="AA120" s="1387"/>
      <c r="AB120" s="1387"/>
      <c r="AC120" s="1387"/>
      <c r="AD120" s="1387"/>
      <c r="AE120" s="1387"/>
      <c r="AF120" s="1387"/>
      <c r="AG120" s="1387"/>
      <c r="AH120" s="1387"/>
      <c r="AI120" s="1387"/>
      <c r="AJ120" s="1387"/>
      <c r="AK120" s="1387"/>
      <c r="AL120" s="1387"/>
      <c r="AM120" s="1387"/>
      <c r="AN120" s="1387"/>
      <c r="AO120" s="1387"/>
      <c r="AP120" s="1387"/>
      <c r="AQ120" s="1387"/>
      <c r="AR120" s="1387"/>
      <c r="AS120" s="1387"/>
      <c r="AT120" s="1387"/>
      <c r="AU120" s="1387"/>
      <c r="AV120" s="1387"/>
      <c r="AW120" s="1387"/>
      <c r="AX120" s="1387"/>
      <c r="AY120" s="1387"/>
      <c r="AZ120" s="1387"/>
      <c r="BA120" s="1387"/>
      <c r="BB120" s="1387"/>
      <c r="BC120" s="1387"/>
      <c r="BD120" s="1387"/>
      <c r="BE120" s="1387"/>
      <c r="BF120" s="1387"/>
      <c r="BG120" s="1387"/>
      <c r="BH120" s="1387"/>
      <c r="BI120" s="1387"/>
      <c r="BJ120" s="1387"/>
      <c r="BK120" s="1387"/>
      <c r="BL120" s="1387"/>
      <c r="BM120" s="1387"/>
      <c r="BN120" s="1387"/>
      <c r="BO120" s="1387"/>
      <c r="BP120" s="1387"/>
      <c r="BQ120" s="1387"/>
      <c r="BR120" s="1387"/>
      <c r="BS120" s="1387"/>
      <c r="BT120" s="1387"/>
      <c r="BU120" s="1387"/>
      <c r="BV120" s="1387"/>
      <c r="BW120" s="1387"/>
      <c r="BX120" s="1387"/>
      <c r="BY120" s="1387"/>
      <c r="BZ120" s="254"/>
      <c r="CA120" s="254"/>
      <c r="CB120" s="1388" t="s">
        <v>5</v>
      </c>
      <c r="CC120" s="1388"/>
      <c r="CD120" s="1388"/>
      <c r="CE120" s="1388"/>
      <c r="CF120" s="1388"/>
      <c r="CG120" s="1388"/>
      <c r="CH120" s="1388"/>
      <c r="CI120" s="1388"/>
      <c r="CJ120" s="1388"/>
      <c r="CK120" s="1388"/>
      <c r="CL120" s="1388"/>
      <c r="CM120" s="1388"/>
      <c r="CN120" s="1388"/>
      <c r="CO120" s="1388"/>
      <c r="CP120" s="1388"/>
      <c r="CQ120" s="1388"/>
      <c r="CR120" s="1388"/>
      <c r="CS120" s="1388"/>
      <c r="CT120" s="1388"/>
      <c r="CU120" s="1388"/>
      <c r="CV120" s="1388"/>
      <c r="CW120" s="1388"/>
      <c r="CX120" s="254"/>
      <c r="CY120" s="254"/>
      <c r="CZ120" s="254"/>
      <c r="DA120" s="254"/>
      <c r="DB120" s="254"/>
      <c r="DC120" s="254"/>
      <c r="DD120" s="254"/>
      <c r="DE120" s="1388" t="s">
        <v>6</v>
      </c>
      <c r="DF120" s="1388"/>
      <c r="DG120" s="1388"/>
      <c r="DH120" s="1388"/>
      <c r="DI120" s="1388"/>
      <c r="DJ120" s="1388"/>
      <c r="DK120" s="1388"/>
      <c r="DL120" s="1388"/>
      <c r="DM120" s="1388"/>
      <c r="DN120" s="1388"/>
      <c r="DO120" s="1388"/>
      <c r="DP120" s="1388"/>
      <c r="DQ120" s="1388"/>
      <c r="DR120" s="1388"/>
      <c r="DS120" s="1388"/>
      <c r="DT120" s="1388"/>
      <c r="DU120" s="1388"/>
      <c r="DV120" s="1388"/>
      <c r="DW120" s="1388"/>
      <c r="DX120" s="1388"/>
      <c r="DY120" s="1388"/>
      <c r="DZ120" s="1388"/>
      <c r="EA120" s="1388"/>
      <c r="EB120" s="1388"/>
      <c r="EC120" s="1388"/>
      <c r="ED120" s="1388"/>
      <c r="EE120" s="1388"/>
      <c r="EF120" s="1388"/>
      <c r="EG120" s="1388"/>
      <c r="EH120" s="1388"/>
      <c r="EI120" s="1388"/>
      <c r="EJ120" s="1388"/>
      <c r="EK120" s="1388"/>
      <c r="EL120" s="1388"/>
      <c r="EM120" s="1388"/>
      <c r="EN120" s="1388"/>
      <c r="EO120" s="1388"/>
      <c r="EP120" s="1388"/>
      <c r="EQ120" s="1388"/>
      <c r="ER120" s="1388"/>
      <c r="ES120" s="1388"/>
      <c r="ET120" s="1388"/>
      <c r="EU120" s="1388"/>
      <c r="EV120" s="1388"/>
      <c r="EW120" s="1388"/>
      <c r="EX120" s="1388"/>
      <c r="EY120" s="1388"/>
      <c r="EZ120" s="1388"/>
      <c r="FA120" s="1388"/>
      <c r="FB120" s="1388"/>
      <c r="FC120" s="1388"/>
      <c r="FD120" s="1388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631" t="s">
        <v>370</v>
      </c>
      <c r="B121" s="1631"/>
      <c r="C121" s="1631"/>
      <c r="D121" s="1631"/>
      <c r="E121" s="1631"/>
      <c r="F121" s="1631"/>
      <c r="G121" s="1631"/>
      <c r="H121" s="1631"/>
      <c r="I121" s="1631"/>
      <c r="J121" s="1631"/>
      <c r="K121" s="1631"/>
      <c r="L121" s="1631"/>
      <c r="M121" s="1631"/>
      <c r="N121" s="1631"/>
      <c r="O121" s="1631"/>
      <c r="P121" s="1631"/>
      <c r="Q121" s="1631"/>
      <c r="R121" s="1631"/>
      <c r="S121" s="1631"/>
      <c r="T121" s="1631"/>
      <c r="U121" s="1631"/>
      <c r="V121" s="1631"/>
      <c r="W121" s="1631"/>
      <c r="X121" s="1631"/>
      <c r="Y121" s="1631"/>
      <c r="Z121" s="1632"/>
      <c r="AA121" s="1632"/>
      <c r="AB121" s="1632"/>
      <c r="AC121" s="1632"/>
      <c r="AD121" s="1632"/>
      <c r="AE121" s="1632"/>
      <c r="AF121" s="1632"/>
      <c r="AG121" s="1632"/>
      <c r="AH121" s="1632"/>
      <c r="AI121" s="1632"/>
      <c r="AJ121" s="1632"/>
      <c r="AK121" s="1632"/>
      <c r="AL121" s="1632"/>
      <c r="AM121" s="1632"/>
      <c r="AN121" s="1632"/>
      <c r="AO121" s="1632"/>
      <c r="AP121" s="1632"/>
      <c r="AQ121" s="1632"/>
      <c r="AR121" s="1632"/>
      <c r="AS121" s="1632"/>
      <c r="AT121" s="1632"/>
      <c r="AU121" s="1632"/>
      <c r="AV121" s="1632"/>
      <c r="AW121" s="1632"/>
      <c r="AX121" s="1632"/>
      <c r="AY121" s="1632"/>
      <c r="AZ121" s="1632"/>
      <c r="BA121" s="1632"/>
      <c r="BB121" s="1632"/>
      <c r="BC121" s="1632"/>
      <c r="BD121" s="1632"/>
      <c r="BE121" s="1632"/>
      <c r="BF121" s="1632"/>
      <c r="BG121" s="1632"/>
      <c r="BH121" s="1632"/>
      <c r="BI121" s="1632"/>
      <c r="BJ121" s="1632"/>
      <c r="BK121" s="1632"/>
      <c r="BL121" s="1632"/>
      <c r="BM121" s="1632"/>
      <c r="BN121" s="1632"/>
      <c r="BO121" s="1632"/>
      <c r="BP121" s="1632"/>
      <c r="BQ121" s="1632"/>
      <c r="BR121" s="1632"/>
      <c r="BS121" s="1632"/>
      <c r="BT121" s="1632"/>
      <c r="BU121" s="1632"/>
      <c r="BV121" s="1632"/>
      <c r="BW121" s="1632"/>
      <c r="BX121" s="1632"/>
      <c r="BY121" s="1632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631"/>
      <c r="B122" s="1631"/>
      <c r="C122" s="1631"/>
      <c r="D122" s="1631"/>
      <c r="E122" s="1631"/>
      <c r="F122" s="1631"/>
      <c r="G122" s="1631"/>
      <c r="H122" s="1631"/>
      <c r="I122" s="1631"/>
      <c r="J122" s="1631"/>
      <c r="K122" s="1631"/>
      <c r="L122" s="1631"/>
      <c r="M122" s="1631"/>
      <c r="N122" s="1631"/>
      <c r="O122" s="1631"/>
      <c r="P122" s="1631"/>
      <c r="Q122" s="1631"/>
      <c r="R122" s="1631"/>
      <c r="S122" s="1631"/>
      <c r="T122" s="1631"/>
      <c r="U122" s="1631"/>
      <c r="V122" s="1631"/>
      <c r="W122" s="1631"/>
      <c r="X122" s="1631"/>
      <c r="Y122" s="1631"/>
      <c r="Z122" s="1632"/>
      <c r="AA122" s="1632"/>
      <c r="AB122" s="1632"/>
      <c r="AC122" s="1632"/>
      <c r="AD122" s="1632"/>
      <c r="AE122" s="1632"/>
      <c r="AF122" s="1632"/>
      <c r="AG122" s="1632"/>
      <c r="AH122" s="1632"/>
      <c r="AI122" s="1632"/>
      <c r="AJ122" s="1632"/>
      <c r="AK122" s="1632"/>
      <c r="AL122" s="1632"/>
      <c r="AM122" s="1632"/>
      <c r="AN122" s="1632"/>
      <c r="AO122" s="1632"/>
      <c r="AP122" s="1632"/>
      <c r="AQ122" s="1632"/>
      <c r="AR122" s="1632"/>
      <c r="AS122" s="1632"/>
      <c r="AT122" s="1632"/>
      <c r="AU122" s="1632"/>
      <c r="AV122" s="1632"/>
      <c r="AW122" s="1632"/>
      <c r="AX122" s="1632"/>
      <c r="AY122" s="1632"/>
      <c r="AZ122" s="1632"/>
      <c r="BA122" s="1632"/>
      <c r="BB122" s="1632"/>
      <c r="BC122" s="1632"/>
      <c r="BD122" s="1632"/>
      <c r="BE122" s="1632"/>
      <c r="BF122" s="1632"/>
      <c r="BG122" s="1632"/>
      <c r="BH122" s="1632"/>
      <c r="BI122" s="1632"/>
      <c r="BJ122" s="1632"/>
      <c r="BK122" s="1632"/>
      <c r="BL122" s="1632"/>
      <c r="BM122" s="1632"/>
      <c r="BN122" s="1632"/>
      <c r="BO122" s="1632"/>
      <c r="BP122" s="1632"/>
      <c r="BQ122" s="1632"/>
      <c r="BR122" s="1632"/>
      <c r="BS122" s="1632"/>
      <c r="BT122" s="1632"/>
      <c r="BU122" s="1632"/>
      <c r="BV122" s="1632"/>
      <c r="BW122" s="1632"/>
      <c r="BX122" s="1632"/>
      <c r="BY122" s="1632"/>
      <c r="BZ122" s="152"/>
      <c r="CA122" s="152"/>
      <c r="CB122" s="1634"/>
      <c r="CC122" s="1634"/>
      <c r="CD122" s="1634"/>
      <c r="CE122" s="1634"/>
      <c r="CF122" s="1634"/>
      <c r="CG122" s="1634"/>
      <c r="CH122" s="1634"/>
      <c r="CI122" s="1634"/>
      <c r="CJ122" s="1634"/>
      <c r="CK122" s="1634"/>
      <c r="CL122" s="1634"/>
      <c r="CM122" s="1634"/>
      <c r="CN122" s="1634"/>
      <c r="CO122" s="1634"/>
      <c r="CP122" s="1634"/>
      <c r="CQ122" s="1634"/>
      <c r="CR122" s="1634"/>
      <c r="CS122" s="1634"/>
      <c r="CT122" s="1634"/>
      <c r="CU122" s="1634"/>
      <c r="CV122" s="1634"/>
      <c r="CW122" s="1634"/>
      <c r="CX122" s="152"/>
      <c r="CY122" s="152"/>
      <c r="CZ122" s="152"/>
      <c r="DA122" s="152"/>
      <c r="DB122" s="152"/>
      <c r="DC122" s="152"/>
      <c r="DD122" s="152"/>
      <c r="DE122" s="1390"/>
      <c r="DF122" s="1390"/>
      <c r="DG122" s="1390"/>
      <c r="DH122" s="1390"/>
      <c r="DI122" s="1390"/>
      <c r="DJ122" s="1390"/>
      <c r="DK122" s="1390"/>
      <c r="DL122" s="1390"/>
      <c r="DM122" s="1390"/>
      <c r="DN122" s="1390"/>
      <c r="DO122" s="1390"/>
      <c r="DP122" s="1390"/>
      <c r="DQ122" s="1390"/>
      <c r="DR122" s="1390"/>
      <c r="DS122" s="1390"/>
      <c r="DT122" s="1390"/>
      <c r="DU122" s="1390"/>
      <c r="DV122" s="1390"/>
      <c r="DW122" s="1390"/>
      <c r="DX122" s="1390"/>
      <c r="DY122" s="1390"/>
      <c r="DZ122" s="1390"/>
      <c r="EA122" s="1390"/>
      <c r="EB122" s="1390"/>
      <c r="EC122" s="1390"/>
      <c r="ED122" s="1390"/>
      <c r="EE122" s="1390"/>
      <c r="EF122" s="1390"/>
      <c r="EG122" s="1390"/>
      <c r="EH122" s="1390"/>
      <c r="EI122" s="1390"/>
      <c r="EJ122" s="1390"/>
      <c r="EK122" s="1390"/>
      <c r="EL122" s="1390"/>
      <c r="EM122" s="1390"/>
      <c r="EN122" s="1390"/>
      <c r="EO122" s="1390"/>
      <c r="EP122" s="1390"/>
      <c r="EQ122" s="1390"/>
      <c r="ER122" s="1390"/>
      <c r="ES122" s="1390"/>
      <c r="ET122" s="1390"/>
      <c r="EU122" s="1390"/>
      <c r="EV122" s="1390"/>
      <c r="EW122" s="1390"/>
      <c r="EX122" s="1390"/>
      <c r="EY122" s="1390"/>
      <c r="EZ122" s="1390"/>
      <c r="FA122" s="1390"/>
      <c r="FB122" s="1390"/>
      <c r="FC122" s="1390"/>
      <c r="FD122" s="1390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631" t="s">
        <v>486</v>
      </c>
      <c r="B123" s="1631"/>
      <c r="C123" s="1631"/>
      <c r="D123" s="1631"/>
      <c r="E123" s="1631"/>
      <c r="F123" s="1631"/>
      <c r="G123" s="1631"/>
      <c r="H123" s="1631"/>
      <c r="I123" s="1631"/>
      <c r="J123" s="1631"/>
      <c r="K123" s="1631"/>
      <c r="L123" s="1631"/>
      <c r="M123" s="1631"/>
      <c r="N123" s="1631"/>
      <c r="O123" s="1631"/>
      <c r="P123" s="1631"/>
      <c r="Q123" s="1631"/>
      <c r="R123" s="1631"/>
      <c r="S123" s="1631"/>
      <c r="T123" s="1631"/>
      <c r="U123" s="1631"/>
      <c r="V123" s="1631"/>
      <c r="W123" s="1631"/>
      <c r="X123" s="1631"/>
      <c r="Y123" s="1631"/>
      <c r="Z123" s="1633"/>
      <c r="AA123" s="1633"/>
      <c r="AB123" s="1633"/>
      <c r="AC123" s="1633"/>
      <c r="AD123" s="1633"/>
      <c r="AE123" s="1633"/>
      <c r="AF123" s="1633"/>
      <c r="AG123" s="1633"/>
      <c r="AH123" s="1633"/>
      <c r="AI123" s="1633"/>
      <c r="AJ123" s="1633"/>
      <c r="AK123" s="1633"/>
      <c r="AL123" s="1633"/>
      <c r="AM123" s="1633"/>
      <c r="AN123" s="1633"/>
      <c r="AO123" s="1633"/>
      <c r="AP123" s="1633"/>
      <c r="AQ123" s="1633"/>
      <c r="AR123" s="1633"/>
      <c r="AS123" s="1633"/>
      <c r="AT123" s="1633"/>
      <c r="AU123" s="1633"/>
      <c r="AV123" s="1633"/>
      <c r="AW123" s="1633"/>
      <c r="AX123" s="1633"/>
      <c r="AY123" s="1633"/>
      <c r="AZ123" s="1633"/>
      <c r="BA123" s="1633"/>
      <c r="BB123" s="1633"/>
      <c r="BC123" s="1633"/>
      <c r="BD123" s="1633"/>
      <c r="BE123" s="1633"/>
      <c r="BF123" s="1633"/>
      <c r="BG123" s="1633"/>
      <c r="BH123" s="1633"/>
      <c r="BI123" s="1633"/>
      <c r="BJ123" s="1633"/>
      <c r="BK123" s="1633"/>
      <c r="BL123" s="1633"/>
      <c r="BM123" s="1633"/>
      <c r="BN123" s="1633"/>
      <c r="BO123" s="1633"/>
      <c r="BP123" s="1633"/>
      <c r="BQ123" s="1633"/>
      <c r="BR123" s="1633"/>
      <c r="BS123" s="1633"/>
      <c r="BT123" s="1633"/>
      <c r="BU123" s="1633"/>
      <c r="BV123" s="1633"/>
      <c r="BW123" s="1633"/>
      <c r="BX123" s="1633"/>
      <c r="BY123" s="1633"/>
      <c r="BZ123" s="152"/>
      <c r="CA123" s="152"/>
      <c r="CB123" s="1635"/>
      <c r="CC123" s="1635"/>
      <c r="CD123" s="1635"/>
      <c r="CE123" s="1635"/>
      <c r="CF123" s="1635"/>
      <c r="CG123" s="1635"/>
      <c r="CH123" s="1635"/>
      <c r="CI123" s="1635"/>
      <c r="CJ123" s="1635"/>
      <c r="CK123" s="1635"/>
      <c r="CL123" s="1635"/>
      <c r="CM123" s="1635"/>
      <c r="CN123" s="1635"/>
      <c r="CO123" s="1635"/>
      <c r="CP123" s="1635"/>
      <c r="CQ123" s="1635"/>
      <c r="CR123" s="1635"/>
      <c r="CS123" s="1635"/>
      <c r="CT123" s="1635"/>
      <c r="CU123" s="1635"/>
      <c r="CV123" s="1635"/>
      <c r="CW123" s="1635"/>
      <c r="CX123" s="152"/>
      <c r="CY123" s="152"/>
      <c r="CZ123" s="152"/>
      <c r="DA123" s="152"/>
      <c r="DB123" s="152"/>
      <c r="DC123" s="152"/>
      <c r="DD123" s="152"/>
      <c r="DE123" s="1391"/>
      <c r="DF123" s="1391"/>
      <c r="DG123" s="1391"/>
      <c r="DH123" s="1391"/>
      <c r="DI123" s="1391"/>
      <c r="DJ123" s="1391"/>
      <c r="DK123" s="1391"/>
      <c r="DL123" s="1391"/>
      <c r="DM123" s="1391"/>
      <c r="DN123" s="1391"/>
      <c r="DO123" s="1391"/>
      <c r="DP123" s="1391"/>
      <c r="DQ123" s="1391"/>
      <c r="DR123" s="1391"/>
      <c r="DS123" s="1391"/>
      <c r="DT123" s="1391"/>
      <c r="DU123" s="1391"/>
      <c r="DV123" s="1391"/>
      <c r="DW123" s="1391"/>
      <c r="DX123" s="1391"/>
      <c r="DY123" s="1391"/>
      <c r="DZ123" s="1391"/>
      <c r="EA123" s="1391"/>
      <c r="EB123" s="1391"/>
      <c r="EC123" s="1391"/>
      <c r="ED123" s="1391"/>
      <c r="EE123" s="1391"/>
      <c r="EF123" s="1391"/>
      <c r="EG123" s="1391"/>
      <c r="EH123" s="1391"/>
      <c r="EI123" s="1391"/>
      <c r="EJ123" s="1391"/>
      <c r="EK123" s="1391"/>
      <c r="EL123" s="1391"/>
      <c r="EM123" s="1391"/>
      <c r="EN123" s="1391"/>
      <c r="EO123" s="1391"/>
      <c r="EP123" s="1391"/>
      <c r="EQ123" s="1391"/>
      <c r="ER123" s="1391"/>
      <c r="ES123" s="1391"/>
      <c r="ET123" s="1391"/>
      <c r="EU123" s="1391"/>
      <c r="EV123" s="1391"/>
      <c r="EW123" s="1391"/>
      <c r="EX123" s="1391"/>
      <c r="EY123" s="1391"/>
      <c r="EZ123" s="1391"/>
      <c r="FA123" s="1391"/>
      <c r="FB123" s="1391"/>
      <c r="FC123" s="1391"/>
      <c r="FD123" s="1391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7" t="s">
        <v>485</v>
      </c>
      <c r="AA124" s="1387"/>
      <c r="AB124" s="1387"/>
      <c r="AC124" s="1387"/>
      <c r="AD124" s="1387"/>
      <c r="AE124" s="1387"/>
      <c r="AF124" s="1387"/>
      <c r="AG124" s="1387"/>
      <c r="AH124" s="1387"/>
      <c r="AI124" s="1387"/>
      <c r="AJ124" s="1387"/>
      <c r="AK124" s="1387"/>
      <c r="AL124" s="1387"/>
      <c r="AM124" s="1387"/>
      <c r="AN124" s="1387"/>
      <c r="AO124" s="1387"/>
      <c r="AP124" s="1387"/>
      <c r="AQ124" s="1387"/>
      <c r="AR124" s="1387"/>
      <c r="AS124" s="1387"/>
      <c r="AT124" s="1387"/>
      <c r="AU124" s="1387"/>
      <c r="AV124" s="1387"/>
      <c r="AW124" s="1387"/>
      <c r="AX124" s="1387"/>
      <c r="AY124" s="1387"/>
      <c r="AZ124" s="1387"/>
      <c r="BA124" s="1387"/>
      <c r="BB124" s="1387"/>
      <c r="BC124" s="1387"/>
      <c r="BD124" s="1387"/>
      <c r="BE124" s="1387"/>
      <c r="BF124" s="1387"/>
      <c r="BG124" s="1387"/>
      <c r="BH124" s="1387"/>
      <c r="BI124" s="1387"/>
      <c r="BJ124" s="1387"/>
      <c r="BK124" s="1387"/>
      <c r="BL124" s="1387"/>
      <c r="BM124" s="1387"/>
      <c r="BN124" s="1387"/>
      <c r="BO124" s="1387"/>
      <c r="BP124" s="1387"/>
      <c r="BQ124" s="1387"/>
      <c r="BR124" s="1387"/>
      <c r="BS124" s="1387"/>
      <c r="BT124" s="1387"/>
      <c r="BU124" s="1387"/>
      <c r="BV124" s="1387"/>
      <c r="BW124" s="1387"/>
      <c r="BX124" s="1387"/>
      <c r="BY124" s="1387"/>
      <c r="BZ124" s="255"/>
      <c r="CA124" s="255"/>
      <c r="CB124" s="1388" t="s">
        <v>5</v>
      </c>
      <c r="CC124" s="1388"/>
      <c r="CD124" s="1388"/>
      <c r="CE124" s="1388"/>
      <c r="CF124" s="1388"/>
      <c r="CG124" s="1388"/>
      <c r="CH124" s="1388"/>
      <c r="CI124" s="1388"/>
      <c r="CJ124" s="1388"/>
      <c r="CK124" s="1388"/>
      <c r="CL124" s="1388"/>
      <c r="CM124" s="1388"/>
      <c r="CN124" s="1388"/>
      <c r="CO124" s="1388"/>
      <c r="CP124" s="1388"/>
      <c r="CQ124" s="1388"/>
      <c r="CR124" s="1388"/>
      <c r="CS124" s="1388"/>
      <c r="CT124" s="1388"/>
      <c r="CU124" s="1388"/>
      <c r="CV124" s="1388"/>
      <c r="CW124" s="1388"/>
      <c r="CX124" s="254"/>
      <c r="CY124" s="254"/>
      <c r="CZ124" s="254"/>
      <c r="DA124" s="254"/>
      <c r="DB124" s="254"/>
      <c r="DC124" s="254"/>
      <c r="DD124" s="254"/>
      <c r="DE124" s="1388" t="s">
        <v>6</v>
      </c>
      <c r="DF124" s="1388"/>
      <c r="DG124" s="1388"/>
      <c r="DH124" s="1388"/>
      <c r="DI124" s="1388"/>
      <c r="DJ124" s="1388"/>
      <c r="DK124" s="1388"/>
      <c r="DL124" s="1388"/>
      <c r="DM124" s="1388"/>
      <c r="DN124" s="1388"/>
      <c r="DO124" s="1388"/>
      <c r="DP124" s="1388"/>
      <c r="DQ124" s="1388"/>
      <c r="DR124" s="1388"/>
      <c r="DS124" s="1388"/>
      <c r="DT124" s="1388"/>
      <c r="DU124" s="1388"/>
      <c r="DV124" s="1388"/>
      <c r="DW124" s="1388"/>
      <c r="DX124" s="1388"/>
      <c r="DY124" s="1388"/>
      <c r="DZ124" s="1388"/>
      <c r="EA124" s="1388"/>
      <c r="EB124" s="1388"/>
      <c r="EC124" s="1388"/>
      <c r="ED124" s="1388"/>
      <c r="EE124" s="1388"/>
      <c r="EF124" s="1388"/>
      <c r="EG124" s="1388"/>
      <c r="EH124" s="1388"/>
      <c r="EI124" s="1388"/>
      <c r="EJ124" s="1388"/>
      <c r="EK124" s="1388"/>
      <c r="EL124" s="1388"/>
      <c r="EM124" s="1388"/>
      <c r="EN124" s="1388"/>
      <c r="EO124" s="1388"/>
      <c r="EP124" s="1388"/>
      <c r="EQ124" s="1388"/>
      <c r="ER124" s="1388"/>
      <c r="ES124" s="1388"/>
      <c r="ET124" s="1388"/>
      <c r="EU124" s="1388"/>
      <c r="EV124" s="1388"/>
      <c r="EW124" s="1388"/>
      <c r="EX124" s="1388"/>
      <c r="EY124" s="1388"/>
      <c r="EZ124" s="1388"/>
      <c r="FA124" s="1388"/>
      <c r="FB124" s="1388"/>
      <c r="FC124" s="1388"/>
      <c r="FD124" s="1388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92" t="s">
        <v>179</v>
      </c>
      <c r="B125" s="1392"/>
      <c r="C125" s="1636"/>
      <c r="D125" s="1636"/>
      <c r="E125" s="1636"/>
      <c r="F125" s="1636"/>
      <c r="G125" s="1396" t="s">
        <v>179</v>
      </c>
      <c r="H125" s="1396"/>
      <c r="I125" s="1636"/>
      <c r="J125" s="1636"/>
      <c r="K125" s="1636"/>
      <c r="L125" s="1636"/>
      <c r="M125" s="1636"/>
      <c r="N125" s="1636"/>
      <c r="O125" s="1636"/>
      <c r="P125" s="1636"/>
      <c r="Q125" s="1636"/>
      <c r="R125" s="1636"/>
      <c r="S125" s="1636"/>
      <c r="T125" s="1636"/>
      <c r="U125" s="1636"/>
      <c r="V125" s="1636"/>
      <c r="W125" s="1636"/>
      <c r="X125" s="1636"/>
      <c r="Y125" s="1397" t="s">
        <v>905</v>
      </c>
      <c r="Z125" s="1392"/>
      <c r="AA125" s="1392"/>
      <c r="AB125" s="629"/>
      <c r="AC125" s="629"/>
      <c r="AD125" s="629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78" t="s">
        <v>371</v>
      </c>
      <c r="B126" s="1378"/>
      <c r="C126" s="1378"/>
      <c r="D126" s="1378"/>
      <c r="E126" s="1378"/>
      <c r="F126" s="1378"/>
      <c r="G126" s="1378"/>
      <c r="H126" s="1378"/>
      <c r="I126" s="1378"/>
      <c r="J126" s="1378"/>
      <c r="K126" s="1378"/>
      <c r="L126" s="1378"/>
      <c r="M126" s="1378"/>
      <c r="N126" s="1378"/>
      <c r="O126" s="1378"/>
      <c r="P126" s="1378"/>
      <c r="Q126" s="1378"/>
      <c r="R126" s="1378"/>
      <c r="S126" s="1378"/>
      <c r="T126" s="1378"/>
      <c r="U126" s="1378"/>
      <c r="V126" s="1378"/>
      <c r="W126" s="1378"/>
      <c r="X126" s="1378"/>
      <c r="Y126" s="1378"/>
      <c r="Z126" s="1378"/>
      <c r="AA126" s="1378"/>
      <c r="AB126" s="1378"/>
      <c r="AC126" s="1378"/>
      <c r="AD126" s="1378"/>
      <c r="AE126" s="1378"/>
      <c r="AF126" s="1378"/>
      <c r="AG126" s="1378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3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sheetProtection password="C09F" sheet="1" objects="1" scenarios="1"/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8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105</vt:i4>
      </vt:variant>
    </vt:vector>
  </HeadingPairs>
  <TitlesOfParts>
    <vt:vector size="126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sum_all_uik</vt:lpstr>
      <vt:lpstr>sum_all_uik_dop</vt:lpstr>
      <vt:lpstr>ter_kom</vt:lpstr>
      <vt:lpstr>tv_tik</vt:lpstr>
      <vt:lpstr>tv_uik</vt:lpstr>
      <vt:lpstr>uik_line</vt:lpstr>
      <vt:lpstr>var_line</vt:lpstr>
      <vt:lpstr>var_pp</vt:lpstr>
      <vt:lpstr>var_rashod</vt:lpstr>
      <vt:lpstr>var_summ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Список_смета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2020-07-03T11:10:11Z</dcterms:modified>
</cp:coreProperties>
</file>