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4.HealthOutcomesPaper\"/>
    </mc:Choice>
  </mc:AlternateContent>
  <xr:revisionPtr revIDLastSave="0" documentId="13_ncr:40009_{2AE91DA3-10E8-4396-97F7-3E679EF922B0}" xr6:coauthVersionLast="36" xr6:coauthVersionMax="36" xr10:uidLastSave="{00000000-0000-0000-0000-000000000000}"/>
  <bookViews>
    <workbookView xWindow="0" yWindow="0" windowWidth="20520" windowHeight="9435"/>
  </bookViews>
  <sheets>
    <sheet name="Formatted_Tab2a_FRAG" sheetId="1" r:id="rId1"/>
  </sheets>
  <calcPr calcId="0"/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12" i="1"/>
  <c r="T5" i="1"/>
  <c r="T6" i="1"/>
  <c r="T7" i="1"/>
  <c r="T8" i="1"/>
  <c r="T9" i="1"/>
  <c r="T10" i="1"/>
  <c r="T11" i="1"/>
  <c r="T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P4" i="1"/>
  <c r="Q4" i="1"/>
  <c r="O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S4" i="1"/>
  <c r="R4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<sst xmlns="http://schemas.openxmlformats.org/spreadsheetml/2006/main" count="34" uniqueCount="34">
  <si>
    <t>Mean0</t>
  </si>
  <si>
    <t>Mean1</t>
  </si>
  <si>
    <t>Diff.</t>
  </si>
  <si>
    <t>Std. Error</t>
  </si>
  <si>
    <t>Obs.</t>
  </si>
  <si>
    <t># of stars</t>
  </si>
  <si>
    <t>Number</t>
  </si>
  <si>
    <t>Diff*-1</t>
  </si>
  <si>
    <t>lb</t>
  </si>
  <si>
    <t>ub</t>
  </si>
  <si>
    <t>diff_r</t>
  </si>
  <si>
    <t>lb_r</t>
  </si>
  <si>
    <t>ub_r</t>
  </si>
  <si>
    <t xml:space="preserve">To paste 1 </t>
  </si>
  <si>
    <t>To paste 2</t>
  </si>
  <si>
    <t>To paste 3</t>
  </si>
  <si>
    <t>bin_ho_op</t>
  </si>
  <si>
    <t>bin_ho_pcp</t>
  </si>
  <si>
    <t>bin_ho_ed</t>
  </si>
  <si>
    <t>bin_ho_ip</t>
  </si>
  <si>
    <t>ho_op</t>
  </si>
  <si>
    <t>ho_pcp</t>
  </si>
  <si>
    <t>ho_ed</t>
  </si>
  <si>
    <t>ho_ip</t>
  </si>
  <si>
    <t>tc</t>
  </si>
  <si>
    <t>p_tc_op</t>
  </si>
  <si>
    <t>p_tc_pcp</t>
  </si>
  <si>
    <t>p_tc_ed</t>
  </si>
  <si>
    <t>p_tc_ip</t>
  </si>
  <si>
    <t>oop</t>
  </si>
  <si>
    <t>p_oop_op</t>
  </si>
  <si>
    <t>p_oop_pcp</t>
  </si>
  <si>
    <t>p_oop_ed</t>
  </si>
  <si>
    <t>p_oop_ip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</si>
</sst>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44" fontId="0" fillId="0" borderId="0" xfId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D1" workbookViewId="0">
      <selection activeCell="R4" sqref="R4"/>
    </sheetView>
  </sheetViews>
  <sheetFormatPr defaultRowHeight="14.25" x14ac:dyDescent="0.45"/>
  <cols>
    <col min="18" max="19" width="9.86328125" bestFit="1" customWidth="1"/>
    <col min="20" max="20" width="20.59765625" customWidth="1"/>
  </cols>
  <sheetData>
    <row r="1" spans="1:20" x14ac:dyDescent="0.45">
      <c r="D1">
        <v>-1</v>
      </c>
    </row>
    <row r="3" spans="1:20" x14ac:dyDescent="0.45">
      <c r="B3" t="s">
        <v>0</v>
      </c>
      <c r="C3" t="s">
        <v>1</v>
      </c>
      <c r="D3" t="s">
        <v>2</v>
      </c>
      <c r="G3" t="s">
        <v>3</v>
      </c>
      <c r="H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</row>
    <row r="4" spans="1:20" ht="28.5" x14ac:dyDescent="0.45">
      <c r="A4" t="s">
        <v>16</v>
      </c>
      <c r="B4" t="str">
        <f>"73.648"</f>
        <v>73.648</v>
      </c>
      <c r="C4" t="str">
        <f>"79.299"</f>
        <v>79.299</v>
      </c>
      <c r="D4" t="str">
        <f>"-5.650***"</f>
        <v>-5.650***</v>
      </c>
      <c r="G4" s="4">
        <v>1.0740000000000001</v>
      </c>
      <c r="H4">
        <v>44471</v>
      </c>
      <c r="I4" t="str">
        <f>"0.000"</f>
        <v>0.000</v>
      </c>
      <c r="J4">
        <f>LEN(D4)-LEN(SUBSTITUTE(D4,"*",""))</f>
        <v>3</v>
      </c>
      <c r="K4" t="str">
        <f>SUBSTITUTE(D4,"*","")</f>
        <v>-5.650</v>
      </c>
      <c r="L4">
        <f>K4*-1</f>
        <v>5.65</v>
      </c>
      <c r="M4">
        <f>L4-1.96*G4</f>
        <v>3.5449600000000001</v>
      </c>
      <c r="N4">
        <f>L4+1.96*G4</f>
        <v>7.755040000000001</v>
      </c>
      <c r="O4" s="2">
        <f>ROUND(L4,2)</f>
        <v>5.65</v>
      </c>
      <c r="P4" s="2">
        <f t="shared" ref="P4:Q4" si="0">ROUND(M4,2)</f>
        <v>3.54</v>
      </c>
      <c r="Q4" s="2">
        <f t="shared" si="0"/>
        <v>7.76</v>
      </c>
      <c r="R4" s="2">
        <f>ROUND(B4, 2)</f>
        <v>73.650000000000006</v>
      </c>
      <c r="S4" s="2">
        <f>ROUND(C4, 2)</f>
        <v>79.3</v>
      </c>
      <c r="T4" s="1" t="str">
        <f>_xlfn.CONCAT(O4,REPT("*",J4),CHAR(10),"[",P4,", ",Q4,"]")</f>
        <v>5.65***
[3.54, 7.76]</v>
      </c>
    </row>
    <row r="5" spans="1:20" ht="28.5" x14ac:dyDescent="0.45">
      <c r="A5" t="s">
        <v>17</v>
      </c>
      <c r="B5" t="str">
        <f>"11.496"</f>
        <v>11.496</v>
      </c>
      <c r="C5" t="str">
        <f>"14.700"</f>
        <v>14.700</v>
      </c>
      <c r="D5" t="str">
        <f>"-3.204***"</f>
        <v>-3.204***</v>
      </c>
      <c r="G5" s="4">
        <v>0.93300000000000005</v>
      </c>
      <c r="H5">
        <v>44471</v>
      </c>
      <c r="I5" t="str">
        <f>"0.001"</f>
        <v>0.001</v>
      </c>
      <c r="J5">
        <f t="shared" ref="J5:J21" si="1">LEN(D5)-LEN(SUBSTITUTE(D5,"*",""))</f>
        <v>3</v>
      </c>
      <c r="K5" t="str">
        <f t="shared" ref="K5:K21" si="2">SUBSTITUTE(D5,"*","")</f>
        <v>-3.204</v>
      </c>
      <c r="L5">
        <f t="shared" ref="L5:L21" si="3">K5*-1</f>
        <v>3.2040000000000002</v>
      </c>
      <c r="M5">
        <f t="shared" ref="M5:M21" si="4">L5-1.96*G5</f>
        <v>1.3753200000000001</v>
      </c>
      <c r="N5">
        <f t="shared" ref="N5:N21" si="5">L5+1.96*G5</f>
        <v>5.03268</v>
      </c>
      <c r="O5" s="2">
        <f t="shared" ref="O5:O21" si="6">ROUND(L5,2)</f>
        <v>3.2</v>
      </c>
      <c r="P5" s="2">
        <f t="shared" ref="P5:P21" si="7">ROUND(M5,2)</f>
        <v>1.38</v>
      </c>
      <c r="Q5" s="2">
        <f t="shared" ref="Q5:Q21" si="8">ROUND(N5,2)</f>
        <v>5.03</v>
      </c>
      <c r="R5" s="2">
        <f t="shared" ref="R5:R21" si="9">ROUND(B5, 2)</f>
        <v>11.5</v>
      </c>
      <c r="S5" s="2">
        <f t="shared" ref="S5:S21" si="10">ROUND(C5, 2)</f>
        <v>14.7</v>
      </c>
      <c r="T5" s="1" t="str">
        <f t="shared" ref="T5:T21" si="11">_xlfn.CONCAT(O5,REPT("*",J5),CHAR(10),"[",P5,", ",Q5,"]")</f>
        <v>3.2***
[1.38, 5.03]</v>
      </c>
    </row>
    <row r="6" spans="1:20" ht="28.5" x14ac:dyDescent="0.45">
      <c r="A6" t="s">
        <v>18</v>
      </c>
      <c r="B6" t="str">
        <f>"28.099"</f>
        <v>28.099</v>
      </c>
      <c r="C6" t="str">
        <f>"20.094"</f>
        <v>20.094</v>
      </c>
      <c r="D6" t="str">
        <f>"8.004***"</f>
        <v>8.004***</v>
      </c>
      <c r="G6" s="4">
        <v>1.0629999999999999</v>
      </c>
      <c r="H6">
        <v>44471</v>
      </c>
      <c r="I6" t="str">
        <f>"0.000"</f>
        <v>0.000</v>
      </c>
      <c r="J6">
        <f t="shared" si="1"/>
        <v>3</v>
      </c>
      <c r="K6" t="str">
        <f t="shared" si="2"/>
        <v>8.004</v>
      </c>
      <c r="L6">
        <f t="shared" si="3"/>
        <v>-8.0039999999999996</v>
      </c>
      <c r="M6">
        <f t="shared" si="4"/>
        <v>-10.087479999999999</v>
      </c>
      <c r="N6">
        <f t="shared" si="5"/>
        <v>-5.9205199999999998</v>
      </c>
      <c r="O6" s="2">
        <f t="shared" si="6"/>
        <v>-8</v>
      </c>
      <c r="P6" s="2">
        <f t="shared" si="7"/>
        <v>-10.09</v>
      </c>
      <c r="Q6" s="2">
        <f t="shared" si="8"/>
        <v>-5.92</v>
      </c>
      <c r="R6" s="2">
        <f t="shared" si="9"/>
        <v>28.1</v>
      </c>
      <c r="S6" s="2">
        <f t="shared" si="10"/>
        <v>20.09</v>
      </c>
      <c r="T6" s="1" t="str">
        <f t="shared" si="11"/>
        <v>-8***
[-10.09, -5.92]</v>
      </c>
    </row>
    <row r="7" spans="1:20" ht="28.5" x14ac:dyDescent="0.45">
      <c r="A7" t="s">
        <v>19</v>
      </c>
      <c r="B7" t="str">
        <f>"1.714"</f>
        <v>1.714</v>
      </c>
      <c r="C7" t="str">
        <f>"0.809"</f>
        <v>0.809</v>
      </c>
      <c r="D7" t="str">
        <f>"0.905***"</f>
        <v>0.905***</v>
      </c>
      <c r="G7" s="4">
        <v>0.24099999999999999</v>
      </c>
      <c r="H7">
        <v>44471</v>
      </c>
      <c r="I7" t="str">
        <f>"0.000"</f>
        <v>0.000</v>
      </c>
      <c r="J7">
        <f t="shared" si="1"/>
        <v>3</v>
      </c>
      <c r="K7" t="str">
        <f t="shared" si="2"/>
        <v>0.905</v>
      </c>
      <c r="L7">
        <f t="shared" si="3"/>
        <v>-0.90500000000000003</v>
      </c>
      <c r="M7">
        <f t="shared" si="4"/>
        <v>-1.3773599999999999</v>
      </c>
      <c r="N7">
        <f t="shared" si="5"/>
        <v>-0.43264000000000002</v>
      </c>
      <c r="O7" s="2">
        <f t="shared" si="6"/>
        <v>-0.91</v>
      </c>
      <c r="P7" s="2">
        <f t="shared" si="7"/>
        <v>-1.38</v>
      </c>
      <c r="Q7" s="2">
        <f t="shared" si="8"/>
        <v>-0.43</v>
      </c>
      <c r="R7" s="2">
        <f t="shared" si="9"/>
        <v>1.71</v>
      </c>
      <c r="S7" s="2">
        <f t="shared" si="10"/>
        <v>0.81</v>
      </c>
      <c r="T7" s="1" t="str">
        <f t="shared" si="11"/>
        <v>-0.91***
[-1.38, -0.43]</v>
      </c>
    </row>
    <row r="8" spans="1:20" ht="28.5" x14ac:dyDescent="0.45">
      <c r="A8" t="s">
        <v>20</v>
      </c>
      <c r="B8" t="str">
        <f>"6.892"</f>
        <v>6.892</v>
      </c>
      <c r="C8" t="str">
        <f>"6.617"</f>
        <v>6.617</v>
      </c>
      <c r="D8" t="str">
        <f>"0.275*"</f>
        <v>0.275*</v>
      </c>
      <c r="G8" s="4">
        <v>0.248</v>
      </c>
      <c r="H8">
        <v>44471</v>
      </c>
      <c r="I8" t="str">
        <f>"0.269"</f>
        <v>0.269</v>
      </c>
      <c r="J8">
        <f t="shared" si="1"/>
        <v>1</v>
      </c>
      <c r="K8" t="str">
        <f t="shared" si="2"/>
        <v>0.275</v>
      </c>
      <c r="L8">
        <f t="shared" si="3"/>
        <v>-0.27500000000000002</v>
      </c>
      <c r="M8">
        <f t="shared" si="4"/>
        <v>-0.76107999999999998</v>
      </c>
      <c r="N8">
        <f t="shared" si="5"/>
        <v>0.21107999999999999</v>
      </c>
      <c r="O8" s="2">
        <f t="shared" si="6"/>
        <v>-0.28000000000000003</v>
      </c>
      <c r="P8" s="2">
        <f t="shared" si="7"/>
        <v>-0.76</v>
      </c>
      <c r="Q8" s="2">
        <f t="shared" si="8"/>
        <v>0.21</v>
      </c>
      <c r="R8" s="2">
        <f t="shared" si="9"/>
        <v>6.89</v>
      </c>
      <c r="S8" s="2">
        <f t="shared" si="10"/>
        <v>6.62</v>
      </c>
      <c r="T8" s="1" t="str">
        <f t="shared" si="11"/>
        <v>-0.28*
[-0.76, 0.21]</v>
      </c>
    </row>
    <row r="9" spans="1:20" ht="28.5" x14ac:dyDescent="0.45">
      <c r="A9" t="s">
        <v>21</v>
      </c>
      <c r="B9" t="str">
        <f>"0.177"</f>
        <v>0.177</v>
      </c>
      <c r="C9" t="str">
        <f>"0.325"</f>
        <v>0.325</v>
      </c>
      <c r="D9" t="str">
        <f>"-0.148***"</f>
        <v>-0.148***</v>
      </c>
      <c r="G9" s="4">
        <v>3.6999999999999998E-2</v>
      </c>
      <c r="H9">
        <v>44471</v>
      </c>
      <c r="I9" t="str">
        <f>"0.000"</f>
        <v>0.000</v>
      </c>
      <c r="J9">
        <f t="shared" si="1"/>
        <v>3</v>
      </c>
      <c r="K9" t="str">
        <f t="shared" si="2"/>
        <v>-0.148</v>
      </c>
      <c r="L9">
        <f t="shared" si="3"/>
        <v>0.14799999999999999</v>
      </c>
      <c r="M9">
        <f t="shared" si="4"/>
        <v>7.5479999999999992E-2</v>
      </c>
      <c r="N9">
        <f t="shared" si="5"/>
        <v>0.22051999999999999</v>
      </c>
      <c r="O9" s="2">
        <f t="shared" si="6"/>
        <v>0.15</v>
      </c>
      <c r="P9" s="2">
        <f t="shared" si="7"/>
        <v>0.08</v>
      </c>
      <c r="Q9" s="2">
        <f t="shared" si="8"/>
        <v>0.22</v>
      </c>
      <c r="R9" s="2">
        <f t="shared" si="9"/>
        <v>0.18</v>
      </c>
      <c r="S9" s="2">
        <f t="shared" si="10"/>
        <v>0.33</v>
      </c>
      <c r="T9" s="1" t="str">
        <f t="shared" si="11"/>
        <v>0.15***
[0.08, 0.22]</v>
      </c>
    </row>
    <row r="10" spans="1:20" ht="28.5" x14ac:dyDescent="0.45">
      <c r="A10" t="s">
        <v>22</v>
      </c>
      <c r="B10" t="str">
        <f>"0.588"</f>
        <v>0.588</v>
      </c>
      <c r="C10" t="str">
        <f>"0.399"</f>
        <v>0.399</v>
      </c>
      <c r="D10" t="str">
        <f>"0.189***"</f>
        <v>0.189***</v>
      </c>
      <c r="G10" s="4">
        <v>2.9000000000000001E-2</v>
      </c>
      <c r="H10">
        <v>44471</v>
      </c>
      <c r="I10" t="str">
        <f>"0.000"</f>
        <v>0.000</v>
      </c>
      <c r="J10">
        <f t="shared" si="1"/>
        <v>3</v>
      </c>
      <c r="K10" t="str">
        <f t="shared" si="2"/>
        <v>0.189</v>
      </c>
      <c r="L10">
        <f t="shared" si="3"/>
        <v>-0.189</v>
      </c>
      <c r="M10">
        <f t="shared" si="4"/>
        <v>-0.24584</v>
      </c>
      <c r="N10">
        <f t="shared" si="5"/>
        <v>-0.13216</v>
      </c>
      <c r="O10" s="2">
        <f t="shared" si="6"/>
        <v>-0.19</v>
      </c>
      <c r="P10" s="2">
        <f t="shared" si="7"/>
        <v>-0.25</v>
      </c>
      <c r="Q10" s="2">
        <f t="shared" si="8"/>
        <v>-0.13</v>
      </c>
      <c r="R10" s="2">
        <f t="shared" si="9"/>
        <v>0.59</v>
      </c>
      <c r="S10" s="2">
        <f t="shared" si="10"/>
        <v>0.4</v>
      </c>
      <c r="T10" s="1" t="str">
        <f t="shared" si="11"/>
        <v>-0.19***
[-0.25, -0.13]</v>
      </c>
    </row>
    <row r="11" spans="1:20" ht="28.5" x14ac:dyDescent="0.45">
      <c r="A11" t="s">
        <v>23</v>
      </c>
      <c r="B11" t="str">
        <f>"0.019"</f>
        <v>0.019</v>
      </c>
      <c r="C11" t="str">
        <f>"0.011"</f>
        <v>0.011</v>
      </c>
      <c r="D11" t="str">
        <f>"0.008*"</f>
        <v>0.008*</v>
      </c>
      <c r="G11" s="4">
        <v>3.0000000000000001E-3</v>
      </c>
      <c r="H11">
        <v>44471</v>
      </c>
      <c r="I11" t="str">
        <f>"0.018"</f>
        <v>0.018</v>
      </c>
      <c r="J11">
        <f t="shared" si="1"/>
        <v>1</v>
      </c>
      <c r="K11" t="str">
        <f t="shared" si="2"/>
        <v>0.008</v>
      </c>
      <c r="L11">
        <f t="shared" si="3"/>
        <v>-8.0000000000000002E-3</v>
      </c>
      <c r="M11">
        <f t="shared" si="4"/>
        <v>-1.388E-2</v>
      </c>
      <c r="N11">
        <f t="shared" si="5"/>
        <v>-2.1200000000000004E-3</v>
      </c>
      <c r="O11" s="2">
        <f t="shared" si="6"/>
        <v>-0.01</v>
      </c>
      <c r="P11" s="2">
        <f t="shared" si="7"/>
        <v>-0.01</v>
      </c>
      <c r="Q11" s="2">
        <f t="shared" si="8"/>
        <v>0</v>
      </c>
      <c r="R11" s="2">
        <f t="shared" si="9"/>
        <v>0.02</v>
      </c>
      <c r="S11" s="2">
        <f t="shared" si="10"/>
        <v>0.01</v>
      </c>
      <c r="T11" s="1" t="str">
        <f t="shared" si="11"/>
        <v>-0.01*
[-0.01, 0]</v>
      </c>
    </row>
    <row r="12" spans="1:20" ht="28.5" x14ac:dyDescent="0.45">
      <c r="A12" t="s">
        <v>24</v>
      </c>
      <c r="B12" t="str">
        <f>"3939.830"</f>
        <v>3939.830</v>
      </c>
      <c r="C12" t="str">
        <f>"4422.839"</f>
        <v>4422.839</v>
      </c>
      <c r="D12" t="str">
        <f>"-483.008*"</f>
        <v>-483.008*</v>
      </c>
      <c r="G12" s="4">
        <v>306.45499999999998</v>
      </c>
      <c r="H12">
        <v>44471</v>
      </c>
      <c r="I12" t="str">
        <f>"0.115"</f>
        <v>0.115</v>
      </c>
      <c r="J12">
        <f t="shared" si="1"/>
        <v>1</v>
      </c>
      <c r="K12" t="str">
        <f t="shared" si="2"/>
        <v>-483.008</v>
      </c>
      <c r="L12">
        <f t="shared" si="3"/>
        <v>483.00799999999998</v>
      </c>
      <c r="M12">
        <f t="shared" si="4"/>
        <v>-117.6438</v>
      </c>
      <c r="N12">
        <f t="shared" si="5"/>
        <v>1083.6597999999999</v>
      </c>
      <c r="O12" s="2">
        <f t="shared" si="6"/>
        <v>483.01</v>
      </c>
      <c r="P12" s="2">
        <f t="shared" si="7"/>
        <v>-117.64</v>
      </c>
      <c r="Q12" s="2">
        <f t="shared" si="8"/>
        <v>1083.6600000000001</v>
      </c>
      <c r="R12" s="3">
        <f t="shared" si="9"/>
        <v>3939.83</v>
      </c>
      <c r="S12" s="3">
        <f t="shared" si="10"/>
        <v>4422.84</v>
      </c>
      <c r="T12" s="1" t="str">
        <f>_xlfn.CONCAT("$",O12,REPT("*",J12),CHAR(10),"[","$",P12,", ","$",Q12,"]")</f>
        <v>$483.01*
[$-117.64, $1083.66]</v>
      </c>
    </row>
    <row r="13" spans="1:20" ht="28.5" x14ac:dyDescent="0.45">
      <c r="A13" t="s">
        <v>25</v>
      </c>
      <c r="B13" t="str">
        <f>"1843.342"</f>
        <v>1843.342</v>
      </c>
      <c r="C13" t="str">
        <f>"2068.256"</f>
        <v>2068.256</v>
      </c>
      <c r="D13" t="str">
        <f>"-224.914*"</f>
        <v>-224.914*</v>
      </c>
      <c r="G13" s="4">
        <v>181.059</v>
      </c>
      <c r="H13">
        <v>44471</v>
      </c>
      <c r="I13" t="str">
        <f>"0.214"</f>
        <v>0.214</v>
      </c>
      <c r="J13">
        <f t="shared" si="1"/>
        <v>1</v>
      </c>
      <c r="K13" t="str">
        <f t="shared" si="2"/>
        <v>-224.914</v>
      </c>
      <c r="L13">
        <f t="shared" si="3"/>
        <v>224.91399999999999</v>
      </c>
      <c r="M13">
        <f t="shared" si="4"/>
        <v>-129.96163999999999</v>
      </c>
      <c r="N13">
        <f t="shared" si="5"/>
        <v>579.78963999999996</v>
      </c>
      <c r="O13" s="2">
        <f t="shared" si="6"/>
        <v>224.91</v>
      </c>
      <c r="P13" s="2">
        <f t="shared" si="7"/>
        <v>-129.96</v>
      </c>
      <c r="Q13" s="2">
        <f t="shared" si="8"/>
        <v>579.79</v>
      </c>
      <c r="R13" s="3">
        <f t="shared" si="9"/>
        <v>1843.34</v>
      </c>
      <c r="S13" s="3">
        <f t="shared" si="10"/>
        <v>2068.2600000000002</v>
      </c>
      <c r="T13" s="1" t="str">
        <f t="shared" ref="T13:T21" si="12">_xlfn.CONCAT("$",O13,REPT("*",J13),CHAR(10),"[","$",P13,", ","$",Q13,"]")</f>
        <v>$224.91*
[$-129.96, $579.79]</v>
      </c>
    </row>
    <row r="14" spans="1:20" ht="28.5" x14ac:dyDescent="0.45">
      <c r="A14" t="s">
        <v>26</v>
      </c>
      <c r="B14" t="str">
        <f>"37.946"</f>
        <v>37.946</v>
      </c>
      <c r="C14" t="str">
        <f>"57.030"</f>
        <v>57.030</v>
      </c>
      <c r="D14" t="str">
        <f>"-19.084*"</f>
        <v>-19.084*</v>
      </c>
      <c r="G14" s="4">
        <v>11.331</v>
      </c>
      <c r="H14">
        <v>44471</v>
      </c>
      <c r="I14" t="str">
        <f>"0.092"</f>
        <v>0.092</v>
      </c>
      <c r="J14">
        <f t="shared" si="1"/>
        <v>1</v>
      </c>
      <c r="K14" t="str">
        <f t="shared" si="2"/>
        <v>-19.084</v>
      </c>
      <c r="L14">
        <f t="shared" si="3"/>
        <v>19.084</v>
      </c>
      <c r="M14">
        <f t="shared" si="4"/>
        <v>-3.1247599999999984</v>
      </c>
      <c r="N14">
        <f t="shared" si="5"/>
        <v>41.292760000000001</v>
      </c>
      <c r="O14" s="2">
        <f t="shared" si="6"/>
        <v>19.079999999999998</v>
      </c>
      <c r="P14" s="2">
        <f t="shared" si="7"/>
        <v>-3.12</v>
      </c>
      <c r="Q14" s="2">
        <f t="shared" si="8"/>
        <v>41.29</v>
      </c>
      <c r="R14" s="3">
        <f t="shared" si="9"/>
        <v>37.950000000000003</v>
      </c>
      <c r="S14" s="3">
        <f t="shared" si="10"/>
        <v>57.03</v>
      </c>
      <c r="T14" s="1" t="str">
        <f t="shared" si="12"/>
        <v>$19.08*
[$-3.12, $41.29]</v>
      </c>
    </row>
    <row r="15" spans="1:20" ht="28.5" x14ac:dyDescent="0.45">
      <c r="A15" t="s">
        <v>27</v>
      </c>
      <c r="B15" t="str">
        <f>"1654.147"</f>
        <v>1654.147</v>
      </c>
      <c r="C15" t="str">
        <f>"2150.118"</f>
        <v>2150.118</v>
      </c>
      <c r="D15" t="str">
        <f>"-495.971*"</f>
        <v>-495.971*</v>
      </c>
      <c r="G15" s="4">
        <v>225.40199999999999</v>
      </c>
      <c r="H15">
        <v>44471</v>
      </c>
      <c r="I15" t="str">
        <f>"0.028"</f>
        <v>0.028</v>
      </c>
      <c r="J15">
        <f t="shared" si="1"/>
        <v>1</v>
      </c>
      <c r="K15" t="str">
        <f t="shared" si="2"/>
        <v>-495.971</v>
      </c>
      <c r="L15">
        <f t="shared" si="3"/>
        <v>495.971</v>
      </c>
      <c r="M15">
        <f t="shared" si="4"/>
        <v>54.183080000000018</v>
      </c>
      <c r="N15">
        <f t="shared" si="5"/>
        <v>937.75891999999999</v>
      </c>
      <c r="O15" s="2">
        <f t="shared" si="6"/>
        <v>495.97</v>
      </c>
      <c r="P15" s="2">
        <f t="shared" si="7"/>
        <v>54.18</v>
      </c>
      <c r="Q15" s="2">
        <f t="shared" si="8"/>
        <v>937.76</v>
      </c>
      <c r="R15" s="3">
        <f t="shared" si="9"/>
        <v>1654.15</v>
      </c>
      <c r="S15" s="3">
        <f t="shared" si="10"/>
        <v>2150.12</v>
      </c>
      <c r="T15" s="1" t="str">
        <f t="shared" si="12"/>
        <v>$495.97*
[$54.18, $937.76]</v>
      </c>
    </row>
    <row r="16" spans="1:20" ht="28.5" x14ac:dyDescent="0.45">
      <c r="A16" t="s">
        <v>28</v>
      </c>
      <c r="B16" t="str">
        <f>"660.439"</f>
        <v>660.439</v>
      </c>
      <c r="C16" t="str">
        <f>"281.171"</f>
        <v>281.171</v>
      </c>
      <c r="D16" t="str">
        <f>"379.268***"</f>
        <v>379.268***</v>
      </c>
      <c r="G16" s="4">
        <v>93.59</v>
      </c>
      <c r="H16">
        <v>44471</v>
      </c>
      <c r="I16" t="str">
        <f>"0.000"</f>
        <v>0.000</v>
      </c>
      <c r="J16">
        <f t="shared" si="1"/>
        <v>3</v>
      </c>
      <c r="K16" t="str">
        <f t="shared" si="2"/>
        <v>379.268</v>
      </c>
      <c r="L16">
        <f t="shared" si="3"/>
        <v>-379.26799999999997</v>
      </c>
      <c r="M16">
        <f t="shared" si="4"/>
        <v>-562.70439999999996</v>
      </c>
      <c r="N16">
        <f t="shared" si="5"/>
        <v>-195.83159999999998</v>
      </c>
      <c r="O16" s="2">
        <f t="shared" si="6"/>
        <v>-379.27</v>
      </c>
      <c r="P16" s="2">
        <f t="shared" si="7"/>
        <v>-562.70000000000005</v>
      </c>
      <c r="Q16" s="2">
        <f t="shared" si="8"/>
        <v>-195.83</v>
      </c>
      <c r="R16" s="3">
        <f t="shared" si="9"/>
        <v>660.44</v>
      </c>
      <c r="S16" s="3">
        <f t="shared" si="10"/>
        <v>281.17</v>
      </c>
      <c r="T16" s="1" t="str">
        <f t="shared" si="12"/>
        <v>$-379.27***
[$-562.7, $-195.83]</v>
      </c>
    </row>
    <row r="17" spans="1:20" ht="28.5" x14ac:dyDescent="0.45">
      <c r="A17" t="s">
        <v>29</v>
      </c>
      <c r="B17" t="str">
        <f>"16.682"</f>
        <v>16.682</v>
      </c>
      <c r="C17" t="str">
        <f>"749.946"</f>
        <v>749.946</v>
      </c>
      <c r="D17" t="str">
        <f>"-733.264***"</f>
        <v>-733.264***</v>
      </c>
      <c r="G17" s="4">
        <v>77.472999999999999</v>
      </c>
      <c r="H17">
        <v>44471</v>
      </c>
      <c r="I17" t="str">
        <f>"0.000"</f>
        <v>0.000</v>
      </c>
      <c r="J17">
        <f t="shared" si="1"/>
        <v>3</v>
      </c>
      <c r="K17" t="str">
        <f t="shared" si="2"/>
        <v>-733.264</v>
      </c>
      <c r="L17">
        <f t="shared" si="3"/>
        <v>733.26400000000001</v>
      </c>
      <c r="M17">
        <f t="shared" si="4"/>
        <v>581.41692</v>
      </c>
      <c r="N17">
        <f t="shared" si="5"/>
        <v>885.11108000000002</v>
      </c>
      <c r="O17" s="2">
        <f t="shared" si="6"/>
        <v>733.26</v>
      </c>
      <c r="P17" s="2">
        <f t="shared" si="7"/>
        <v>581.41999999999996</v>
      </c>
      <c r="Q17" s="2">
        <f t="shared" si="8"/>
        <v>885.11</v>
      </c>
      <c r="R17" s="3">
        <f t="shared" si="9"/>
        <v>16.68</v>
      </c>
      <c r="S17" s="3">
        <f t="shared" si="10"/>
        <v>749.95</v>
      </c>
      <c r="T17" s="1" t="str">
        <f t="shared" si="12"/>
        <v>$733.26***
[$581.42, $885.11]</v>
      </c>
    </row>
    <row r="18" spans="1:20" ht="28.5" x14ac:dyDescent="0.45">
      <c r="A18" t="s">
        <v>30</v>
      </c>
      <c r="B18" t="str">
        <f>"7.829"</f>
        <v>7.829</v>
      </c>
      <c r="C18" t="str">
        <f>"346.174"</f>
        <v>346.174</v>
      </c>
      <c r="D18" t="str">
        <f>"-338.345***"</f>
        <v>-338.345***</v>
      </c>
      <c r="G18" s="4">
        <v>42.834000000000003</v>
      </c>
      <c r="H18">
        <v>44471</v>
      </c>
      <c r="I18" t="str">
        <f>"0.000"</f>
        <v>0.000</v>
      </c>
      <c r="J18">
        <f t="shared" si="1"/>
        <v>3</v>
      </c>
      <c r="K18" t="str">
        <f t="shared" si="2"/>
        <v>-338.345</v>
      </c>
      <c r="L18">
        <f t="shared" si="3"/>
        <v>338.34500000000003</v>
      </c>
      <c r="M18">
        <f t="shared" si="4"/>
        <v>254.39036000000004</v>
      </c>
      <c r="N18">
        <f t="shared" si="5"/>
        <v>422.29964000000001</v>
      </c>
      <c r="O18" s="2">
        <f t="shared" si="6"/>
        <v>338.35</v>
      </c>
      <c r="P18" s="2">
        <f t="shared" si="7"/>
        <v>254.39</v>
      </c>
      <c r="Q18" s="2">
        <f t="shared" si="8"/>
        <v>422.3</v>
      </c>
      <c r="R18" s="3">
        <f t="shared" si="9"/>
        <v>7.83</v>
      </c>
      <c r="S18" s="3">
        <f t="shared" si="10"/>
        <v>346.17</v>
      </c>
      <c r="T18" s="1" t="str">
        <f t="shared" si="12"/>
        <v>$338.35***
[$254.39, $422.3]</v>
      </c>
    </row>
    <row r="19" spans="1:20" ht="28.5" x14ac:dyDescent="0.45">
      <c r="A19" t="s">
        <v>31</v>
      </c>
      <c r="B19" t="str">
        <f>"0.111"</f>
        <v>0.111</v>
      </c>
      <c r="C19" t="str">
        <f>"5.036"</f>
        <v>5.036</v>
      </c>
      <c r="D19" t="str">
        <f>"-4.925***"</f>
        <v>-4.925***</v>
      </c>
      <c r="G19" s="4">
        <v>1.169</v>
      </c>
      <c r="H19">
        <v>44471</v>
      </c>
      <c r="I19" t="str">
        <f>"0.000"</f>
        <v>0.000</v>
      </c>
      <c r="J19">
        <f t="shared" si="1"/>
        <v>3</v>
      </c>
      <c r="K19" t="str">
        <f t="shared" si="2"/>
        <v>-4.925</v>
      </c>
      <c r="L19">
        <f t="shared" si="3"/>
        <v>4.9249999999999998</v>
      </c>
      <c r="M19">
        <f t="shared" si="4"/>
        <v>2.6337599999999997</v>
      </c>
      <c r="N19">
        <f t="shared" si="5"/>
        <v>7.21624</v>
      </c>
      <c r="O19" s="2">
        <f t="shared" si="6"/>
        <v>4.93</v>
      </c>
      <c r="P19" s="2">
        <f t="shared" si="7"/>
        <v>2.63</v>
      </c>
      <c r="Q19" s="2">
        <f t="shared" si="8"/>
        <v>7.22</v>
      </c>
      <c r="R19" s="3">
        <f t="shared" si="9"/>
        <v>0.11</v>
      </c>
      <c r="S19" s="3">
        <f t="shared" si="10"/>
        <v>5.04</v>
      </c>
      <c r="T19" s="1" t="str">
        <f t="shared" si="12"/>
        <v>$4.93***
[$2.63, $7.22]</v>
      </c>
    </row>
    <row r="20" spans="1:20" ht="28.5" x14ac:dyDescent="0.45">
      <c r="A20" t="s">
        <v>32</v>
      </c>
      <c r="B20" t="str">
        <f>"7.336"</f>
        <v>7.336</v>
      </c>
      <c r="C20" t="str">
        <f>"386.584"</f>
        <v>386.584</v>
      </c>
      <c r="D20" t="str">
        <f>"-379.248***"</f>
        <v>-379.248***</v>
      </c>
      <c r="G20" s="4">
        <v>62.941000000000003</v>
      </c>
      <c r="H20">
        <v>44471</v>
      </c>
      <c r="I20" t="str">
        <f>"0.000"</f>
        <v>0.000</v>
      </c>
      <c r="J20">
        <f t="shared" si="1"/>
        <v>3</v>
      </c>
      <c r="K20" t="str">
        <f t="shared" si="2"/>
        <v>-379.248</v>
      </c>
      <c r="L20">
        <f t="shared" si="3"/>
        <v>379.24799999999999</v>
      </c>
      <c r="M20">
        <f t="shared" si="4"/>
        <v>255.88363999999999</v>
      </c>
      <c r="N20">
        <f t="shared" si="5"/>
        <v>502.61235999999997</v>
      </c>
      <c r="O20" s="2">
        <f t="shared" si="6"/>
        <v>379.25</v>
      </c>
      <c r="P20" s="2">
        <f t="shared" si="7"/>
        <v>255.88</v>
      </c>
      <c r="Q20" s="2">
        <f t="shared" si="8"/>
        <v>502.61</v>
      </c>
      <c r="R20" s="3">
        <f t="shared" si="9"/>
        <v>7.34</v>
      </c>
      <c r="S20" s="3">
        <f t="shared" si="10"/>
        <v>386.58</v>
      </c>
      <c r="T20" s="1" t="str">
        <f t="shared" si="12"/>
        <v>$379.25***
[$255.88, $502.61]</v>
      </c>
    </row>
    <row r="21" spans="1:20" ht="28.5" x14ac:dyDescent="0.45">
      <c r="A21" t="s">
        <v>33</v>
      </c>
      <c r="B21" t="str">
        <f>"3.318"</f>
        <v>3.318</v>
      </c>
      <c r="C21" t="str">
        <f>"32.545"</f>
        <v>32.545</v>
      </c>
      <c r="D21" t="str">
        <f>"-29.227*"</f>
        <v>-29.227*</v>
      </c>
      <c r="G21" s="4">
        <v>28.824999999999999</v>
      </c>
      <c r="H21">
        <v>44471</v>
      </c>
      <c r="I21" t="str">
        <f>"0.311"</f>
        <v>0.311</v>
      </c>
      <c r="J21">
        <f t="shared" si="1"/>
        <v>1</v>
      </c>
      <c r="K21" t="str">
        <f t="shared" si="2"/>
        <v>-29.227</v>
      </c>
      <c r="L21">
        <f t="shared" si="3"/>
        <v>29.227</v>
      </c>
      <c r="M21">
        <f t="shared" si="4"/>
        <v>-27.27</v>
      </c>
      <c r="N21">
        <f t="shared" si="5"/>
        <v>85.724000000000004</v>
      </c>
      <c r="O21" s="2">
        <f t="shared" si="6"/>
        <v>29.23</v>
      </c>
      <c r="P21" s="2">
        <f t="shared" si="7"/>
        <v>-27.27</v>
      </c>
      <c r="Q21" s="2">
        <f t="shared" si="8"/>
        <v>85.72</v>
      </c>
      <c r="R21" s="3">
        <f t="shared" si="9"/>
        <v>3.32</v>
      </c>
      <c r="S21" s="3">
        <f t="shared" si="10"/>
        <v>32.549999999999997</v>
      </c>
      <c r="T21" s="1" t="str">
        <f t="shared" si="12"/>
        <v>$29.23*
[$-27.27, $85.72]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Formatted_Tab2a_FRAG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2021-09-29T17:10:13Z</dcterms:created>
  <dcterms:modified xsi:type="dcterms:W3CDTF">2021-09-29T17:16:34Z</dcterms:modified>
</cp:coreProperties>
</file>