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ontinapetrakopoulou/Google Drive/1.UC3M/1.WATERresearch/1b.Simulations_VaryTwater_DTcond_3_design/"/>
    </mc:Choice>
  </mc:AlternateContent>
  <bookViews>
    <workbookView xWindow="260" yWindow="820" windowWidth="36760" windowHeight="19040"/>
  </bookViews>
  <sheets>
    <sheet name="Points" sheetId="24" r:id="rId1"/>
    <sheet name="_RES_COAL_NG" sheetId="11" r:id="rId2"/>
    <sheet name="Results_DT3" sheetId="3" r:id="rId3"/>
    <sheet name="Results_DT5" sheetId="18" r:id="rId4"/>
    <sheet name="Results_DT7" sheetId="19" r:id="rId5"/>
    <sheet name="Results_DT9" sheetId="20" r:id="rId6"/>
    <sheet name="Results_DT11" sheetId="21" r:id="rId7"/>
    <sheet name="Results_DT13" sheetId="22" r:id="rId8"/>
    <sheet name="Results_DT15" sheetId="23" r:id="rId9"/>
    <sheet name="Validation" sheetId="1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24" l="1"/>
  <c r="Q9" i="24"/>
  <c r="Q8" i="24"/>
  <c r="Q7" i="24"/>
  <c r="Q6" i="24"/>
  <c r="Q5" i="24"/>
  <c r="P10" i="24"/>
  <c r="P9" i="24"/>
  <c r="P8" i="24"/>
  <c r="P7" i="24"/>
  <c r="P6" i="24"/>
  <c r="P5" i="24"/>
  <c r="O10" i="24"/>
  <c r="O9" i="24"/>
  <c r="O8" i="24"/>
  <c r="O7" i="24"/>
  <c r="O6" i="24"/>
  <c r="O5" i="24"/>
  <c r="N10" i="24"/>
  <c r="N9" i="24"/>
  <c r="N8" i="24"/>
  <c r="N7" i="24"/>
  <c r="N6" i="24"/>
  <c r="N5" i="24"/>
  <c r="M10" i="24"/>
  <c r="M9" i="24"/>
  <c r="M8" i="24"/>
  <c r="M7" i="24"/>
  <c r="M6" i="24"/>
  <c r="M5" i="24"/>
  <c r="L10" i="24"/>
  <c r="L9" i="24"/>
  <c r="L8" i="24"/>
  <c r="L7" i="24"/>
  <c r="L6" i="24"/>
  <c r="L5" i="24"/>
  <c r="K10" i="24"/>
  <c r="K9" i="24"/>
  <c r="K8" i="24"/>
  <c r="K7" i="24"/>
  <c r="K6" i="24"/>
  <c r="K5" i="24"/>
  <c r="AP13" i="3"/>
  <c r="AP9" i="3"/>
  <c r="AP7" i="3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I29" i="11" s="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I28" i="11" s="1"/>
  <c r="G14" i="11"/>
  <c r="G13" i="11"/>
  <c r="G12" i="11"/>
  <c r="G11" i="11"/>
  <c r="G10" i="11"/>
  <c r="G9" i="11"/>
  <c r="G8" i="11"/>
  <c r="G7" i="11"/>
  <c r="G6" i="11"/>
  <c r="F16" i="11"/>
  <c r="F15" i="11"/>
  <c r="F14" i="11"/>
  <c r="F13" i="11"/>
  <c r="F12" i="11"/>
  <c r="F11" i="11"/>
  <c r="F10" i="11"/>
  <c r="F9" i="11"/>
  <c r="F8" i="11"/>
  <c r="F7" i="11"/>
  <c r="F6" i="11"/>
  <c r="F26" i="11"/>
  <c r="F25" i="11"/>
  <c r="F24" i="11"/>
  <c r="F23" i="11"/>
  <c r="F22" i="11"/>
  <c r="F21" i="11"/>
  <c r="F20" i="11"/>
  <c r="F19" i="11"/>
  <c r="F18" i="11"/>
  <c r="F17" i="11"/>
  <c r="C26" i="11"/>
  <c r="D26" i="11" s="1"/>
  <c r="C25" i="11"/>
  <c r="C24" i="11"/>
  <c r="D24" i="11" s="1"/>
  <c r="C23" i="11"/>
  <c r="D23" i="11" s="1"/>
  <c r="C22" i="11"/>
  <c r="C21" i="11"/>
  <c r="D21" i="11" s="1"/>
  <c r="C20" i="11"/>
  <c r="C19" i="11"/>
  <c r="D19" i="11" s="1"/>
  <c r="C18" i="11"/>
  <c r="C17" i="11"/>
  <c r="C16" i="11"/>
  <c r="C15" i="11"/>
  <c r="C14" i="11"/>
  <c r="C13" i="11"/>
  <c r="D13" i="11" s="1"/>
  <c r="C12" i="11"/>
  <c r="D12" i="11" s="1"/>
  <c r="C11" i="11"/>
  <c r="C10" i="11"/>
  <c r="D10" i="11" s="1"/>
  <c r="C9" i="11"/>
  <c r="C8" i="11"/>
  <c r="C7" i="11"/>
  <c r="C6" i="11"/>
  <c r="B3" i="11"/>
  <c r="D18" i="11"/>
  <c r="D16" i="11"/>
  <c r="D11" i="11"/>
  <c r="AS27" i="23"/>
  <c r="AP27" i="23"/>
  <c r="AR25" i="23"/>
  <c r="AS30" i="3"/>
  <c r="AS30" i="18"/>
  <c r="AS30" i="19"/>
  <c r="AS30" i="20"/>
  <c r="AS30" i="21"/>
  <c r="AS30" i="22"/>
  <c r="AS30" i="23"/>
  <c r="AS27" i="3"/>
  <c r="AS27" i="18"/>
  <c r="AS27" i="19"/>
  <c r="AS27" i="20"/>
  <c r="AS27" i="21"/>
  <c r="AS27" i="22"/>
  <c r="AS29" i="3"/>
  <c r="AS29" i="18"/>
  <c r="AS29" i="19"/>
  <c r="AS29" i="20"/>
  <c r="AS29" i="21"/>
  <c r="AS29" i="23"/>
  <c r="AS29" i="22"/>
  <c r="D25" i="11"/>
  <c r="D22" i="11"/>
  <c r="D20" i="11"/>
  <c r="D17" i="11"/>
  <c r="D15" i="11"/>
  <c r="D14" i="11"/>
  <c r="D9" i="11"/>
  <c r="AG24" i="24"/>
  <c r="AG23" i="24"/>
  <c r="AG22" i="24"/>
  <c r="AG21" i="24"/>
  <c r="AG20" i="24"/>
  <c r="AG19" i="24"/>
  <c r="AF24" i="24"/>
  <c r="AF23" i="24"/>
  <c r="AF22" i="24"/>
  <c r="AF21" i="24"/>
  <c r="AF20" i="24"/>
  <c r="AF19" i="24"/>
  <c r="AE24" i="24"/>
  <c r="AE23" i="24"/>
  <c r="AE22" i="24"/>
  <c r="AE21" i="24"/>
  <c r="AE20" i="24"/>
  <c r="AE19" i="24"/>
  <c r="AD24" i="24"/>
  <c r="AD23" i="24"/>
  <c r="AD22" i="24"/>
  <c r="AD21" i="24"/>
  <c r="AD20" i="24"/>
  <c r="AD19" i="24"/>
  <c r="AC24" i="24"/>
  <c r="AC23" i="24"/>
  <c r="AC22" i="24"/>
  <c r="AC21" i="24"/>
  <c r="AC20" i="24"/>
  <c r="AC19" i="24"/>
  <c r="AB24" i="24"/>
  <c r="AB23" i="24"/>
  <c r="AB22" i="24"/>
  <c r="AB21" i="24"/>
  <c r="AB20" i="24"/>
  <c r="AB19" i="24"/>
  <c r="AA24" i="24"/>
  <c r="AA23" i="24"/>
  <c r="AA22" i="24"/>
  <c r="AA21" i="24"/>
  <c r="AA20" i="24"/>
  <c r="AA19" i="24"/>
  <c r="S19" i="24"/>
  <c r="Y24" i="24"/>
  <c r="Y23" i="24"/>
  <c r="Y22" i="24"/>
  <c r="Y21" i="24"/>
  <c r="Y20" i="24"/>
  <c r="Y19" i="24"/>
  <c r="X24" i="24"/>
  <c r="X23" i="24"/>
  <c r="X22" i="24"/>
  <c r="X21" i="24"/>
  <c r="X20" i="24"/>
  <c r="X19" i="24"/>
  <c r="W24" i="24"/>
  <c r="W23" i="24"/>
  <c r="W22" i="24"/>
  <c r="W21" i="24"/>
  <c r="W20" i="24"/>
  <c r="W19" i="24"/>
  <c r="V24" i="24"/>
  <c r="V23" i="24"/>
  <c r="V22" i="24"/>
  <c r="V21" i="24"/>
  <c r="V20" i="24"/>
  <c r="V19" i="24"/>
  <c r="U24" i="24"/>
  <c r="U23" i="24"/>
  <c r="U22" i="24"/>
  <c r="U21" i="24"/>
  <c r="U20" i="24"/>
  <c r="U19" i="24"/>
  <c r="T24" i="24"/>
  <c r="T23" i="24"/>
  <c r="T22" i="24"/>
  <c r="T21" i="24"/>
  <c r="T20" i="24"/>
  <c r="T19" i="24"/>
  <c r="S24" i="24"/>
  <c r="S23" i="24"/>
  <c r="S22" i="24"/>
  <c r="S21" i="24"/>
  <c r="S20" i="24"/>
  <c r="Q24" i="24"/>
  <c r="Q23" i="24"/>
  <c r="Q22" i="24"/>
  <c r="Q21" i="24"/>
  <c r="Q20" i="24"/>
  <c r="Q19" i="24"/>
  <c r="P24" i="24"/>
  <c r="P23" i="24"/>
  <c r="P22" i="24"/>
  <c r="P21" i="24"/>
  <c r="P20" i="24"/>
  <c r="P19" i="24"/>
  <c r="O24" i="24"/>
  <c r="O23" i="24"/>
  <c r="O22" i="24"/>
  <c r="O21" i="24"/>
  <c r="O20" i="24"/>
  <c r="O19" i="24"/>
  <c r="N24" i="24"/>
  <c r="N23" i="24"/>
  <c r="N22" i="24"/>
  <c r="N21" i="24"/>
  <c r="N20" i="24"/>
  <c r="N19" i="24"/>
  <c r="M24" i="24"/>
  <c r="M23" i="24"/>
  <c r="M22" i="24"/>
  <c r="M21" i="24"/>
  <c r="M20" i="24"/>
  <c r="M19" i="24"/>
  <c r="L24" i="24"/>
  <c r="L23" i="24"/>
  <c r="L22" i="24"/>
  <c r="L21" i="24"/>
  <c r="L20" i="24"/>
  <c r="L19" i="24"/>
  <c r="K24" i="24"/>
  <c r="K23" i="24"/>
  <c r="K22" i="24"/>
  <c r="K21" i="24"/>
  <c r="K20" i="24"/>
  <c r="K19" i="24"/>
  <c r="I24" i="24"/>
  <c r="I23" i="24"/>
  <c r="I22" i="24"/>
  <c r="I21" i="24"/>
  <c r="I20" i="24"/>
  <c r="I19" i="24"/>
  <c r="H24" i="24"/>
  <c r="H23" i="24"/>
  <c r="H22" i="24"/>
  <c r="H21" i="24"/>
  <c r="H20" i="24"/>
  <c r="H19" i="24"/>
  <c r="G24" i="24"/>
  <c r="G23" i="24"/>
  <c r="G22" i="24"/>
  <c r="G21" i="24"/>
  <c r="G20" i="24"/>
  <c r="G19" i="24"/>
  <c r="F24" i="24"/>
  <c r="F23" i="24"/>
  <c r="F22" i="24"/>
  <c r="F21" i="24"/>
  <c r="F20" i="24"/>
  <c r="F19" i="24"/>
  <c r="E24" i="24"/>
  <c r="E23" i="24"/>
  <c r="E22" i="24"/>
  <c r="E21" i="24"/>
  <c r="E20" i="24"/>
  <c r="E19" i="24"/>
  <c r="D24" i="24"/>
  <c r="D23" i="24"/>
  <c r="D22" i="24"/>
  <c r="D21" i="24"/>
  <c r="D20" i="24"/>
  <c r="D19" i="24"/>
  <c r="C19" i="24"/>
  <c r="C24" i="24"/>
  <c r="C23" i="24"/>
  <c r="C22" i="24"/>
  <c r="C21" i="24"/>
  <c r="C20" i="24"/>
  <c r="Y10" i="24"/>
  <c r="Y9" i="24"/>
  <c r="Y8" i="24"/>
  <c r="Y7" i="24"/>
  <c r="Y6" i="24"/>
  <c r="Y5" i="24"/>
  <c r="X10" i="24"/>
  <c r="X9" i="24"/>
  <c r="X8" i="24"/>
  <c r="X7" i="24"/>
  <c r="X6" i="24"/>
  <c r="X5" i="24"/>
  <c r="W10" i="24"/>
  <c r="W9" i="24"/>
  <c r="W8" i="24"/>
  <c r="W7" i="24"/>
  <c r="W6" i="24"/>
  <c r="W5" i="24"/>
  <c r="V10" i="24"/>
  <c r="V9" i="24"/>
  <c r="V8" i="24"/>
  <c r="V7" i="24"/>
  <c r="V6" i="24"/>
  <c r="V5" i="24"/>
  <c r="U10" i="24"/>
  <c r="U9" i="24"/>
  <c r="U8" i="24"/>
  <c r="U7" i="24"/>
  <c r="U6" i="24"/>
  <c r="U5" i="24"/>
  <c r="T10" i="24"/>
  <c r="T9" i="24"/>
  <c r="T8" i="24"/>
  <c r="T7" i="24"/>
  <c r="T6" i="24"/>
  <c r="T5" i="24"/>
  <c r="S10" i="24"/>
  <c r="S9" i="24"/>
  <c r="S8" i="24"/>
  <c r="S7" i="24"/>
  <c r="S6" i="24"/>
  <c r="S5" i="24"/>
  <c r="I10" i="24"/>
  <c r="I9" i="24"/>
  <c r="I8" i="24"/>
  <c r="I7" i="24"/>
  <c r="I6" i="24"/>
  <c r="I5" i="24"/>
  <c r="H10" i="24"/>
  <c r="H9" i="24"/>
  <c r="H8" i="24"/>
  <c r="H7" i="24"/>
  <c r="H6" i="24"/>
  <c r="H5" i="24"/>
  <c r="G10" i="24"/>
  <c r="G9" i="24"/>
  <c r="G8" i="24"/>
  <c r="G7" i="24"/>
  <c r="G6" i="24"/>
  <c r="G5" i="24"/>
  <c r="F10" i="24"/>
  <c r="F9" i="24"/>
  <c r="F8" i="24"/>
  <c r="F7" i="24"/>
  <c r="F6" i="24"/>
  <c r="F5" i="24"/>
  <c r="E10" i="24"/>
  <c r="E9" i="24"/>
  <c r="E8" i="24"/>
  <c r="E7" i="24"/>
  <c r="E6" i="24"/>
  <c r="E5" i="24"/>
  <c r="D10" i="24"/>
  <c r="D9" i="24"/>
  <c r="D8" i="24"/>
  <c r="D7" i="24"/>
  <c r="D6" i="24"/>
  <c r="D5" i="24"/>
  <c r="C9" i="24"/>
  <c r="C10" i="24"/>
  <c r="C8" i="24"/>
  <c r="C7" i="24"/>
  <c r="C6" i="24"/>
  <c r="C5" i="24"/>
  <c r="AB29" i="23" l="1"/>
  <c r="AA29" i="23"/>
  <c r="Z29" i="23"/>
  <c r="AQ29" i="23" s="1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AK29" i="23" s="1"/>
  <c r="J29" i="23"/>
  <c r="I29" i="23"/>
  <c r="H29" i="23"/>
  <c r="G29" i="23"/>
  <c r="F29" i="23"/>
  <c r="E29" i="23"/>
  <c r="AB28" i="23"/>
  <c r="AA28" i="23"/>
  <c r="Z28" i="23"/>
  <c r="AP29" i="23" s="1"/>
  <c r="AR29" i="23" s="1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AB27" i="23"/>
  <c r="AA27" i="23"/>
  <c r="Z27" i="23"/>
  <c r="AQ27" i="23" s="1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AK27" i="23" s="1"/>
  <c r="J27" i="23"/>
  <c r="I27" i="23"/>
  <c r="H27" i="23"/>
  <c r="G27" i="23"/>
  <c r="F27" i="23"/>
  <c r="E27" i="23"/>
  <c r="AB26" i="23"/>
  <c r="AA26" i="23"/>
  <c r="Z26" i="23"/>
  <c r="AR27" i="23" s="1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AB25" i="23"/>
  <c r="AA25" i="23"/>
  <c r="Z25" i="23"/>
  <c r="AQ25" i="23" s="1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AK25" i="23" s="1"/>
  <c r="J25" i="23"/>
  <c r="I25" i="23"/>
  <c r="H25" i="23"/>
  <c r="G25" i="23"/>
  <c r="F25" i="23"/>
  <c r="E25" i="23"/>
  <c r="AB24" i="23"/>
  <c r="AA24" i="23"/>
  <c r="Z24" i="23"/>
  <c r="AP25" i="23" s="1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AK23" i="23" s="1"/>
  <c r="J23" i="23"/>
  <c r="I23" i="23"/>
  <c r="H23" i="23"/>
  <c r="G23" i="23"/>
  <c r="F23" i="23"/>
  <c r="E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AK21" i="23" s="1"/>
  <c r="J21" i="23"/>
  <c r="I21" i="23"/>
  <c r="H21" i="23"/>
  <c r="G21" i="23"/>
  <c r="F21" i="23"/>
  <c r="E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AK19" i="23" s="1"/>
  <c r="J19" i="23"/>
  <c r="I19" i="23"/>
  <c r="H19" i="23"/>
  <c r="G19" i="23"/>
  <c r="F19" i="23"/>
  <c r="E19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AB17" i="23"/>
  <c r="AA17" i="23"/>
  <c r="Z17" i="23"/>
  <c r="AQ17" i="23" s="1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AK17" i="23" s="1"/>
  <c r="J17" i="23"/>
  <c r="I17" i="23"/>
  <c r="H17" i="23"/>
  <c r="G17" i="23"/>
  <c r="F17" i="23"/>
  <c r="E17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AB15" i="23"/>
  <c r="AA15" i="23"/>
  <c r="Z15" i="23"/>
  <c r="AQ15" i="23" s="1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AK15" i="23" s="1"/>
  <c r="J15" i="23"/>
  <c r="I15" i="23"/>
  <c r="H15" i="23"/>
  <c r="G15" i="23"/>
  <c r="F15" i="23"/>
  <c r="E15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AB13" i="23"/>
  <c r="AA13" i="23"/>
  <c r="Z13" i="23"/>
  <c r="AQ13" i="23" s="1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AK13" i="23" s="1"/>
  <c r="J13" i="23"/>
  <c r="I13" i="23"/>
  <c r="H13" i="23"/>
  <c r="G13" i="23"/>
  <c r="F13" i="23"/>
  <c r="E13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AK11" i="23" s="1"/>
  <c r="J11" i="23"/>
  <c r="I11" i="23"/>
  <c r="H11" i="23"/>
  <c r="G11" i="23"/>
  <c r="F11" i="23"/>
  <c r="E11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AK9" i="23" s="1"/>
  <c r="J9" i="23"/>
  <c r="I9" i="23"/>
  <c r="H9" i="23"/>
  <c r="G9" i="23"/>
  <c r="F9" i="23"/>
  <c r="E9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AB29" i="22"/>
  <c r="AA29" i="22"/>
  <c r="Z29" i="22"/>
  <c r="AQ29" i="22" s="1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AB28" i="22"/>
  <c r="AA28" i="22"/>
  <c r="Z28" i="22"/>
  <c r="AP29" i="22" s="1"/>
  <c r="AR29" i="22" s="1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AB27" i="22"/>
  <c r="AA27" i="22"/>
  <c r="Z27" i="22"/>
  <c r="AQ27" i="22" s="1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AB26" i="22"/>
  <c r="AA26" i="22"/>
  <c r="Z26" i="22"/>
  <c r="AP27" i="22" s="1"/>
  <c r="AR27" i="22" s="1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AB25" i="22"/>
  <c r="AA25" i="22"/>
  <c r="Z25" i="22"/>
  <c r="AQ25" i="22" s="1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AB24" i="22"/>
  <c r="AA24" i="22"/>
  <c r="Z24" i="22"/>
  <c r="AP25" i="22" s="1"/>
  <c r="AR25" i="22" s="1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AB17" i="22"/>
  <c r="AA17" i="22"/>
  <c r="Z17" i="22"/>
  <c r="AQ17" i="22" s="1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AB15" i="22"/>
  <c r="AA15" i="22"/>
  <c r="Z15" i="22"/>
  <c r="AQ15" i="22" s="1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AB13" i="22"/>
  <c r="AA13" i="22"/>
  <c r="Z13" i="22"/>
  <c r="AQ13" i="22" s="1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AQ9" i="22" l="1"/>
  <c r="AJ12" i="22"/>
  <c r="AJ13" i="22"/>
  <c r="AP13" i="22"/>
  <c r="AR13" i="22" s="1"/>
  <c r="AQ19" i="22"/>
  <c r="AQ21" i="22"/>
  <c r="AQ23" i="22"/>
  <c r="AP7" i="23"/>
  <c r="AR7" i="23" s="1"/>
  <c r="AQ11" i="23"/>
  <c r="AP13" i="23"/>
  <c r="AR13" i="23" s="1"/>
  <c r="AJ13" i="23"/>
  <c r="AJ12" i="23"/>
  <c r="AJ16" i="23"/>
  <c r="AP17" i="23"/>
  <c r="AR17" i="23" s="1"/>
  <c r="AJ17" i="23"/>
  <c r="AP19" i="23"/>
  <c r="AR19" i="23" s="1"/>
  <c r="AQ19" i="23"/>
  <c r="AP21" i="23"/>
  <c r="AQ21" i="23"/>
  <c r="AQ23" i="23"/>
  <c r="AP7" i="22"/>
  <c r="AQ7" i="22"/>
  <c r="AQ11" i="22"/>
  <c r="AP19" i="22"/>
  <c r="AR19" i="22" s="1"/>
  <c r="AQ9" i="23"/>
  <c r="AJ18" i="23"/>
  <c r="AJ19" i="23"/>
  <c r="AP9" i="22"/>
  <c r="AR9" i="22" s="1"/>
  <c r="AP15" i="22"/>
  <c r="AR15" i="22" s="1"/>
  <c r="AJ15" i="22"/>
  <c r="AJ14" i="22"/>
  <c r="AP17" i="22"/>
  <c r="AR17" i="22" s="1"/>
  <c r="AJ17" i="22"/>
  <c r="AJ16" i="22"/>
  <c r="AP21" i="22"/>
  <c r="AQ7" i="23"/>
  <c r="AP9" i="23"/>
  <c r="AR9" i="23" s="1"/>
  <c r="AP15" i="23"/>
  <c r="AR15" i="23" s="1"/>
  <c r="AJ15" i="23"/>
  <c r="AJ14" i="23"/>
  <c r="AJ18" i="22"/>
  <c r="AJ19" i="22"/>
  <c r="AP11" i="22"/>
  <c r="AP23" i="22"/>
  <c r="AP11" i="23"/>
  <c r="AR11" i="23" s="1"/>
  <c r="AP23" i="23"/>
  <c r="AR23" i="23" s="1"/>
  <c r="AK7" i="22"/>
  <c r="AK9" i="22"/>
  <c r="AL9" i="22" s="1"/>
  <c r="AK11" i="22"/>
  <c r="AK13" i="22"/>
  <c r="AK15" i="22"/>
  <c r="AK17" i="22"/>
  <c r="AK19" i="22"/>
  <c r="AL19" i="22" s="1"/>
  <c r="AK21" i="22"/>
  <c r="AK25" i="22"/>
  <c r="AK27" i="22"/>
  <c r="AK29" i="22"/>
  <c r="AK7" i="23"/>
  <c r="AK23" i="22"/>
  <c r="AJ9" i="22"/>
  <c r="AK8" i="22"/>
  <c r="AJ8" i="22"/>
  <c r="AK14" i="22"/>
  <c r="AK16" i="22"/>
  <c r="AK18" i="22"/>
  <c r="AJ21" i="22"/>
  <c r="AK20" i="22"/>
  <c r="AJ20" i="22"/>
  <c r="AK22" i="22"/>
  <c r="AJ22" i="22"/>
  <c r="AJ23" i="22"/>
  <c r="AL23" i="22" s="1"/>
  <c r="AJ25" i="22"/>
  <c r="AK24" i="22"/>
  <c r="AJ24" i="22"/>
  <c r="AJ27" i="22"/>
  <c r="AK26" i="22"/>
  <c r="AJ26" i="22"/>
  <c r="AJ29" i="22"/>
  <c r="AK28" i="22"/>
  <c r="AJ28" i="22"/>
  <c r="AJ7" i="23"/>
  <c r="AK6" i="23"/>
  <c r="AJ6" i="23"/>
  <c r="AJ9" i="23"/>
  <c r="AL9" i="23" s="1"/>
  <c r="AK8" i="23"/>
  <c r="AJ8" i="23"/>
  <c r="AJ11" i="23"/>
  <c r="AL11" i="23" s="1"/>
  <c r="AK10" i="23"/>
  <c r="AJ10" i="23"/>
  <c r="AK12" i="23"/>
  <c r="AK14" i="23"/>
  <c r="AK16" i="23"/>
  <c r="AL19" i="23"/>
  <c r="AK18" i="23"/>
  <c r="AJ21" i="23"/>
  <c r="AL21" i="23" s="1"/>
  <c r="AK20" i="23"/>
  <c r="AJ20" i="23"/>
  <c r="AJ23" i="23"/>
  <c r="AL23" i="23" s="1"/>
  <c r="AK22" i="23"/>
  <c r="AJ22" i="23"/>
  <c r="AJ25" i="23"/>
  <c r="AK24" i="23"/>
  <c r="AJ24" i="23"/>
  <c r="AJ27" i="23"/>
  <c r="AK26" i="23"/>
  <c r="AJ26" i="23"/>
  <c r="AJ29" i="23"/>
  <c r="AK28" i="23"/>
  <c r="AJ28" i="23"/>
  <c r="AK6" i="22"/>
  <c r="AJ7" i="22"/>
  <c r="AJ6" i="22"/>
  <c r="AJ10" i="22"/>
  <c r="AJ11" i="22"/>
  <c r="AK10" i="22"/>
  <c r="AK12" i="22"/>
  <c r="AB29" i="21"/>
  <c r="AA29" i="21"/>
  <c r="Z29" i="21"/>
  <c r="AQ29" i="21" s="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AK29" i="21" s="1"/>
  <c r="J29" i="21"/>
  <c r="I29" i="21"/>
  <c r="H29" i="21"/>
  <c r="G29" i="21"/>
  <c r="F29" i="21"/>
  <c r="E29" i="21"/>
  <c r="AB28" i="21"/>
  <c r="AA28" i="21"/>
  <c r="Z28" i="21"/>
  <c r="AP29" i="21" s="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AB27" i="21"/>
  <c r="AA27" i="21"/>
  <c r="Z27" i="21"/>
  <c r="AQ27" i="21" s="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AK27" i="21" s="1"/>
  <c r="J27" i="21"/>
  <c r="I27" i="21"/>
  <c r="H27" i="21"/>
  <c r="G27" i="21"/>
  <c r="F27" i="21"/>
  <c r="E27" i="21"/>
  <c r="AB26" i="21"/>
  <c r="AA26" i="21"/>
  <c r="Z26" i="21"/>
  <c r="AP27" i="21" s="1"/>
  <c r="AR27" i="21" s="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AB25" i="21"/>
  <c r="AA25" i="21"/>
  <c r="Z25" i="21"/>
  <c r="AQ25" i="21" s="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AK25" i="21" s="1"/>
  <c r="J25" i="21"/>
  <c r="I25" i="21"/>
  <c r="H25" i="21"/>
  <c r="G25" i="21"/>
  <c r="F25" i="21"/>
  <c r="E25" i="21"/>
  <c r="AB24" i="21"/>
  <c r="AA24" i="21"/>
  <c r="Z24" i="21"/>
  <c r="AP25" i="21" s="1"/>
  <c r="AR25" i="21" s="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AB23" i="21"/>
  <c r="AA23" i="21"/>
  <c r="Z23" i="21"/>
  <c r="AQ23" i="21" s="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AK23" i="21" s="1"/>
  <c r="J23" i="21"/>
  <c r="I23" i="21"/>
  <c r="H23" i="21"/>
  <c r="G23" i="21"/>
  <c r="F23" i="21"/>
  <c r="E23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AB21" i="21"/>
  <c r="AA21" i="21"/>
  <c r="Z21" i="21"/>
  <c r="AQ21" i="21" s="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AK21" i="21" s="1"/>
  <c r="J21" i="21"/>
  <c r="I21" i="21"/>
  <c r="H21" i="21"/>
  <c r="G21" i="21"/>
  <c r="F21" i="21"/>
  <c r="E21" i="21"/>
  <c r="AB20" i="21"/>
  <c r="AA20" i="21"/>
  <c r="Z20" i="21"/>
  <c r="AP21" i="21" s="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AB19" i="21"/>
  <c r="AA19" i="21"/>
  <c r="Z19" i="21"/>
  <c r="AQ19" i="21" s="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AK19" i="21" s="1"/>
  <c r="J19" i="21"/>
  <c r="I19" i="21"/>
  <c r="H19" i="21"/>
  <c r="G19" i="21"/>
  <c r="F19" i="21"/>
  <c r="E19" i="21"/>
  <c r="AB18" i="21"/>
  <c r="AA18" i="21"/>
  <c r="Z18" i="21"/>
  <c r="AP19" i="21" s="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AB17" i="21"/>
  <c r="AA17" i="21"/>
  <c r="Z17" i="21"/>
  <c r="AQ17" i="21" s="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AK17" i="21" s="1"/>
  <c r="J17" i="21"/>
  <c r="I17" i="21"/>
  <c r="H17" i="21"/>
  <c r="G17" i="21"/>
  <c r="F17" i="21"/>
  <c r="E17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AB15" i="21"/>
  <c r="AA15" i="21"/>
  <c r="Z15" i="21"/>
  <c r="AQ15" i="21" s="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AK15" i="21" s="1"/>
  <c r="J15" i="21"/>
  <c r="I15" i="21"/>
  <c r="H15" i="21"/>
  <c r="G15" i="21"/>
  <c r="F15" i="21"/>
  <c r="E15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AB13" i="21"/>
  <c r="AA13" i="21"/>
  <c r="Z13" i="21"/>
  <c r="AQ13" i="21" s="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AK13" i="21" s="1"/>
  <c r="J13" i="21"/>
  <c r="I13" i="21"/>
  <c r="H13" i="21"/>
  <c r="G13" i="21"/>
  <c r="F13" i="21"/>
  <c r="E13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AB11" i="21"/>
  <c r="AA11" i="21"/>
  <c r="Z11" i="21"/>
  <c r="AQ11" i="21" s="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AK11" i="21" s="1"/>
  <c r="J11" i="21"/>
  <c r="I11" i="21"/>
  <c r="H11" i="21"/>
  <c r="G11" i="21"/>
  <c r="F11" i="21"/>
  <c r="E11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AB9" i="21"/>
  <c r="AA9" i="21"/>
  <c r="Z9" i="21"/>
  <c r="AQ9" i="21" s="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AK9" i="21" s="1"/>
  <c r="J9" i="21"/>
  <c r="I9" i="21"/>
  <c r="H9" i="21"/>
  <c r="G9" i="21"/>
  <c r="F9" i="21"/>
  <c r="E9" i="21"/>
  <c r="AB8" i="21"/>
  <c r="AA8" i="21"/>
  <c r="Z8" i="21"/>
  <c r="AP9" i="21" s="1"/>
  <c r="AR9" i="21" s="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AB7" i="21"/>
  <c r="AA7" i="21"/>
  <c r="Z7" i="21"/>
  <c r="AQ7" i="21" s="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AK7" i="21" s="1"/>
  <c r="J7" i="21"/>
  <c r="I7" i="21"/>
  <c r="H7" i="21"/>
  <c r="G7" i="21"/>
  <c r="F7" i="21"/>
  <c r="E7" i="21"/>
  <c r="AB6" i="21"/>
  <c r="AA6" i="21"/>
  <c r="Z6" i="21"/>
  <c r="AP7" i="21" s="1"/>
  <c r="AR7" i="21" s="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AJ14" i="21" l="1"/>
  <c r="AJ15" i="21"/>
  <c r="AP15" i="21"/>
  <c r="AR15" i="21" s="1"/>
  <c r="AJ13" i="21"/>
  <c r="AP13" i="21"/>
  <c r="AR13" i="21" s="1"/>
  <c r="AJ12" i="21"/>
  <c r="AR29" i="21"/>
  <c r="AJ19" i="21"/>
  <c r="AL19" i="21" s="1"/>
  <c r="AJ18" i="21"/>
  <c r="AR19" i="21"/>
  <c r="AR7" i="22"/>
  <c r="AP17" i="21"/>
  <c r="AR17" i="21" s="1"/>
  <c r="AJ16" i="21"/>
  <c r="AJ17" i="21"/>
  <c r="AR23" i="22"/>
  <c r="AR21" i="21"/>
  <c r="AR21" i="22"/>
  <c r="AR11" i="22"/>
  <c r="AR21" i="23"/>
  <c r="AL21" i="22"/>
  <c r="AL7" i="22"/>
  <c r="AL11" i="22"/>
  <c r="AL17" i="22"/>
  <c r="AL17" i="23"/>
  <c r="AL25" i="23"/>
  <c r="AL29" i="22"/>
  <c r="AL15" i="23"/>
  <c r="AL27" i="23"/>
  <c r="AL25" i="22"/>
  <c r="AL29" i="23"/>
  <c r="AL13" i="23"/>
  <c r="AP11" i="21"/>
  <c r="AR11" i="21" s="1"/>
  <c r="AP23" i="21"/>
  <c r="AR23" i="21" s="1"/>
  <c r="AL15" i="22"/>
  <c r="AL27" i="22"/>
  <c r="AL13" i="22"/>
  <c r="AL10" i="22"/>
  <c r="AL7" i="23"/>
  <c r="AL14" i="22"/>
  <c r="AL6" i="22"/>
  <c r="AL14" i="23"/>
  <c r="AL22" i="22"/>
  <c r="AL28" i="23"/>
  <c r="AL20" i="23"/>
  <c r="AL16" i="23"/>
  <c r="AL12" i="23"/>
  <c r="AL8" i="23"/>
  <c r="AL28" i="22"/>
  <c r="AL24" i="22"/>
  <c r="AL20" i="22"/>
  <c r="AL16" i="22"/>
  <c r="AL12" i="22"/>
  <c r="AL8" i="22"/>
  <c r="AL18" i="23"/>
  <c r="AL24" i="23"/>
  <c r="AJ7" i="21"/>
  <c r="AL7" i="21" s="1"/>
  <c r="AK6" i="21"/>
  <c r="AJ6" i="21"/>
  <c r="AJ9" i="21"/>
  <c r="AL9" i="21" s="1"/>
  <c r="AK8" i="21"/>
  <c r="AJ8" i="21"/>
  <c r="AJ11" i="21"/>
  <c r="AL11" i="21" s="1"/>
  <c r="AK10" i="21"/>
  <c r="AJ10" i="21"/>
  <c r="AK12" i="21"/>
  <c r="AK14" i="21"/>
  <c r="AK16" i="21"/>
  <c r="AK18" i="21"/>
  <c r="AJ21" i="21"/>
  <c r="AL21" i="21" s="1"/>
  <c r="AK20" i="21"/>
  <c r="AJ20" i="21"/>
  <c r="AJ23" i="21"/>
  <c r="AL23" i="21" s="1"/>
  <c r="AK22" i="21"/>
  <c r="AJ22" i="21"/>
  <c r="AJ25" i="21"/>
  <c r="AK24" i="21"/>
  <c r="AJ24" i="21"/>
  <c r="AJ27" i="21"/>
  <c r="AK26" i="21"/>
  <c r="AJ26" i="21"/>
  <c r="AJ29" i="21"/>
  <c r="AK28" i="21"/>
  <c r="AJ28" i="21"/>
  <c r="AL26" i="23"/>
  <c r="AL22" i="23"/>
  <c r="AL10" i="23"/>
  <c r="AL6" i="23"/>
  <c r="AL26" i="22"/>
  <c r="AL18" i="22"/>
  <c r="AB29" i="20"/>
  <c r="AA29" i="20"/>
  <c r="Z29" i="20"/>
  <c r="AQ29" i="20" s="1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AB28" i="20"/>
  <c r="AA28" i="20"/>
  <c r="Z28" i="20"/>
  <c r="AP29" i="20" s="1"/>
  <c r="AR29" i="20" s="1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AB27" i="20"/>
  <c r="AA27" i="20"/>
  <c r="Z27" i="20"/>
  <c r="AQ27" i="20" s="1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AB26" i="20"/>
  <c r="AA26" i="20"/>
  <c r="Z26" i="20"/>
  <c r="AP27" i="20" s="1"/>
  <c r="AR27" i="20" s="1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AB25" i="20"/>
  <c r="AA25" i="20"/>
  <c r="Z25" i="20"/>
  <c r="AQ25" i="20" s="1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AB17" i="20"/>
  <c r="AA17" i="20"/>
  <c r="Z17" i="20"/>
  <c r="AQ17" i="20" s="1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AB15" i="20"/>
  <c r="AA15" i="20"/>
  <c r="Z15" i="20"/>
  <c r="AQ15" i="20" s="1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AB13" i="20"/>
  <c r="AA13" i="20"/>
  <c r="Z13" i="20"/>
  <c r="AQ13" i="20" s="1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AQ7" i="20" l="1"/>
  <c r="AJ17" i="20"/>
  <c r="AJ16" i="20"/>
  <c r="AP17" i="20"/>
  <c r="AR17" i="20" s="1"/>
  <c r="AQ19" i="20"/>
  <c r="AQ23" i="20"/>
  <c r="AP25" i="20"/>
  <c r="AR25" i="20" s="1"/>
  <c r="AQ9" i="20"/>
  <c r="AP19" i="20"/>
  <c r="AP7" i="20"/>
  <c r="AR7" i="20" s="1"/>
  <c r="AJ13" i="20"/>
  <c r="AP13" i="20"/>
  <c r="AR13" i="20" s="1"/>
  <c r="AJ12" i="20"/>
  <c r="AJ14" i="20"/>
  <c r="AP15" i="20"/>
  <c r="AR15" i="20" s="1"/>
  <c r="AJ15" i="20"/>
  <c r="AQ21" i="20"/>
  <c r="AJ19" i="20"/>
  <c r="AJ18" i="20"/>
  <c r="AP9" i="20"/>
  <c r="AP21" i="20"/>
  <c r="AR21" i="20" s="1"/>
  <c r="AQ11" i="20"/>
  <c r="AK7" i="20"/>
  <c r="AK9" i="20"/>
  <c r="AK11" i="20"/>
  <c r="AK13" i="20"/>
  <c r="AK15" i="20"/>
  <c r="AK17" i="20"/>
  <c r="AK19" i="20"/>
  <c r="AK21" i="20"/>
  <c r="AK23" i="20"/>
  <c r="AK25" i="20"/>
  <c r="AK27" i="20"/>
  <c r="AK29" i="20"/>
  <c r="AL25" i="21"/>
  <c r="AL13" i="21"/>
  <c r="AL29" i="21"/>
  <c r="AL17" i="21"/>
  <c r="AL27" i="21"/>
  <c r="AL15" i="21"/>
  <c r="AP11" i="20"/>
  <c r="AP23" i="20"/>
  <c r="AL10" i="21"/>
  <c r="AL26" i="21"/>
  <c r="AL22" i="21"/>
  <c r="AL14" i="21"/>
  <c r="AK6" i="20"/>
  <c r="AJ6" i="20"/>
  <c r="AJ7" i="20"/>
  <c r="AK8" i="20"/>
  <c r="AJ9" i="20"/>
  <c r="AJ8" i="20"/>
  <c r="AJ23" i="20"/>
  <c r="AK22" i="20"/>
  <c r="AJ22" i="20"/>
  <c r="AL8" i="21"/>
  <c r="AL18" i="21"/>
  <c r="AK14" i="20"/>
  <c r="AK18" i="20"/>
  <c r="AJ29" i="20"/>
  <c r="AK28" i="20"/>
  <c r="AJ28" i="20"/>
  <c r="AL28" i="21"/>
  <c r="AL24" i="21"/>
  <c r="AL20" i="21"/>
  <c r="AL16" i="21"/>
  <c r="AL12" i="21"/>
  <c r="AK12" i="20"/>
  <c r="AJ25" i="20"/>
  <c r="AK24" i="20"/>
  <c r="AJ24" i="20"/>
  <c r="AJ10" i="20"/>
  <c r="AK10" i="20"/>
  <c r="AJ11" i="20"/>
  <c r="AL11" i="20" s="1"/>
  <c r="AK16" i="20"/>
  <c r="AK20" i="20"/>
  <c r="AJ21" i="20"/>
  <c r="AJ20" i="20"/>
  <c r="AL23" i="20"/>
  <c r="AJ26" i="20"/>
  <c r="AJ27" i="20"/>
  <c r="AK26" i="20"/>
  <c r="AL6" i="21"/>
  <c r="AB29" i="19"/>
  <c r="AA29" i="19"/>
  <c r="Z29" i="19"/>
  <c r="AQ29" i="19" s="1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AB28" i="19"/>
  <c r="AA28" i="19"/>
  <c r="Z28" i="19"/>
  <c r="AP29" i="19" s="1"/>
  <c r="AR29" i="19" s="1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AB27" i="19"/>
  <c r="AA27" i="19"/>
  <c r="Z27" i="19"/>
  <c r="AQ27" i="19" s="1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AB25" i="19"/>
  <c r="AA25" i="19"/>
  <c r="Z25" i="19"/>
  <c r="AQ25" i="19" s="1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AB24" i="19"/>
  <c r="AA24" i="19"/>
  <c r="Z24" i="19"/>
  <c r="AP25" i="19" s="1"/>
  <c r="AR25" i="19" s="1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AB23" i="19"/>
  <c r="AA23" i="19"/>
  <c r="Z23" i="19"/>
  <c r="AQ23" i="19" s="1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AB21" i="19"/>
  <c r="AA21" i="19"/>
  <c r="Z21" i="19"/>
  <c r="AQ21" i="19" s="1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AB20" i="19"/>
  <c r="AA20" i="19"/>
  <c r="Z20" i="19"/>
  <c r="AP21" i="19" s="1"/>
  <c r="AR21" i="19" s="1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AB19" i="19"/>
  <c r="AA19" i="19"/>
  <c r="Z19" i="19"/>
  <c r="AQ19" i="19" s="1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AB18" i="19"/>
  <c r="AA18" i="19"/>
  <c r="Z18" i="19"/>
  <c r="AP19" i="19" s="1"/>
  <c r="AR19" i="19" s="1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AB17" i="19"/>
  <c r="AA17" i="19"/>
  <c r="Z17" i="19"/>
  <c r="AQ17" i="19" s="1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AB15" i="19"/>
  <c r="AA15" i="19"/>
  <c r="Z15" i="19"/>
  <c r="AQ15" i="19" s="1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AB13" i="19"/>
  <c r="AA13" i="19"/>
  <c r="Z13" i="19"/>
  <c r="AQ13" i="19" s="1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AB11" i="19"/>
  <c r="AA11" i="19"/>
  <c r="Z11" i="19"/>
  <c r="AQ11" i="19" s="1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AB9" i="19"/>
  <c r="AA9" i="19"/>
  <c r="Z9" i="19"/>
  <c r="AQ9" i="19" s="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AB8" i="19"/>
  <c r="AA8" i="19"/>
  <c r="Z8" i="19"/>
  <c r="AP9" i="19" s="1"/>
  <c r="AR9" i="19" s="1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AB7" i="19"/>
  <c r="AA7" i="19"/>
  <c r="Z7" i="19"/>
  <c r="AQ7" i="19" s="1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AB6" i="19"/>
  <c r="AA6" i="19"/>
  <c r="Z6" i="19"/>
  <c r="AP7" i="19" s="1"/>
  <c r="AR7" i="19" s="1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AJ15" i="19" l="1"/>
  <c r="AP15" i="19"/>
  <c r="AR15" i="19" s="1"/>
  <c r="AJ14" i="19"/>
  <c r="AP27" i="19"/>
  <c r="AR27" i="19" s="1"/>
  <c r="AJ12" i="19"/>
  <c r="AJ13" i="19"/>
  <c r="AP13" i="19"/>
  <c r="AR13" i="19" s="1"/>
  <c r="AL21" i="20"/>
  <c r="AR9" i="20"/>
  <c r="AJ19" i="19"/>
  <c r="AJ18" i="19"/>
  <c r="AL9" i="20"/>
  <c r="AJ16" i="19"/>
  <c r="AP17" i="19"/>
  <c r="AR17" i="19" s="1"/>
  <c r="AJ17" i="19"/>
  <c r="AR23" i="20"/>
  <c r="AL10" i="20"/>
  <c r="AL7" i="20"/>
  <c r="AR11" i="20"/>
  <c r="AR19" i="20"/>
  <c r="AK7" i="19"/>
  <c r="AK9" i="19"/>
  <c r="AK11" i="19"/>
  <c r="AK13" i="19"/>
  <c r="AK15" i="19"/>
  <c r="AK17" i="19"/>
  <c r="AK19" i="19"/>
  <c r="AK21" i="19"/>
  <c r="AK23" i="19"/>
  <c r="AK29" i="19"/>
  <c r="AL25" i="20"/>
  <c r="AK25" i="19"/>
  <c r="AK27" i="19"/>
  <c r="AP23" i="19"/>
  <c r="AR23" i="19" s="1"/>
  <c r="AL27" i="20"/>
  <c r="AP11" i="19"/>
  <c r="AR11" i="19" s="1"/>
  <c r="AL19" i="20"/>
  <c r="AL17" i="20"/>
  <c r="AL15" i="20"/>
  <c r="AL13" i="20"/>
  <c r="AL29" i="20"/>
  <c r="AL8" i="20"/>
  <c r="AL22" i="20"/>
  <c r="AL14" i="20"/>
  <c r="AL12" i="20"/>
  <c r="AL28" i="20"/>
  <c r="AJ9" i="19"/>
  <c r="AL9" i="19" s="1"/>
  <c r="AJ8" i="19"/>
  <c r="AK8" i="19"/>
  <c r="AK14" i="19"/>
  <c r="AJ27" i="19"/>
  <c r="AK26" i="19"/>
  <c r="AJ26" i="19"/>
  <c r="AL20" i="20"/>
  <c r="AL24" i="20"/>
  <c r="AL6" i="20"/>
  <c r="AK6" i="19"/>
  <c r="AJ7" i="19"/>
  <c r="AJ6" i="19"/>
  <c r="AK16" i="19"/>
  <c r="AJ22" i="19"/>
  <c r="AJ23" i="19"/>
  <c r="AL23" i="19" s="1"/>
  <c r="AK22" i="19"/>
  <c r="AL22" i="19" s="1"/>
  <c r="AL18" i="20"/>
  <c r="AK10" i="19"/>
  <c r="AJ11" i="19"/>
  <c r="AJ10" i="19"/>
  <c r="AJ21" i="19"/>
  <c r="AK20" i="19"/>
  <c r="AJ20" i="19"/>
  <c r="AJ29" i="19"/>
  <c r="AK28" i="19"/>
  <c r="AJ28" i="19"/>
  <c r="AL26" i="20"/>
  <c r="AL16" i="20"/>
  <c r="AK12" i="19"/>
  <c r="AL19" i="19"/>
  <c r="AK18" i="19"/>
  <c r="AJ25" i="19"/>
  <c r="AJ24" i="19"/>
  <c r="AK24" i="19"/>
  <c r="AB29" i="18"/>
  <c r="AA29" i="18"/>
  <c r="Z29" i="18"/>
  <c r="AQ29" i="18" s="1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AB28" i="18"/>
  <c r="AA28" i="18"/>
  <c r="Z28" i="18"/>
  <c r="AP29" i="18" s="1"/>
  <c r="AR29" i="18" s="1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AB27" i="18"/>
  <c r="AA27" i="18"/>
  <c r="Z27" i="18"/>
  <c r="AQ27" i="18" s="1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AB26" i="18"/>
  <c r="AA26" i="18"/>
  <c r="Z26" i="18"/>
  <c r="AP27" i="18" s="1"/>
  <c r="AR27" i="18" s="1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AB25" i="18"/>
  <c r="AA25" i="18"/>
  <c r="Z25" i="18"/>
  <c r="AQ25" i="18" s="1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AB24" i="18"/>
  <c r="AA24" i="18"/>
  <c r="Z24" i="18"/>
  <c r="AP25" i="18" s="1"/>
  <c r="AR25" i="18" s="1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AB17" i="18"/>
  <c r="AA17" i="18"/>
  <c r="Z17" i="18"/>
  <c r="AQ17" i="18" s="1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AB15" i="18"/>
  <c r="AA15" i="18"/>
  <c r="Z15" i="18"/>
  <c r="AQ15" i="18" s="1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AB13" i="18"/>
  <c r="AA13" i="18"/>
  <c r="Z13" i="18"/>
  <c r="AQ13" i="18" s="1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AQ9" i="18" l="1"/>
  <c r="AQ7" i="18"/>
  <c r="AQ11" i="18"/>
  <c r="AJ15" i="18"/>
  <c r="AP15" i="18"/>
  <c r="AR15" i="18" s="1"/>
  <c r="AJ14" i="18"/>
  <c r="AP19" i="18"/>
  <c r="AQ19" i="18"/>
  <c r="AQ23" i="18"/>
  <c r="AJ18" i="18"/>
  <c r="AJ19" i="18"/>
  <c r="AP9" i="18"/>
  <c r="AR9" i="18" s="1"/>
  <c r="AJ12" i="18"/>
  <c r="AP13" i="18"/>
  <c r="AR13" i="18" s="1"/>
  <c r="AJ13" i="18"/>
  <c r="AJ17" i="18"/>
  <c r="AP17" i="18"/>
  <c r="AR17" i="18" s="1"/>
  <c r="AJ16" i="18"/>
  <c r="AP21" i="18"/>
  <c r="AL11" i="19"/>
  <c r="AL7" i="19"/>
  <c r="AP7" i="18"/>
  <c r="AR7" i="18" s="1"/>
  <c r="AQ21" i="18"/>
  <c r="AL24" i="19"/>
  <c r="AL8" i="19"/>
  <c r="AL27" i="19"/>
  <c r="AL21" i="19"/>
  <c r="AL29" i="19"/>
  <c r="AL13" i="19"/>
  <c r="AL25" i="19"/>
  <c r="AL15" i="19"/>
  <c r="AL17" i="19"/>
  <c r="AP23" i="18"/>
  <c r="AR23" i="18" s="1"/>
  <c r="AP11" i="18"/>
  <c r="AL28" i="19"/>
  <c r="AL12" i="19"/>
  <c r="AL16" i="19"/>
  <c r="AL14" i="19"/>
  <c r="AL6" i="19"/>
  <c r="AL26" i="19"/>
  <c r="AL18" i="19"/>
  <c r="AL10" i="19"/>
  <c r="AL20" i="19"/>
  <c r="AJ6" i="18"/>
  <c r="AJ7" i="18"/>
  <c r="AK6" i="18"/>
  <c r="AK7" i="18"/>
  <c r="AJ9" i="18"/>
  <c r="AJ8" i="18"/>
  <c r="AK8" i="18"/>
  <c r="AL8" i="18" s="1"/>
  <c r="AM8" i="18" s="1"/>
  <c r="AK9" i="18"/>
  <c r="AJ11" i="18"/>
  <c r="AK10" i="18"/>
  <c r="AJ10" i="18"/>
  <c r="AK11" i="18"/>
  <c r="AK12" i="18"/>
  <c r="AK13" i="18"/>
  <c r="AK14" i="18"/>
  <c r="AK15" i="18"/>
  <c r="AK16" i="18"/>
  <c r="AL16" i="18" s="1"/>
  <c r="AM16" i="18" s="1"/>
  <c r="AK17" i="18"/>
  <c r="AK18" i="18"/>
  <c r="AK19" i="18"/>
  <c r="AJ21" i="18"/>
  <c r="AK20" i="18"/>
  <c r="AJ20" i="18"/>
  <c r="AK21" i="18"/>
  <c r="AJ22" i="18"/>
  <c r="AJ23" i="18"/>
  <c r="AK22" i="18"/>
  <c r="AK23" i="18"/>
  <c r="AJ25" i="18"/>
  <c r="AJ24" i="18"/>
  <c r="AK24" i="18"/>
  <c r="AL24" i="18" s="1"/>
  <c r="AM24" i="18" s="1"/>
  <c r="AK25" i="18"/>
  <c r="AJ27" i="18"/>
  <c r="AK26" i="18"/>
  <c r="AJ26" i="18"/>
  <c r="AK27" i="18"/>
  <c r="AJ29" i="18"/>
  <c r="AK28" i="18"/>
  <c r="AJ28" i="18"/>
  <c r="AK29" i="18"/>
  <c r="C29" i="19"/>
  <c r="C29" i="20"/>
  <c r="C29" i="21"/>
  <c r="C29" i="22"/>
  <c r="C29" i="23"/>
  <c r="C29" i="18"/>
  <c r="C27" i="19"/>
  <c r="C27" i="20"/>
  <c r="C27" i="21"/>
  <c r="C27" i="22"/>
  <c r="C27" i="23"/>
  <c r="C27" i="18"/>
  <c r="C25" i="19"/>
  <c r="C25" i="20"/>
  <c r="C25" i="21"/>
  <c r="C25" i="22"/>
  <c r="C25" i="23"/>
  <c r="C25" i="18"/>
  <c r="C23" i="19"/>
  <c r="C23" i="20"/>
  <c r="C23" i="21"/>
  <c r="C23" i="22"/>
  <c r="C23" i="23"/>
  <c r="C23" i="18"/>
  <c r="C21" i="19"/>
  <c r="C21" i="20"/>
  <c r="C21" i="21"/>
  <c r="C21" i="22"/>
  <c r="C21" i="23"/>
  <c r="C21" i="18"/>
  <c r="C19" i="19"/>
  <c r="C19" i="20"/>
  <c r="C19" i="21"/>
  <c r="C19" i="22"/>
  <c r="C19" i="23"/>
  <c r="C19" i="18"/>
  <c r="C17" i="19"/>
  <c r="C17" i="20"/>
  <c r="C17" i="21"/>
  <c r="C17" i="22"/>
  <c r="C17" i="23"/>
  <c r="C17" i="18"/>
  <c r="C15" i="19"/>
  <c r="C15" i="20"/>
  <c r="C15" i="21"/>
  <c r="C15" i="22"/>
  <c r="C15" i="23"/>
  <c r="C15" i="18"/>
  <c r="C13" i="19"/>
  <c r="C13" i="20"/>
  <c r="C13" i="21"/>
  <c r="C13" i="22"/>
  <c r="C13" i="23"/>
  <c r="C13" i="18"/>
  <c r="C11" i="19"/>
  <c r="C11" i="20"/>
  <c r="C11" i="21"/>
  <c r="C11" i="22"/>
  <c r="C11" i="23"/>
  <c r="C11" i="18"/>
  <c r="C9" i="19"/>
  <c r="C9" i="20"/>
  <c r="C9" i="21"/>
  <c r="C9" i="22"/>
  <c r="C9" i="23"/>
  <c r="C9" i="18"/>
  <c r="C7" i="19"/>
  <c r="C7" i="20"/>
  <c r="C7" i="21"/>
  <c r="C7" i="22"/>
  <c r="C7" i="23"/>
  <c r="C7" i="18"/>
  <c r="AD18" i="23"/>
  <c r="AN6" i="23"/>
  <c r="AI6" i="23"/>
  <c r="AF6" i="23"/>
  <c r="AG1" i="23"/>
  <c r="AC11" i="23" s="1"/>
  <c r="AN6" i="22"/>
  <c r="AI6" i="22"/>
  <c r="AF6" i="22"/>
  <c r="AD6" i="22"/>
  <c r="AG1" i="22"/>
  <c r="AD28" i="21"/>
  <c r="AN6" i="21"/>
  <c r="AI6" i="21"/>
  <c r="AF6" i="21"/>
  <c r="AG1" i="21"/>
  <c r="AC9" i="21" s="1"/>
  <c r="AN6" i="20"/>
  <c r="AI6" i="20"/>
  <c r="AF6" i="20"/>
  <c r="AD6" i="20"/>
  <c r="AG1" i="20"/>
  <c r="AN6" i="19"/>
  <c r="AI6" i="19"/>
  <c r="AF6" i="19"/>
  <c r="AG1" i="19"/>
  <c r="AC22" i="19" s="1"/>
  <c r="AD29" i="18"/>
  <c r="AD28" i="18"/>
  <c r="AG28" i="18" s="1"/>
  <c r="AD27" i="18"/>
  <c r="AD26" i="18"/>
  <c r="AG26" i="18" s="1"/>
  <c r="AD25" i="18"/>
  <c r="AD24" i="18"/>
  <c r="AG24" i="18" s="1"/>
  <c r="AD23" i="18"/>
  <c r="AD22" i="18"/>
  <c r="AG22" i="18" s="1"/>
  <c r="AD21" i="18"/>
  <c r="AG21" i="18" s="1"/>
  <c r="AD20" i="18"/>
  <c r="AG20" i="18" s="1"/>
  <c r="AD19" i="18"/>
  <c r="AD18" i="18"/>
  <c r="AG18" i="18" s="1"/>
  <c r="AD17" i="18"/>
  <c r="AG17" i="18" s="1"/>
  <c r="AD16" i="18"/>
  <c r="AG16" i="18" s="1"/>
  <c r="AD15" i="18"/>
  <c r="AD14" i="18"/>
  <c r="AG14" i="18" s="1"/>
  <c r="AD13" i="18"/>
  <c r="AD12" i="18"/>
  <c r="AG12" i="18" s="1"/>
  <c r="AD11" i="18"/>
  <c r="AD10" i="18"/>
  <c r="AG10" i="18" s="1"/>
  <c r="AD9" i="18"/>
  <c r="AD8" i="18"/>
  <c r="AD7" i="18"/>
  <c r="AN6" i="18"/>
  <c r="AI6" i="18"/>
  <c r="AF6" i="18"/>
  <c r="AD6" i="18"/>
  <c r="AG1" i="18"/>
  <c r="AC28" i="18" s="1"/>
  <c r="AN6" i="3"/>
  <c r="AR19" i="18" l="1"/>
  <c r="AR21" i="18"/>
  <c r="AR11" i="18"/>
  <c r="AC11" i="21"/>
  <c r="AL22" i="18"/>
  <c r="AM22" i="18" s="1"/>
  <c r="AN22" i="18" s="1"/>
  <c r="AL14" i="18"/>
  <c r="AM14" i="18" s="1"/>
  <c r="AN14" i="18" s="1"/>
  <c r="AL6" i="18"/>
  <c r="AM6" i="18" s="1"/>
  <c r="AN16" i="18" s="1"/>
  <c r="AC8" i="21"/>
  <c r="AC21" i="19"/>
  <c r="AC7" i="23"/>
  <c r="AL29" i="18"/>
  <c r="AM29" i="18" s="1"/>
  <c r="AL25" i="18"/>
  <c r="AM25" i="18" s="1"/>
  <c r="AL21" i="18"/>
  <c r="AM21" i="18" s="1"/>
  <c r="AL17" i="18"/>
  <c r="AM17" i="18" s="1"/>
  <c r="AL13" i="18"/>
  <c r="AM13" i="18" s="1"/>
  <c r="AN13" i="18" s="1"/>
  <c r="AL9" i="18"/>
  <c r="AM9" i="18" s="1"/>
  <c r="AN9" i="18" s="1"/>
  <c r="AL10" i="18"/>
  <c r="AM10" i="18" s="1"/>
  <c r="AL28" i="18"/>
  <c r="AM28" i="18" s="1"/>
  <c r="AL20" i="18"/>
  <c r="AM20" i="18" s="1"/>
  <c r="AL26" i="18"/>
  <c r="AM26" i="18" s="1"/>
  <c r="AL18" i="18"/>
  <c r="AM18" i="18" s="1"/>
  <c r="AL12" i="18"/>
  <c r="AM12" i="18" s="1"/>
  <c r="AL27" i="18"/>
  <c r="AL23" i="18"/>
  <c r="AM23" i="18" s="1"/>
  <c r="AN23" i="18" s="1"/>
  <c r="AL19" i="18"/>
  <c r="AM19" i="18" s="1"/>
  <c r="AL15" i="18"/>
  <c r="AM15" i="18" s="1"/>
  <c r="AL11" i="18"/>
  <c r="AM11" i="18" s="1"/>
  <c r="AL7" i="18"/>
  <c r="AM7" i="18" s="1"/>
  <c r="AM28" i="21"/>
  <c r="AD12" i="21"/>
  <c r="AE12" i="21" s="1"/>
  <c r="AD18" i="21"/>
  <c r="AE18" i="21" s="1"/>
  <c r="AD22" i="21"/>
  <c r="AG22" i="21" s="1"/>
  <c r="AH22" i="21" s="1"/>
  <c r="AD24" i="21"/>
  <c r="AE24" i="21" s="1"/>
  <c r="AD24" i="23"/>
  <c r="AE24" i="23" s="1"/>
  <c r="AD26" i="23"/>
  <c r="AG26" i="23" s="1"/>
  <c r="AH26" i="23" s="1"/>
  <c r="AD28" i="23"/>
  <c r="AG28" i="23" s="1"/>
  <c r="AH28" i="23" s="1"/>
  <c r="AD6" i="21"/>
  <c r="AE6" i="21" s="1"/>
  <c r="AD6" i="23"/>
  <c r="AE6" i="23" s="1"/>
  <c r="AC17" i="21"/>
  <c r="AC21" i="21"/>
  <c r="AC27" i="21"/>
  <c r="AE28" i="21"/>
  <c r="AE6" i="18"/>
  <c r="AH17" i="18"/>
  <c r="AD8" i="20"/>
  <c r="AE8" i="20" s="1"/>
  <c r="AC7" i="18"/>
  <c r="AH28" i="18"/>
  <c r="AC12" i="21"/>
  <c r="AC17" i="19"/>
  <c r="AC9" i="18"/>
  <c r="AC11" i="22"/>
  <c r="AD18" i="19"/>
  <c r="AE18" i="19" s="1"/>
  <c r="AC18" i="21"/>
  <c r="AD12" i="22"/>
  <c r="AE12" i="22" s="1"/>
  <c r="AD14" i="22"/>
  <c r="AE14" i="22" s="1"/>
  <c r="AD28" i="22"/>
  <c r="AE28" i="22" s="1"/>
  <c r="AC28" i="19"/>
  <c r="AM14" i="19"/>
  <c r="AC14" i="23"/>
  <c r="AC15" i="23"/>
  <c r="AC17" i="23"/>
  <c r="AC21" i="23"/>
  <c r="AC23" i="23"/>
  <c r="AC27" i="23"/>
  <c r="AC15" i="19"/>
  <c r="AD14" i="23"/>
  <c r="AE14" i="23" s="1"/>
  <c r="AC15" i="21"/>
  <c r="AD22" i="22"/>
  <c r="AE22" i="22" s="1"/>
  <c r="AC27" i="19"/>
  <c r="AC26" i="18"/>
  <c r="AD12" i="19"/>
  <c r="AE12" i="19" s="1"/>
  <c r="AC13" i="19"/>
  <c r="AD18" i="20"/>
  <c r="AE18" i="20" s="1"/>
  <c r="AD22" i="20"/>
  <c r="AE22" i="20" s="1"/>
  <c r="AD24" i="20"/>
  <c r="AE24" i="20" s="1"/>
  <c r="AD28" i="20"/>
  <c r="AE28" i="20" s="1"/>
  <c r="AM9" i="22"/>
  <c r="AM10" i="22"/>
  <c r="AM14" i="22"/>
  <c r="AM15" i="22"/>
  <c r="AM20" i="22"/>
  <c r="AM26" i="22"/>
  <c r="AD24" i="22"/>
  <c r="AE24" i="22" s="1"/>
  <c r="AD8" i="21"/>
  <c r="AE8" i="21" s="1"/>
  <c r="AM19" i="21"/>
  <c r="AM28" i="20"/>
  <c r="AM16" i="23"/>
  <c r="AC25" i="22"/>
  <c r="AD9" i="20"/>
  <c r="AG9" i="20" s="1"/>
  <c r="AH9" i="20" s="1"/>
  <c r="AD14" i="20"/>
  <c r="AE14" i="20" s="1"/>
  <c r="AD8" i="22"/>
  <c r="AE8" i="22" s="1"/>
  <c r="AC18" i="23"/>
  <c r="AD24" i="19"/>
  <c r="AE24" i="19" s="1"/>
  <c r="AD22" i="19"/>
  <c r="AE22" i="19" s="1"/>
  <c r="AD18" i="22"/>
  <c r="AE18" i="22" s="1"/>
  <c r="AD20" i="22"/>
  <c r="AG20" i="22" s="1"/>
  <c r="AH20" i="22" s="1"/>
  <c r="AD8" i="23"/>
  <c r="AE8" i="23" s="1"/>
  <c r="AD12" i="23"/>
  <c r="AE12" i="23" s="1"/>
  <c r="AD16" i="20"/>
  <c r="AE16" i="20" s="1"/>
  <c r="AD20" i="23"/>
  <c r="AE20" i="23" s="1"/>
  <c r="AD6" i="19"/>
  <c r="AE6" i="19" s="1"/>
  <c r="AD25" i="21"/>
  <c r="AE25" i="21" s="1"/>
  <c r="AD9" i="22"/>
  <c r="AE9" i="22" s="1"/>
  <c r="AH26" i="18"/>
  <c r="AD10" i="19"/>
  <c r="AE10" i="19" s="1"/>
  <c r="AE9" i="18"/>
  <c r="AC19" i="19"/>
  <c r="AD28" i="19"/>
  <c r="AE28" i="19" s="1"/>
  <c r="AC24" i="21"/>
  <c r="AC12" i="23"/>
  <c r="AE7" i="18"/>
  <c r="AM9" i="19"/>
  <c r="AD16" i="19"/>
  <c r="AE16" i="19" s="1"/>
  <c r="AC25" i="20"/>
  <c r="AC8" i="20"/>
  <c r="AM10" i="21"/>
  <c r="AD14" i="21"/>
  <c r="AE14" i="21" s="1"/>
  <c r="AM24" i="22"/>
  <c r="AM8" i="22"/>
  <c r="AD16" i="22"/>
  <c r="AE16" i="22" s="1"/>
  <c r="AC22" i="23"/>
  <c r="AC24" i="23"/>
  <c r="AM25" i="23"/>
  <c r="AC11" i="20"/>
  <c r="AD12" i="20"/>
  <c r="AE12" i="20" s="1"/>
  <c r="AC25" i="21"/>
  <c r="AC8" i="22"/>
  <c r="AC9" i="23"/>
  <c r="AD10" i="23"/>
  <c r="AE10" i="23" s="1"/>
  <c r="AD21" i="21"/>
  <c r="AG21" i="21" s="1"/>
  <c r="AH21" i="21" s="1"/>
  <c r="AC6" i="22"/>
  <c r="AC21" i="22"/>
  <c r="AC27" i="22"/>
  <c r="AM26" i="20"/>
  <c r="AC24" i="19"/>
  <c r="AD25" i="19"/>
  <c r="AE25" i="19" s="1"/>
  <c r="AD27" i="19"/>
  <c r="AG27" i="19" s="1"/>
  <c r="AH27" i="19" s="1"/>
  <c r="AC6" i="20"/>
  <c r="AC7" i="20"/>
  <c r="AM8" i="20"/>
  <c r="AM14" i="20"/>
  <c r="AC19" i="20"/>
  <c r="AC22" i="20"/>
  <c r="AC28" i="20"/>
  <c r="AE6" i="22"/>
  <c r="AC7" i="22"/>
  <c r="AC19" i="22"/>
  <c r="AC22" i="22"/>
  <c r="AC28" i="22"/>
  <c r="AE6" i="20"/>
  <c r="AC9" i="20"/>
  <c r="AC13" i="20"/>
  <c r="AC14" i="20"/>
  <c r="AC15" i="20"/>
  <c r="AD9" i="21"/>
  <c r="AE9" i="21" s="1"/>
  <c r="AC23" i="21"/>
  <c r="AM24" i="21"/>
  <c r="AC29" i="21"/>
  <c r="AC9" i="22"/>
  <c r="AC13" i="22"/>
  <c r="AC14" i="22"/>
  <c r="AC15" i="22"/>
  <c r="AD15" i="23"/>
  <c r="AE15" i="23" s="1"/>
  <c r="AE18" i="23"/>
  <c r="AM27" i="23"/>
  <c r="AC29" i="23"/>
  <c r="AM8" i="19"/>
  <c r="AC25" i="19"/>
  <c r="AH22" i="18"/>
  <c r="AC18" i="19"/>
  <c r="AM19" i="19"/>
  <c r="AD21" i="19"/>
  <c r="AG21" i="19" s="1"/>
  <c r="AH21" i="19" s="1"/>
  <c r="AM26" i="19"/>
  <c r="AC29" i="19"/>
  <c r="AM10" i="20"/>
  <c r="AC17" i="20"/>
  <c r="AC24" i="20"/>
  <c r="AD25" i="20"/>
  <c r="AE25" i="20" s="1"/>
  <c r="AD16" i="21"/>
  <c r="AE16" i="21" s="1"/>
  <c r="AM20" i="21"/>
  <c r="AM26" i="21"/>
  <c r="AC17" i="22"/>
  <c r="AC24" i="22"/>
  <c r="AD25" i="22"/>
  <c r="AE25" i="22" s="1"/>
  <c r="AC8" i="23"/>
  <c r="AM9" i="23"/>
  <c r="AD11" i="23"/>
  <c r="AE11" i="23" s="1"/>
  <c r="AD22" i="23"/>
  <c r="AE22" i="23" s="1"/>
  <c r="AM26" i="23"/>
  <c r="AC27" i="20"/>
  <c r="AE19" i="18"/>
  <c r="AC7" i="19"/>
  <c r="AC11" i="19"/>
  <c r="AE25" i="18"/>
  <c r="AC12" i="19"/>
  <c r="AM13" i="19"/>
  <c r="AD15" i="19"/>
  <c r="AE15" i="19" s="1"/>
  <c r="AC23" i="19"/>
  <c r="AM24" i="19"/>
  <c r="AC18" i="20"/>
  <c r="AM19" i="20"/>
  <c r="AD21" i="20"/>
  <c r="AG21" i="20" s="1"/>
  <c r="AH21" i="20" s="1"/>
  <c r="AC6" i="21"/>
  <c r="AM9" i="21"/>
  <c r="AM15" i="21"/>
  <c r="AC18" i="22"/>
  <c r="AM19" i="22"/>
  <c r="AD21" i="22"/>
  <c r="AG21" i="22" s="1"/>
  <c r="AH21" i="22" s="1"/>
  <c r="AC6" i="23"/>
  <c r="AM15" i="23"/>
  <c r="AM21" i="23"/>
  <c r="AC9" i="19"/>
  <c r="AC8" i="18"/>
  <c r="AC8" i="19"/>
  <c r="AE15" i="18"/>
  <c r="AE17" i="18"/>
  <c r="AH20" i="18"/>
  <c r="AM21" i="19"/>
  <c r="AC12" i="20"/>
  <c r="AM25" i="20"/>
  <c r="AC7" i="21"/>
  <c r="AM8" i="21"/>
  <c r="AM14" i="21"/>
  <c r="AC19" i="21"/>
  <c r="AC22" i="21"/>
  <c r="AC28" i="21"/>
  <c r="AC12" i="22"/>
  <c r="AM25" i="22"/>
  <c r="AM11" i="23"/>
  <c r="AC13" i="23"/>
  <c r="AM14" i="23"/>
  <c r="AM20" i="23"/>
  <c r="AC25" i="23"/>
  <c r="AE26" i="23"/>
  <c r="AC28" i="23"/>
  <c r="AM20" i="20"/>
  <c r="AC21" i="20"/>
  <c r="AE13" i="18"/>
  <c r="AE23" i="18"/>
  <c r="AE28" i="18"/>
  <c r="AC6" i="19"/>
  <c r="AM15" i="19"/>
  <c r="AM20" i="19"/>
  <c r="AC23" i="20"/>
  <c r="AM24" i="20"/>
  <c r="AC29" i="20"/>
  <c r="AC13" i="21"/>
  <c r="AC14" i="21"/>
  <c r="AM21" i="22"/>
  <c r="AC23" i="22"/>
  <c r="AC29" i="22"/>
  <c r="AM10" i="23"/>
  <c r="AC19" i="23"/>
  <c r="AC20" i="23"/>
  <c r="AD19" i="19"/>
  <c r="AE19" i="19" s="1"/>
  <c r="AD13" i="19"/>
  <c r="AE13" i="19" s="1"/>
  <c r="AD20" i="20"/>
  <c r="AE20" i="20" s="1"/>
  <c r="AC20" i="20"/>
  <c r="AM25" i="19"/>
  <c r="AD19" i="20"/>
  <c r="AE19" i="20" s="1"/>
  <c r="AD26" i="20"/>
  <c r="AE26" i="20" s="1"/>
  <c r="AC26" i="20"/>
  <c r="AD10" i="21"/>
  <c r="AE10" i="21" s="1"/>
  <c r="AC10" i="21"/>
  <c r="AD26" i="22"/>
  <c r="AE26" i="22" s="1"/>
  <c r="AC26" i="22"/>
  <c r="AM8" i="23"/>
  <c r="AD16" i="23"/>
  <c r="AE16" i="23" s="1"/>
  <c r="AC16" i="23"/>
  <c r="AD20" i="19"/>
  <c r="AE20" i="19" s="1"/>
  <c r="AC20" i="19"/>
  <c r="AD26" i="19"/>
  <c r="AE26" i="19" s="1"/>
  <c r="AC26" i="19"/>
  <c r="AC29" i="18"/>
  <c r="AC18" i="18"/>
  <c r="AC16" i="18"/>
  <c r="AC14" i="18"/>
  <c r="AC22" i="18"/>
  <c r="AC20" i="18"/>
  <c r="AC24" i="18"/>
  <c r="AC13" i="18"/>
  <c r="AC11" i="18"/>
  <c r="AD8" i="19"/>
  <c r="AE8" i="19" s="1"/>
  <c r="AD23" i="19"/>
  <c r="AE23" i="19" s="1"/>
  <c r="AD29" i="19"/>
  <c r="AE29" i="19" s="1"/>
  <c r="AG6" i="20"/>
  <c r="AH6" i="20" s="1"/>
  <c r="AD14" i="19"/>
  <c r="AE14" i="19" s="1"/>
  <c r="AC14" i="19"/>
  <c r="AD7" i="19"/>
  <c r="AE7" i="19" s="1"/>
  <c r="AH10" i="18"/>
  <c r="AH21" i="18"/>
  <c r="AD20" i="21"/>
  <c r="AE20" i="21" s="1"/>
  <c r="AC20" i="21"/>
  <c r="AE11" i="18"/>
  <c r="AG11" i="18"/>
  <c r="AH11" i="18" s="1"/>
  <c r="AE8" i="18"/>
  <c r="AH24" i="18"/>
  <c r="AC10" i="18"/>
  <c r="AH14" i="18"/>
  <c r="AE21" i="18"/>
  <c r="AC6" i="18"/>
  <c r="AG7" i="18"/>
  <c r="AH7" i="18" s="1"/>
  <c r="AN8" i="18"/>
  <c r="AC12" i="18"/>
  <c r="AD10" i="20"/>
  <c r="AE10" i="20" s="1"/>
  <c r="AC10" i="20"/>
  <c r="AD19" i="21"/>
  <c r="AE19" i="21" s="1"/>
  <c r="AD26" i="21"/>
  <c r="AE26" i="21" s="1"/>
  <c r="AC26" i="21"/>
  <c r="AM28" i="22"/>
  <c r="AD10" i="22"/>
  <c r="AE10" i="22" s="1"/>
  <c r="AC10" i="22"/>
  <c r="AD19" i="22"/>
  <c r="AE19" i="22" s="1"/>
  <c r="AD9" i="23"/>
  <c r="AE9" i="23" s="1"/>
  <c r="AD25" i="23"/>
  <c r="AE25" i="23" s="1"/>
  <c r="AD13" i="20"/>
  <c r="AG13" i="20" s="1"/>
  <c r="AH13" i="20" s="1"/>
  <c r="AD29" i="20"/>
  <c r="AE29" i="20" s="1"/>
  <c r="AD13" i="21"/>
  <c r="AE13" i="21" s="1"/>
  <c r="AD29" i="21"/>
  <c r="AE29" i="21" s="1"/>
  <c r="AD13" i="22"/>
  <c r="AE13" i="22" s="1"/>
  <c r="AD29" i="22"/>
  <c r="AE29" i="22" s="1"/>
  <c r="AD19" i="23"/>
  <c r="AE19" i="23" s="1"/>
  <c r="AD7" i="20"/>
  <c r="AE7" i="20" s="1"/>
  <c r="AD23" i="20"/>
  <c r="AE23" i="20" s="1"/>
  <c r="AD7" i="21"/>
  <c r="AE7" i="21" s="1"/>
  <c r="AD23" i="21"/>
  <c r="AE23" i="21" s="1"/>
  <c r="AG6" i="22"/>
  <c r="AH6" i="22" s="1"/>
  <c r="AD7" i="22"/>
  <c r="AG7" i="22" s="1"/>
  <c r="AH7" i="22" s="1"/>
  <c r="AD23" i="22"/>
  <c r="AE23" i="22" s="1"/>
  <c r="AD13" i="23"/>
  <c r="AE13" i="23" s="1"/>
  <c r="AD29" i="23"/>
  <c r="AE29" i="23" s="1"/>
  <c r="AE10" i="18"/>
  <c r="AH12" i="18"/>
  <c r="AE26" i="18"/>
  <c r="AM6" i="19"/>
  <c r="AM7" i="19"/>
  <c r="AC10" i="19"/>
  <c r="AD11" i="19"/>
  <c r="AE11" i="19" s="1"/>
  <c r="AM12" i="19"/>
  <c r="AC16" i="19"/>
  <c r="AD17" i="19"/>
  <c r="AE17" i="19" s="1"/>
  <c r="AM18" i="19"/>
  <c r="AM29" i="19"/>
  <c r="AM13" i="20"/>
  <c r="AC16" i="20"/>
  <c r="AD17" i="20"/>
  <c r="AE17" i="20" s="1"/>
  <c r="AM18" i="20"/>
  <c r="AM13" i="21"/>
  <c r="AC16" i="21"/>
  <c r="AD17" i="21"/>
  <c r="AE17" i="21" s="1"/>
  <c r="AM18" i="21"/>
  <c r="AM13" i="22"/>
  <c r="AC16" i="22"/>
  <c r="AD17" i="22"/>
  <c r="AE17" i="22" s="1"/>
  <c r="AM18" i="22"/>
  <c r="AD7" i="23"/>
  <c r="AE7" i="23" s="1"/>
  <c r="AM19" i="23"/>
  <c r="AD23" i="23"/>
  <c r="AE23" i="23" s="1"/>
  <c r="AM24" i="23"/>
  <c r="AH16" i="18"/>
  <c r="AH18" i="18"/>
  <c r="AE24" i="18"/>
  <c r="AM23" i="19"/>
  <c r="AM28" i="19"/>
  <c r="AM6" i="20"/>
  <c r="AM7" i="20"/>
  <c r="AD11" i="20"/>
  <c r="AE11" i="20" s="1"/>
  <c r="AM12" i="20"/>
  <c r="AM23" i="20"/>
  <c r="AD27" i="20"/>
  <c r="AE27" i="20" s="1"/>
  <c r="AM6" i="21"/>
  <c r="AM7" i="21"/>
  <c r="AD11" i="21"/>
  <c r="AE11" i="21" s="1"/>
  <c r="AM12" i="21"/>
  <c r="AD27" i="21"/>
  <c r="AE27" i="21" s="1"/>
  <c r="AG28" i="21"/>
  <c r="AH28" i="21" s="1"/>
  <c r="AM6" i="22"/>
  <c r="AM7" i="22"/>
  <c r="AD11" i="22"/>
  <c r="AE11" i="22" s="1"/>
  <c r="AM12" i="22"/>
  <c r="AM23" i="22"/>
  <c r="AD27" i="22"/>
  <c r="AE27" i="22" s="1"/>
  <c r="AM13" i="23"/>
  <c r="AD17" i="23"/>
  <c r="AE17" i="23" s="1"/>
  <c r="AG18" i="23"/>
  <c r="AH18" i="23" s="1"/>
  <c r="AM18" i="23"/>
  <c r="AM29" i="23"/>
  <c r="AE12" i="18"/>
  <c r="AE20" i="18"/>
  <c r="AE22" i="18"/>
  <c r="AM11" i="19"/>
  <c r="AM17" i="19"/>
  <c r="AM22" i="19"/>
  <c r="AM17" i="20"/>
  <c r="AM22" i="20"/>
  <c r="AM17" i="21"/>
  <c r="AM22" i="21"/>
  <c r="AM17" i="22"/>
  <c r="AC20" i="22"/>
  <c r="AM22" i="22"/>
  <c r="AM6" i="23"/>
  <c r="AM7" i="23"/>
  <c r="AC10" i="23"/>
  <c r="AM12" i="23"/>
  <c r="AM23" i="23"/>
  <c r="AC26" i="23"/>
  <c r="AD27" i="23"/>
  <c r="AE27" i="23" s="1"/>
  <c r="AM28" i="23"/>
  <c r="AE14" i="18"/>
  <c r="AE16" i="18"/>
  <c r="AE18" i="18"/>
  <c r="AE27" i="18"/>
  <c r="AD9" i="19"/>
  <c r="AE9" i="19" s="1"/>
  <c r="AM10" i="19"/>
  <c r="AM16" i="19"/>
  <c r="AM27" i="19"/>
  <c r="AM11" i="20"/>
  <c r="AD15" i="20"/>
  <c r="AG15" i="20" s="1"/>
  <c r="AH15" i="20" s="1"/>
  <c r="AM16" i="20"/>
  <c r="AM11" i="21"/>
  <c r="AD15" i="21"/>
  <c r="AE15" i="21" s="1"/>
  <c r="AM16" i="21"/>
  <c r="AM11" i="22"/>
  <c r="AD15" i="22"/>
  <c r="AE15" i="22" s="1"/>
  <c r="AM16" i="22"/>
  <c r="AM17" i="23"/>
  <c r="AD21" i="23"/>
  <c r="AE21" i="23" s="1"/>
  <c r="AM22" i="23"/>
  <c r="AG8" i="18"/>
  <c r="AH8" i="18" s="1"/>
  <c r="AG6" i="18"/>
  <c r="AH6" i="18" s="1"/>
  <c r="AG13" i="18"/>
  <c r="AH13" i="18" s="1"/>
  <c r="AG25" i="18"/>
  <c r="AH25" i="18" s="1"/>
  <c r="AM27" i="22"/>
  <c r="AM29" i="22"/>
  <c r="AM21" i="21"/>
  <c r="AM23" i="21"/>
  <c r="AM25" i="21"/>
  <c r="AM27" i="21"/>
  <c r="AM29" i="21"/>
  <c r="AM9" i="20"/>
  <c r="AM15" i="20"/>
  <c r="AM21" i="20"/>
  <c r="AM27" i="20"/>
  <c r="AM29" i="20"/>
  <c r="AG15" i="18"/>
  <c r="AH15" i="18" s="1"/>
  <c r="AG19" i="18"/>
  <c r="AH19" i="18" s="1"/>
  <c r="AG23" i="18"/>
  <c r="AH23" i="18" s="1"/>
  <c r="AG9" i="18"/>
  <c r="AH9" i="18" s="1"/>
  <c r="AG27" i="18"/>
  <c r="AH27" i="18" s="1"/>
  <c r="AE29" i="18"/>
  <c r="AG29" i="18"/>
  <c r="AH29" i="18" s="1"/>
  <c r="AN24" i="18"/>
  <c r="AC15" i="18"/>
  <c r="AC17" i="18"/>
  <c r="AC19" i="18"/>
  <c r="AC21" i="18"/>
  <c r="AC23" i="18"/>
  <c r="AC25" i="18"/>
  <c r="AC27" i="18"/>
  <c r="AM27" i="18"/>
  <c r="AN27" i="18" s="1"/>
  <c r="AN11" i="18" l="1"/>
  <c r="AN20" i="18"/>
  <c r="AN29" i="18"/>
  <c r="AN15" i="18"/>
  <c r="AN28" i="18"/>
  <c r="AN19" i="18"/>
  <c r="AN10" i="18"/>
  <c r="AN12" i="18"/>
  <c r="AN17" i="18"/>
  <c r="AN18" i="18"/>
  <c r="AN21" i="18"/>
  <c r="AN7" i="18"/>
  <c r="AN26" i="18"/>
  <c r="AN25" i="18"/>
  <c r="AE28" i="23"/>
  <c r="AF28" i="23" s="1"/>
  <c r="AF28" i="18"/>
  <c r="AF22" i="18"/>
  <c r="AF29" i="18"/>
  <c r="AG24" i="23"/>
  <c r="AH24" i="23" s="1"/>
  <c r="AF28" i="21"/>
  <c r="AF12" i="18"/>
  <c r="AF18" i="18"/>
  <c r="AF11" i="18"/>
  <c r="AF27" i="18"/>
  <c r="AF13" i="18"/>
  <c r="AF16" i="18"/>
  <c r="AG6" i="21"/>
  <c r="AH6" i="21" s="1"/>
  <c r="AI21" i="21" s="1"/>
  <c r="AG12" i="19"/>
  <c r="AH12" i="19" s="1"/>
  <c r="AF20" i="18"/>
  <c r="AG12" i="21"/>
  <c r="AH12" i="21" s="1"/>
  <c r="AG20" i="23"/>
  <c r="AH20" i="23" s="1"/>
  <c r="AF24" i="21"/>
  <c r="AN10" i="23"/>
  <c r="AF22" i="22"/>
  <c r="AF21" i="18"/>
  <c r="AN7" i="21"/>
  <c r="AF15" i="18"/>
  <c r="AF19" i="18"/>
  <c r="AG23" i="20"/>
  <c r="AH23" i="20" s="1"/>
  <c r="AI23" i="20" s="1"/>
  <c r="AF24" i="18"/>
  <c r="AE22" i="21"/>
  <c r="AF22" i="21" s="1"/>
  <c r="AG18" i="21"/>
  <c r="AH18" i="21" s="1"/>
  <c r="AG24" i="21"/>
  <c r="AH24" i="21" s="1"/>
  <c r="AI24" i="21" s="1"/>
  <c r="AG22" i="22"/>
  <c r="AH22" i="22" s="1"/>
  <c r="AI22" i="22" s="1"/>
  <c r="AI28" i="18"/>
  <c r="AF10" i="18"/>
  <c r="AF10" i="21"/>
  <c r="AF26" i="21"/>
  <c r="AF14" i="21"/>
  <c r="AF25" i="21"/>
  <c r="AF10" i="23"/>
  <c r="AN28" i="21"/>
  <c r="AG14" i="23"/>
  <c r="AH14" i="23" s="1"/>
  <c r="AG22" i="23"/>
  <c r="AH22" i="23" s="1"/>
  <c r="AF8" i="20"/>
  <c r="AG18" i="20"/>
  <c r="AH18" i="20" s="1"/>
  <c r="AI18" i="20" s="1"/>
  <c r="AG18" i="19"/>
  <c r="AH18" i="19" s="1"/>
  <c r="AN7" i="19"/>
  <c r="AG6" i="23"/>
  <c r="AH6" i="23" s="1"/>
  <c r="AF29" i="20"/>
  <c r="AF19" i="23"/>
  <c r="AF23" i="21"/>
  <c r="AF19" i="21"/>
  <c r="AF20" i="21"/>
  <c r="AF17" i="21"/>
  <c r="AF13" i="23"/>
  <c r="AF7" i="21"/>
  <c r="AG14" i="22"/>
  <c r="AH14" i="22" s="1"/>
  <c r="AI14" i="22" s="1"/>
  <c r="AF27" i="23"/>
  <c r="AG12" i="22"/>
  <c r="AH12" i="22" s="1"/>
  <c r="AI12" i="22" s="1"/>
  <c r="AF17" i="20"/>
  <c r="AI15" i="18"/>
  <c r="AF17" i="19"/>
  <c r="AF29" i="21"/>
  <c r="AF16" i="21"/>
  <c r="AF9" i="21"/>
  <c r="AI9" i="20"/>
  <c r="AI11" i="18"/>
  <c r="AG28" i="20"/>
  <c r="AH28" i="20" s="1"/>
  <c r="AI28" i="20" s="1"/>
  <c r="AF12" i="21"/>
  <c r="AF15" i="21"/>
  <c r="AF21" i="23"/>
  <c r="AG22" i="19"/>
  <c r="AH22" i="19" s="1"/>
  <c r="AF11" i="21"/>
  <c r="AG8" i="22"/>
  <c r="AH8" i="22" s="1"/>
  <c r="AI8" i="22" s="1"/>
  <c r="AG8" i="20"/>
  <c r="AH8" i="20" s="1"/>
  <c r="AI8" i="20" s="1"/>
  <c r="AF26" i="19"/>
  <c r="AF25" i="20"/>
  <c r="AF7" i="18"/>
  <c r="AF8" i="21"/>
  <c r="AF16" i="23"/>
  <c r="AE9" i="20"/>
  <c r="AF9" i="20" s="1"/>
  <c r="AF23" i="18"/>
  <c r="AF25" i="18"/>
  <c r="AF12" i="22"/>
  <c r="AG28" i="22"/>
  <c r="AH28" i="22" s="1"/>
  <c r="AI28" i="22" s="1"/>
  <c r="AN26" i="19"/>
  <c r="AG24" i="22"/>
  <c r="AH24" i="22" s="1"/>
  <c r="AI24" i="22" s="1"/>
  <c r="AF22" i="23"/>
  <c r="AF28" i="19"/>
  <c r="AF18" i="19"/>
  <c r="AG8" i="23"/>
  <c r="AH8" i="23" s="1"/>
  <c r="AF26" i="18"/>
  <c r="AG6" i="19"/>
  <c r="AH6" i="19" s="1"/>
  <c r="AF14" i="23"/>
  <c r="AE15" i="20"/>
  <c r="AF15" i="20" s="1"/>
  <c r="AF14" i="18"/>
  <c r="AF27" i="21"/>
  <c r="AF13" i="21"/>
  <c r="AF10" i="22"/>
  <c r="AF8" i="18"/>
  <c r="AF7" i="19"/>
  <c r="AF17" i="18"/>
  <c r="AF9" i="18"/>
  <c r="AF12" i="19"/>
  <c r="AF18" i="21"/>
  <c r="AF8" i="23"/>
  <c r="AG13" i="21"/>
  <c r="AH13" i="21" s="1"/>
  <c r="AG8" i="21"/>
  <c r="AH8" i="21" s="1"/>
  <c r="AN10" i="22"/>
  <c r="AF29" i="19"/>
  <c r="AF25" i="23"/>
  <c r="AG9" i="22"/>
  <c r="AH9" i="22" s="1"/>
  <c r="AI9" i="22" s="1"/>
  <c r="AF23" i="23"/>
  <c r="AG24" i="19"/>
  <c r="AH24" i="19" s="1"/>
  <c r="AF19" i="19"/>
  <c r="AI21" i="20"/>
  <c r="AG14" i="20"/>
  <c r="AH14" i="20" s="1"/>
  <c r="AI14" i="20" s="1"/>
  <c r="AE21" i="21"/>
  <c r="AF21" i="21" s="1"/>
  <c r="AI15" i="20"/>
  <c r="AG15" i="23"/>
  <c r="AH15" i="23" s="1"/>
  <c r="AF17" i="23"/>
  <c r="AN21" i="22"/>
  <c r="AN13" i="21"/>
  <c r="AF26" i="20"/>
  <c r="AF26" i="23"/>
  <c r="AN26" i="21"/>
  <c r="AF24" i="23"/>
  <c r="AF16" i="22"/>
  <c r="AF24" i="19"/>
  <c r="AN22" i="21"/>
  <c r="AF20" i="23"/>
  <c r="AN14" i="20"/>
  <c r="AG18" i="22"/>
  <c r="AH18" i="22" s="1"/>
  <c r="AI18" i="22" s="1"/>
  <c r="AG24" i="20"/>
  <c r="AH24" i="20" s="1"/>
  <c r="AI24" i="20" s="1"/>
  <c r="AF13" i="22"/>
  <c r="AG10" i="23"/>
  <c r="AH10" i="23" s="1"/>
  <c r="AF11" i="23"/>
  <c r="AN20" i="21"/>
  <c r="AF16" i="19"/>
  <c r="AF16" i="20"/>
  <c r="AF8" i="22"/>
  <c r="AF12" i="20"/>
  <c r="AN12" i="22"/>
  <c r="AG22" i="20"/>
  <c r="AH22" i="20" s="1"/>
  <c r="AI22" i="20" s="1"/>
  <c r="AE21" i="19"/>
  <c r="AF21" i="19" s="1"/>
  <c r="AF9" i="23"/>
  <c r="AF18" i="23"/>
  <c r="AN24" i="21"/>
  <c r="AE20" i="22"/>
  <c r="AF20" i="22" s="1"/>
  <c r="AF12" i="23"/>
  <c r="AF14" i="20"/>
  <c r="AI10" i="18"/>
  <c r="AF27" i="20"/>
  <c r="AN29" i="21"/>
  <c r="AF18" i="20"/>
  <c r="AN27" i="21"/>
  <c r="AN7" i="22"/>
  <c r="AF7" i="23"/>
  <c r="AF29" i="23"/>
  <c r="AF13" i="19"/>
  <c r="AF15" i="19"/>
  <c r="AF15" i="23"/>
  <c r="AN17" i="20"/>
  <c r="AN15" i="20"/>
  <c r="AG28" i="19"/>
  <c r="AH28" i="19" s="1"/>
  <c r="AF14" i="19"/>
  <c r="AF25" i="19"/>
  <c r="AE27" i="19"/>
  <c r="AF27" i="19" s="1"/>
  <c r="AF19" i="20"/>
  <c r="AF22" i="19"/>
  <c r="AF10" i="19"/>
  <c r="AN28" i="19"/>
  <c r="AN16" i="20"/>
  <c r="AF22" i="20"/>
  <c r="AF11" i="19"/>
  <c r="AG16" i="22"/>
  <c r="AH16" i="22" s="1"/>
  <c r="AI16" i="22" s="1"/>
  <c r="AG12" i="23"/>
  <c r="AH12" i="23" s="1"/>
  <c r="AG15" i="19"/>
  <c r="AH15" i="19" s="1"/>
  <c r="AN29" i="19"/>
  <c r="AF23" i="20"/>
  <c r="AN12" i="19"/>
  <c r="AG16" i="19"/>
  <c r="AH16" i="19" s="1"/>
  <c r="AF24" i="20"/>
  <c r="AG11" i="23"/>
  <c r="AH11" i="23" s="1"/>
  <c r="AE21" i="22"/>
  <c r="AF21" i="22" s="1"/>
  <c r="AF11" i="20"/>
  <c r="AF28" i="20"/>
  <c r="AN11" i="19"/>
  <c r="AN9" i="20"/>
  <c r="AG16" i="20"/>
  <c r="AH16" i="20" s="1"/>
  <c r="AI16" i="20" s="1"/>
  <c r="AG25" i="20"/>
  <c r="AH25" i="20" s="1"/>
  <c r="AI25" i="20" s="1"/>
  <c r="AF9" i="19"/>
  <c r="AN22" i="20"/>
  <c r="AN7" i="20"/>
  <c r="AN18" i="19"/>
  <c r="AF7" i="20"/>
  <c r="AF10" i="20"/>
  <c r="AF8" i="19"/>
  <c r="AF20" i="20"/>
  <c r="AG11" i="19"/>
  <c r="AH11" i="19" s="1"/>
  <c r="AG29" i="23"/>
  <c r="AH29" i="23" s="1"/>
  <c r="AN26" i="20"/>
  <c r="AN23" i="20"/>
  <c r="AG14" i="21"/>
  <c r="AH14" i="21" s="1"/>
  <c r="AG25" i="21"/>
  <c r="AH25" i="21" s="1"/>
  <c r="AE7" i="22"/>
  <c r="AF7" i="22" s="1"/>
  <c r="AI18" i="18"/>
  <c r="AN28" i="20"/>
  <c r="AG10" i="19"/>
  <c r="AH10" i="19" s="1"/>
  <c r="AN13" i="19"/>
  <c r="AN12" i="20"/>
  <c r="AG29" i="21"/>
  <c r="AH29" i="21" s="1"/>
  <c r="AN22" i="19"/>
  <c r="AN10" i="21"/>
  <c r="AG12" i="20"/>
  <c r="AH12" i="20" s="1"/>
  <c r="AI12" i="20" s="1"/>
  <c r="AI13" i="20"/>
  <c r="AF23" i="19"/>
  <c r="AF20" i="19"/>
  <c r="AG26" i="19"/>
  <c r="AH26" i="19" s="1"/>
  <c r="AN21" i="19"/>
  <c r="AF9" i="22"/>
  <c r="AF18" i="22"/>
  <c r="AF27" i="22"/>
  <c r="AG20" i="21"/>
  <c r="AH20" i="21" s="1"/>
  <c r="AN23" i="22"/>
  <c r="AN14" i="21"/>
  <c r="AN20" i="19"/>
  <c r="AF25" i="22"/>
  <c r="AF11" i="22"/>
  <c r="AN23" i="23"/>
  <c r="AN17" i="22"/>
  <c r="AN17" i="21"/>
  <c r="AF26" i="22"/>
  <c r="AF28" i="22"/>
  <c r="AF24" i="22"/>
  <c r="AN16" i="19"/>
  <c r="AE21" i="20"/>
  <c r="AF21" i="20" s="1"/>
  <c r="AF17" i="22"/>
  <c r="AN18" i="21"/>
  <c r="AN24" i="22"/>
  <c r="AN14" i="19"/>
  <c r="AG25" i="22"/>
  <c r="AH25" i="22" s="1"/>
  <c r="AI25" i="22" s="1"/>
  <c r="AF29" i="22"/>
  <c r="AG17" i="20"/>
  <c r="AH17" i="20" s="1"/>
  <c r="AI17" i="20" s="1"/>
  <c r="AG19" i="20"/>
  <c r="AH19" i="20" s="1"/>
  <c r="AI19" i="20" s="1"/>
  <c r="AN22" i="23"/>
  <c r="AE13" i="20"/>
  <c r="AF13" i="20" s="1"/>
  <c r="AN23" i="21"/>
  <c r="AF23" i="22"/>
  <c r="AF19" i="22"/>
  <c r="AG16" i="21"/>
  <c r="AH16" i="21" s="1"/>
  <c r="AG11" i="20"/>
  <c r="AH11" i="20" s="1"/>
  <c r="AI11" i="20" s="1"/>
  <c r="AN23" i="19"/>
  <c r="AN26" i="22"/>
  <c r="AN17" i="19"/>
  <c r="AN21" i="21"/>
  <c r="AN17" i="23"/>
  <c r="AF15" i="22"/>
  <c r="AN9" i="21"/>
  <c r="AF14" i="22"/>
  <c r="AG25" i="19"/>
  <c r="AH25" i="19" s="1"/>
  <c r="AN11" i="21"/>
  <c r="AN10" i="19"/>
  <c r="AN28" i="23"/>
  <c r="AN12" i="21"/>
  <c r="AG29" i="22"/>
  <c r="AH29" i="22" s="1"/>
  <c r="AI29" i="22" s="1"/>
  <c r="AG20" i="19"/>
  <c r="AH20" i="19" s="1"/>
  <c r="AG9" i="21"/>
  <c r="AH9" i="21" s="1"/>
  <c r="AN20" i="20"/>
  <c r="AG7" i="23"/>
  <c r="AH7" i="23" s="1"/>
  <c r="AG17" i="22"/>
  <c r="AH17" i="22" s="1"/>
  <c r="AI17" i="22" s="1"/>
  <c r="AN13" i="20"/>
  <c r="AG17" i="19"/>
  <c r="AH17" i="19" s="1"/>
  <c r="AN14" i="23"/>
  <c r="AN20" i="23"/>
  <c r="AN14" i="22"/>
  <c r="AN26" i="23"/>
  <c r="AG9" i="23"/>
  <c r="AH9" i="23" s="1"/>
  <c r="AG8" i="19"/>
  <c r="AH8" i="19" s="1"/>
  <c r="AG26" i="20"/>
  <c r="AH26" i="20" s="1"/>
  <c r="AI26" i="20" s="1"/>
  <c r="AG27" i="22"/>
  <c r="AH27" i="22" s="1"/>
  <c r="AI27" i="22" s="1"/>
  <c r="AN25" i="23"/>
  <c r="AN25" i="22"/>
  <c r="AG15" i="21"/>
  <c r="AH15" i="21" s="1"/>
  <c r="AN13" i="23"/>
  <c r="AG11" i="21"/>
  <c r="AH11" i="21" s="1"/>
  <c r="AG23" i="22"/>
  <c r="AH23" i="22" s="1"/>
  <c r="AI23" i="22" s="1"/>
  <c r="AN24" i="20"/>
  <c r="AN20" i="22"/>
  <c r="AG10" i="22"/>
  <c r="AH10" i="22" s="1"/>
  <c r="AI10" i="22" s="1"/>
  <c r="AG10" i="20"/>
  <c r="AH10" i="20" s="1"/>
  <c r="AI10" i="20" s="1"/>
  <c r="AN9" i="19"/>
  <c r="AN15" i="19"/>
  <c r="AN10" i="20"/>
  <c r="AN27" i="23"/>
  <c r="AG26" i="22"/>
  <c r="AH26" i="22" s="1"/>
  <c r="AI26" i="22" s="1"/>
  <c r="AG20" i="20"/>
  <c r="AH20" i="20" s="1"/>
  <c r="AI20" i="20" s="1"/>
  <c r="AN22" i="22"/>
  <c r="AN12" i="23"/>
  <c r="AI26" i="18"/>
  <c r="AG27" i="21"/>
  <c r="AH27" i="21" s="1"/>
  <c r="AG23" i="23"/>
  <c r="AH23" i="23" s="1"/>
  <c r="AN13" i="22"/>
  <c r="AN19" i="22"/>
  <c r="AG23" i="21"/>
  <c r="AH23" i="21" s="1"/>
  <c r="AI20" i="22"/>
  <c r="AN15" i="21"/>
  <c r="AN24" i="19"/>
  <c r="AG7" i="20"/>
  <c r="AH7" i="20" s="1"/>
  <c r="AI7" i="20" s="1"/>
  <c r="AG7" i="21"/>
  <c r="AH7" i="21" s="1"/>
  <c r="AI24" i="18"/>
  <c r="AN28" i="22"/>
  <c r="AI20" i="18"/>
  <c r="AG23" i="19"/>
  <c r="AH23" i="19" s="1"/>
  <c r="AG19" i="21"/>
  <c r="AH19" i="21" s="1"/>
  <c r="AN18" i="22"/>
  <c r="AI25" i="18"/>
  <c r="AN27" i="19"/>
  <c r="AN19" i="23"/>
  <c r="AG17" i="21"/>
  <c r="AH17" i="21" s="1"/>
  <c r="AN18" i="20"/>
  <c r="AG13" i="23"/>
  <c r="AH13" i="23" s="1"/>
  <c r="AN8" i="22"/>
  <c r="AN19" i="21"/>
  <c r="AG19" i="23"/>
  <c r="AH19" i="23" s="1"/>
  <c r="AG13" i="22"/>
  <c r="AH13" i="22" s="1"/>
  <c r="AI13" i="22" s="1"/>
  <c r="AG29" i="20"/>
  <c r="AH29" i="20" s="1"/>
  <c r="AI29" i="20" s="1"/>
  <c r="AG25" i="23"/>
  <c r="AH25" i="23" s="1"/>
  <c r="AN8" i="19"/>
  <c r="AN11" i="23"/>
  <c r="AG14" i="19"/>
  <c r="AH14" i="19" s="1"/>
  <c r="AN25" i="19"/>
  <c r="AN8" i="23"/>
  <c r="AI29" i="18"/>
  <c r="AN29" i="23"/>
  <c r="AN24" i="23"/>
  <c r="AI7" i="18"/>
  <c r="AN11" i="22"/>
  <c r="AI14" i="18"/>
  <c r="AI23" i="18"/>
  <c r="AN27" i="20"/>
  <c r="AN29" i="22"/>
  <c r="AI21" i="22"/>
  <c r="AN16" i="22"/>
  <c r="AG27" i="23"/>
  <c r="AH27" i="23" s="1"/>
  <c r="AN9" i="23"/>
  <c r="AN8" i="21"/>
  <c r="AN19" i="20"/>
  <c r="AN15" i="23"/>
  <c r="AN9" i="22"/>
  <c r="AN25" i="20"/>
  <c r="AN21" i="23"/>
  <c r="AG19" i="22"/>
  <c r="AH19" i="22" s="1"/>
  <c r="AI19" i="22" s="1"/>
  <c r="AN16" i="23"/>
  <c r="AG19" i="19"/>
  <c r="AH19" i="19" s="1"/>
  <c r="AG16" i="23"/>
  <c r="AH16" i="23" s="1"/>
  <c r="AG10" i="21"/>
  <c r="AH10" i="21" s="1"/>
  <c r="AN19" i="19"/>
  <c r="AI8" i="18"/>
  <c r="AG15" i="22"/>
  <c r="AH15" i="22" s="1"/>
  <c r="AI15" i="22" s="1"/>
  <c r="AG27" i="20"/>
  <c r="AH27" i="20" s="1"/>
  <c r="AI27" i="20" s="1"/>
  <c r="AG17" i="23"/>
  <c r="AH17" i="23" s="1"/>
  <c r="AI22" i="18"/>
  <c r="AN11" i="20"/>
  <c r="AI9" i="18"/>
  <c r="AN29" i="20"/>
  <c r="AI12" i="18"/>
  <c r="AI21" i="18"/>
  <c r="AI19" i="18"/>
  <c r="AG9" i="19"/>
  <c r="AH9" i="19" s="1"/>
  <c r="AN21" i="20"/>
  <c r="AN25" i="21"/>
  <c r="AN27" i="22"/>
  <c r="AI7" i="22"/>
  <c r="AN7" i="23"/>
  <c r="AI13" i="18"/>
  <c r="AG21" i="23"/>
  <c r="AH21" i="23" s="1"/>
  <c r="AN16" i="21"/>
  <c r="AN18" i="23"/>
  <c r="AG11" i="22"/>
  <c r="AH11" i="22" s="1"/>
  <c r="AI11" i="22" s="1"/>
  <c r="AN8" i="20"/>
  <c r="AN15" i="22"/>
  <c r="AG26" i="21"/>
  <c r="AH26" i="21" s="1"/>
  <c r="AG29" i="19"/>
  <c r="AH29" i="19" s="1"/>
  <c r="AG7" i="19"/>
  <c r="AH7" i="19" s="1"/>
  <c r="AG13" i="19"/>
  <c r="AH13" i="19" s="1"/>
  <c r="AI17" i="18"/>
  <c r="AI16" i="18"/>
  <c r="AI27" i="18"/>
  <c r="AF6" i="3"/>
  <c r="AI24" i="23" l="1"/>
  <c r="AI16" i="21"/>
  <c r="AI14" i="21"/>
  <c r="AI13" i="23"/>
  <c r="AI21" i="23"/>
  <c r="AI27" i="23"/>
  <c r="AI26" i="21"/>
  <c r="AI17" i="21"/>
  <c r="AI18" i="21"/>
  <c r="AI12" i="21"/>
  <c r="AI8" i="21"/>
  <c r="AI20" i="21"/>
  <c r="AI22" i="21"/>
  <c r="AI13" i="21"/>
  <c r="AI10" i="21"/>
  <c r="AI7" i="21"/>
  <c r="AI11" i="21"/>
  <c r="AI28" i="21"/>
  <c r="AI8" i="23"/>
  <c r="AI27" i="21"/>
  <c r="AI23" i="21"/>
  <c r="AI19" i="21"/>
  <c r="AI15" i="21"/>
  <c r="AI9" i="21"/>
  <c r="AI29" i="21"/>
  <c r="AI25" i="21"/>
  <c r="AI10" i="23"/>
  <c r="AI15" i="23"/>
  <c r="AI20" i="23"/>
  <c r="AI7" i="23"/>
  <c r="AI19" i="23"/>
  <c r="AI23" i="23"/>
  <c r="AI9" i="23"/>
  <c r="AI22" i="23"/>
  <c r="AI14" i="23"/>
  <c r="AI17" i="23"/>
  <c r="AI24" i="19"/>
  <c r="AI11" i="23"/>
  <c r="AI12" i="23"/>
  <c r="AI28" i="23"/>
  <c r="AI26" i="23"/>
  <c r="AI18" i="23"/>
  <c r="AI25" i="23"/>
  <c r="AI16" i="23"/>
  <c r="AI29" i="23"/>
  <c r="AI19" i="19"/>
  <c r="AI9" i="19"/>
  <c r="AI8" i="19"/>
  <c r="AI13" i="19"/>
  <c r="AI12" i="19"/>
  <c r="AI7" i="19"/>
  <c r="AI28" i="19"/>
  <c r="AI18" i="19"/>
  <c r="AI15" i="19"/>
  <c r="AI26" i="19"/>
  <c r="AI14" i="19"/>
  <c r="AI27" i="19"/>
  <c r="AI22" i="19"/>
  <c r="AI21" i="19"/>
  <c r="AI23" i="19"/>
  <c r="AI20" i="19"/>
  <c r="AI16" i="19"/>
  <c r="AI11" i="19"/>
  <c r="AI29" i="19"/>
  <c r="AI25" i="19"/>
  <c r="AI17" i="19"/>
  <c r="AI10" i="19"/>
  <c r="V7" i="3"/>
  <c r="W7" i="3"/>
  <c r="X7" i="3"/>
  <c r="Y7" i="3"/>
  <c r="Z7" i="3"/>
  <c r="AA7" i="3"/>
  <c r="AB7" i="3"/>
  <c r="V8" i="3"/>
  <c r="W8" i="3"/>
  <c r="X8" i="3"/>
  <c r="Y8" i="3"/>
  <c r="Z8" i="3"/>
  <c r="AA8" i="3"/>
  <c r="AB8" i="3"/>
  <c r="V9" i="3"/>
  <c r="W9" i="3"/>
  <c r="X9" i="3"/>
  <c r="Y9" i="3"/>
  <c r="Z9" i="3"/>
  <c r="AA9" i="3"/>
  <c r="AB9" i="3"/>
  <c r="V10" i="3"/>
  <c r="W10" i="3"/>
  <c r="X10" i="3"/>
  <c r="Y10" i="3"/>
  <c r="Z10" i="3"/>
  <c r="AA10" i="3"/>
  <c r="AB10" i="3"/>
  <c r="V11" i="3"/>
  <c r="W11" i="3"/>
  <c r="X11" i="3"/>
  <c r="Y11" i="3"/>
  <c r="Z11" i="3"/>
  <c r="AA11" i="3"/>
  <c r="AB11" i="3"/>
  <c r="V12" i="3"/>
  <c r="W12" i="3"/>
  <c r="X12" i="3"/>
  <c r="Y12" i="3"/>
  <c r="Z12" i="3"/>
  <c r="AA12" i="3"/>
  <c r="AB12" i="3"/>
  <c r="V13" i="3"/>
  <c r="W13" i="3"/>
  <c r="X13" i="3"/>
  <c r="Y13" i="3"/>
  <c r="Z13" i="3"/>
  <c r="AA13" i="3"/>
  <c r="AB13" i="3"/>
  <c r="V14" i="3"/>
  <c r="W14" i="3"/>
  <c r="X14" i="3"/>
  <c r="Y14" i="3"/>
  <c r="Z14" i="3"/>
  <c r="AA14" i="3"/>
  <c r="AB14" i="3"/>
  <c r="V15" i="3"/>
  <c r="W15" i="3"/>
  <c r="X15" i="3"/>
  <c r="Y15" i="3"/>
  <c r="Z15" i="3"/>
  <c r="AQ15" i="3" s="1"/>
  <c r="AA15" i="3"/>
  <c r="AB15" i="3"/>
  <c r="V16" i="3"/>
  <c r="W16" i="3"/>
  <c r="X16" i="3"/>
  <c r="Y16" i="3"/>
  <c r="Z16" i="3"/>
  <c r="AA16" i="3"/>
  <c r="AB16" i="3"/>
  <c r="V17" i="3"/>
  <c r="W17" i="3"/>
  <c r="X17" i="3"/>
  <c r="Y17" i="3"/>
  <c r="Z17" i="3"/>
  <c r="AQ17" i="3" s="1"/>
  <c r="AA17" i="3"/>
  <c r="AB17" i="3"/>
  <c r="V18" i="3"/>
  <c r="W18" i="3"/>
  <c r="X18" i="3"/>
  <c r="Y18" i="3"/>
  <c r="Z18" i="3"/>
  <c r="AA18" i="3"/>
  <c r="AB18" i="3"/>
  <c r="V19" i="3"/>
  <c r="W19" i="3"/>
  <c r="X19" i="3"/>
  <c r="Y19" i="3"/>
  <c r="Z19" i="3"/>
  <c r="AA19" i="3"/>
  <c r="AB19" i="3"/>
  <c r="V20" i="3"/>
  <c r="W20" i="3"/>
  <c r="X20" i="3"/>
  <c r="Y20" i="3"/>
  <c r="Z20" i="3"/>
  <c r="AA20" i="3"/>
  <c r="AB20" i="3"/>
  <c r="V21" i="3"/>
  <c r="W21" i="3"/>
  <c r="X21" i="3"/>
  <c r="Y21" i="3"/>
  <c r="Z21" i="3"/>
  <c r="AA21" i="3"/>
  <c r="AB21" i="3"/>
  <c r="V22" i="3"/>
  <c r="W22" i="3"/>
  <c r="X22" i="3"/>
  <c r="Y22" i="3"/>
  <c r="Z22" i="3"/>
  <c r="AA22" i="3"/>
  <c r="AB22" i="3"/>
  <c r="V23" i="3"/>
  <c r="W23" i="3"/>
  <c r="X23" i="3"/>
  <c r="Y23" i="3"/>
  <c r="Z23" i="3"/>
  <c r="AA23" i="3"/>
  <c r="AB23" i="3"/>
  <c r="V24" i="3"/>
  <c r="W24" i="3"/>
  <c r="X24" i="3"/>
  <c r="Y24" i="3"/>
  <c r="Z24" i="3"/>
  <c r="AP25" i="3" s="1"/>
  <c r="AR25" i="3" s="1"/>
  <c r="AA24" i="3"/>
  <c r="AB24" i="3"/>
  <c r="V25" i="3"/>
  <c r="W25" i="3"/>
  <c r="X25" i="3"/>
  <c r="Y25" i="3"/>
  <c r="Z25" i="3"/>
  <c r="AQ25" i="3" s="1"/>
  <c r="AA25" i="3"/>
  <c r="AB25" i="3"/>
  <c r="V26" i="3"/>
  <c r="W26" i="3"/>
  <c r="X26" i="3"/>
  <c r="Y26" i="3"/>
  <c r="Z26" i="3"/>
  <c r="AP27" i="3" s="1"/>
  <c r="AA26" i="3"/>
  <c r="AB26" i="3"/>
  <c r="V27" i="3"/>
  <c r="W27" i="3"/>
  <c r="X27" i="3"/>
  <c r="Y27" i="3"/>
  <c r="Z27" i="3"/>
  <c r="AQ27" i="3" s="1"/>
  <c r="AA27" i="3"/>
  <c r="AB27" i="3"/>
  <c r="V28" i="3"/>
  <c r="W28" i="3"/>
  <c r="X28" i="3"/>
  <c r="Y28" i="3"/>
  <c r="Z28" i="3"/>
  <c r="AP29" i="3" s="1"/>
  <c r="AA28" i="3"/>
  <c r="AB28" i="3"/>
  <c r="V29" i="3"/>
  <c r="W29" i="3"/>
  <c r="X29" i="3"/>
  <c r="Y29" i="3"/>
  <c r="Z29" i="3"/>
  <c r="AA29" i="3"/>
  <c r="AB29" i="3"/>
  <c r="W6" i="3"/>
  <c r="X6" i="3"/>
  <c r="Y6" i="3"/>
  <c r="Z6" i="3"/>
  <c r="AA6" i="3"/>
  <c r="AB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Q14" i="3"/>
  <c r="R14" i="3"/>
  <c r="S14" i="3"/>
  <c r="T14" i="3"/>
  <c r="U14" i="3"/>
  <c r="Q15" i="3"/>
  <c r="R15" i="3"/>
  <c r="S15" i="3"/>
  <c r="T15" i="3"/>
  <c r="U15" i="3"/>
  <c r="Q16" i="3"/>
  <c r="R16" i="3"/>
  <c r="S16" i="3"/>
  <c r="T16" i="3"/>
  <c r="U16" i="3"/>
  <c r="Q17" i="3"/>
  <c r="R17" i="3"/>
  <c r="S17" i="3"/>
  <c r="T17" i="3"/>
  <c r="U17" i="3"/>
  <c r="Q18" i="3"/>
  <c r="R18" i="3"/>
  <c r="S18" i="3"/>
  <c r="T18" i="3"/>
  <c r="U18" i="3"/>
  <c r="Q19" i="3"/>
  <c r="R19" i="3"/>
  <c r="S19" i="3"/>
  <c r="T19" i="3"/>
  <c r="U19" i="3"/>
  <c r="Q20" i="3"/>
  <c r="R20" i="3"/>
  <c r="S20" i="3"/>
  <c r="T20" i="3"/>
  <c r="U20" i="3"/>
  <c r="Q21" i="3"/>
  <c r="R21" i="3"/>
  <c r="S21" i="3"/>
  <c r="T21" i="3"/>
  <c r="U21" i="3"/>
  <c r="Q22" i="3"/>
  <c r="R22" i="3"/>
  <c r="S22" i="3"/>
  <c r="T22" i="3"/>
  <c r="U22" i="3"/>
  <c r="Q23" i="3"/>
  <c r="R23" i="3"/>
  <c r="S23" i="3"/>
  <c r="T23" i="3"/>
  <c r="U23" i="3"/>
  <c r="Q24" i="3"/>
  <c r="R24" i="3"/>
  <c r="S24" i="3"/>
  <c r="T24" i="3"/>
  <c r="U24" i="3"/>
  <c r="Q25" i="3"/>
  <c r="R25" i="3"/>
  <c r="S25" i="3"/>
  <c r="T25" i="3"/>
  <c r="U25" i="3"/>
  <c r="Q26" i="3"/>
  <c r="R26" i="3"/>
  <c r="S26" i="3"/>
  <c r="T26" i="3"/>
  <c r="U26" i="3"/>
  <c r="Q27" i="3"/>
  <c r="R27" i="3"/>
  <c r="S27" i="3"/>
  <c r="T27" i="3"/>
  <c r="U27" i="3"/>
  <c r="Q28" i="3"/>
  <c r="R28" i="3"/>
  <c r="S28" i="3"/>
  <c r="T28" i="3"/>
  <c r="U28" i="3"/>
  <c r="Q29" i="3"/>
  <c r="R29" i="3"/>
  <c r="S29" i="3"/>
  <c r="T29" i="3"/>
  <c r="U29" i="3"/>
  <c r="T6" i="3"/>
  <c r="U6" i="3"/>
  <c r="V6" i="3"/>
  <c r="R6" i="3"/>
  <c r="S6" i="3"/>
  <c r="F6" i="3"/>
  <c r="G6" i="3"/>
  <c r="H6" i="3"/>
  <c r="I6" i="3"/>
  <c r="J6" i="3"/>
  <c r="K6" i="3"/>
  <c r="L6" i="3"/>
  <c r="M6" i="3"/>
  <c r="N6" i="3"/>
  <c r="O6" i="3"/>
  <c r="P6" i="3"/>
  <c r="Q6" i="3"/>
  <c r="F7" i="3"/>
  <c r="G7" i="3"/>
  <c r="H7" i="3"/>
  <c r="I7" i="3"/>
  <c r="J7" i="3"/>
  <c r="K7" i="3"/>
  <c r="AK7" i="3" s="1"/>
  <c r="L7" i="3"/>
  <c r="M7" i="3"/>
  <c r="N7" i="3"/>
  <c r="O7" i="3"/>
  <c r="P7" i="3"/>
  <c r="F8" i="3"/>
  <c r="G8" i="3"/>
  <c r="H8" i="3"/>
  <c r="I8" i="3"/>
  <c r="J8" i="3"/>
  <c r="K8" i="3"/>
  <c r="L8" i="3"/>
  <c r="M8" i="3"/>
  <c r="N8" i="3"/>
  <c r="O8" i="3"/>
  <c r="P8" i="3"/>
  <c r="F9" i="3"/>
  <c r="G9" i="3"/>
  <c r="H9" i="3"/>
  <c r="I9" i="3"/>
  <c r="J9" i="3"/>
  <c r="K9" i="3"/>
  <c r="L9" i="3"/>
  <c r="M9" i="3"/>
  <c r="N9" i="3"/>
  <c r="O9" i="3"/>
  <c r="P9" i="3"/>
  <c r="F10" i="3"/>
  <c r="G10" i="3"/>
  <c r="H10" i="3"/>
  <c r="I10" i="3"/>
  <c r="J10" i="3"/>
  <c r="K10" i="3"/>
  <c r="L10" i="3"/>
  <c r="M10" i="3"/>
  <c r="N10" i="3"/>
  <c r="O10" i="3"/>
  <c r="P10" i="3"/>
  <c r="F11" i="3"/>
  <c r="G11" i="3"/>
  <c r="H11" i="3"/>
  <c r="I11" i="3"/>
  <c r="J11" i="3"/>
  <c r="K11" i="3"/>
  <c r="L11" i="3"/>
  <c r="M11" i="3"/>
  <c r="N11" i="3"/>
  <c r="O11" i="3"/>
  <c r="P11" i="3"/>
  <c r="F12" i="3"/>
  <c r="G12" i="3"/>
  <c r="H12" i="3"/>
  <c r="I12" i="3"/>
  <c r="J12" i="3"/>
  <c r="K12" i="3"/>
  <c r="L12" i="3"/>
  <c r="M12" i="3"/>
  <c r="N12" i="3"/>
  <c r="O12" i="3"/>
  <c r="P12" i="3"/>
  <c r="F13" i="3"/>
  <c r="G13" i="3"/>
  <c r="H13" i="3"/>
  <c r="I13" i="3"/>
  <c r="J13" i="3"/>
  <c r="K13" i="3"/>
  <c r="L13" i="3"/>
  <c r="M13" i="3"/>
  <c r="N13" i="3"/>
  <c r="O13" i="3"/>
  <c r="P13" i="3"/>
  <c r="F14" i="3"/>
  <c r="G14" i="3"/>
  <c r="H14" i="3"/>
  <c r="I14" i="3"/>
  <c r="J14" i="3"/>
  <c r="K14" i="3"/>
  <c r="L14" i="3"/>
  <c r="M14" i="3"/>
  <c r="N14" i="3"/>
  <c r="O14" i="3"/>
  <c r="P14" i="3"/>
  <c r="F15" i="3"/>
  <c r="G15" i="3"/>
  <c r="H15" i="3"/>
  <c r="I15" i="3"/>
  <c r="J15" i="3"/>
  <c r="K15" i="3"/>
  <c r="AK15" i="3" s="1"/>
  <c r="L15" i="3"/>
  <c r="M15" i="3"/>
  <c r="N15" i="3"/>
  <c r="O15" i="3"/>
  <c r="P15" i="3"/>
  <c r="F16" i="3"/>
  <c r="G16" i="3"/>
  <c r="H16" i="3"/>
  <c r="I16" i="3"/>
  <c r="J16" i="3"/>
  <c r="K16" i="3"/>
  <c r="L16" i="3"/>
  <c r="M16" i="3"/>
  <c r="N16" i="3"/>
  <c r="O16" i="3"/>
  <c r="P16" i="3"/>
  <c r="F17" i="3"/>
  <c r="G17" i="3"/>
  <c r="H17" i="3"/>
  <c r="I17" i="3"/>
  <c r="J17" i="3"/>
  <c r="K17" i="3"/>
  <c r="L17" i="3"/>
  <c r="M17" i="3"/>
  <c r="N17" i="3"/>
  <c r="O17" i="3"/>
  <c r="P17" i="3"/>
  <c r="F18" i="3"/>
  <c r="G18" i="3"/>
  <c r="H18" i="3"/>
  <c r="I18" i="3"/>
  <c r="J18" i="3"/>
  <c r="K18" i="3"/>
  <c r="L18" i="3"/>
  <c r="M18" i="3"/>
  <c r="N18" i="3"/>
  <c r="O18" i="3"/>
  <c r="P18" i="3"/>
  <c r="F19" i="3"/>
  <c r="G19" i="3"/>
  <c r="H19" i="3"/>
  <c r="I19" i="3"/>
  <c r="J19" i="3"/>
  <c r="K19" i="3"/>
  <c r="L19" i="3"/>
  <c r="M19" i="3"/>
  <c r="N19" i="3"/>
  <c r="O19" i="3"/>
  <c r="P19" i="3"/>
  <c r="F20" i="3"/>
  <c r="G20" i="3"/>
  <c r="H20" i="3"/>
  <c r="I20" i="3"/>
  <c r="J20" i="3"/>
  <c r="K20" i="3"/>
  <c r="L20" i="3"/>
  <c r="M20" i="3"/>
  <c r="N20" i="3"/>
  <c r="O20" i="3"/>
  <c r="P20" i="3"/>
  <c r="F21" i="3"/>
  <c r="G21" i="3"/>
  <c r="H21" i="3"/>
  <c r="I21" i="3"/>
  <c r="J21" i="3"/>
  <c r="K21" i="3"/>
  <c r="L21" i="3"/>
  <c r="M21" i="3"/>
  <c r="N21" i="3"/>
  <c r="O21" i="3"/>
  <c r="P21" i="3"/>
  <c r="F22" i="3"/>
  <c r="G22" i="3"/>
  <c r="H22" i="3"/>
  <c r="I22" i="3"/>
  <c r="J22" i="3"/>
  <c r="K22" i="3"/>
  <c r="L22" i="3"/>
  <c r="M22" i="3"/>
  <c r="N22" i="3"/>
  <c r="O22" i="3"/>
  <c r="P22" i="3"/>
  <c r="F23" i="3"/>
  <c r="G23" i="3"/>
  <c r="H23" i="3"/>
  <c r="I23" i="3"/>
  <c r="J23" i="3"/>
  <c r="K23" i="3"/>
  <c r="AK23" i="3" s="1"/>
  <c r="L23" i="3"/>
  <c r="M23" i="3"/>
  <c r="N23" i="3"/>
  <c r="O23" i="3"/>
  <c r="P23" i="3"/>
  <c r="F24" i="3"/>
  <c r="G24" i="3"/>
  <c r="H24" i="3"/>
  <c r="I24" i="3"/>
  <c r="J24" i="3"/>
  <c r="K24" i="3"/>
  <c r="L24" i="3"/>
  <c r="M24" i="3"/>
  <c r="N24" i="3"/>
  <c r="O24" i="3"/>
  <c r="P24" i="3"/>
  <c r="F25" i="3"/>
  <c r="G25" i="3"/>
  <c r="H25" i="3"/>
  <c r="I25" i="3"/>
  <c r="J25" i="3"/>
  <c r="K25" i="3"/>
  <c r="L25" i="3"/>
  <c r="M25" i="3"/>
  <c r="N25" i="3"/>
  <c r="O25" i="3"/>
  <c r="P25" i="3"/>
  <c r="F26" i="3"/>
  <c r="G26" i="3"/>
  <c r="H26" i="3"/>
  <c r="I26" i="3"/>
  <c r="J26" i="3"/>
  <c r="K26" i="3"/>
  <c r="L26" i="3"/>
  <c r="M26" i="3"/>
  <c r="N26" i="3"/>
  <c r="O26" i="3"/>
  <c r="P26" i="3"/>
  <c r="F27" i="3"/>
  <c r="G27" i="3"/>
  <c r="H27" i="3"/>
  <c r="I27" i="3"/>
  <c r="J27" i="3"/>
  <c r="K27" i="3"/>
  <c r="L27" i="3"/>
  <c r="M27" i="3"/>
  <c r="N27" i="3"/>
  <c r="O27" i="3"/>
  <c r="P27" i="3"/>
  <c r="F28" i="3"/>
  <c r="G28" i="3"/>
  <c r="H28" i="3"/>
  <c r="I28" i="3"/>
  <c r="J28" i="3"/>
  <c r="K28" i="3"/>
  <c r="L28" i="3"/>
  <c r="M28" i="3"/>
  <c r="N28" i="3"/>
  <c r="O28" i="3"/>
  <c r="P28" i="3"/>
  <c r="F29" i="3"/>
  <c r="G29" i="3"/>
  <c r="H29" i="3"/>
  <c r="I29" i="3"/>
  <c r="J29" i="3"/>
  <c r="K29" i="3"/>
  <c r="L29" i="3"/>
  <c r="M29" i="3"/>
  <c r="N29" i="3"/>
  <c r="O29" i="3"/>
  <c r="P29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AQ23" i="3" l="1"/>
  <c r="AQ7" i="3"/>
  <c r="AJ17" i="3"/>
  <c r="AJ16" i="3"/>
  <c r="AP17" i="3"/>
  <c r="AR17" i="3" s="1"/>
  <c r="AQ9" i="3"/>
  <c r="AR27" i="3"/>
  <c r="AP19" i="3"/>
  <c r="AQ19" i="3"/>
  <c r="AQ11" i="3"/>
  <c r="AR7" i="3"/>
  <c r="AJ18" i="3"/>
  <c r="AJ19" i="3"/>
  <c r="AR29" i="3"/>
  <c r="AP21" i="3"/>
  <c r="AR21" i="3" s="1"/>
  <c r="AA1" i="3"/>
  <c r="AJ13" i="3"/>
  <c r="AJ12" i="3"/>
  <c r="AQ29" i="3"/>
  <c r="AQ21" i="3"/>
  <c r="AQ13" i="3"/>
  <c r="AJ14" i="3"/>
  <c r="AP15" i="3"/>
  <c r="AR15" i="3" s="1"/>
  <c r="AJ15" i="3"/>
  <c r="AP11" i="3"/>
  <c r="AR11" i="3" s="1"/>
  <c r="AK17" i="3"/>
  <c r="AK9" i="3"/>
  <c r="AK25" i="3"/>
  <c r="AP23" i="3"/>
  <c r="AR23" i="3" s="1"/>
  <c r="AK19" i="3"/>
  <c r="AK11" i="3"/>
  <c r="AK27" i="3"/>
  <c r="AJ20" i="3"/>
  <c r="AK20" i="3"/>
  <c r="AJ21" i="3"/>
  <c r="AJ29" i="3"/>
  <c r="AK28" i="3"/>
  <c r="AJ28" i="3"/>
  <c r="AK12" i="3"/>
  <c r="AJ23" i="3"/>
  <c r="AJ22" i="3"/>
  <c r="AK22" i="3"/>
  <c r="AL22" i="3" s="1"/>
  <c r="AM22" i="3" s="1"/>
  <c r="AJ25" i="3"/>
  <c r="AJ24" i="3"/>
  <c r="AK24" i="3"/>
  <c r="AK16" i="3"/>
  <c r="AJ9" i="3"/>
  <c r="AJ8" i="3"/>
  <c r="AK8" i="3"/>
  <c r="AK29" i="3"/>
  <c r="AK21" i="3"/>
  <c r="AK13" i="3"/>
  <c r="AK14" i="3"/>
  <c r="AJ7" i="3"/>
  <c r="AL7" i="3" s="1"/>
  <c r="AM7" i="3" s="1"/>
  <c r="AJ6" i="3"/>
  <c r="AK6" i="3"/>
  <c r="AK26" i="3"/>
  <c r="AJ26" i="3"/>
  <c r="AJ27" i="3"/>
  <c r="AK18" i="3"/>
  <c r="AK10" i="3"/>
  <c r="AJ11" i="3"/>
  <c r="AJ10" i="3"/>
  <c r="AD10" i="3"/>
  <c r="AG10" i="3" s="1"/>
  <c r="AD18" i="3"/>
  <c r="AG18" i="3" s="1"/>
  <c r="AD26" i="3"/>
  <c r="AG26" i="3" s="1"/>
  <c r="AD11" i="3"/>
  <c r="AD12" i="3"/>
  <c r="AG12" i="3" s="1"/>
  <c r="AD29" i="3"/>
  <c r="AD21" i="3"/>
  <c r="AG21" i="3" s="1"/>
  <c r="AD13" i="3"/>
  <c r="AG13" i="3" s="1"/>
  <c r="AD27" i="3"/>
  <c r="AG27" i="3" s="1"/>
  <c r="AD28" i="3"/>
  <c r="AG28" i="3" s="1"/>
  <c r="AD22" i="3"/>
  <c r="AD14" i="3"/>
  <c r="AG14" i="3" s="1"/>
  <c r="AD19" i="3"/>
  <c r="AG19" i="3" s="1"/>
  <c r="AD23" i="3"/>
  <c r="AG23" i="3" s="1"/>
  <c r="AD15" i="3"/>
  <c r="AG15" i="3" s="1"/>
  <c r="AD7" i="3"/>
  <c r="AD6" i="3"/>
  <c r="AG6" i="3" s="1"/>
  <c r="AD24" i="3"/>
  <c r="AD16" i="3"/>
  <c r="AG16" i="3" s="1"/>
  <c r="AD8" i="3"/>
  <c r="AG8" i="3" s="1"/>
  <c r="AD20" i="3"/>
  <c r="AG20" i="3" s="1"/>
  <c r="AD25" i="3"/>
  <c r="AD17" i="3"/>
  <c r="AD9" i="3"/>
  <c r="AG9" i="3" s="1"/>
  <c r="E6" i="3"/>
  <c r="AL14" i="3" l="1"/>
  <c r="AM14" i="3" s="1"/>
  <c r="AR9" i="3"/>
  <c r="AR13" i="3"/>
  <c r="AR19" i="3"/>
  <c r="AL17" i="3"/>
  <c r="AM17" i="3" s="1"/>
  <c r="AL24" i="3"/>
  <c r="AM24" i="3" s="1"/>
  <c r="AL28" i="3"/>
  <c r="AM28" i="3" s="1"/>
  <c r="AL12" i="3"/>
  <c r="AM12" i="3" s="1"/>
  <c r="AL6" i="3"/>
  <c r="AL29" i="3"/>
  <c r="AM29" i="3" s="1"/>
  <c r="AL9" i="3"/>
  <c r="AM9" i="3" s="1"/>
  <c r="AL20" i="3"/>
  <c r="AM20" i="3" s="1"/>
  <c r="AL27" i="3"/>
  <c r="AM27" i="3" s="1"/>
  <c r="AL26" i="3"/>
  <c r="AM26" i="3" s="1"/>
  <c r="AL16" i="3"/>
  <c r="AM16" i="3" s="1"/>
  <c r="AL19" i="3"/>
  <c r="AM19" i="3" s="1"/>
  <c r="AL23" i="3"/>
  <c r="AM23" i="3" s="1"/>
  <c r="AL11" i="3"/>
  <c r="AM11" i="3" s="1"/>
  <c r="AL10" i="3"/>
  <c r="AM10" i="3" s="1"/>
  <c r="AL15" i="3"/>
  <c r="AM15" i="3" s="1"/>
  <c r="AL18" i="3"/>
  <c r="AM18" i="3" s="1"/>
  <c r="AL21" i="3"/>
  <c r="AM21" i="3" s="1"/>
  <c r="AL25" i="3"/>
  <c r="AM25" i="3" s="1"/>
  <c r="AL13" i="3"/>
  <c r="AM13" i="3" s="1"/>
  <c r="AL8" i="3"/>
  <c r="AM8" i="3" s="1"/>
  <c r="AG29" i="3"/>
  <c r="AG17" i="3"/>
  <c r="AG22" i="3"/>
  <c r="AG7" i="3"/>
  <c r="AG24" i="3"/>
  <c r="AG11" i="3"/>
  <c r="AG25" i="3"/>
  <c r="Q1" i="14"/>
  <c r="F43" i="14"/>
  <c r="F44" i="14"/>
  <c r="E7" i="11" l="1"/>
  <c r="E15" i="11"/>
  <c r="E23" i="11"/>
  <c r="E16" i="11"/>
  <c r="E9" i="11"/>
  <c r="E25" i="11"/>
  <c r="E10" i="11"/>
  <c r="E18" i="11"/>
  <c r="E6" i="11"/>
  <c r="E12" i="11"/>
  <c r="E20" i="11"/>
  <c r="E13" i="11"/>
  <c r="E22" i="11"/>
  <c r="E8" i="11"/>
  <c r="E24" i="11"/>
  <c r="E17" i="11"/>
  <c r="E26" i="11"/>
  <c r="E11" i="11"/>
  <c r="E19" i="11"/>
  <c r="E21" i="11"/>
  <c r="E14" i="11"/>
  <c r="H28" i="14" l="1"/>
  <c r="H27" i="14"/>
  <c r="C28" i="14"/>
  <c r="F28" i="14"/>
  <c r="E28" i="14"/>
  <c r="E27" i="14" l="1"/>
  <c r="G27" i="14" l="1"/>
  <c r="C4" i="14"/>
  <c r="I5" i="14"/>
  <c r="I6" i="14"/>
  <c r="I7" i="14"/>
  <c r="I8" i="14"/>
  <c r="I9" i="14"/>
  <c r="I10" i="14"/>
  <c r="I4" i="14"/>
  <c r="I13" i="14"/>
  <c r="I14" i="14"/>
  <c r="I15" i="14"/>
  <c r="I16" i="14"/>
  <c r="I17" i="14"/>
  <c r="I18" i="14"/>
  <c r="I12" i="14"/>
  <c r="I23" i="14"/>
  <c r="I24" i="14"/>
  <c r="I25" i="14"/>
  <c r="I26" i="14"/>
  <c r="I27" i="14"/>
  <c r="I28" i="14"/>
  <c r="I22" i="14"/>
  <c r="I31" i="14"/>
  <c r="I32" i="14"/>
  <c r="I33" i="14"/>
  <c r="I34" i="14"/>
  <c r="I35" i="14"/>
  <c r="I36" i="14"/>
  <c r="I30" i="14"/>
  <c r="I41" i="14"/>
  <c r="I42" i="14"/>
  <c r="I43" i="14"/>
  <c r="I44" i="14"/>
  <c r="I45" i="14"/>
  <c r="I46" i="14"/>
  <c r="I40" i="14"/>
  <c r="I49" i="14"/>
  <c r="I50" i="14"/>
  <c r="I51" i="14"/>
  <c r="I52" i="14"/>
  <c r="I53" i="14"/>
  <c r="I54" i="14"/>
  <c r="I48" i="14"/>
  <c r="F4" i="14"/>
  <c r="F5" i="14"/>
  <c r="R16" i="14"/>
  <c r="R15" i="14"/>
  <c r="R17" i="14"/>
  <c r="R14" i="14"/>
  <c r="R13" i="14"/>
  <c r="R12" i="14"/>
  <c r="R19" i="14"/>
  <c r="H54" i="14"/>
  <c r="J54" i="14" s="1"/>
  <c r="H53" i="14"/>
  <c r="J53" i="14" s="1"/>
  <c r="H52" i="14"/>
  <c r="J52" i="14" s="1"/>
  <c r="H51" i="14"/>
  <c r="J51" i="14" s="1"/>
  <c r="H46" i="14"/>
  <c r="J46" i="14" s="1"/>
  <c r="H45" i="14"/>
  <c r="H44" i="14"/>
  <c r="J44" i="14" s="1"/>
  <c r="H43" i="14"/>
  <c r="J43" i="14" s="1"/>
  <c r="E46" i="14"/>
  <c r="E45" i="14"/>
  <c r="E44" i="14"/>
  <c r="E43" i="14"/>
  <c r="G43" i="14" s="1"/>
  <c r="E54" i="14"/>
  <c r="E53" i="14"/>
  <c r="G53" i="14" s="1"/>
  <c r="E52" i="14"/>
  <c r="E51" i="14"/>
  <c r="B54" i="14"/>
  <c r="D54" i="14" s="1"/>
  <c r="B53" i="14"/>
  <c r="B52" i="14"/>
  <c r="D52" i="14" s="1"/>
  <c r="B51" i="14"/>
  <c r="D51" i="14" s="1"/>
  <c r="B46" i="14"/>
  <c r="D46" i="14" s="1"/>
  <c r="B45" i="14"/>
  <c r="D45" i="14" s="1"/>
  <c r="B44" i="14"/>
  <c r="D44" i="14" s="1"/>
  <c r="B43" i="14"/>
  <c r="H36" i="14"/>
  <c r="J36" i="14" s="1"/>
  <c r="H35" i="14"/>
  <c r="J35" i="14" s="1"/>
  <c r="H34" i="14"/>
  <c r="J34" i="14" s="1"/>
  <c r="H33" i="14"/>
  <c r="J33" i="14" s="1"/>
  <c r="E36" i="14"/>
  <c r="E35" i="14"/>
  <c r="G35" i="14" s="1"/>
  <c r="B36" i="14"/>
  <c r="D36" i="14" s="1"/>
  <c r="B35" i="14"/>
  <c r="B34" i="14"/>
  <c r="B33" i="14"/>
  <c r="D33" i="14" s="1"/>
  <c r="B25" i="14"/>
  <c r="D25" i="14" s="1"/>
  <c r="E34" i="14"/>
  <c r="E33" i="14"/>
  <c r="B28" i="14"/>
  <c r="D28" i="14" s="1"/>
  <c r="B27" i="14"/>
  <c r="B26" i="14"/>
  <c r="D26" i="14" s="1"/>
  <c r="B24" i="14"/>
  <c r="D24" i="14" s="1"/>
  <c r="C61" i="14" s="1"/>
  <c r="E26" i="14"/>
  <c r="E25" i="14"/>
  <c r="H26" i="14"/>
  <c r="J26" i="14" s="1"/>
  <c r="H25" i="14"/>
  <c r="J25" i="14" s="1"/>
  <c r="H18" i="14"/>
  <c r="J18" i="14" s="1"/>
  <c r="H17" i="14"/>
  <c r="J17" i="14" s="1"/>
  <c r="H16" i="14"/>
  <c r="J16" i="14" s="1"/>
  <c r="H15" i="14"/>
  <c r="J15" i="14" s="1"/>
  <c r="H10" i="14"/>
  <c r="H9" i="14"/>
  <c r="J9" i="14" s="1"/>
  <c r="H8" i="14"/>
  <c r="J8" i="14" s="1"/>
  <c r="H7" i="14"/>
  <c r="J7" i="14" s="1"/>
  <c r="C18" i="14"/>
  <c r="B18" i="14"/>
  <c r="B17" i="14"/>
  <c r="B16" i="14"/>
  <c r="B15" i="14"/>
  <c r="D15" i="14" s="1"/>
  <c r="E18" i="14"/>
  <c r="E17" i="14"/>
  <c r="E16" i="14"/>
  <c r="E15" i="14"/>
  <c r="E10" i="14"/>
  <c r="E9" i="14"/>
  <c r="G9" i="14" s="1"/>
  <c r="E8" i="14"/>
  <c r="G8" i="14" s="1"/>
  <c r="E7" i="14"/>
  <c r="C53" i="14"/>
  <c r="F53" i="14"/>
  <c r="C54" i="14"/>
  <c r="F54" i="14"/>
  <c r="P54" i="14"/>
  <c r="C45" i="14"/>
  <c r="F45" i="14" s="1"/>
  <c r="C46" i="14"/>
  <c r="F46" i="14"/>
  <c r="P46" i="14"/>
  <c r="C35" i="14"/>
  <c r="F35" i="14"/>
  <c r="C36" i="14"/>
  <c r="F36" i="14"/>
  <c r="P36" i="14"/>
  <c r="C27" i="14"/>
  <c r="F27" i="14"/>
  <c r="J27" i="14"/>
  <c r="J28" i="14"/>
  <c r="P28" i="14"/>
  <c r="P18" i="14"/>
  <c r="C17" i="14"/>
  <c r="P10" i="14"/>
  <c r="C9" i="14"/>
  <c r="F9" i="14" s="1"/>
  <c r="C10" i="14"/>
  <c r="F10" i="14"/>
  <c r="B10" i="14"/>
  <c r="D10" i="14" s="1"/>
  <c r="B9" i="14"/>
  <c r="D9" i="14" s="1"/>
  <c r="B8" i="14"/>
  <c r="D8" i="14" s="1"/>
  <c r="B7" i="14"/>
  <c r="C5" i="14"/>
  <c r="C6" i="14"/>
  <c r="F6" i="14" s="1"/>
  <c r="C7" i="14"/>
  <c r="F7" i="14" s="1"/>
  <c r="C8" i="14"/>
  <c r="C31" i="14"/>
  <c r="F31" i="14"/>
  <c r="C49" i="14"/>
  <c r="F49" i="14"/>
  <c r="C50" i="14"/>
  <c r="F50" i="14"/>
  <c r="C51" i="14"/>
  <c r="F51" i="14" s="1"/>
  <c r="C52" i="14"/>
  <c r="F52" i="14"/>
  <c r="C48" i="14"/>
  <c r="F48" i="14"/>
  <c r="C41" i="14"/>
  <c r="C42" i="14"/>
  <c r="C43" i="14"/>
  <c r="C44" i="14"/>
  <c r="C33" i="14"/>
  <c r="F33" i="14" s="1"/>
  <c r="C34" i="14"/>
  <c r="C15" i="14"/>
  <c r="C16" i="14"/>
  <c r="C25" i="14"/>
  <c r="C26" i="14"/>
  <c r="F26" i="14" s="1"/>
  <c r="C23" i="14"/>
  <c r="C13" i="14"/>
  <c r="F13" i="14"/>
  <c r="H49" i="14"/>
  <c r="J49" i="14" s="1"/>
  <c r="H41" i="14"/>
  <c r="J41" i="14" s="1"/>
  <c r="E49" i="14"/>
  <c r="E41" i="14"/>
  <c r="H31" i="14"/>
  <c r="J31" i="14" s="1"/>
  <c r="H23" i="14"/>
  <c r="J23" i="14" s="1"/>
  <c r="H13" i="14"/>
  <c r="J13" i="14" s="1"/>
  <c r="H5" i="14"/>
  <c r="J5" i="14" s="1"/>
  <c r="E31" i="14"/>
  <c r="E23" i="14"/>
  <c r="E13" i="14"/>
  <c r="G13" i="14" s="1"/>
  <c r="G28" i="14"/>
  <c r="F25" i="14"/>
  <c r="F15" i="14"/>
  <c r="F16" i="14"/>
  <c r="G16" i="14"/>
  <c r="F34" i="14"/>
  <c r="F8" i="14"/>
  <c r="E6" i="14"/>
  <c r="B4" i="14"/>
  <c r="D4" i="14" s="1"/>
  <c r="B59" i="14" s="1"/>
  <c r="E5" i="14"/>
  <c r="G5" i="14" s="1"/>
  <c r="B49" i="14"/>
  <c r="D49" i="14" s="1"/>
  <c r="B41" i="14"/>
  <c r="B31" i="14"/>
  <c r="D31" i="14" s="1"/>
  <c r="B23" i="14"/>
  <c r="B13" i="14"/>
  <c r="D13" i="14" s="1"/>
  <c r="B5" i="14"/>
  <c r="D5" i="14" s="1"/>
  <c r="H50" i="14"/>
  <c r="J50" i="14" s="1"/>
  <c r="J65" i="14" s="1"/>
  <c r="H32" i="14"/>
  <c r="J32" i="14" s="1"/>
  <c r="I65" i="14" s="1"/>
  <c r="H14" i="14"/>
  <c r="J14" i="14" s="1"/>
  <c r="H65" i="14" s="1"/>
  <c r="H42" i="14"/>
  <c r="J42" i="14" s="1"/>
  <c r="J61" i="14" s="1"/>
  <c r="H24" i="14"/>
  <c r="J24" i="14" s="1"/>
  <c r="I61" i="14" s="1"/>
  <c r="H6" i="14"/>
  <c r="J6" i="14" s="1"/>
  <c r="H61" i="14" s="1"/>
  <c r="E50" i="14"/>
  <c r="G50" i="14" s="1"/>
  <c r="G65" i="14" s="1"/>
  <c r="B50" i="14"/>
  <c r="D50" i="14" s="1"/>
  <c r="D65" i="14" s="1"/>
  <c r="E32" i="14"/>
  <c r="G32" i="14" s="1"/>
  <c r="F65" i="14" s="1"/>
  <c r="B32" i="14"/>
  <c r="D32" i="14" s="1"/>
  <c r="C65" i="14" s="1"/>
  <c r="E14" i="14"/>
  <c r="G14" i="14" s="1"/>
  <c r="E65" i="14" s="1"/>
  <c r="B14" i="14"/>
  <c r="D14" i="14" s="1"/>
  <c r="B65" i="14" s="1"/>
  <c r="E42" i="14"/>
  <c r="B42" i="14"/>
  <c r="E24" i="14"/>
  <c r="G24" i="14" s="1"/>
  <c r="F61" i="14" s="1"/>
  <c r="B6" i="14"/>
  <c r="D6" i="14" s="1"/>
  <c r="B61" i="14" s="1"/>
  <c r="C12" i="14"/>
  <c r="F12" i="14"/>
  <c r="R3" i="14"/>
  <c r="C40" i="14"/>
  <c r="F40" i="14"/>
  <c r="C32" i="14"/>
  <c r="F32" i="14" s="1"/>
  <c r="C30" i="14"/>
  <c r="F30" i="14"/>
  <c r="C24" i="14"/>
  <c r="F24" i="14"/>
  <c r="C22" i="14"/>
  <c r="F22" i="14" s="1"/>
  <c r="C14" i="14"/>
  <c r="F14" i="14" s="1"/>
  <c r="B40" i="14"/>
  <c r="D40" i="14" s="1"/>
  <c r="D59" i="14" s="1"/>
  <c r="B22" i="14"/>
  <c r="D22" i="14" s="1"/>
  <c r="C59" i="14" s="1"/>
  <c r="B70" i="14"/>
  <c r="C70" i="14"/>
  <c r="D70" i="14"/>
  <c r="E70" i="14"/>
  <c r="F70" i="14"/>
  <c r="G70" i="14"/>
  <c r="C69" i="14"/>
  <c r="D69" i="14"/>
  <c r="E69" i="14"/>
  <c r="F69" i="14"/>
  <c r="G69" i="14"/>
  <c r="B69" i="14"/>
  <c r="A69" i="14"/>
  <c r="A71" i="14"/>
  <c r="A74" i="14"/>
  <c r="B30" i="14"/>
  <c r="D30" i="14" s="1"/>
  <c r="C63" i="14" s="1"/>
  <c r="AG1" i="3"/>
  <c r="AI6" i="3"/>
  <c r="X45" i="11"/>
  <c r="X44" i="11"/>
  <c r="X42" i="11"/>
  <c r="X41" i="11"/>
  <c r="X40" i="11"/>
  <c r="AG45" i="11"/>
  <c r="AG44" i="11"/>
  <c r="AG43" i="11"/>
  <c r="AG41" i="11"/>
  <c r="AG40" i="11"/>
  <c r="AG39" i="11"/>
  <c r="L1" i="14" l="1"/>
  <c r="G15" i="14"/>
  <c r="AE18" i="3"/>
  <c r="AE10" i="3"/>
  <c r="AF10" i="3" s="1"/>
  <c r="AE26" i="3"/>
  <c r="AH20" i="3"/>
  <c r="AH12" i="3"/>
  <c r="AE17" i="3"/>
  <c r="AF17" i="3" s="1"/>
  <c r="AE28" i="3"/>
  <c r="AF28" i="3" s="1"/>
  <c r="AH18" i="3"/>
  <c r="AH9" i="3"/>
  <c r="AE22" i="3"/>
  <c r="AH19" i="3"/>
  <c r="AH8" i="3"/>
  <c r="AE24" i="3"/>
  <c r="AF24" i="3" s="1"/>
  <c r="AE15" i="3"/>
  <c r="AF15" i="3" s="1"/>
  <c r="AE21" i="3"/>
  <c r="AF21" i="3" s="1"/>
  <c r="AH15" i="3"/>
  <c r="AE7" i="3"/>
  <c r="AE23" i="3"/>
  <c r="AE11" i="3"/>
  <c r="AE29" i="3"/>
  <c r="AF29" i="3" s="1"/>
  <c r="AE8" i="3"/>
  <c r="AE9" i="3"/>
  <c r="AH23" i="3"/>
  <c r="AE16" i="3"/>
  <c r="AH28" i="3"/>
  <c r="AH10" i="3"/>
  <c r="AE27" i="3"/>
  <c r="AH21" i="3"/>
  <c r="AE14" i="3"/>
  <c r="AF14" i="3" s="1"/>
  <c r="AH13" i="3"/>
  <c r="AH27" i="3"/>
  <c r="AH16" i="3"/>
  <c r="AE20" i="3"/>
  <c r="AH14" i="3"/>
  <c r="AE12" i="3"/>
  <c r="AF12" i="3" s="1"/>
  <c r="AE19" i="3"/>
  <c r="AF19" i="3" s="1"/>
  <c r="AE13" i="3"/>
  <c r="AH26" i="3"/>
  <c r="AE25" i="3"/>
  <c r="AF25" i="3" s="1"/>
  <c r="AH29" i="3"/>
  <c r="AH22" i="3"/>
  <c r="AH17" i="3"/>
  <c r="AH11" i="3"/>
  <c r="AH24" i="3"/>
  <c r="AH7" i="3"/>
  <c r="AH25" i="3"/>
  <c r="AC20" i="3"/>
  <c r="AC6" i="3"/>
  <c r="AC24" i="3"/>
  <c r="AC9" i="3"/>
  <c r="AC29" i="3"/>
  <c r="AC23" i="3"/>
  <c r="AC16" i="3"/>
  <c r="AC13" i="3"/>
  <c r="AC15" i="3"/>
  <c r="AC8" i="3"/>
  <c r="AC22" i="3"/>
  <c r="AC7" i="3"/>
  <c r="AC27" i="3"/>
  <c r="AC14" i="3"/>
  <c r="AC18" i="3"/>
  <c r="AC19" i="3"/>
  <c r="AC26" i="3"/>
  <c r="AC10" i="3"/>
  <c r="AC28" i="3"/>
  <c r="AC21" i="3"/>
  <c r="AC11" i="3"/>
  <c r="AC25" i="3"/>
  <c r="AC12" i="3"/>
  <c r="AC17" i="3"/>
  <c r="AF8" i="3"/>
  <c r="AE6" i="3"/>
  <c r="AF7" i="3"/>
  <c r="G34" i="14"/>
  <c r="G54" i="14"/>
  <c r="G33" i="14"/>
  <c r="D35" i="14"/>
  <c r="J10" i="14"/>
  <c r="D27" i="14"/>
  <c r="D43" i="14"/>
  <c r="G51" i="14"/>
  <c r="G7" i="14"/>
  <c r="G6" i="14"/>
  <c r="E61" i="14" s="1"/>
  <c r="D16" i="14"/>
  <c r="B12" i="14"/>
  <c r="D12" i="14" s="1"/>
  <c r="B63" i="14" s="1"/>
  <c r="G36" i="14"/>
  <c r="B48" i="14"/>
  <c r="D48" i="14" s="1"/>
  <c r="D63" i="14" s="1"/>
  <c r="G52" i="14"/>
  <c r="G10" i="14"/>
  <c r="G46" i="14"/>
  <c r="D34" i="14"/>
  <c r="G26" i="14"/>
  <c r="G25" i="14"/>
  <c r="N8" i="14"/>
  <c r="N41" i="14"/>
  <c r="N7" i="14"/>
  <c r="K26" i="14"/>
  <c r="K23" i="14"/>
  <c r="N24" i="14"/>
  <c r="G49" i="14"/>
  <c r="G31" i="14"/>
  <c r="N25" i="14"/>
  <c r="R4" i="14"/>
  <c r="K42" i="14"/>
  <c r="O14" i="14"/>
  <c r="O27" i="14"/>
  <c r="O43" i="14"/>
  <c r="O48" i="14"/>
  <c r="L16" i="14"/>
  <c r="L28" i="14"/>
  <c r="M28" i="14" s="1"/>
  <c r="L42" i="14"/>
  <c r="L52" i="14"/>
  <c r="O4" i="14"/>
  <c r="O31" i="14"/>
  <c r="O44" i="14"/>
  <c r="O40" i="14"/>
  <c r="L31" i="14"/>
  <c r="L43" i="14"/>
  <c r="L5" i="14"/>
  <c r="O30" i="14"/>
  <c r="L44" i="14"/>
  <c r="O17" i="14"/>
  <c r="L23" i="14"/>
  <c r="L7" i="14"/>
  <c r="O12" i="14"/>
  <c r="L8" i="14"/>
  <c r="O8" i="14"/>
  <c r="L25" i="14"/>
  <c r="L30" i="14"/>
  <c r="O9" i="14"/>
  <c r="O52" i="14"/>
  <c r="L26" i="14"/>
  <c r="O15" i="14"/>
  <c r="L17" i="14"/>
  <c r="L53" i="14"/>
  <c r="O45" i="14"/>
  <c r="L32" i="14"/>
  <c r="L6" i="14"/>
  <c r="O6" i="14"/>
  <c r="O49" i="14"/>
  <c r="L45" i="14"/>
  <c r="O50" i="14"/>
  <c r="L40" i="14"/>
  <c r="O51" i="14"/>
  <c r="L49" i="14"/>
  <c r="L14" i="14"/>
  <c r="L50" i="14"/>
  <c r="O5" i="14"/>
  <c r="O16" i="14"/>
  <c r="O32" i="14"/>
  <c r="L18" i="14"/>
  <c r="L54" i="14"/>
  <c r="M54" i="14" s="1"/>
  <c r="O33" i="14"/>
  <c r="O22" i="14"/>
  <c r="L33" i="14"/>
  <c r="L48" i="14"/>
  <c r="O7" i="14"/>
  <c r="O34" i="14"/>
  <c r="L24" i="14"/>
  <c r="L46" i="14"/>
  <c r="M46" i="14" s="1"/>
  <c r="O35" i="14"/>
  <c r="L35" i="14"/>
  <c r="O41" i="14"/>
  <c r="L4" i="14"/>
  <c r="O23" i="14"/>
  <c r="L34" i="14"/>
  <c r="O24" i="14"/>
  <c r="L13" i="14"/>
  <c r="L9" i="14"/>
  <c r="O25" i="14"/>
  <c r="L41" i="14"/>
  <c r="O13" i="14"/>
  <c r="O26" i="14"/>
  <c r="L22" i="14"/>
  <c r="O42" i="14"/>
  <c r="L12" i="14"/>
  <c r="O53" i="14"/>
  <c r="L10" i="14"/>
  <c r="M10" i="14" s="1"/>
  <c r="L27" i="14"/>
  <c r="L36" i="14"/>
  <c r="L51" i="14"/>
  <c r="L15" i="14"/>
  <c r="K45" i="14"/>
  <c r="J45" i="14"/>
  <c r="N6" i="14"/>
  <c r="F42" i="14"/>
  <c r="D42" i="14"/>
  <c r="D61" i="14" s="1"/>
  <c r="F23" i="14"/>
  <c r="G23" i="14" s="1"/>
  <c r="D23" i="14"/>
  <c r="F17" i="14"/>
  <c r="D17" i="14"/>
  <c r="D41" i="14"/>
  <c r="F18" i="14"/>
  <c r="D18" i="14"/>
  <c r="K43" i="14"/>
  <c r="G44" i="14"/>
  <c r="G45" i="14"/>
  <c r="D53" i="14"/>
  <c r="K44" i="14"/>
  <c r="N43" i="14"/>
  <c r="D7" i="14"/>
  <c r="F41" i="14"/>
  <c r="AF27" i="3" l="1"/>
  <c r="AF26" i="3"/>
  <c r="AF23" i="3"/>
  <c r="AF22" i="3"/>
  <c r="AF20" i="3"/>
  <c r="AF18" i="3"/>
  <c r="AF16" i="3"/>
  <c r="AF9" i="3"/>
  <c r="AF13" i="3"/>
  <c r="AF11" i="3"/>
  <c r="AM6" i="3"/>
  <c r="AN7" i="3" s="1"/>
  <c r="AH6" i="3"/>
  <c r="AI29" i="3" s="1"/>
  <c r="H30" i="14"/>
  <c r="J30" i="14" s="1"/>
  <c r="I63" i="14" s="1"/>
  <c r="E4" i="14"/>
  <c r="G4" i="14" s="1"/>
  <c r="E59" i="14" s="1"/>
  <c r="E12" i="14"/>
  <c r="G12" i="14" s="1"/>
  <c r="E63" i="14" s="1"/>
  <c r="H4" i="14"/>
  <c r="J4" i="14" s="1"/>
  <c r="H59" i="14" s="1"/>
  <c r="E30" i="14"/>
  <c r="G30" i="14" s="1"/>
  <c r="F63" i="14" s="1"/>
  <c r="H12" i="14"/>
  <c r="J12" i="14" s="1"/>
  <c r="H63" i="14" s="1"/>
  <c r="P8" i="14"/>
  <c r="N50" i="14"/>
  <c r="P50" i="14" s="1"/>
  <c r="P65" i="14" s="1"/>
  <c r="G76" i="14" s="1"/>
  <c r="N23" i="14"/>
  <c r="P23" i="14" s="1"/>
  <c r="P7" i="14"/>
  <c r="P41" i="14"/>
  <c r="P25" i="14"/>
  <c r="M26" i="14"/>
  <c r="K25" i="14"/>
  <c r="M25" i="14" s="1"/>
  <c r="K24" i="14"/>
  <c r="M24" i="14" s="1"/>
  <c r="L61" i="14" s="1"/>
  <c r="C73" i="14" s="1"/>
  <c r="K8" i="14"/>
  <c r="M8" i="14" s="1"/>
  <c r="K9" i="14"/>
  <c r="M9" i="14" s="1"/>
  <c r="K41" i="14"/>
  <c r="M41" i="14" s="1"/>
  <c r="K5" i="14"/>
  <c r="M5" i="14" s="1"/>
  <c r="K27" i="14"/>
  <c r="M27" i="14" s="1"/>
  <c r="P24" i="14"/>
  <c r="O61" i="14" s="1"/>
  <c r="F73" i="14" s="1"/>
  <c r="K7" i="14"/>
  <c r="M7" i="14" s="1"/>
  <c r="K6" i="14"/>
  <c r="M6" i="14" s="1"/>
  <c r="K61" i="14" s="1"/>
  <c r="B73" i="14" s="1"/>
  <c r="P6" i="14"/>
  <c r="N61" i="14" s="1"/>
  <c r="E73" i="14" s="1"/>
  <c r="P43" i="14"/>
  <c r="M45" i="14"/>
  <c r="N5" i="14"/>
  <c r="P5" i="14" s="1"/>
  <c r="K51" i="14"/>
  <c r="M51" i="14" s="1"/>
  <c r="N42" i="14"/>
  <c r="P42" i="14" s="1"/>
  <c r="P61" i="14" s="1"/>
  <c r="G73" i="14" s="1"/>
  <c r="K33" i="14"/>
  <c r="M33" i="14" s="1"/>
  <c r="K13" i="14"/>
  <c r="M13" i="14" s="1"/>
  <c r="K31" i="14"/>
  <c r="M31" i="14" s="1"/>
  <c r="K34" i="14"/>
  <c r="M34" i="14" s="1"/>
  <c r="K15" i="14"/>
  <c r="M15" i="14" s="1"/>
  <c r="M44" i="14"/>
  <c r="K49" i="14"/>
  <c r="M49" i="14" s="1"/>
  <c r="K16" i="14"/>
  <c r="M16" i="14" s="1"/>
  <c r="K17" i="14"/>
  <c r="K52" i="14"/>
  <c r="M52" i="14" s="1"/>
  <c r="K53" i="14"/>
  <c r="M53" i="14" s="1"/>
  <c r="K35" i="14"/>
  <c r="M35" i="14" s="1"/>
  <c r="M43" i="14"/>
  <c r="K14" i="14"/>
  <c r="M14" i="14" s="1"/>
  <c r="K65" i="14" s="1"/>
  <c r="B76" i="14" s="1"/>
  <c r="H40" i="14"/>
  <c r="J40" i="14" s="1"/>
  <c r="J59" i="14" s="1"/>
  <c r="N14" i="14"/>
  <c r="P14" i="14" s="1"/>
  <c r="N65" i="14" s="1"/>
  <c r="E76" i="14" s="1"/>
  <c r="G17" i="14"/>
  <c r="N51" i="14"/>
  <c r="P51" i="14" s="1"/>
  <c r="N53" i="14"/>
  <c r="P53" i="14" s="1"/>
  <c r="G41" i="14"/>
  <c r="N9" i="14"/>
  <c r="P9" i="14" s="1"/>
  <c r="N32" i="14"/>
  <c r="P32" i="14" s="1"/>
  <c r="O65" i="14" s="1"/>
  <c r="F76" i="14" s="1"/>
  <c r="M23" i="14"/>
  <c r="G42" i="14"/>
  <c r="G61" i="14" s="1"/>
  <c r="M42" i="14"/>
  <c r="M61" i="14" s="1"/>
  <c r="D73" i="14" s="1"/>
  <c r="N16" i="14"/>
  <c r="P16" i="14" s="1"/>
  <c r="N44" i="14"/>
  <c r="P44" i="14" s="1"/>
  <c r="N49" i="14"/>
  <c r="P49" i="14" s="1"/>
  <c r="N34" i="14"/>
  <c r="P34" i="14" s="1"/>
  <c r="N45" i="14"/>
  <c r="P45" i="14" s="1"/>
  <c r="N17" i="14"/>
  <c r="P17" i="14" s="1"/>
  <c r="G18" i="14"/>
  <c r="M18" i="14"/>
  <c r="N33" i="14"/>
  <c r="P33" i="14" s="1"/>
  <c r="N31" i="14"/>
  <c r="P31" i="14" s="1"/>
  <c r="N26" i="14"/>
  <c r="P26" i="14" s="1"/>
  <c r="N15" i="14"/>
  <c r="P15" i="14" s="1"/>
  <c r="N27" i="14"/>
  <c r="P27" i="14" s="1"/>
  <c r="N13" i="14"/>
  <c r="P13" i="14" s="1"/>
  <c r="N52" i="14"/>
  <c r="P52" i="14" s="1"/>
  <c r="N35" i="14"/>
  <c r="P35" i="14" s="1"/>
  <c r="H22" i="14"/>
  <c r="J22" i="14" s="1"/>
  <c r="I59" i="14" s="1"/>
  <c r="AI11" i="3" l="1"/>
  <c r="AI22" i="3"/>
  <c r="AI20" i="3"/>
  <c r="AI19" i="3"/>
  <c r="AI12" i="3"/>
  <c r="AI27" i="3"/>
  <c r="AI28" i="3"/>
  <c r="AI21" i="3"/>
  <c r="AI10" i="3"/>
  <c r="AI13" i="3"/>
  <c r="AI15" i="3"/>
  <c r="AI14" i="3"/>
  <c r="AI26" i="3"/>
  <c r="AI24" i="3"/>
  <c r="AI9" i="3"/>
  <c r="AI17" i="3"/>
  <c r="AI18" i="3"/>
  <c r="AI25" i="3"/>
  <c r="AI8" i="3"/>
  <c r="AI23" i="3"/>
  <c r="AN20" i="3"/>
  <c r="AN22" i="3"/>
  <c r="AN19" i="3"/>
  <c r="AN10" i="3"/>
  <c r="AN16" i="3"/>
  <c r="AN12" i="3"/>
  <c r="AN21" i="3"/>
  <c r="AN18" i="3"/>
  <c r="AN29" i="3"/>
  <c r="AN27" i="3"/>
  <c r="AN24" i="3"/>
  <c r="AN13" i="3"/>
  <c r="AN17" i="3"/>
  <c r="AN11" i="3"/>
  <c r="AN9" i="3"/>
  <c r="AN14" i="3"/>
  <c r="AN8" i="3"/>
  <c r="AN26" i="3"/>
  <c r="AN28" i="3"/>
  <c r="AN25" i="3"/>
  <c r="AN15" i="3"/>
  <c r="AN23" i="3"/>
  <c r="AI16" i="3"/>
  <c r="AI7" i="3"/>
  <c r="N30" i="14"/>
  <c r="P30" i="14" s="1"/>
  <c r="O63" i="14" s="1"/>
  <c r="F75" i="14" s="1"/>
  <c r="H48" i="14"/>
  <c r="J48" i="14" s="1"/>
  <c r="J63" i="14" s="1"/>
  <c r="D6" i="11"/>
  <c r="M17" i="14"/>
  <c r="E22" i="14"/>
  <c r="G22" i="14" s="1"/>
  <c r="F59" i="14" s="1"/>
  <c r="K50" i="14"/>
  <c r="M50" i="14" s="1"/>
  <c r="M65" i="14" s="1"/>
  <c r="D76" i="14" s="1"/>
  <c r="K32" i="14"/>
  <c r="M32" i="14" s="1"/>
  <c r="L65" i="14" s="1"/>
  <c r="C76" i="14" s="1"/>
  <c r="D7" i="11" l="1"/>
  <c r="D8" i="11"/>
  <c r="K4" i="14"/>
  <c r="M4" i="14" s="1"/>
  <c r="K59" i="14" s="1"/>
  <c r="B72" i="14" s="1"/>
  <c r="K30" i="14"/>
  <c r="M30" i="14" s="1"/>
  <c r="L63" i="14" s="1"/>
  <c r="C75" i="14" s="1"/>
  <c r="E48" i="14"/>
  <c r="G48" i="14" s="1"/>
  <c r="G63" i="14" s="1"/>
  <c r="N48" i="14"/>
  <c r="P48" i="14" s="1"/>
  <c r="P63" i="14" s="1"/>
  <c r="G75" i="14" s="1"/>
  <c r="N12" i="14"/>
  <c r="P12" i="14" s="1"/>
  <c r="N63" i="14" s="1"/>
  <c r="E75" i="14" s="1"/>
  <c r="E40" i="14"/>
  <c r="G40" i="14" s="1"/>
  <c r="G59" i="14" s="1"/>
  <c r="N4" i="14" l="1"/>
  <c r="P4" i="14" s="1"/>
  <c r="N59" i="14" s="1"/>
  <c r="E72" i="14" s="1"/>
  <c r="K12" i="14"/>
  <c r="M12" i="14" s="1"/>
  <c r="K63" i="14" s="1"/>
  <c r="B75" i="14" s="1"/>
  <c r="N22" i="14"/>
  <c r="P22" i="14" s="1"/>
  <c r="O59" i="14" s="1"/>
  <c r="F72" i="14" s="1"/>
  <c r="N40" i="14"/>
  <c r="P40" i="14" s="1"/>
  <c r="P59" i="14" s="1"/>
  <c r="G72" i="14" s="1"/>
  <c r="K48" i="14" l="1"/>
  <c r="M48" i="14" s="1"/>
  <c r="M63" i="14" s="1"/>
  <c r="D75" i="14" s="1"/>
  <c r="K22" i="14" l="1"/>
  <c r="M22" i="14" s="1"/>
  <c r="L59" i="14" s="1"/>
  <c r="C72" i="14" s="1"/>
  <c r="K40" i="14" l="1"/>
  <c r="M40" i="14" s="1"/>
  <c r="M59" i="14" s="1"/>
  <c r="D72" i="14" s="1"/>
</calcChain>
</file>

<file path=xl/comments1.xml><?xml version="1.0" encoding="utf-8"?>
<comments xmlns="http://schemas.openxmlformats.org/spreadsheetml/2006/main">
  <authors>
    <author>Microsoft Office User</author>
  </authors>
  <commentList>
    <comment ref="AJ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Real means W_in_sim-Wfin_sim. because W_in_sim is different than W_in.</t>
        </r>
      </text>
    </comment>
    <comment ref="AK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Real means W_in_sim-Wfin_sim. because W_in_sim is different than W_in.</t>
        </r>
      </text>
    </comment>
  </commentList>
</comments>
</file>

<file path=xl/sharedStrings.xml><?xml version="1.0" encoding="utf-8"?>
<sst xmlns="http://schemas.openxmlformats.org/spreadsheetml/2006/main" count="1038" uniqueCount="131">
  <si>
    <t>T_water_in</t>
  </si>
  <si>
    <t>T_water_out</t>
  </si>
  <si>
    <t>T_out_LPST</t>
  </si>
  <si>
    <t>P_out_LPST</t>
  </si>
  <si>
    <t>[C]</t>
  </si>
  <si>
    <t>[bar]</t>
  </si>
  <si>
    <t>[kg/s]</t>
  </si>
  <si>
    <t>[%]</t>
  </si>
  <si>
    <t>[MWh/a]</t>
  </si>
  <si>
    <t>Dtamb_air</t>
  </si>
  <si>
    <t>[kW]</t>
  </si>
  <si>
    <t>Efficiency_temp</t>
  </si>
  <si>
    <t>Mass_water_tmp</t>
  </si>
  <si>
    <t>Mass_CO2_tmp</t>
  </si>
  <si>
    <t>m_fuel_tmp</t>
  </si>
  <si>
    <t>dm_fuel_tmp</t>
  </si>
  <si>
    <t>X_CO2_fg</t>
  </si>
  <si>
    <t>m_fg_out</t>
  </si>
  <si>
    <t>m_fuel_sim</t>
  </si>
  <si>
    <t>LHV</t>
  </si>
  <si>
    <t>NG</t>
  </si>
  <si>
    <t>Dtcond</t>
  </si>
  <si>
    <t>Actual water used</t>
  </si>
  <si>
    <t>m_steam_sim_LPST</t>
  </si>
  <si>
    <t>W_net_sim</t>
  </si>
  <si>
    <t>m_Cool_water_sim</t>
  </si>
  <si>
    <t>Efficiency_noMU_water</t>
  </si>
  <si>
    <t>Mass_CW_noMUwater</t>
  </si>
  <si>
    <t>Mass_CO2_noMUwater</t>
  </si>
  <si>
    <t>m_fuel_noMUwater</t>
  </si>
  <si>
    <t>dm_fuel_noMUwater</t>
  </si>
  <si>
    <t>W_net_ST</t>
  </si>
  <si>
    <t>W_net_tot_tmp</t>
  </si>
  <si>
    <t>W_net_tot_noMUwater</t>
  </si>
  <si>
    <t>W_initial</t>
  </si>
  <si>
    <t>m_fuel_initial</t>
  </si>
  <si>
    <t>m_MUwater_initial</t>
  </si>
  <si>
    <t>dm_fuel_tot</t>
  </si>
  <si>
    <t>[kg/sec]</t>
  </si>
  <si>
    <t>hours</t>
  </si>
  <si>
    <t>[ton/a]</t>
  </si>
  <si>
    <t>Added CO2 emissions</t>
  </si>
  <si>
    <t>dW</t>
  </si>
  <si>
    <t>dm_fuel_temp*</t>
  </si>
  <si>
    <t>dm_fuel_tot*</t>
  </si>
  <si>
    <t>dW*</t>
  </si>
  <si>
    <t>[relative]</t>
  </si>
  <si>
    <t>DT=3</t>
  </si>
  <si>
    <t>DT=7</t>
  </si>
  <si>
    <t>NG_CT</t>
  </si>
  <si>
    <t>NG_once</t>
  </si>
  <si>
    <t>DT=5</t>
  </si>
  <si>
    <t>lost $/a</t>
  </si>
  <si>
    <t>per C</t>
  </si>
  <si>
    <t>LCOE NG</t>
  </si>
  <si>
    <t>LCOE Coal</t>
  </si>
  <si>
    <t>Coal_once</t>
  </si>
  <si>
    <t>Coal</t>
  </si>
  <si>
    <t>Simulation</t>
  </si>
  <si>
    <t>Error</t>
  </si>
  <si>
    <t>Equation</t>
  </si>
  <si>
    <t>COW_CT</t>
  </si>
  <si>
    <t>COW_once</t>
  </si>
  <si>
    <t>Tin=15</t>
  </si>
  <si>
    <t>Tin=20</t>
  </si>
  <si>
    <t>COE_coal</t>
  </si>
  <si>
    <t>COE_ng</t>
  </si>
  <si>
    <t>%cons</t>
  </si>
  <si>
    <t>Wnet.tot</t>
  </si>
  <si>
    <t>Wst/Wtot_CCPP</t>
  </si>
  <si>
    <t>%cons CT, DT=3</t>
  </si>
  <si>
    <t>%cons CT, DT=7</t>
  </si>
  <si>
    <t>Eff_coalPP</t>
  </si>
  <si>
    <t>Eff_ngPP</t>
  </si>
  <si>
    <t>Tin=25</t>
  </si>
  <si>
    <t>Errors</t>
  </si>
  <si>
    <t>M_w_in</t>
  </si>
  <si>
    <t>DW_once_tot</t>
  </si>
  <si>
    <t>DW_CT_tot</t>
  </si>
  <si>
    <t>COW_ct</t>
  </si>
  <si>
    <t>COE = 80</t>
  </si>
  <si>
    <t>COE=90</t>
  </si>
  <si>
    <t>COE=100</t>
  </si>
  <si>
    <t>COE=110</t>
  </si>
  <si>
    <t>COE=120</t>
  </si>
  <si>
    <t>DT=9</t>
  </si>
  <si>
    <t>DT=11</t>
  </si>
  <si>
    <t>DT=13</t>
  </si>
  <si>
    <t>DT=15</t>
  </si>
  <si>
    <t>%cons CT, DT=5</t>
  </si>
  <si>
    <t>%cons CT, DT=9</t>
  </si>
  <si>
    <t>%cons CT, DT=11</t>
  </si>
  <si>
    <t>%cons CT, DT=13</t>
  </si>
  <si>
    <t>Coal_CT</t>
  </si>
  <si>
    <t>dWqual</t>
  </si>
  <si>
    <t>dWquant</t>
  </si>
  <si>
    <t>m_cw_in</t>
  </si>
  <si>
    <t>m_mu_in</t>
  </si>
  <si>
    <t>m_mu_f</t>
  </si>
  <si>
    <t>m_cw_f</t>
  </si>
  <si>
    <t>real</t>
  </si>
  <si>
    <t>eq</t>
  </si>
  <si>
    <t>from simulations directly</t>
  </si>
  <si>
    <t>dW*cor</t>
  </si>
  <si>
    <t>POINTS</t>
  </si>
  <si>
    <t>mw_f</t>
  </si>
  <si>
    <t>once</t>
  </si>
  <si>
    <t>CT</t>
  </si>
  <si>
    <t>COAL</t>
  </si>
  <si>
    <t>DT3</t>
  </si>
  <si>
    <t>DT5</t>
  </si>
  <si>
    <t>DT7</t>
  </si>
  <si>
    <t>DT9</t>
  </si>
  <si>
    <t>DT11</t>
  </si>
  <si>
    <t>DT13</t>
  </si>
  <si>
    <t>DT15</t>
  </si>
  <si>
    <t>DMWh/a</t>
  </si>
  <si>
    <t>[e/MWh]</t>
  </si>
  <si>
    <t xml:space="preserve">COST OF WATER </t>
  </si>
  <si>
    <t>FACTOR OF SCARCITY</t>
  </si>
  <si>
    <t>DW_tot=DW_qual+DW_quant</t>
  </si>
  <si>
    <t>COW=COE*DW_tot/W_net</t>
  </si>
  <si>
    <t>W_sim (kW)</t>
  </si>
  <si>
    <t>W_in (kW)</t>
  </si>
  <si>
    <t>mw_f (kg/s)</t>
  </si>
  <si>
    <t>DW_qual=W_in - W_sim</t>
  </si>
  <si>
    <t>DW_quant=W_in - (mw_f - mw_f * f_cons * W_sim / mw_f)</t>
  </si>
  <si>
    <t>with f_cons = 0.02</t>
  </si>
  <si>
    <t>with W_net the reference net power electricity = 400000 kW</t>
  </si>
  <si>
    <t>DW_qual=W_in - ( (mw_f - m_mu_f + m_mu_in) * (W_sim / mw_f) )</t>
  </si>
  <si>
    <t>DW_quant=W_in - ( (mw_f - m_mu_f) * (W_sim / mw_f)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</si>
</sst>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"/>
    <numFmt numFmtId="166" formatCode="0.0"/>
    <numFmt numFmtId="167" formatCode="#,##0.0"/>
    <numFmt numFmtId="168" formatCode="#,##0.000"/>
    <numFmt numFmtId="169" formatCode="0.00000"/>
  </numFmts>
  <fonts count="25" x14ac:knownFonts="1"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1"/>
      <color indexed="8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0" fillId="0" borderId="0" xfId="0" applyNumberFormat="1"/>
    <xf numFmtId="1" fontId="3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2" fontId="0" fillId="0" borderId="0" xfId="0" applyNumberFormat="1" applyFill="1"/>
    <xf numFmtId="1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2" fontId="13" fillId="0" borderId="0" xfId="0" applyNumberFormat="1" applyFont="1" applyFill="1"/>
    <xf numFmtId="2" fontId="14" fillId="0" borderId="0" xfId="0" applyNumberFormat="1" applyFont="1" applyFill="1" applyAlignment="1">
      <alignment horizontal="center"/>
    </xf>
    <xf numFmtId="0" fontId="0" fillId="4" borderId="0" xfId="0" applyFill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3" fillId="0" borderId="0" xfId="0" applyNumberFormat="1" applyFont="1" applyFill="1"/>
    <xf numFmtId="165" fontId="0" fillId="3" borderId="0" xfId="0" applyNumberFormat="1" applyFill="1"/>
    <xf numFmtId="0" fontId="3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15" fillId="0" borderId="0" xfId="0" applyNumberFormat="1" applyFont="1"/>
    <xf numFmtId="164" fontId="13" fillId="0" borderId="0" xfId="0" applyNumberFormat="1" applyFont="1"/>
    <xf numFmtId="2" fontId="0" fillId="4" borderId="0" xfId="0" applyNumberFormat="1" applyFill="1"/>
    <xf numFmtId="166" fontId="0" fillId="0" borderId="0" xfId="0" applyNumberFormat="1"/>
    <xf numFmtId="166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5" borderId="0" xfId="0" applyNumberFormat="1" applyFill="1"/>
    <xf numFmtId="166" fontId="0" fillId="0" borderId="0" xfId="0" applyNumberFormat="1" applyFill="1"/>
    <xf numFmtId="166" fontId="11" fillId="0" borderId="0" xfId="0" applyNumberFormat="1" applyFont="1" applyFill="1"/>
    <xf numFmtId="166" fontId="1" fillId="0" borderId="0" xfId="0" applyNumberFormat="1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166" fontId="13" fillId="0" borderId="0" xfId="0" applyNumberFormat="1" applyFont="1"/>
    <xf numFmtId="2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4" fillId="2" borderId="0" xfId="0" applyNumberFormat="1" applyFont="1" applyFill="1"/>
    <xf numFmtId="165" fontId="0" fillId="2" borderId="0" xfId="0" applyNumberFormat="1" applyFill="1"/>
    <xf numFmtId="165" fontId="16" fillId="0" borderId="0" xfId="0" applyNumberFormat="1" applyFont="1" applyFill="1" applyAlignment="1">
      <alignment horizontal="center"/>
    </xf>
    <xf numFmtId="0" fontId="13" fillId="0" borderId="0" xfId="0" applyFont="1"/>
    <xf numFmtId="2" fontId="1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Fill="1"/>
    <xf numFmtId="0" fontId="0" fillId="0" borderId="0" xfId="0" applyBorder="1"/>
    <xf numFmtId="2" fontId="0" fillId="0" borderId="0" xfId="0" applyNumberFormat="1" applyBorder="1"/>
    <xf numFmtId="167" fontId="0" fillId="0" borderId="0" xfId="0" applyNumberFormat="1"/>
    <xf numFmtId="167" fontId="2" fillId="0" borderId="0" xfId="0" applyNumberFormat="1" applyFont="1"/>
    <xf numFmtId="167" fontId="13" fillId="0" borderId="0" xfId="0" applyNumberFormat="1" applyFont="1"/>
    <xf numFmtId="165" fontId="15" fillId="0" borderId="0" xfId="0" applyNumberFormat="1" applyFont="1"/>
    <xf numFmtId="167" fontId="3" fillId="3" borderId="0" xfId="0" applyNumberFormat="1" applyFont="1" applyFill="1" applyAlignment="1">
      <alignment horizontal="left"/>
    </xf>
    <xf numFmtId="167" fontId="2" fillId="3" borderId="0" xfId="0" applyNumberFormat="1" applyFont="1" applyFill="1"/>
    <xf numFmtId="3" fontId="0" fillId="0" borderId="0" xfId="0" applyNumberFormat="1"/>
    <xf numFmtId="3" fontId="3" fillId="0" borderId="0" xfId="0" applyNumberFormat="1" applyFont="1" applyAlignment="1">
      <alignment horizontal="left"/>
    </xf>
    <xf numFmtId="3" fontId="2" fillId="0" borderId="0" xfId="0" applyNumberFormat="1" applyFont="1"/>
    <xf numFmtId="3" fontId="13" fillId="0" borderId="0" xfId="0" applyNumberFormat="1" applyFont="1"/>
    <xf numFmtId="167" fontId="0" fillId="3" borderId="0" xfId="0" applyNumberFormat="1" applyFill="1"/>
    <xf numFmtId="168" fontId="2" fillId="0" borderId="0" xfId="0" applyNumberFormat="1" applyFont="1"/>
    <xf numFmtId="0" fontId="16" fillId="2" borderId="0" xfId="0" applyFont="1" applyFill="1"/>
    <xf numFmtId="4" fontId="16" fillId="2" borderId="0" xfId="0" applyNumberFormat="1" applyFont="1" applyFill="1"/>
    <xf numFmtId="2" fontId="16" fillId="2" borderId="0" xfId="0" applyNumberFormat="1" applyFont="1" applyFill="1"/>
    <xf numFmtId="169" fontId="0" fillId="0" borderId="0" xfId="0" applyNumberFormat="1"/>
    <xf numFmtId="0" fontId="0" fillId="0" borderId="0" xfId="0" applyFill="1"/>
    <xf numFmtId="167" fontId="3" fillId="6" borderId="0" xfId="0" applyNumberFormat="1" applyFont="1" applyFill="1" applyAlignment="1">
      <alignment horizontal="left"/>
    </xf>
    <xf numFmtId="0" fontId="17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right" vertical="center" wrapText="1"/>
    </xf>
    <xf numFmtId="0" fontId="17" fillId="0" borderId="2" xfId="0" applyFont="1" applyFill="1" applyBorder="1" applyAlignment="1">
      <alignment horizontal="justify" vertical="center" wrapText="1"/>
    </xf>
    <xf numFmtId="0" fontId="0" fillId="3" borderId="0" xfId="0" applyFill="1"/>
    <xf numFmtId="0" fontId="0" fillId="3" borderId="0" xfId="0" applyFill="1" applyBorder="1"/>
    <xf numFmtId="0" fontId="0" fillId="0" borderId="0" xfId="0" applyFont="1" applyBorder="1" applyAlignment="1">
      <alignment horizontal="right" vertical="center" wrapText="1"/>
    </xf>
    <xf numFmtId="2" fontId="0" fillId="3" borderId="0" xfId="0" applyNumberFormat="1" applyFill="1" applyBorder="1"/>
    <xf numFmtId="4" fontId="0" fillId="0" borderId="0" xfId="0" applyNumberFormat="1"/>
    <xf numFmtId="0" fontId="0" fillId="7" borderId="0" xfId="0" applyFill="1"/>
    <xf numFmtId="0" fontId="0" fillId="0" borderId="3" xfId="0" applyFont="1" applyBorder="1" applyAlignment="1">
      <alignment horizontal="justify" vertical="center" wrapText="1"/>
    </xf>
    <xf numFmtId="0" fontId="17" fillId="0" borderId="3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right" vertical="center" wrapText="1"/>
    </xf>
    <xf numFmtId="0" fontId="13" fillId="0" borderId="3" xfId="0" applyFont="1" applyBorder="1" applyAlignment="1">
      <alignment horizontal="justify" vertical="center" wrapText="1"/>
    </xf>
    <xf numFmtId="0" fontId="0" fillId="0" borderId="3" xfId="0" applyBorder="1"/>
    <xf numFmtId="0" fontId="13" fillId="0" borderId="3" xfId="0" applyFont="1" applyBorder="1"/>
    <xf numFmtId="0" fontId="0" fillId="7" borderId="3" xfId="0" applyFont="1" applyFill="1" applyBorder="1" applyAlignment="1">
      <alignment horizontal="right" vertical="center" wrapText="1"/>
    </xf>
    <xf numFmtId="0" fontId="0" fillId="7" borderId="3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right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15" fillId="0" borderId="3" xfId="0" applyFont="1" applyBorder="1" applyAlignment="1">
      <alignment horizontal="justify" vertical="center" wrapText="1"/>
    </xf>
    <xf numFmtId="0" fontId="13" fillId="7" borderId="3" xfId="0" applyFont="1" applyFill="1" applyBorder="1" applyAlignment="1">
      <alignment horizontal="justify" vertical="center" wrapText="1"/>
    </xf>
    <xf numFmtId="0" fontId="13" fillId="0" borderId="3" xfId="0" applyFont="1" applyFill="1" applyBorder="1" applyAlignment="1">
      <alignment horizontal="justify" vertical="center" wrapText="1"/>
    </xf>
    <xf numFmtId="0" fontId="13" fillId="3" borderId="0" xfId="0" applyFont="1" applyFill="1"/>
    <xf numFmtId="169" fontId="1" fillId="0" borderId="0" xfId="0" applyNumberFormat="1" applyFont="1" applyFill="1" applyAlignment="1">
      <alignment horizontal="center"/>
    </xf>
    <xf numFmtId="169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2" fontId="13" fillId="0" borderId="0" xfId="0" applyNumberFormat="1" applyFont="1"/>
    <xf numFmtId="2" fontId="16" fillId="0" borderId="0" xfId="0" applyNumberFormat="1" applyFont="1"/>
    <xf numFmtId="2" fontId="14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0" fillId="8" borderId="0" xfId="0" applyFill="1"/>
    <xf numFmtId="2" fontId="0" fillId="8" borderId="0" xfId="0" applyNumberFormat="1" applyFill="1"/>
    <xf numFmtId="169" fontId="0" fillId="8" borderId="0" xfId="0" applyNumberFormat="1" applyFill="1"/>
    <xf numFmtId="165" fontId="0" fillId="8" borderId="0" xfId="0" applyNumberFormat="1" applyFill="1"/>
    <xf numFmtId="164" fontId="15" fillId="8" borderId="0" xfId="0" applyNumberFormat="1" applyFont="1" applyFill="1"/>
    <xf numFmtId="2" fontId="13" fillId="8" borderId="0" xfId="0" applyNumberFormat="1" applyFont="1" applyFill="1"/>
    <xf numFmtId="164" fontId="13" fillId="8" borderId="0" xfId="0" applyNumberFormat="1" applyFont="1" applyFill="1"/>
    <xf numFmtId="166" fontId="0" fillId="8" borderId="0" xfId="0" applyNumberFormat="1" applyFill="1"/>
    <xf numFmtId="165" fontId="13" fillId="8" borderId="0" xfId="0" applyNumberFormat="1" applyFont="1" applyFill="1"/>
    <xf numFmtId="1" fontId="0" fillId="8" borderId="0" xfId="0" applyNumberFormat="1" applyFill="1"/>
    <xf numFmtId="165" fontId="2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5" fillId="4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4" fillId="4" borderId="0" xfId="0" applyNumberFormat="1" applyFont="1" applyFill="1" applyAlignment="1">
      <alignment horizontal="center"/>
    </xf>
    <xf numFmtId="166" fontId="5" fillId="4" borderId="0" xfId="0" applyNumberFormat="1" applyFont="1" applyFill="1" applyAlignment="1">
      <alignment horizontal="center"/>
    </xf>
    <xf numFmtId="166" fontId="14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justify" vertical="center" wrapText="1"/>
    </xf>
    <xf numFmtId="2" fontId="15" fillId="4" borderId="0" xfId="0" applyNumberFormat="1" applyFont="1" applyFill="1"/>
    <xf numFmtId="2" fontId="0" fillId="9" borderId="0" xfId="0" applyNumberFormat="1" applyFill="1"/>
    <xf numFmtId="0" fontId="0" fillId="9" borderId="0" xfId="0" applyFill="1"/>
    <xf numFmtId="0" fontId="17" fillId="9" borderId="0" xfId="0" applyFont="1" applyFill="1"/>
    <xf numFmtId="0" fontId="21" fillId="9" borderId="0" xfId="0" applyFont="1" applyFill="1"/>
    <xf numFmtId="0" fontId="2" fillId="2" borderId="0" xfId="0" applyFont="1" applyFill="1"/>
    <xf numFmtId="0" fontId="0" fillId="2" borderId="0" xfId="0" applyFill="1"/>
    <xf numFmtId="0" fontId="2" fillId="10" borderId="0" xfId="0" applyFont="1" applyFill="1"/>
    <xf numFmtId="0" fontId="0" fillId="10" borderId="0" xfId="0" applyFill="1"/>
    <xf numFmtId="0" fontId="2" fillId="5" borderId="0" xfId="0" applyFont="1" applyFill="1"/>
    <xf numFmtId="0" fontId="0" fillId="5" borderId="0" xfId="0" applyFill="1"/>
    <xf numFmtId="0" fontId="2" fillId="11" borderId="0" xfId="0" applyFont="1" applyFill="1"/>
    <xf numFmtId="0" fontId="0" fillId="11" borderId="0" xfId="0" applyFill="1"/>
    <xf numFmtId="0" fontId="2" fillId="12" borderId="0" xfId="0" applyFont="1" applyFill="1"/>
    <xf numFmtId="0" fontId="0" fillId="12" borderId="0" xfId="0" applyFill="1"/>
    <xf numFmtId="164" fontId="16" fillId="5" borderId="0" xfId="0" applyNumberFormat="1" applyFont="1" applyFill="1"/>
    <xf numFmtId="165" fontId="13" fillId="5" borderId="0" xfId="0" applyNumberFormat="1" applyFont="1" applyFill="1"/>
    <xf numFmtId="0" fontId="2" fillId="7" borderId="0" xfId="0" applyFont="1" applyFill="1"/>
    <xf numFmtId="0" fontId="2" fillId="0" borderId="0" xfId="0" applyFont="1" applyFill="1"/>
    <xf numFmtId="0" fontId="3" fillId="10" borderId="0" xfId="0" applyFont="1" applyFill="1"/>
    <xf numFmtId="0" fontId="3" fillId="12" borderId="0" xfId="0" applyFont="1" applyFill="1"/>
    <xf numFmtId="0" fontId="22" fillId="0" borderId="0" xfId="0" applyFont="1"/>
    <xf numFmtId="0" fontId="22" fillId="8" borderId="0" xfId="0" applyFont="1" applyFill="1"/>
    <xf numFmtId="0" fontId="23" fillId="8" borderId="0" xfId="0" applyFont="1" applyFill="1"/>
    <xf numFmtId="0" fontId="24" fillId="8" borderId="0" xfId="0" applyFont="1" applyFill="1"/>
    <xf numFmtId="0" fontId="17" fillId="5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decrease in added COW - 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(_RES_COAL_NG!#REF!,_RES_COAL_NG!#REF!,_RES_COAL_NG!#REF!,_RES_COAL_NG!#REF!)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_RES_COAL_NG!#REF!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635-2A45-8335-6BA007C33B90}"/>
            </c:ext>
          </c:extLst>
        </c:ser>
        <c:ser>
          <c:idx val="1"/>
          <c:order val="1"/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(_RES_COAL_NG!#REF!,_RES_COAL_NG!#REF!,_RES_COAL_NG!#REF!,_RES_COAL_NG!#REF!)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_RES_COAL_NG!#REF!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635-2A45-8335-6BA007C33B90}"/>
            </c:ext>
          </c:extLst>
        </c:ser>
        <c:ser>
          <c:idx val="2"/>
          <c:order val="2"/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(_RES_COAL_NG!#REF!,_RES_COAL_NG!#REF!,_RES_COAL_NG!#REF!,_RES_COAL_NG!#REF!)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_RES_COAL_NG!#REF!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635-2A45-8335-6BA007C3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811760"/>
        <c:axId val="1876814688"/>
      </c:barChart>
      <c:catAx>
        <c:axId val="187681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814688"/>
        <c:crosses val="autoZero"/>
        <c:auto val="1"/>
        <c:lblAlgn val="ctr"/>
        <c:lblOffset val="100"/>
        <c:noMultiLvlLbl val="0"/>
      </c:catAx>
      <c:valAx>
        <c:axId val="1876814688"/>
        <c:scaling>
          <c:orientation val="minMax"/>
          <c:max val="100.05"/>
          <c:min val="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8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Validation!$S$30:$S$36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Validation!$H$22:$H$28</c:f>
              <c:numCache>
                <c:formatCode>General</c:formatCode>
                <c:ptCount val="7"/>
                <c:pt idx="0">
                  <c:v>0</c:v>
                </c:pt>
                <c:pt idx="1">
                  <c:v>7502.7238854097268</c:v>
                </c:pt>
                <c:pt idx="2">
                  <c:v>8592.4335594599324</c:v>
                </c:pt>
                <c:pt idx="3">
                  <c:v>9680.0466484990702</c:v>
                </c:pt>
                <c:pt idx="4">
                  <c:v>10781.779960075297</c:v>
                </c:pt>
                <c:pt idx="5">
                  <c:v>11972.780691051576</c:v>
                </c:pt>
                <c:pt idx="6">
                  <c:v>13240.471674718607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D-854E-A6AE-D1DD896731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Validation!$S$30:$S$36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Validation!$I$22:$I$28</c:f>
              <c:numCache>
                <c:formatCode>General</c:formatCode>
                <c:ptCount val="7"/>
                <c:pt idx="0">
                  <c:v>6458.2244000000001</c:v>
                </c:pt>
                <c:pt idx="1">
                  <c:v>7517.29</c:v>
                </c:pt>
                <c:pt idx="2">
                  <c:v>8581.8883999999998</c:v>
                </c:pt>
                <c:pt idx="3">
                  <c:v>9652.0195999999996</c:v>
                </c:pt>
                <c:pt idx="4">
                  <c:v>10727.6836</c:v>
                </c:pt>
                <c:pt idx="5">
                  <c:v>11808.8804</c:v>
                </c:pt>
                <c:pt idx="6">
                  <c:v>12895.610000000002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D-854E-A6AE-D1DD8967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324239"/>
        <c:axId val="1713325967"/>
      </c:lineChart>
      <c:catAx>
        <c:axId val="1713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325967"/>
        <c:crosses val="autoZero"/>
        <c:auto val="1"/>
        <c:lblAlgn val="ctr"/>
        <c:lblOffset val="100"/>
        <c:noMultiLvlLbl val="0"/>
      </c:catAx>
      <c:valAx>
        <c:axId val="17133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Validation!$S$30:$S$36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Validation!$E$22:$E$28</c:f>
              <c:numCache>
                <c:formatCode>General</c:formatCode>
                <c:ptCount val="7"/>
                <c:pt idx="0">
                  <c:v>0</c:v>
                </c:pt>
                <c:pt idx="1">
                  <c:v>8044.8041089400076</c:v>
                </c:pt>
                <c:pt idx="2">
                  <c:v>12307.537893860632</c:v>
                </c:pt>
                <c:pt idx="3">
                  <c:v>17024.306818172023</c:v>
                </c:pt>
                <c:pt idx="4">
                  <c:v>21360.914251713177</c:v>
                </c:pt>
                <c:pt idx="5">
                  <c:v>29935.508418307949</c:v>
                </c:pt>
                <c:pt idx="6">
                  <c:v>55406.083326099892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2-704E-9D72-3B469D5E17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Validation!$S$30:$S$36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Validation!$F$22:$F$28</c:f>
              <c:numCache>
                <c:formatCode>General</c:formatCode>
                <c:ptCount val="7"/>
                <c:pt idx="0">
                  <c:v>14435.803341288782</c:v>
                </c:pt>
                <c:pt idx="1">
                  <c:v>18726.338902147971</c:v>
                </c:pt>
                <c:pt idx="2">
                  <c:v>23016.87446300716</c:v>
                </c:pt>
                <c:pt idx="3">
                  <c:v>27307.410023866349</c:v>
                </c:pt>
                <c:pt idx="4">
                  <c:v>31597.945584725534</c:v>
                </c:pt>
                <c:pt idx="5">
                  <c:v>35888.481145584723</c:v>
                </c:pt>
                <c:pt idx="6">
                  <c:v>40179.016706443908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2-704E-9D72-3B469D5E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324239"/>
        <c:axId val="1713325967"/>
      </c:lineChart>
      <c:catAx>
        <c:axId val="1713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325967"/>
        <c:crosses val="autoZero"/>
        <c:auto val="1"/>
        <c:lblAlgn val="ctr"/>
        <c:lblOffset val="100"/>
        <c:noMultiLvlLbl val="0"/>
      </c:catAx>
      <c:valAx>
        <c:axId val="17133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Validation!$S$30:$S$36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xVal>
          <c:yVal>
            <c:numRef>
              <c:f>Validation!$H$22:$H$28</c:f>
              <c:numCache>
                <c:formatCode>General</c:formatCode>
                <c:ptCount val="7"/>
                <c:pt idx="0">
                  <c:v>0</c:v>
                </c:pt>
                <c:pt idx="1">
                  <c:v>7502.7238854097268</c:v>
                </c:pt>
                <c:pt idx="2">
                  <c:v>8592.4335594599324</c:v>
                </c:pt>
                <c:pt idx="3">
                  <c:v>9680.0466484990702</c:v>
                </c:pt>
                <c:pt idx="4">
                  <c:v>10781.779960075297</c:v>
                </c:pt>
                <c:pt idx="5">
                  <c:v>11972.780691051576</c:v>
                </c:pt>
                <c:pt idx="6">
                  <c:v>13240.471674718607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8-2542-8177-D83ABC5C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324239"/>
        <c:axId val="1713325967"/>
      </c:scatterChart>
      <c:valAx>
        <c:axId val="1713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325967"/>
        <c:crosses val="autoZero"/>
        <c:crossBetween val="midCat"/>
      </c:valAx>
      <c:valAx>
        <c:axId val="17133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3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54</xdr:row>
      <xdr:rowOff>177800</xdr:rowOff>
    </xdr:from>
    <xdr:to>
      <xdr:col>8</xdr:col>
      <xdr:colOff>0</xdr:colOff>
      <xdr:row>76</xdr:row>
      <xdr:rowOff>133349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215900</xdr:colOff>
      <xdr:row>1</xdr:row>
      <xdr:rowOff>101600</xdr:rowOff>
    </xdr:to>
    <xdr:pic>
      <xdr:nvPicPr>
        <xdr:cNvPr id="2" name="Picture 1" descr="/var/folders/6_/p8rn0brs77z392f5v_fdr8wr0000gn/T/com.microsoft.Excel/WebArchiveCopyPasteTempFiles/cidclip_image00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2159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292100</xdr:colOff>
      <xdr:row>1</xdr:row>
      <xdr:rowOff>101600</xdr:rowOff>
    </xdr:to>
    <xdr:pic>
      <xdr:nvPicPr>
        <xdr:cNvPr id="3" name="Picture 2" descr="/var/folders/6_/p8rn0brs77z392f5v_fdr8wr0000gn/T/com.microsoft.Excel/WebArchiveCopyPasteTempFiles/cidclip_image002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2921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241300</xdr:colOff>
      <xdr:row>1</xdr:row>
      <xdr:rowOff>101600</xdr:rowOff>
    </xdr:to>
    <xdr:pic>
      <xdr:nvPicPr>
        <xdr:cNvPr id="4" name="Picture 3" descr="/var/folders/6_/p8rn0brs77z392f5v_fdr8wr0000gn/T/com.microsoft.Excel/WebArchiveCopyPasteTempFiles/cidclip_image003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2413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200949</xdr:rowOff>
    </xdr:from>
    <xdr:to>
      <xdr:col>10</xdr:col>
      <xdr:colOff>203200</xdr:colOff>
      <xdr:row>1</xdr:row>
      <xdr:rowOff>96938</xdr:rowOff>
    </xdr:to>
    <xdr:pic>
      <xdr:nvPicPr>
        <xdr:cNvPr id="5" name="Picture 4" descr="/var/folders/6_/p8rn0brs77z392f5v_fdr8wr0000gn/T/com.microsoft.Excel/WebArchiveCopyPasteTempFiles/cidclip_image004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0633" y="200949"/>
          <a:ext cx="203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203200</xdr:colOff>
      <xdr:row>1</xdr:row>
      <xdr:rowOff>101600</xdr:rowOff>
    </xdr:to>
    <xdr:pic>
      <xdr:nvPicPr>
        <xdr:cNvPr id="10" name="Picture 9" descr="/var/folders/6_/p8rn0brs77z392f5v_fdr8wr0000gn/T/com.microsoft.Excel/WebArchiveCopyPasteTempFiles/cidclip_image004.png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4300" y="0"/>
          <a:ext cx="203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215900</xdr:colOff>
      <xdr:row>19</xdr:row>
      <xdr:rowOff>101600</xdr:rowOff>
    </xdr:to>
    <xdr:pic>
      <xdr:nvPicPr>
        <xdr:cNvPr id="11" name="Picture 10" descr="/var/folders/6_/p8rn0brs77z392f5v_fdr8wr0000gn/T/com.microsoft.Excel/WebArchiveCopyPasteTempFiles/cidclip_image001.pn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88" y="204107"/>
          <a:ext cx="2159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292100</xdr:colOff>
      <xdr:row>19</xdr:row>
      <xdr:rowOff>101600</xdr:rowOff>
    </xdr:to>
    <xdr:pic>
      <xdr:nvPicPr>
        <xdr:cNvPr id="12" name="Picture 11" descr="/var/folders/6_/p8rn0brs77z392f5v_fdr8wr0000gn/T/com.microsoft.Excel/WebArchiveCopyPasteTempFiles/cidclip_image002.p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667" y="204107"/>
          <a:ext cx="2921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241300</xdr:colOff>
      <xdr:row>19</xdr:row>
      <xdr:rowOff>101600</xdr:rowOff>
    </xdr:to>
    <xdr:pic>
      <xdr:nvPicPr>
        <xdr:cNvPr id="13" name="Picture 12" descr="/var/folders/6_/p8rn0brs77z392f5v_fdr8wr0000gn/T/com.microsoft.Excel/WebArchiveCopyPasteTempFiles/cidclip_image003.png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9345" y="204107"/>
          <a:ext cx="2413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203200</xdr:colOff>
      <xdr:row>19</xdr:row>
      <xdr:rowOff>101600</xdr:rowOff>
    </xdr:to>
    <xdr:pic>
      <xdr:nvPicPr>
        <xdr:cNvPr id="14" name="Picture 13" descr="/var/folders/6_/p8rn0brs77z392f5v_fdr8wr0000gn/T/com.microsoft.Excel/WebArchiveCopyPasteTempFiles/cidclip_image004.png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5238" y="204107"/>
          <a:ext cx="203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203200</xdr:colOff>
      <xdr:row>19</xdr:row>
      <xdr:rowOff>101600</xdr:rowOff>
    </xdr:to>
    <xdr:pic>
      <xdr:nvPicPr>
        <xdr:cNvPr id="19" name="Picture 18" descr="/var/folders/6_/p8rn0brs77z392f5v_fdr8wr0000gn/T/com.microsoft.Excel/WebArchiveCopyPasteTempFiles/cidclip_image004.png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9940" y="204107"/>
          <a:ext cx="203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215900</xdr:colOff>
      <xdr:row>37</xdr:row>
      <xdr:rowOff>101600</xdr:rowOff>
    </xdr:to>
    <xdr:pic>
      <xdr:nvPicPr>
        <xdr:cNvPr id="20" name="Picture 19" descr="/var/folders/6_/p8rn0brs77z392f5v_fdr8wr0000gn/T/com.microsoft.Excel/WebArchiveCopyPasteTempFiles/cidclip_image001.png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88" y="1836964"/>
          <a:ext cx="2159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292100</xdr:colOff>
      <xdr:row>37</xdr:row>
      <xdr:rowOff>101600</xdr:rowOff>
    </xdr:to>
    <xdr:pic>
      <xdr:nvPicPr>
        <xdr:cNvPr id="21" name="Picture 20" descr="/var/folders/6_/p8rn0brs77z392f5v_fdr8wr0000gn/T/com.microsoft.Excel/WebArchiveCopyPasteTempFiles/cidclip_image002.png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786" y="1836964"/>
          <a:ext cx="2921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241300</xdr:colOff>
      <xdr:row>37</xdr:row>
      <xdr:rowOff>101600</xdr:rowOff>
    </xdr:to>
    <xdr:pic>
      <xdr:nvPicPr>
        <xdr:cNvPr id="22" name="Picture 21" descr="/var/folders/6_/p8rn0brs77z392f5v_fdr8wr0000gn/T/com.microsoft.Excel/WebArchiveCopyPasteTempFiles/cidclip_image003.png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9583" y="1836964"/>
          <a:ext cx="2413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203200</xdr:colOff>
      <xdr:row>37</xdr:row>
      <xdr:rowOff>101600</xdr:rowOff>
    </xdr:to>
    <xdr:pic>
      <xdr:nvPicPr>
        <xdr:cNvPr id="23" name="Picture 22" descr="/var/folders/6_/p8rn0brs77z392f5v_fdr8wr0000gn/T/com.microsoft.Excel/WebArchiveCopyPasteTempFiles/cidclip_image004.png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0595" y="1836964"/>
          <a:ext cx="203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203200</xdr:colOff>
      <xdr:row>37</xdr:row>
      <xdr:rowOff>101600</xdr:rowOff>
    </xdr:to>
    <xdr:pic>
      <xdr:nvPicPr>
        <xdr:cNvPr id="28" name="Picture 27" descr="/var/folders/6_/p8rn0brs77z392f5v_fdr8wr0000gn/T/com.microsoft.Excel/WebArchiveCopyPasteTempFiles/cidclip_image004.png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0417" y="1836964"/>
          <a:ext cx="203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101600</xdr:rowOff>
    </xdr:to>
    <xdr:pic>
      <xdr:nvPicPr>
        <xdr:cNvPr id="29" name="Picture 28" descr="/var/folders/6_/p8rn0brs77z392f5v_fdr8wr0000gn/T/com.microsoft.Excel/WebArchiveCopyPasteTempFiles/cidclip_image005.png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0949"/>
          <a:ext cx="304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60</xdr:row>
      <xdr:rowOff>101600</xdr:rowOff>
    </xdr:to>
    <xdr:pic>
      <xdr:nvPicPr>
        <xdr:cNvPr id="30" name="Picture 29" descr="/var/folders/6_/p8rn0brs77z392f5v_fdr8wr0000gn/T/com.microsoft.Excel/WebArchiveCopyPasteTempFiles/cidclip_image006.png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1899"/>
          <a:ext cx="304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62</xdr:row>
      <xdr:rowOff>101600</xdr:rowOff>
    </xdr:to>
    <xdr:pic>
      <xdr:nvPicPr>
        <xdr:cNvPr id="31" name="Picture 30" descr="/var/folders/6_/p8rn0brs77z392f5v_fdr8wr0000gn/T/com.microsoft.Excel/WebArchiveCopyPasteTempFiles/cidclip_image007.png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3797"/>
          <a:ext cx="304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101600</xdr:rowOff>
    </xdr:to>
    <xdr:pic>
      <xdr:nvPicPr>
        <xdr:cNvPr id="32" name="Picture 31" descr="/var/folders/6_/p8rn0brs77z392f5v_fdr8wr0000gn/T/com.microsoft.Excel/WebArchiveCopyPasteTempFiles/cidclip_image008.png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4747"/>
          <a:ext cx="304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748338</xdr:colOff>
      <xdr:row>46</xdr:row>
      <xdr:rowOff>115425</xdr:rowOff>
    </xdr:from>
    <xdr:to>
      <xdr:col>22</xdr:col>
      <xdr:colOff>176034</xdr:colOff>
      <xdr:row>60</xdr:row>
      <xdr:rowOff>133752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97A115-B8D8-AE4C-A4E8-7F656691D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152719</xdr:colOff>
      <xdr:row>59</xdr:row>
      <xdr:rowOff>176836</xdr:rowOff>
    </xdr:from>
    <xdr:to>
      <xdr:col>8</xdr:col>
      <xdr:colOff>295795</xdr:colOff>
      <xdr:row>73</xdr:row>
      <xdr:rowOff>171049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6C0E5A1-67CE-F24C-8FFF-DBD8BD316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104493</xdr:colOff>
      <xdr:row>33</xdr:row>
      <xdr:rowOff>152722</xdr:rowOff>
    </xdr:from>
    <xdr:to>
      <xdr:col>21</xdr:col>
      <xdr:colOff>311874</xdr:colOff>
      <xdr:row>48</xdr:row>
      <xdr:rowOff>2251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00C75F1-B6CA-6241-9789-36AFCBCC8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7_Design/RESULTS_all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9_design/results9_d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11_design/results11_da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13_design/results13_da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15_design/results15_d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5_design/RESULTS_all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9_Design/RESULTS_all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11_Design/RESULTS_all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13_Design/RESULTS_all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15_Design/RESULTS_all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3_d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5_design/results5_d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ntinapetrakopoulou/Google%20Drive/1.UC3M/1.WATERresearch/1b.Simulations_VaryTwater_DTcond_7_design/results7_d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"/>
      <sheetName val="COAL_CT"/>
      <sheetName val="DIAGRAMS_COAL"/>
      <sheetName val="NG"/>
      <sheetName val="NG_CT"/>
      <sheetName val="DIAGRAMS_NG"/>
      <sheetName val="Economics"/>
      <sheetName val="Econ_rec"/>
    </sheetNames>
    <sheetDataSet>
      <sheetData sheetId="0">
        <row r="6">
          <cell r="K6">
            <v>19879.181043</v>
          </cell>
        </row>
        <row r="13">
          <cell r="AP13">
            <v>23590.303169000021</v>
          </cell>
        </row>
        <row r="20">
          <cell r="K20"/>
        </row>
        <row r="27">
          <cell r="AP27">
            <v>12307.537893860632</v>
          </cell>
        </row>
        <row r="34">
          <cell r="K34">
            <v>20727.362949999999</v>
          </cell>
        </row>
      </sheetData>
      <sheetData sheetId="1">
        <row r="13">
          <cell r="AP13">
            <v>8431.2472430000198</v>
          </cell>
        </row>
        <row r="27">
          <cell r="AP27">
            <v>8592.4335594599324</v>
          </cell>
        </row>
      </sheetData>
      <sheetData sheetId="2"/>
      <sheetData sheetId="3">
        <row r="6">
          <cell r="K6">
            <v>5465.1160010000003</v>
          </cell>
        </row>
        <row r="13">
          <cell r="AP13">
            <v>7635.3721520000254</v>
          </cell>
        </row>
        <row r="27">
          <cell r="AP27">
            <v>3944.1565994960774</v>
          </cell>
        </row>
        <row r="34">
          <cell r="K34">
            <v>5810.4630289999996</v>
          </cell>
        </row>
      </sheetData>
      <sheetData sheetId="4">
        <row r="13">
          <cell r="AP13">
            <v>2562.2809739999357</v>
          </cell>
        </row>
        <row r="27">
          <cell r="AP27">
            <v>2655.5820595765358</v>
          </cell>
        </row>
      </sheetData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err"/>
      <sheetName val="err"/>
      <sheetName val="all"/>
    </sheetNames>
    <sheetDataSet>
      <sheetData sheetId="0">
        <row r="2">
          <cell r="C2">
            <v>32.624777999999999</v>
          </cell>
          <cell r="D2">
            <v>4.9299999999999997E-2</v>
          </cell>
          <cell r="E2">
            <v>14.861395999999999</v>
          </cell>
          <cell r="F2">
            <v>6.3917000000000002E-2</v>
          </cell>
          <cell r="G2">
            <v>642.76345200000003</v>
          </cell>
          <cell r="H2">
            <v>73.897008999999997</v>
          </cell>
          <cell r="I2">
            <v>400003.85672600003</v>
          </cell>
          <cell r="J2">
            <v>4259.8273230000004</v>
          </cell>
          <cell r="K2">
            <v>400003.85689599998</v>
          </cell>
          <cell r="L2">
            <v>14.861395999999999</v>
          </cell>
          <cell r="M2">
            <v>98.290539999999993</v>
          </cell>
          <cell r="N2">
            <v>53.815117999999998</v>
          </cell>
          <cell r="O2">
            <v>53.433943999999997</v>
          </cell>
          <cell r="P2">
            <v>4259.8273230000004</v>
          </cell>
          <cell r="Q2">
            <v>4161.5367829999996</v>
          </cell>
          <cell r="R2">
            <v>41.083343999999997</v>
          </cell>
          <cell r="S2">
            <v>41.376413999999997</v>
          </cell>
          <cell r="T2">
            <v>14.861395999999999</v>
          </cell>
          <cell r="U2">
            <v>14.967411</v>
          </cell>
          <cell r="V2">
            <v>0</v>
          </cell>
          <cell r="W2">
            <v>0.106015</v>
          </cell>
          <cell r="X2">
            <v>122790.012068</v>
          </cell>
          <cell r="Y2">
            <v>400003.85672799998</v>
          </cell>
          <cell r="Z2">
            <v>397170.62062</v>
          </cell>
        </row>
        <row r="3">
          <cell r="C3">
            <v>32.624777999999999</v>
          </cell>
          <cell r="D3">
            <v>4.9299999999999997E-2</v>
          </cell>
          <cell r="E3">
            <v>14.861395999999999</v>
          </cell>
          <cell r="F3">
            <v>6.3917000000000002E-2</v>
          </cell>
          <cell r="G3">
            <v>642.76345200000003</v>
          </cell>
          <cell r="H3">
            <v>73.897008999999997</v>
          </cell>
          <cell r="I3">
            <v>400003.85672600003</v>
          </cell>
          <cell r="J3">
            <v>4259.8273230000004</v>
          </cell>
          <cell r="K3">
            <v>400003.85689599998</v>
          </cell>
          <cell r="L3">
            <v>14.861395999999999</v>
          </cell>
          <cell r="M3">
            <v>99.490604000000005</v>
          </cell>
          <cell r="N3">
            <v>53.810464000000003</v>
          </cell>
          <cell r="O3">
            <v>53.429290000000002</v>
          </cell>
          <cell r="P3">
            <v>4258.6272589999999</v>
          </cell>
          <cell r="Q3">
            <v>4160.3367189999999</v>
          </cell>
          <cell r="R3">
            <v>41.086897999999998</v>
          </cell>
          <cell r="S3">
            <v>41.380018999999997</v>
          </cell>
          <cell r="T3">
            <v>14.862681</v>
          </cell>
          <cell r="U3">
            <v>14.968714</v>
          </cell>
          <cell r="V3">
            <v>1.2849999999999999E-3</v>
          </cell>
          <cell r="W3">
            <v>0.107318</v>
          </cell>
          <cell r="X3">
            <v>122790.012068</v>
          </cell>
          <cell r="Y3">
            <v>399969.26475500001</v>
          </cell>
          <cell r="Z3">
            <v>397136.02864700003</v>
          </cell>
        </row>
        <row r="4">
          <cell r="C4">
            <v>36.936081000000001</v>
          </cell>
          <cell r="D4">
            <v>6.2600000000000003E-2</v>
          </cell>
          <cell r="E4">
            <v>14.860723999999999</v>
          </cell>
          <cell r="F4">
            <v>6.4704999999999999E-2</v>
          </cell>
          <cell r="G4">
            <v>634.83982000000003</v>
          </cell>
          <cell r="H4">
            <v>76.377780000000001</v>
          </cell>
          <cell r="I4">
            <v>400004.73104400001</v>
          </cell>
          <cell r="J4">
            <v>4421.7910979999997</v>
          </cell>
          <cell r="K4">
            <v>400004.73032899998</v>
          </cell>
          <cell r="L4">
            <v>14.860723999999999</v>
          </cell>
          <cell r="M4">
            <v>105.785674</v>
          </cell>
          <cell r="N4">
            <v>53.81767</v>
          </cell>
          <cell r="O4">
            <v>53.417031000000001</v>
          </cell>
          <cell r="P4">
            <v>4421.7910979999997</v>
          </cell>
          <cell r="Q4">
            <v>4316.0054239999999</v>
          </cell>
          <cell r="R4">
            <v>41.077539000000002</v>
          </cell>
          <cell r="S4">
            <v>41.385627999999997</v>
          </cell>
          <cell r="T4">
            <v>14.860723999999999</v>
          </cell>
          <cell r="U4">
            <v>14.972182</v>
          </cell>
          <cell r="V4">
            <v>0</v>
          </cell>
          <cell r="W4">
            <v>0.111458</v>
          </cell>
          <cell r="X4">
            <v>124469.841887</v>
          </cell>
          <cell r="Y4">
            <v>400004.73103600001</v>
          </cell>
          <cell r="Z4">
            <v>397026.94990900002</v>
          </cell>
        </row>
        <row r="5">
          <cell r="C5">
            <v>36.936081000000001</v>
          </cell>
          <cell r="D5">
            <v>6.2600000000000003E-2</v>
          </cell>
          <cell r="E5">
            <v>14.860723999999999</v>
          </cell>
          <cell r="F5">
            <v>6.4704999999999999E-2</v>
          </cell>
          <cell r="G5">
            <v>634.83982000000003</v>
          </cell>
          <cell r="H5">
            <v>76.377780000000001</v>
          </cell>
          <cell r="I5">
            <v>400004.73104400001</v>
          </cell>
          <cell r="J5">
            <v>4421.7910979999997</v>
          </cell>
          <cell r="K5">
            <v>400004.73032899998</v>
          </cell>
          <cell r="L5">
            <v>14.860723999999999</v>
          </cell>
          <cell r="M5">
            <v>107.16879299999999</v>
          </cell>
          <cell r="N5">
            <v>53.812432000000001</v>
          </cell>
          <cell r="O5">
            <v>53.411793000000003</v>
          </cell>
          <cell r="P5">
            <v>4420.4079789999996</v>
          </cell>
          <cell r="Q5">
            <v>4314.6223049999999</v>
          </cell>
          <cell r="R5">
            <v>41.081536999999997</v>
          </cell>
          <cell r="S5">
            <v>41.389687000000002</v>
          </cell>
          <cell r="T5">
            <v>14.862170000000001</v>
          </cell>
          <cell r="U5">
            <v>14.973651</v>
          </cell>
          <cell r="V5">
            <v>1.4469999999999999E-3</v>
          </cell>
          <cell r="W5">
            <v>0.112927</v>
          </cell>
          <cell r="X5">
            <v>124469.841887</v>
          </cell>
          <cell r="Y5">
            <v>399965.79736099998</v>
          </cell>
          <cell r="Z5">
            <v>396988.01623299997</v>
          </cell>
        </row>
        <row r="6">
          <cell r="C6">
            <v>41.151581</v>
          </cell>
          <cell r="D6">
            <v>7.85E-2</v>
          </cell>
          <cell r="E6">
            <v>14.893471</v>
          </cell>
          <cell r="F6">
            <v>6.5319000000000002E-2</v>
          </cell>
          <cell r="G6">
            <v>630.21141299999999</v>
          </cell>
          <cell r="H6">
            <v>78.583104000000006</v>
          </cell>
          <cell r="I6">
            <v>400004.698577</v>
          </cell>
          <cell r="J6">
            <v>4567.2088780000004</v>
          </cell>
          <cell r="K6">
            <v>400004.69940500002</v>
          </cell>
          <cell r="L6">
            <v>14.893471</v>
          </cell>
          <cell r="M6">
            <v>112.505618</v>
          </cell>
          <cell r="N6">
            <v>53.699333000000003</v>
          </cell>
          <cell r="O6">
            <v>53.283904</v>
          </cell>
          <cell r="P6">
            <v>4567.2088780000004</v>
          </cell>
          <cell r="Q6">
            <v>4454.7032589999999</v>
          </cell>
          <cell r="R6">
            <v>41.165044000000002</v>
          </cell>
          <cell r="S6">
            <v>41.485987999999999</v>
          </cell>
          <cell r="T6">
            <v>14.893471</v>
          </cell>
          <cell r="U6">
            <v>15.009588000000001</v>
          </cell>
          <cell r="V6">
            <v>0</v>
          </cell>
          <cell r="W6">
            <v>0.116117</v>
          </cell>
          <cell r="X6">
            <v>125623.147392</v>
          </cell>
          <cell r="Y6">
            <v>400004.69858600001</v>
          </cell>
          <cell r="Z6">
            <v>396910.18062</v>
          </cell>
        </row>
        <row r="7">
          <cell r="C7">
            <v>41.151581</v>
          </cell>
          <cell r="D7">
            <v>7.85E-2</v>
          </cell>
          <cell r="E7">
            <v>14.893471</v>
          </cell>
          <cell r="F7">
            <v>6.5319000000000002E-2</v>
          </cell>
          <cell r="G7">
            <v>630.21141299999999</v>
          </cell>
          <cell r="H7">
            <v>78.583104000000006</v>
          </cell>
          <cell r="I7">
            <v>400004.698577</v>
          </cell>
          <cell r="J7">
            <v>4567.2088780000004</v>
          </cell>
          <cell r="K7">
            <v>400004.69940500002</v>
          </cell>
          <cell r="L7">
            <v>14.893471</v>
          </cell>
          <cell r="M7">
            <v>114.057712</v>
          </cell>
          <cell r="N7">
            <v>53.693601999999998</v>
          </cell>
          <cell r="O7">
            <v>53.278173000000002</v>
          </cell>
          <cell r="P7">
            <v>4565.6567850000001</v>
          </cell>
          <cell r="Q7">
            <v>4453.1511659999996</v>
          </cell>
          <cell r="R7">
            <v>41.169438</v>
          </cell>
          <cell r="S7">
            <v>41.490451</v>
          </cell>
          <cell r="T7">
            <v>14.895061</v>
          </cell>
          <cell r="U7">
            <v>15.011203</v>
          </cell>
          <cell r="V7">
            <v>1.5900000000000001E-3</v>
          </cell>
          <cell r="W7">
            <v>0.117732</v>
          </cell>
          <cell r="X7">
            <v>125623.147392</v>
          </cell>
          <cell r="Y7">
            <v>399962.00756</v>
          </cell>
          <cell r="Z7">
            <v>396867.48959399998</v>
          </cell>
        </row>
        <row r="8">
          <cell r="C8">
            <v>34.017907000000001</v>
          </cell>
          <cell r="D8">
            <v>5.33E-2</v>
          </cell>
          <cell r="E8">
            <v>14.874040000000001</v>
          </cell>
          <cell r="F8">
            <v>6.3966999999999996E-2</v>
          </cell>
          <cell r="G8">
            <v>642.800656</v>
          </cell>
          <cell r="H8">
            <v>74.189769999999996</v>
          </cell>
          <cell r="I8">
            <v>400003.65559400001</v>
          </cell>
          <cell r="J8">
            <v>4282.3681610000003</v>
          </cell>
          <cell r="K8">
            <v>400003.65559400001</v>
          </cell>
          <cell r="L8">
            <v>14.874040000000001</v>
          </cell>
          <cell r="M8">
            <v>4282.3681610000003</v>
          </cell>
          <cell r="N8">
            <v>53.769343999999997</v>
          </cell>
          <cell r="O8">
            <v>53.439920000000001</v>
          </cell>
          <cell r="P8">
            <v>4282.3681610000003</v>
          </cell>
          <cell r="Q8">
            <v>4196.7207980000003</v>
          </cell>
          <cell r="R8">
            <v>41.118043</v>
          </cell>
          <cell r="S8">
            <v>41.371510999999998</v>
          </cell>
          <cell r="T8">
            <v>14.874040000000001</v>
          </cell>
          <cell r="U8">
            <v>14.965729</v>
          </cell>
          <cell r="V8">
            <v>0</v>
          </cell>
          <cell r="W8">
            <v>9.1689000000000007E-2</v>
          </cell>
          <cell r="X8">
            <v>122533.54159399999</v>
          </cell>
          <cell r="Y8">
            <v>400003.65559400001</v>
          </cell>
          <cell r="Z8">
            <v>397552.98476199998</v>
          </cell>
        </row>
        <row r="9">
          <cell r="C9">
            <v>43.176000999999999</v>
          </cell>
          <cell r="D9">
            <v>8.7300000000000003E-2</v>
          </cell>
          <cell r="E9">
            <v>14.874040000000001</v>
          </cell>
          <cell r="F9">
            <v>6.3966999999999996E-2</v>
          </cell>
          <cell r="G9">
            <v>642.800656</v>
          </cell>
          <cell r="H9">
            <v>75.223333999999994</v>
          </cell>
          <cell r="I9">
            <v>396631.84007600002</v>
          </cell>
          <cell r="J9">
            <v>4379.1230589999996</v>
          </cell>
          <cell r="K9">
            <v>400003.65559400001</v>
          </cell>
          <cell r="L9">
            <v>14.874040000000001</v>
          </cell>
          <cell r="M9">
            <v>4282.3681610000003</v>
          </cell>
          <cell r="N9">
            <v>53.316096999999999</v>
          </cell>
          <cell r="O9">
            <v>52.995738000000003</v>
          </cell>
          <cell r="P9">
            <v>4379.1230589999996</v>
          </cell>
          <cell r="Q9">
            <v>4291.5405979999996</v>
          </cell>
          <cell r="R9">
            <v>41.467593000000001</v>
          </cell>
          <cell r="S9">
            <v>41.718263999999998</v>
          </cell>
          <cell r="T9">
            <v>15.000486</v>
          </cell>
          <cell r="U9">
            <v>15.091163999999999</v>
          </cell>
          <cell r="V9">
            <v>0.126446</v>
          </cell>
          <cell r="W9">
            <v>0.21712400000000001</v>
          </cell>
          <cell r="X9">
            <v>119161.72607600001</v>
          </cell>
          <cell r="Y9">
            <v>396631.84007600002</v>
          </cell>
          <cell r="Z9">
            <v>394248.60555500002</v>
          </cell>
        </row>
        <row r="10">
          <cell r="C10">
            <v>39.000863000000003</v>
          </cell>
          <cell r="D10">
            <v>7.0000000000000007E-2</v>
          </cell>
          <cell r="E10">
            <v>14.881686</v>
          </cell>
          <cell r="F10">
            <v>6.4780000000000004E-2</v>
          </cell>
          <cell r="G10">
            <v>634.99998800000003</v>
          </cell>
          <cell r="H10">
            <v>76.824382999999997</v>
          </cell>
          <cell r="I10">
            <v>400002.75884800003</v>
          </cell>
          <cell r="J10">
            <v>4455.8178779999998</v>
          </cell>
          <cell r="K10">
            <v>400002.75884800003</v>
          </cell>
          <cell r="L10">
            <v>14.881686</v>
          </cell>
          <cell r="M10">
            <v>4455.8178779999998</v>
          </cell>
          <cell r="N10">
            <v>53.741596999999999</v>
          </cell>
          <cell r="O10">
            <v>53.408256999999999</v>
          </cell>
          <cell r="P10">
            <v>4455.8178779999998</v>
          </cell>
          <cell r="Q10">
            <v>4366.701521</v>
          </cell>
          <cell r="R10">
            <v>41.135114999999999</v>
          </cell>
          <cell r="S10">
            <v>41.391852999999998</v>
          </cell>
          <cell r="T10">
            <v>14.881686</v>
          </cell>
          <cell r="U10">
            <v>14.974568</v>
          </cell>
          <cell r="V10">
            <v>0</v>
          </cell>
          <cell r="W10">
            <v>9.2882000000000006E-2</v>
          </cell>
          <cell r="X10">
            <v>124053.483848</v>
          </cell>
          <cell r="Y10">
            <v>400002.75884800003</v>
          </cell>
          <cell r="Z10">
            <v>397521.68917099998</v>
          </cell>
        </row>
        <row r="11">
          <cell r="C11">
            <v>48.041918000000003</v>
          </cell>
          <cell r="D11">
            <v>0.112</v>
          </cell>
          <cell r="E11">
            <v>14.881686</v>
          </cell>
          <cell r="F11">
            <v>6.4780000000000004E-2</v>
          </cell>
          <cell r="G11">
            <v>634.99998800000003</v>
          </cell>
          <cell r="H11">
            <v>77.888855000000007</v>
          </cell>
          <cell r="I11">
            <v>396569.53575099999</v>
          </cell>
          <cell r="J11">
            <v>4552.6048499999997</v>
          </cell>
          <cell r="K11">
            <v>400002.75884800003</v>
          </cell>
          <cell r="L11">
            <v>14.881686</v>
          </cell>
          <cell r="M11">
            <v>4455.8178779999998</v>
          </cell>
          <cell r="N11">
            <v>53.280332999999999</v>
          </cell>
          <cell r="O11">
            <v>52.956218999999997</v>
          </cell>
          <cell r="P11">
            <v>4552.6048499999997</v>
          </cell>
          <cell r="Q11">
            <v>4461.5527529999999</v>
          </cell>
          <cell r="R11">
            <v>41.491233999999999</v>
          </cell>
          <cell r="S11">
            <v>41.745178000000003</v>
          </cell>
          <cell r="T11">
            <v>15.010522</v>
          </cell>
          <cell r="U11">
            <v>15.102392</v>
          </cell>
          <cell r="V11">
            <v>0.12883500000000001</v>
          </cell>
          <cell r="W11">
            <v>0.22070600000000001</v>
          </cell>
          <cell r="X11">
            <v>120620.26075099999</v>
          </cell>
          <cell r="Y11">
            <v>396569.53575099999</v>
          </cell>
          <cell r="Z11">
            <v>394157.13053600001</v>
          </cell>
        </row>
        <row r="12">
          <cell r="C12">
            <v>44.080796999999997</v>
          </cell>
          <cell r="D12">
            <v>9.1499999999999998E-2</v>
          </cell>
          <cell r="E12">
            <v>14.926482999999999</v>
          </cell>
          <cell r="F12">
            <v>6.5421999999999994E-2</v>
          </cell>
          <cell r="G12">
            <v>630.61397899999997</v>
          </cell>
          <cell r="H12">
            <v>79.230137999999997</v>
          </cell>
          <cell r="I12">
            <v>400002.04279199999</v>
          </cell>
          <cell r="J12">
            <v>4615.9757570000002</v>
          </cell>
          <cell r="K12">
            <v>400002.04279199999</v>
          </cell>
          <cell r="L12">
            <v>14.926482999999999</v>
          </cell>
          <cell r="M12">
            <v>4615.9757570000002</v>
          </cell>
          <cell r="N12">
            <v>53.580213000000001</v>
          </cell>
          <cell r="O12">
            <v>53.245379999999997</v>
          </cell>
          <cell r="P12">
            <v>4615.9757570000002</v>
          </cell>
          <cell r="Q12">
            <v>4523.656242</v>
          </cell>
          <cell r="R12">
            <v>41.255791000000002</v>
          </cell>
          <cell r="S12">
            <v>41.515228</v>
          </cell>
          <cell r="T12">
            <v>14.926482999999999</v>
          </cell>
          <cell r="U12">
            <v>15.020348</v>
          </cell>
          <cell r="V12">
            <v>0</v>
          </cell>
          <cell r="W12">
            <v>9.3865000000000004E-2</v>
          </cell>
          <cell r="X12">
            <v>124984.54279199999</v>
          </cell>
          <cell r="Y12">
            <v>400002.04279199999</v>
          </cell>
          <cell r="Z12">
            <v>397502.35193599999</v>
          </cell>
        </row>
        <row r="13">
          <cell r="C13">
            <v>53.055214999999997</v>
          </cell>
          <cell r="D13">
            <v>0.14349999999999999</v>
          </cell>
          <cell r="E13">
            <v>14.926482999999999</v>
          </cell>
          <cell r="F13">
            <v>6.5421999999999994E-2</v>
          </cell>
          <cell r="G13">
            <v>630.61397899999997</v>
          </cell>
          <cell r="H13">
            <v>80.328446999999997</v>
          </cell>
          <cell r="I13">
            <v>396500.99979899998</v>
          </cell>
          <cell r="J13">
            <v>4713.1969799999997</v>
          </cell>
          <cell r="K13">
            <v>400002.04279199999</v>
          </cell>
          <cell r="L13">
            <v>14.926482999999999</v>
          </cell>
          <cell r="M13">
            <v>4615.9757570000002</v>
          </cell>
          <cell r="N13">
            <v>53.111249000000001</v>
          </cell>
          <cell r="O13">
            <v>52.785795</v>
          </cell>
          <cell r="P13">
            <v>4713.1969799999997</v>
          </cell>
          <cell r="Q13">
            <v>4618.9330399999999</v>
          </cell>
          <cell r="R13">
            <v>41.620074000000002</v>
          </cell>
          <cell r="S13">
            <v>41.876685000000002</v>
          </cell>
          <cell r="T13">
            <v>15.058282</v>
          </cell>
          <cell r="U13">
            <v>15.151125</v>
          </cell>
          <cell r="V13">
            <v>0.131799</v>
          </cell>
          <cell r="W13">
            <v>0.22464100000000001</v>
          </cell>
          <cell r="X13">
            <v>121483.499799</v>
          </cell>
          <cell r="Y13">
            <v>396500.99979899998</v>
          </cell>
          <cell r="Z13">
            <v>394071.32980299997</v>
          </cell>
        </row>
        <row r="14">
          <cell r="C14">
            <v>32.624777999999999</v>
          </cell>
          <cell r="D14">
            <v>4.9299999999999997E-2</v>
          </cell>
          <cell r="E14">
            <v>36.619632000000003</v>
          </cell>
          <cell r="F14">
            <v>0.24185300000000001</v>
          </cell>
          <cell r="G14">
            <v>555.80648199999996</v>
          </cell>
          <cell r="H14">
            <v>305.32448799999997</v>
          </cell>
          <cell r="I14">
            <v>400003.97395299998</v>
          </cell>
          <cell r="J14">
            <v>15506.346686999999</v>
          </cell>
          <cell r="K14">
            <v>400003.97395299998</v>
          </cell>
          <cell r="L14">
            <v>36.619632000000003</v>
          </cell>
          <cell r="M14">
            <v>357.792101</v>
          </cell>
          <cell r="N14">
            <v>36.400869999999998</v>
          </cell>
          <cell r="O14">
            <v>35.560960000000001</v>
          </cell>
          <cell r="P14">
            <v>15506.346686999999</v>
          </cell>
          <cell r="Q14">
            <v>15148.554586</v>
          </cell>
          <cell r="R14">
            <v>134.423428</v>
          </cell>
          <cell r="S14">
            <v>137.59836000000001</v>
          </cell>
          <cell r="T14">
            <v>36.619632000000003</v>
          </cell>
          <cell r="U14">
            <v>37.484547999999997</v>
          </cell>
          <cell r="V14">
            <v>0</v>
          </cell>
          <cell r="W14">
            <v>0.86491499999999999</v>
          </cell>
          <cell r="X14">
            <v>400003.97395299998</v>
          </cell>
          <cell r="Y14">
            <v>400003.97395299998</v>
          </cell>
          <cell r="Z14">
            <v>390774.31688900001</v>
          </cell>
        </row>
        <row r="15">
          <cell r="C15">
            <v>32.624777999999999</v>
          </cell>
          <cell r="D15">
            <v>4.9299999999999997E-2</v>
          </cell>
          <cell r="E15">
            <v>36.619632000000003</v>
          </cell>
          <cell r="F15">
            <v>0.24185300000000001</v>
          </cell>
          <cell r="G15">
            <v>555.80648199999996</v>
          </cell>
          <cell r="H15">
            <v>305.32448799999997</v>
          </cell>
          <cell r="I15">
            <v>400003.97395299998</v>
          </cell>
          <cell r="J15">
            <v>15506.346686999999</v>
          </cell>
          <cell r="K15">
            <v>400003.97395299998</v>
          </cell>
          <cell r="L15">
            <v>36.619632000000003</v>
          </cell>
          <cell r="M15">
            <v>362.160507</v>
          </cell>
          <cell r="N15">
            <v>36.390614999999997</v>
          </cell>
          <cell r="O15">
            <v>35.550705000000001</v>
          </cell>
          <cell r="P15">
            <v>15501.978281</v>
          </cell>
          <cell r="Q15">
            <v>15144.186180000001</v>
          </cell>
          <cell r="R15">
            <v>134.461308</v>
          </cell>
          <cell r="S15">
            <v>137.63805099999999</v>
          </cell>
          <cell r="T15">
            <v>36.629952000000003</v>
          </cell>
          <cell r="U15">
            <v>37.495359999999998</v>
          </cell>
          <cell r="V15">
            <v>1.0319E-2</v>
          </cell>
          <cell r="W15">
            <v>0.87572799999999995</v>
          </cell>
          <cell r="X15">
            <v>400003.97395299998</v>
          </cell>
          <cell r="Y15">
            <v>399891.28591400001</v>
          </cell>
          <cell r="Z15">
            <v>390661.62884999998</v>
          </cell>
        </row>
        <row r="16">
          <cell r="C16">
            <v>36.936081000000001</v>
          </cell>
          <cell r="D16">
            <v>6.2600000000000003E-2</v>
          </cell>
          <cell r="E16">
            <v>36.874369999999999</v>
          </cell>
          <cell r="F16">
            <v>0.24767900000000001</v>
          </cell>
          <cell r="G16">
            <v>546.47871499999997</v>
          </cell>
          <cell r="H16">
            <v>310.73433599999998</v>
          </cell>
          <cell r="I16">
            <v>400003.84362200001</v>
          </cell>
          <cell r="J16">
            <v>15835.01801</v>
          </cell>
          <cell r="K16">
            <v>400003.84362200001</v>
          </cell>
          <cell r="L16">
            <v>36.874369999999999</v>
          </cell>
          <cell r="M16">
            <v>378.83388500000001</v>
          </cell>
          <cell r="N16">
            <v>36.149391999999999</v>
          </cell>
          <cell r="O16">
            <v>35.284560999999997</v>
          </cell>
          <cell r="P16">
            <v>15835.01801</v>
          </cell>
          <cell r="Q16">
            <v>15456.184123999999</v>
          </cell>
          <cell r="R16">
            <v>135.35136399999999</v>
          </cell>
          <cell r="S16">
            <v>138.66884999999999</v>
          </cell>
          <cell r="T16">
            <v>36.874369999999999</v>
          </cell>
          <cell r="U16">
            <v>37.778167000000003</v>
          </cell>
          <cell r="V16">
            <v>0</v>
          </cell>
          <cell r="W16">
            <v>0.90379799999999999</v>
          </cell>
          <cell r="X16">
            <v>400003.84362200001</v>
          </cell>
          <cell r="Y16">
            <v>400003.84362200001</v>
          </cell>
          <cell r="Z16">
            <v>390434.22960999998</v>
          </cell>
        </row>
        <row r="17">
          <cell r="C17">
            <v>36.936081000000001</v>
          </cell>
          <cell r="D17">
            <v>6.2600000000000003E-2</v>
          </cell>
          <cell r="E17">
            <v>36.874369999999999</v>
          </cell>
          <cell r="F17">
            <v>0.24767900000000001</v>
          </cell>
          <cell r="G17">
            <v>546.47871499999997</v>
          </cell>
          <cell r="H17">
            <v>310.73433599999998</v>
          </cell>
          <cell r="I17">
            <v>400003.84362200001</v>
          </cell>
          <cell r="J17">
            <v>15835.01801</v>
          </cell>
          <cell r="K17">
            <v>400003.84362200001</v>
          </cell>
          <cell r="L17">
            <v>36.874369999999999</v>
          </cell>
          <cell r="M17">
            <v>383.78703100000001</v>
          </cell>
          <cell r="N17">
            <v>36.138084999999997</v>
          </cell>
          <cell r="O17">
            <v>35.273254000000001</v>
          </cell>
          <cell r="P17">
            <v>15830.064864</v>
          </cell>
          <cell r="Q17">
            <v>15451.230979</v>
          </cell>
          <cell r="R17">
            <v>135.39371399999999</v>
          </cell>
          <cell r="S17">
            <v>138.713303</v>
          </cell>
          <cell r="T17">
            <v>36.885907000000003</v>
          </cell>
          <cell r="U17">
            <v>37.790277000000003</v>
          </cell>
          <cell r="V17">
            <v>1.1538E-2</v>
          </cell>
          <cell r="W17">
            <v>0.91590800000000006</v>
          </cell>
          <cell r="X17">
            <v>400003.84362200001</v>
          </cell>
          <cell r="Y17">
            <v>399878.72363600001</v>
          </cell>
          <cell r="Z17">
            <v>390309.10962399998</v>
          </cell>
        </row>
        <row r="18">
          <cell r="C18">
            <v>41.151581</v>
          </cell>
          <cell r="D18">
            <v>7.85E-2</v>
          </cell>
          <cell r="E18">
            <v>37.133184999999997</v>
          </cell>
          <cell r="F18">
            <v>0.253687</v>
          </cell>
          <cell r="G18">
            <v>537.25397799999996</v>
          </cell>
          <cell r="H18">
            <v>316.15652299999999</v>
          </cell>
          <cell r="I18">
            <v>400000.62909900001</v>
          </cell>
          <cell r="J18">
            <v>16159.960564000001</v>
          </cell>
          <cell r="K18">
            <v>400000.62909900001</v>
          </cell>
          <cell r="L18">
            <v>37.133184999999997</v>
          </cell>
          <cell r="M18">
            <v>398.075444</v>
          </cell>
          <cell r="N18">
            <v>35.897145000000002</v>
          </cell>
          <cell r="O18">
            <v>35.012875000000001</v>
          </cell>
          <cell r="P18">
            <v>16159.960564000001</v>
          </cell>
          <cell r="Q18">
            <v>15761.885120000001</v>
          </cell>
          <cell r="R18">
            <v>136.294117</v>
          </cell>
          <cell r="S18">
            <v>139.73630299999999</v>
          </cell>
          <cell r="T18">
            <v>37.133184999999997</v>
          </cell>
          <cell r="U18">
            <v>38.071005</v>
          </cell>
          <cell r="V18">
            <v>0</v>
          </cell>
          <cell r="W18">
            <v>0.93781999999999999</v>
          </cell>
          <cell r="X18">
            <v>400000.62909900001</v>
          </cell>
          <cell r="Y18">
            <v>400000.62909900001</v>
          </cell>
          <cell r="Z18">
            <v>390147.23697700002</v>
          </cell>
        </row>
        <row r="19">
          <cell r="C19">
            <v>41.151581</v>
          </cell>
          <cell r="D19">
            <v>7.85E-2</v>
          </cell>
          <cell r="E19">
            <v>37.133184999999997</v>
          </cell>
          <cell r="F19">
            <v>0.253687</v>
          </cell>
          <cell r="G19">
            <v>537.25397799999996</v>
          </cell>
          <cell r="H19">
            <v>316.15652299999999</v>
          </cell>
          <cell r="I19">
            <v>400000.62909900001</v>
          </cell>
          <cell r="J19">
            <v>16159.960564000001</v>
          </cell>
          <cell r="K19">
            <v>400000.62909900001</v>
          </cell>
          <cell r="L19">
            <v>37.133184999999997</v>
          </cell>
          <cell r="M19">
            <v>403.56716699999998</v>
          </cell>
          <cell r="N19">
            <v>35.884945999999999</v>
          </cell>
          <cell r="O19">
            <v>35.000675999999999</v>
          </cell>
          <cell r="P19">
            <v>16154.468841</v>
          </cell>
          <cell r="Q19">
            <v>15756.393397</v>
          </cell>
          <cell r="R19">
            <v>136.34045</v>
          </cell>
          <cell r="S19">
            <v>139.78500700000001</v>
          </cell>
          <cell r="T19">
            <v>37.145808000000002</v>
          </cell>
          <cell r="U19">
            <v>38.084274000000001</v>
          </cell>
          <cell r="V19">
            <v>1.2623000000000001E-2</v>
          </cell>
          <cell r="W19">
            <v>0.95108899999999996</v>
          </cell>
          <cell r="X19">
            <v>400000.62909900001</v>
          </cell>
          <cell r="Y19">
            <v>399864.694816</v>
          </cell>
          <cell r="Z19">
            <v>390011.30269400001</v>
          </cell>
        </row>
        <row r="20">
          <cell r="C20">
            <v>34.017907000000001</v>
          </cell>
          <cell r="D20">
            <v>5.33E-2</v>
          </cell>
          <cell r="E20">
            <v>36.738858</v>
          </cell>
          <cell r="F20">
            <v>0.242587</v>
          </cell>
          <cell r="G20">
            <v>555.92570699999999</v>
          </cell>
          <cell r="H20">
            <v>306.97020800000001</v>
          </cell>
          <cell r="I20">
            <v>400002.94725000003</v>
          </cell>
          <cell r="J20">
            <v>15605.774717</v>
          </cell>
          <cell r="K20">
            <v>400002.94725000003</v>
          </cell>
          <cell r="L20">
            <v>36.738858</v>
          </cell>
          <cell r="M20">
            <v>0</v>
          </cell>
          <cell r="N20">
            <v>36.282648000000002</v>
          </cell>
          <cell r="O20">
            <v>35.556995000000001</v>
          </cell>
          <cell r="P20">
            <v>15605.774717</v>
          </cell>
          <cell r="Q20">
            <v>15293.659222</v>
          </cell>
          <cell r="R20">
            <v>134.86024499999999</v>
          </cell>
          <cell r="S20">
            <v>137.612495</v>
          </cell>
          <cell r="T20">
            <v>36.738858</v>
          </cell>
          <cell r="U20">
            <v>37.488630999999998</v>
          </cell>
          <cell r="V20">
            <v>0</v>
          </cell>
          <cell r="W20">
            <v>0.74977300000000002</v>
          </cell>
          <cell r="X20">
            <v>400002.94725000003</v>
          </cell>
          <cell r="Y20">
            <v>400002.94725000003</v>
          </cell>
          <cell r="Z20">
            <v>392002.88830499997</v>
          </cell>
        </row>
        <row r="21">
          <cell r="C21">
            <v>43.176000999999999</v>
          </cell>
          <cell r="D21">
            <v>8.7300000000000003E-2</v>
          </cell>
          <cell r="E21">
            <v>36.738858</v>
          </cell>
          <cell r="F21">
            <v>0.242587</v>
          </cell>
          <cell r="G21">
            <v>555.92570699999999</v>
          </cell>
          <cell r="H21">
            <v>310.64339200000001</v>
          </cell>
          <cell r="I21">
            <v>389864.935918</v>
          </cell>
          <cell r="J21">
            <v>15897.11148</v>
          </cell>
          <cell r="K21">
            <v>400002.94725000003</v>
          </cell>
          <cell r="L21">
            <v>36.738858</v>
          </cell>
          <cell r="M21">
            <v>0</v>
          </cell>
          <cell r="N21">
            <v>35.36307</v>
          </cell>
          <cell r="O21">
            <v>34.655808999999998</v>
          </cell>
          <cell r="P21">
            <v>15897.11148</v>
          </cell>
          <cell r="Q21">
            <v>15579.169250999999</v>
          </cell>
          <cell r="R21">
            <v>138.36713900000001</v>
          </cell>
          <cell r="S21">
            <v>141.19095799999999</v>
          </cell>
          <cell r="T21">
            <v>37.694212</v>
          </cell>
          <cell r="U21">
            <v>38.463481999999999</v>
          </cell>
          <cell r="V21">
            <v>0.95535400000000004</v>
          </cell>
          <cell r="W21">
            <v>1.724623</v>
          </cell>
          <cell r="X21">
            <v>389864.935918</v>
          </cell>
          <cell r="Y21">
            <v>389864.935918</v>
          </cell>
          <cell r="Z21">
            <v>382067.63719899999</v>
          </cell>
        </row>
        <row r="22">
          <cell r="C22">
            <v>39.000863000000003</v>
          </cell>
          <cell r="D22">
            <v>7.0000000000000007E-2</v>
          </cell>
          <cell r="E22">
            <v>37.059556000000001</v>
          </cell>
          <cell r="F22">
            <v>0.248836</v>
          </cell>
          <cell r="G22">
            <v>546.66390100000001</v>
          </cell>
          <cell r="H22">
            <v>313.28258299999999</v>
          </cell>
          <cell r="I22">
            <v>400002.40033500001</v>
          </cell>
          <cell r="J22">
            <v>15986.989302</v>
          </cell>
          <cell r="K22">
            <v>400002.40033500001</v>
          </cell>
          <cell r="L22">
            <v>37.059556000000001</v>
          </cell>
          <cell r="M22">
            <v>0</v>
          </cell>
          <cell r="N22">
            <v>35.968623999999998</v>
          </cell>
          <cell r="O22">
            <v>35.249251999999998</v>
          </cell>
          <cell r="P22">
            <v>15986.989302</v>
          </cell>
          <cell r="Q22">
            <v>15667.249516</v>
          </cell>
          <cell r="R22">
            <v>136.029842</v>
          </cell>
          <cell r="S22">
            <v>138.805961</v>
          </cell>
          <cell r="T22">
            <v>37.059556000000001</v>
          </cell>
          <cell r="U22">
            <v>37.815873000000003</v>
          </cell>
          <cell r="V22">
            <v>0</v>
          </cell>
          <cell r="W22">
            <v>0.75631700000000002</v>
          </cell>
          <cell r="X22">
            <v>400002.40033500001</v>
          </cell>
          <cell r="Y22">
            <v>400002.40033500001</v>
          </cell>
          <cell r="Z22">
            <v>392002.35232800001</v>
          </cell>
        </row>
        <row r="23">
          <cell r="C23">
            <v>48.041918000000003</v>
          </cell>
          <cell r="D23">
            <v>0.112</v>
          </cell>
          <cell r="E23">
            <v>37.059556000000001</v>
          </cell>
          <cell r="F23">
            <v>0.248836</v>
          </cell>
          <cell r="G23">
            <v>546.66390100000001</v>
          </cell>
          <cell r="H23">
            <v>317.00793399999998</v>
          </cell>
          <cell r="I23">
            <v>389889.91100899997</v>
          </cell>
          <cell r="J23">
            <v>16271.434621</v>
          </cell>
          <cell r="K23">
            <v>400002.40033500001</v>
          </cell>
          <cell r="L23">
            <v>37.059556000000001</v>
          </cell>
          <cell r="M23">
            <v>0</v>
          </cell>
          <cell r="N23">
            <v>35.059299000000003</v>
          </cell>
          <cell r="O23">
            <v>34.358113000000003</v>
          </cell>
          <cell r="P23">
            <v>16271.434621</v>
          </cell>
          <cell r="Q23">
            <v>15946.005928</v>
          </cell>
          <cell r="R23">
            <v>139.558018</v>
          </cell>
          <cell r="S23">
            <v>142.40614099999999</v>
          </cell>
          <cell r="T23">
            <v>38.020761</v>
          </cell>
          <cell r="U23">
            <v>38.796695</v>
          </cell>
          <cell r="V23">
            <v>0.961206</v>
          </cell>
          <cell r="W23">
            <v>1.737139</v>
          </cell>
          <cell r="X23">
            <v>389889.91100899997</v>
          </cell>
          <cell r="Y23">
            <v>389889.91100899997</v>
          </cell>
          <cell r="Z23">
            <v>382092.11278800003</v>
          </cell>
        </row>
        <row r="24">
          <cell r="C24">
            <v>44.080796999999997</v>
          </cell>
          <cell r="D24">
            <v>9.1499999999999998E-2</v>
          </cell>
          <cell r="E24">
            <v>37.406260000000003</v>
          </cell>
          <cell r="F24">
            <v>0.25541900000000001</v>
          </cell>
          <cell r="G24">
            <v>537.52705200000003</v>
          </cell>
          <cell r="H24">
            <v>319.91353400000003</v>
          </cell>
          <cell r="I24">
            <v>400002.286632</v>
          </cell>
          <cell r="J24">
            <v>16381.136799</v>
          </cell>
          <cell r="K24">
            <v>400002.286632</v>
          </cell>
          <cell r="L24">
            <v>37.406260000000003</v>
          </cell>
          <cell r="M24">
            <v>0</v>
          </cell>
          <cell r="N24">
            <v>35.635235000000002</v>
          </cell>
          <cell r="O24">
            <v>34.922530000000002</v>
          </cell>
          <cell r="P24">
            <v>16381.136799</v>
          </cell>
          <cell r="Q24">
            <v>16053.514063000001</v>
          </cell>
          <cell r="R24">
            <v>137.29460599999999</v>
          </cell>
          <cell r="S24">
            <v>140.09653700000001</v>
          </cell>
          <cell r="T24">
            <v>37.406260000000003</v>
          </cell>
          <cell r="U24">
            <v>38.169652999999997</v>
          </cell>
          <cell r="V24">
            <v>0</v>
          </cell>
          <cell r="W24">
            <v>0.76339299999999999</v>
          </cell>
          <cell r="X24">
            <v>400002.286632</v>
          </cell>
          <cell r="Y24">
            <v>400002.286632</v>
          </cell>
          <cell r="Z24">
            <v>392002.24089999998</v>
          </cell>
        </row>
        <row r="25">
          <cell r="C25">
            <v>53.055214999999997</v>
          </cell>
          <cell r="D25">
            <v>0.14349999999999999</v>
          </cell>
          <cell r="E25">
            <v>37.406260000000003</v>
          </cell>
          <cell r="F25">
            <v>0.25541900000000001</v>
          </cell>
          <cell r="G25">
            <v>537.52705200000003</v>
          </cell>
          <cell r="H25">
            <v>319.999999</v>
          </cell>
          <cell r="I25">
            <v>385378.35288399999</v>
          </cell>
          <cell r="J25">
            <v>16470.067966999999</v>
          </cell>
          <cell r="K25">
            <v>400002.286632</v>
          </cell>
          <cell r="L25">
            <v>37.406260000000003</v>
          </cell>
          <cell r="M25">
            <v>0</v>
          </cell>
          <cell r="N25">
            <v>34.332424000000003</v>
          </cell>
          <cell r="O25">
            <v>33.645775999999998</v>
          </cell>
          <cell r="P25">
            <v>16470.067966999999</v>
          </cell>
          <cell r="Q25">
            <v>16140.666608</v>
          </cell>
          <cell r="R25">
            <v>142.50451799999999</v>
          </cell>
          <cell r="S25">
            <v>145.41277299999999</v>
          </cell>
          <cell r="T25">
            <v>38.825713</v>
          </cell>
          <cell r="U25">
            <v>39.618074999999997</v>
          </cell>
          <cell r="V25">
            <v>1.419454</v>
          </cell>
          <cell r="W25">
            <v>2.2118150000000001</v>
          </cell>
          <cell r="X25">
            <v>385378.35288399999</v>
          </cell>
          <cell r="Y25">
            <v>385378.35288399999</v>
          </cell>
          <cell r="Z25">
            <v>377670.78582599998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err"/>
      <sheetName val="err"/>
      <sheetName val="all"/>
    </sheetNames>
    <sheetDataSet>
      <sheetData sheetId="0">
        <row r="2">
          <cell r="C2">
            <v>34.582673</v>
          </cell>
          <cell r="D2">
            <v>5.5E-2</v>
          </cell>
          <cell r="E2">
            <v>14.88</v>
          </cell>
          <cell r="F2">
            <v>6.3991000000000006E-2</v>
          </cell>
          <cell r="G2">
            <v>642.81819299999995</v>
          </cell>
          <cell r="H2">
            <v>74.317965000000001</v>
          </cell>
          <cell r="I2">
            <v>400003.82725799998</v>
          </cell>
          <cell r="J2">
            <v>3511.4253920000001</v>
          </cell>
          <cell r="K2">
            <v>400003.46425800002</v>
          </cell>
          <cell r="L2">
            <v>14.879993000000001</v>
          </cell>
          <cell r="M2">
            <v>89.508579999999995</v>
          </cell>
          <cell r="N2">
            <v>53.747832000000002</v>
          </cell>
          <cell r="O2">
            <v>53.328550999999997</v>
          </cell>
          <cell r="P2">
            <v>3511.4252980000001</v>
          </cell>
          <cell r="Q2">
            <v>3421.9168119999999</v>
          </cell>
          <cell r="R2">
            <v>41.134360999999998</v>
          </cell>
          <cell r="S2">
            <v>41.457768000000002</v>
          </cell>
          <cell r="T2">
            <v>14.879986000000001</v>
          </cell>
          <cell r="U2">
            <v>14.996976</v>
          </cell>
          <cell r="V2">
            <v>-6.0000000000000002E-6</v>
          </cell>
          <cell r="W2">
            <v>0.116983</v>
          </cell>
          <cell r="X2">
            <v>122412.912572</v>
          </cell>
          <cell r="Y2">
            <v>400003.82398699998</v>
          </cell>
          <cell r="Z2">
            <v>396883.44029900001</v>
          </cell>
        </row>
        <row r="3">
          <cell r="C3">
            <v>34.582673</v>
          </cell>
          <cell r="D3">
            <v>5.5E-2</v>
          </cell>
          <cell r="E3">
            <v>14.88</v>
          </cell>
          <cell r="F3">
            <v>6.3991000000000006E-2</v>
          </cell>
          <cell r="G3">
            <v>642.81819299999995</v>
          </cell>
          <cell r="H3">
            <v>74.317965000000001</v>
          </cell>
          <cell r="I3">
            <v>400003.82725799998</v>
          </cell>
          <cell r="J3">
            <v>3511.4253920000001</v>
          </cell>
          <cell r="K3">
            <v>400003.46425800002</v>
          </cell>
          <cell r="L3">
            <v>14.879993000000001</v>
          </cell>
          <cell r="M3">
            <v>90.823980000000006</v>
          </cell>
          <cell r="N3">
            <v>53.741669999999999</v>
          </cell>
          <cell r="O3">
            <v>53.322389999999999</v>
          </cell>
          <cell r="P3">
            <v>3510.109899</v>
          </cell>
          <cell r="Q3">
            <v>3420.601412</v>
          </cell>
          <cell r="R3">
            <v>41.139077</v>
          </cell>
          <cell r="S3">
            <v>41.462558999999999</v>
          </cell>
          <cell r="T3">
            <v>14.881691999999999</v>
          </cell>
          <cell r="U3">
            <v>14.998709</v>
          </cell>
          <cell r="V3">
            <v>1.6999999999999999E-3</v>
          </cell>
          <cell r="W3">
            <v>0.118716</v>
          </cell>
          <cell r="X3">
            <v>122412.912572</v>
          </cell>
          <cell r="Y3">
            <v>399957.96742200002</v>
          </cell>
          <cell r="Z3">
            <v>396837.58373399999</v>
          </cell>
        </row>
        <row r="4">
          <cell r="C4">
            <v>38.894196999999998</v>
          </cell>
          <cell r="D4">
            <v>6.9599999999999995E-2</v>
          </cell>
          <cell r="E4">
            <v>14.881202999999999</v>
          </cell>
          <cell r="F4">
            <v>6.4778000000000002E-2</v>
          </cell>
          <cell r="G4">
            <v>634.99629600000003</v>
          </cell>
          <cell r="H4">
            <v>76.807188999999994</v>
          </cell>
          <cell r="I4">
            <v>400004.16790399997</v>
          </cell>
          <cell r="J4">
            <v>3644.2982050000001</v>
          </cell>
          <cell r="K4">
            <v>400004.16875900002</v>
          </cell>
          <cell r="L4">
            <v>14.881202999999999</v>
          </cell>
          <cell r="M4">
            <v>96.582926</v>
          </cell>
          <cell r="N4">
            <v>53.743530999999997</v>
          </cell>
          <cell r="O4">
            <v>53.301761999999997</v>
          </cell>
          <cell r="P4">
            <v>3644.2982050000001</v>
          </cell>
          <cell r="Q4">
            <v>3547.7152780000001</v>
          </cell>
          <cell r="R4">
            <v>41.133788000000003</v>
          </cell>
          <cell r="S4">
            <v>41.474708</v>
          </cell>
          <cell r="T4">
            <v>14.881202999999999</v>
          </cell>
          <cell r="U4">
            <v>15.00454</v>
          </cell>
          <cell r="V4">
            <v>0</v>
          </cell>
          <cell r="W4">
            <v>0.123337</v>
          </cell>
          <cell r="X4">
            <v>124064.44465600001</v>
          </cell>
          <cell r="Y4">
            <v>400004.16791399999</v>
          </cell>
          <cell r="Z4">
            <v>396716.15292099997</v>
          </cell>
        </row>
        <row r="5">
          <cell r="C5">
            <v>38.894196999999998</v>
          </cell>
          <cell r="D5">
            <v>6.9599999999999995E-2</v>
          </cell>
          <cell r="E5">
            <v>14.881202999999999</v>
          </cell>
          <cell r="F5">
            <v>6.4778000000000002E-2</v>
          </cell>
          <cell r="G5">
            <v>634.99629600000003</v>
          </cell>
          <cell r="H5">
            <v>76.807188999999994</v>
          </cell>
          <cell r="I5">
            <v>400004.16790399997</v>
          </cell>
          <cell r="J5">
            <v>3644.2982050000001</v>
          </cell>
          <cell r="K5">
            <v>400004.16875900002</v>
          </cell>
          <cell r="L5">
            <v>14.881202999999999</v>
          </cell>
          <cell r="M5">
            <v>98.102575000000002</v>
          </cell>
          <cell r="N5">
            <v>53.736579999999996</v>
          </cell>
          <cell r="O5">
            <v>53.294811000000003</v>
          </cell>
          <cell r="P5">
            <v>3642.7785560000002</v>
          </cell>
          <cell r="Q5">
            <v>3546.1956300000002</v>
          </cell>
          <cell r="R5">
            <v>41.139108999999998</v>
          </cell>
          <cell r="S5">
            <v>41.480117</v>
          </cell>
          <cell r="T5">
            <v>14.883127999999999</v>
          </cell>
          <cell r="U5">
            <v>15.006497</v>
          </cell>
          <cell r="V5">
            <v>1.9250000000000001E-3</v>
          </cell>
          <cell r="W5">
            <v>0.12529399999999999</v>
          </cell>
          <cell r="X5">
            <v>124064.44465600001</v>
          </cell>
          <cell r="Y5">
            <v>399952.43385500001</v>
          </cell>
          <cell r="Z5">
            <v>396664.41886199999</v>
          </cell>
        </row>
        <row r="6">
          <cell r="C6">
            <v>43.285657</v>
          </cell>
          <cell r="D6">
            <v>8.7800000000000003E-2</v>
          </cell>
          <cell r="E6">
            <v>14.917909999999999</v>
          </cell>
          <cell r="F6">
            <v>6.5394999999999995E-2</v>
          </cell>
          <cell r="G6">
            <v>630.50941999999998</v>
          </cell>
          <cell r="H6">
            <v>79.057344999999998</v>
          </cell>
          <cell r="I6">
            <v>400001.69563799998</v>
          </cell>
          <cell r="J6">
            <v>3765.8755609999998</v>
          </cell>
          <cell r="K6">
            <v>400001.69558499998</v>
          </cell>
          <cell r="L6">
            <v>14.917909999999999</v>
          </cell>
          <cell r="M6">
            <v>103.01582399999999</v>
          </cell>
          <cell r="N6">
            <v>53.610961000000003</v>
          </cell>
          <cell r="O6">
            <v>53.152124000000001</v>
          </cell>
          <cell r="P6">
            <v>3765.8755609999998</v>
          </cell>
          <cell r="Q6">
            <v>3662.8597370000002</v>
          </cell>
          <cell r="R6">
            <v>41.232222999999998</v>
          </cell>
          <cell r="S6">
            <v>41.588160999999999</v>
          </cell>
          <cell r="T6">
            <v>14.917909999999999</v>
          </cell>
          <cell r="U6">
            <v>15.046689000000001</v>
          </cell>
          <cell r="V6">
            <v>0</v>
          </cell>
          <cell r="W6">
            <v>0.128779</v>
          </cell>
          <cell r="X6">
            <v>125149.371663</v>
          </cell>
          <cell r="Y6">
            <v>400001.69563700003</v>
          </cell>
          <cell r="Z6">
            <v>396578.22467199998</v>
          </cell>
        </row>
        <row r="7">
          <cell r="C7">
            <v>43.285657</v>
          </cell>
          <cell r="D7">
            <v>8.7800000000000003E-2</v>
          </cell>
          <cell r="E7">
            <v>14.917909999999999</v>
          </cell>
          <cell r="F7">
            <v>6.5394999999999995E-2</v>
          </cell>
          <cell r="G7">
            <v>630.50941999999998</v>
          </cell>
          <cell r="H7">
            <v>79.057344999999998</v>
          </cell>
          <cell r="I7">
            <v>400001.69563799998</v>
          </cell>
          <cell r="J7">
            <v>3765.8755609999998</v>
          </cell>
          <cell r="K7">
            <v>400001.69558499998</v>
          </cell>
          <cell r="L7">
            <v>14.917909999999999</v>
          </cell>
          <cell r="M7">
            <v>104.726714</v>
          </cell>
          <cell r="N7">
            <v>53.603340000000003</v>
          </cell>
          <cell r="O7">
            <v>53.144503</v>
          </cell>
          <cell r="P7">
            <v>3764.164671</v>
          </cell>
          <cell r="Q7">
            <v>3661.1488469999999</v>
          </cell>
          <cell r="R7">
            <v>41.238084999999998</v>
          </cell>
          <cell r="S7">
            <v>41.594124999999998</v>
          </cell>
          <cell r="T7">
            <v>14.920030000000001</v>
          </cell>
          <cell r="U7">
            <v>15.048845999999999</v>
          </cell>
          <cell r="V7">
            <v>2.1210000000000001E-3</v>
          </cell>
          <cell r="W7">
            <v>0.130937</v>
          </cell>
          <cell r="X7">
            <v>125149.371663</v>
          </cell>
          <cell r="Y7">
            <v>399944.83853900002</v>
          </cell>
          <cell r="Z7">
            <v>396521.36757300003</v>
          </cell>
        </row>
        <row r="8">
          <cell r="C8">
            <v>36.007736000000001</v>
          </cell>
          <cell r="D8">
            <v>5.9499999999999997E-2</v>
          </cell>
          <cell r="E8">
            <v>14.893139</v>
          </cell>
          <cell r="F8">
            <v>6.4043000000000003E-2</v>
          </cell>
          <cell r="G8">
            <v>642.85686199999998</v>
          </cell>
          <cell r="H8">
            <v>74.621568999999994</v>
          </cell>
          <cell r="I8">
            <v>400003.15508200001</v>
          </cell>
          <cell r="J8">
            <v>3530.4791759999998</v>
          </cell>
          <cell r="K8">
            <v>400003.15508200001</v>
          </cell>
          <cell r="L8">
            <v>14.893139</v>
          </cell>
          <cell r="M8">
            <v>3530.4791759999998</v>
          </cell>
          <cell r="N8">
            <v>53.700324999999999</v>
          </cell>
          <cell r="O8">
            <v>53.372363999999997</v>
          </cell>
          <cell r="P8">
            <v>3530.4791759999998</v>
          </cell>
          <cell r="Q8">
            <v>3459.8695929999999</v>
          </cell>
          <cell r="R8">
            <v>41.170454999999997</v>
          </cell>
          <cell r="S8">
            <v>41.423437999999997</v>
          </cell>
          <cell r="T8">
            <v>14.893139</v>
          </cell>
          <cell r="U8">
            <v>14.984654000000001</v>
          </cell>
          <cell r="V8">
            <v>0</v>
          </cell>
          <cell r="W8">
            <v>9.1514999999999999E-2</v>
          </cell>
          <cell r="X8">
            <v>122145.878082</v>
          </cell>
          <cell r="Y8">
            <v>400003.15508200001</v>
          </cell>
          <cell r="Z8">
            <v>397560.23752000002</v>
          </cell>
        </row>
        <row r="9">
          <cell r="C9">
            <v>47.044750000000001</v>
          </cell>
          <cell r="D9">
            <v>0.1065</v>
          </cell>
          <cell r="E9">
            <v>14.893139</v>
          </cell>
          <cell r="F9">
            <v>6.4043000000000003E-2</v>
          </cell>
          <cell r="G9">
            <v>642.85686199999998</v>
          </cell>
          <cell r="H9">
            <v>75.881844000000001</v>
          </cell>
          <cell r="I9">
            <v>395919.61795599997</v>
          </cell>
          <cell r="J9">
            <v>3625.73686</v>
          </cell>
          <cell r="K9">
            <v>400003.15508200001</v>
          </cell>
          <cell r="L9">
            <v>14.893139</v>
          </cell>
          <cell r="M9">
            <v>3530.4791759999998</v>
          </cell>
          <cell r="N9">
            <v>53.152110999999998</v>
          </cell>
          <cell r="O9">
            <v>52.835113999999997</v>
          </cell>
          <cell r="P9">
            <v>3625.73686</v>
          </cell>
          <cell r="Q9">
            <v>3553.222123</v>
          </cell>
          <cell r="R9">
            <v>41.595089000000002</v>
          </cell>
          <cell r="S9">
            <v>41.844648999999997</v>
          </cell>
          <cell r="T9">
            <v>15.046747</v>
          </cell>
          <cell r="U9">
            <v>15.137024</v>
          </cell>
          <cell r="V9">
            <v>0.153609</v>
          </cell>
          <cell r="W9">
            <v>0.24388499999999999</v>
          </cell>
          <cell r="X9">
            <v>118062.340956</v>
          </cell>
          <cell r="Y9">
            <v>395919.61795599997</v>
          </cell>
          <cell r="Z9">
            <v>393558.37113699998</v>
          </cell>
        </row>
        <row r="10">
          <cell r="C10">
            <v>41.030777</v>
          </cell>
          <cell r="D10">
            <v>7.8E-2</v>
          </cell>
          <cell r="E10">
            <v>14.903238999999999</v>
          </cell>
          <cell r="F10">
            <v>6.4855999999999997E-2</v>
          </cell>
          <cell r="G10">
            <v>635.16469800000004</v>
          </cell>
          <cell r="H10">
            <v>77.275761000000003</v>
          </cell>
          <cell r="I10">
            <v>400003.88544799999</v>
          </cell>
          <cell r="J10">
            <v>3673.3828429999999</v>
          </cell>
          <cell r="K10">
            <v>400003.88544799999</v>
          </cell>
          <cell r="L10">
            <v>14.903238999999999</v>
          </cell>
          <cell r="M10">
            <v>3673.3828429999999</v>
          </cell>
          <cell r="N10">
            <v>53.664026999999997</v>
          </cell>
          <cell r="O10">
            <v>53.33231</v>
          </cell>
          <cell r="P10">
            <v>3673.3828429999999</v>
          </cell>
          <cell r="Q10">
            <v>3599.9151870000001</v>
          </cell>
          <cell r="R10">
            <v>41.194313000000001</v>
          </cell>
          <cell r="S10">
            <v>41.450533999999998</v>
          </cell>
          <cell r="T10">
            <v>14.903238999999999</v>
          </cell>
          <cell r="U10">
            <v>14.995934999999999</v>
          </cell>
          <cell r="V10">
            <v>0</v>
          </cell>
          <cell r="W10">
            <v>9.2695E-2</v>
          </cell>
          <cell r="X10">
            <v>123628.471448</v>
          </cell>
          <cell r="Y10">
            <v>400003.88544799999</v>
          </cell>
          <cell r="Z10">
            <v>397531.31601900002</v>
          </cell>
        </row>
        <row r="11">
          <cell r="C11">
            <v>52.103980999999997</v>
          </cell>
          <cell r="D11">
            <v>0.13700000000000001</v>
          </cell>
          <cell r="E11">
            <v>14.903238999999999</v>
          </cell>
          <cell r="F11">
            <v>6.4855999999999997E-2</v>
          </cell>
          <cell r="G11">
            <v>635.16469800000004</v>
          </cell>
          <cell r="H11">
            <v>78.595472999999998</v>
          </cell>
          <cell r="I11">
            <v>395777.53197399998</v>
          </cell>
          <cell r="J11">
            <v>3770.281481</v>
          </cell>
          <cell r="K11">
            <v>400003.88544799999</v>
          </cell>
          <cell r="L11">
            <v>14.903238999999999</v>
          </cell>
          <cell r="M11">
            <v>3673.3828429999999</v>
          </cell>
          <cell r="N11">
            <v>53.097025000000002</v>
          </cell>
          <cell r="O11">
            <v>52.776648000000002</v>
          </cell>
          <cell r="P11">
            <v>3770.281481</v>
          </cell>
          <cell r="Q11">
            <v>3694.8758509999998</v>
          </cell>
          <cell r="R11">
            <v>41.634211000000001</v>
          </cell>
          <cell r="S11">
            <v>41.886947999999997</v>
          </cell>
          <cell r="T11">
            <v>15.062385000000001</v>
          </cell>
          <cell r="U11">
            <v>15.15382</v>
          </cell>
          <cell r="V11">
            <v>0.15914600000000001</v>
          </cell>
          <cell r="W11">
            <v>0.250581</v>
          </cell>
          <cell r="X11">
            <v>119402.11797399999</v>
          </cell>
          <cell r="Y11">
            <v>395777.53197399998</v>
          </cell>
          <cell r="Z11">
            <v>393389.48961500003</v>
          </cell>
        </row>
        <row r="12">
          <cell r="C12">
            <v>46.002305999999997</v>
          </cell>
          <cell r="D12">
            <v>0.10100000000000001</v>
          </cell>
          <cell r="E12">
            <v>14.948933</v>
          </cell>
          <cell r="F12">
            <v>6.5490999999999994E-2</v>
          </cell>
          <cell r="G12">
            <v>630.88778100000002</v>
          </cell>
          <cell r="H12">
            <v>79.665143999999998</v>
          </cell>
          <cell r="I12">
            <v>400003.48587700003</v>
          </cell>
          <cell r="J12">
            <v>3803.261285</v>
          </cell>
          <cell r="K12">
            <v>400003.48587700003</v>
          </cell>
          <cell r="L12">
            <v>14.948933</v>
          </cell>
          <cell r="M12">
            <v>3803.261285</v>
          </cell>
          <cell r="N12">
            <v>53.499941999999997</v>
          </cell>
          <cell r="O12">
            <v>53.166764999999998</v>
          </cell>
          <cell r="P12">
            <v>3803.261285</v>
          </cell>
          <cell r="Q12">
            <v>3727.1960600000002</v>
          </cell>
          <cell r="R12">
            <v>41.317503000000002</v>
          </cell>
          <cell r="S12">
            <v>41.576425</v>
          </cell>
          <cell r="T12">
            <v>14.948933</v>
          </cell>
          <cell r="U12">
            <v>15.042612</v>
          </cell>
          <cell r="V12">
            <v>0</v>
          </cell>
          <cell r="W12">
            <v>9.3679999999999999E-2</v>
          </cell>
          <cell r="X12">
            <v>124553.44687699999</v>
          </cell>
          <cell r="Y12">
            <v>400003.48587700003</v>
          </cell>
          <cell r="Z12">
            <v>397512.41694000002</v>
          </cell>
        </row>
        <row r="13">
          <cell r="C13">
            <v>57.079267999999999</v>
          </cell>
          <cell r="D13">
            <v>0.17399999999999999</v>
          </cell>
          <cell r="E13">
            <v>14.948933</v>
          </cell>
          <cell r="F13">
            <v>6.5490999999999994E-2</v>
          </cell>
          <cell r="G13">
            <v>630.88778100000002</v>
          </cell>
          <cell r="H13">
            <v>81.036951000000002</v>
          </cell>
          <cell r="I13">
            <v>395660.86647399998</v>
          </cell>
          <cell r="J13">
            <v>3901.3846149999999</v>
          </cell>
          <cell r="K13">
            <v>400003.48587700003</v>
          </cell>
          <cell r="L13">
            <v>14.948933</v>
          </cell>
          <cell r="M13">
            <v>3803.261285</v>
          </cell>
          <cell r="N13">
            <v>52.919122000000002</v>
          </cell>
          <cell r="O13">
            <v>52.597562000000003</v>
          </cell>
          <cell r="P13">
            <v>3901.3846149999999</v>
          </cell>
          <cell r="Q13">
            <v>3823.3569229999998</v>
          </cell>
          <cell r="R13">
            <v>41.770988000000003</v>
          </cell>
          <cell r="S13">
            <v>42.026358999999999</v>
          </cell>
          <cell r="T13">
            <v>15.113007</v>
          </cell>
          <cell r="U13">
            <v>15.205401</v>
          </cell>
          <cell r="V13">
            <v>0.164074</v>
          </cell>
          <cell r="W13">
            <v>0.256469</v>
          </cell>
          <cell r="X13">
            <v>120210.82747400001</v>
          </cell>
          <cell r="Y13">
            <v>395660.86647399998</v>
          </cell>
          <cell r="Z13">
            <v>393256.64992499998</v>
          </cell>
        </row>
        <row r="14">
          <cell r="C14">
            <v>34.582673</v>
          </cell>
          <cell r="D14">
            <v>5.5E-2</v>
          </cell>
          <cell r="E14">
            <v>36.798966</v>
          </cell>
          <cell r="F14">
            <v>0.24295700000000001</v>
          </cell>
          <cell r="G14">
            <v>555.985815</v>
          </cell>
          <cell r="H14">
            <v>307.74738200000002</v>
          </cell>
          <cell r="I14">
            <v>400002.57788</v>
          </cell>
          <cell r="J14">
            <v>12805.337885000001</v>
          </cell>
          <cell r="K14">
            <v>400002.57788</v>
          </cell>
          <cell r="L14">
            <v>36.798966</v>
          </cell>
          <cell r="M14">
            <v>326.41769199999999</v>
          </cell>
          <cell r="N14">
            <v>36.223350000000003</v>
          </cell>
          <cell r="O14">
            <v>35.299990000000001</v>
          </cell>
          <cell r="P14">
            <v>12805.337885000001</v>
          </cell>
          <cell r="Q14">
            <v>12478.920193</v>
          </cell>
          <cell r="R14">
            <v>135.08046400000001</v>
          </cell>
          <cell r="S14">
            <v>138.61383499999999</v>
          </cell>
          <cell r="T14">
            <v>36.798966</v>
          </cell>
          <cell r="U14">
            <v>37.761536</v>
          </cell>
          <cell r="V14">
            <v>0</v>
          </cell>
          <cell r="W14">
            <v>0.96257000000000004</v>
          </cell>
          <cell r="X14">
            <v>400002.57788</v>
          </cell>
          <cell r="Y14">
            <v>400002.57788</v>
          </cell>
          <cell r="Z14">
            <v>389806.21139100002</v>
          </cell>
        </row>
        <row r="15">
          <cell r="C15">
            <v>34.582673</v>
          </cell>
          <cell r="D15">
            <v>5.5E-2</v>
          </cell>
          <cell r="E15">
            <v>36.798966</v>
          </cell>
          <cell r="F15">
            <v>0.24295700000000001</v>
          </cell>
          <cell r="G15">
            <v>555.985815</v>
          </cell>
          <cell r="H15">
            <v>307.74738200000002</v>
          </cell>
          <cell r="I15">
            <v>400002.57788</v>
          </cell>
          <cell r="J15">
            <v>12805.337885000001</v>
          </cell>
          <cell r="K15">
            <v>400002.57788</v>
          </cell>
          <cell r="L15">
            <v>36.798966</v>
          </cell>
          <cell r="M15">
            <v>331.21465699999999</v>
          </cell>
          <cell r="N15">
            <v>36.209781</v>
          </cell>
          <cell r="O15">
            <v>35.28642</v>
          </cell>
          <cell r="P15">
            <v>12800.540918999999</v>
          </cell>
          <cell r="Q15">
            <v>12474.123228</v>
          </cell>
          <cell r="R15">
            <v>135.13108500000001</v>
          </cell>
          <cell r="S15">
            <v>138.66713899999999</v>
          </cell>
          <cell r="T15">
            <v>36.812756</v>
          </cell>
          <cell r="U15">
            <v>37.776057000000002</v>
          </cell>
          <cell r="V15">
            <v>1.379E-2</v>
          </cell>
          <cell r="W15">
            <v>0.97709100000000004</v>
          </cell>
          <cell r="X15">
            <v>400002.57788</v>
          </cell>
          <cell r="Y15">
            <v>399852.73423200002</v>
          </cell>
          <cell r="Z15">
            <v>389656.36774299998</v>
          </cell>
        </row>
        <row r="16">
          <cell r="C16">
            <v>38.894196999999998</v>
          </cell>
          <cell r="D16">
            <v>6.9599999999999995E-2</v>
          </cell>
          <cell r="E16">
            <v>37.057341000000001</v>
          </cell>
          <cell r="F16">
            <v>0.24882199999999999</v>
          </cell>
          <cell r="G16">
            <v>546.66168600000003</v>
          </cell>
          <cell r="H16">
            <v>313.21865300000002</v>
          </cell>
          <cell r="I16">
            <v>400001.20807599998</v>
          </cell>
          <cell r="J16">
            <v>13076.136891</v>
          </cell>
          <cell r="K16">
            <v>400001.20807599998</v>
          </cell>
          <cell r="L16">
            <v>37.057341000000001</v>
          </cell>
          <cell r="M16">
            <v>346.55109499999998</v>
          </cell>
          <cell r="N16">
            <v>35.970666000000001</v>
          </cell>
          <cell r="O16">
            <v>35.017352000000002</v>
          </cell>
          <cell r="P16">
            <v>13076.136891</v>
          </cell>
          <cell r="Q16">
            <v>12729.585795999999</v>
          </cell>
          <cell r="R16">
            <v>136.02172200000001</v>
          </cell>
          <cell r="S16">
            <v>139.72478699999999</v>
          </cell>
          <cell r="T16">
            <v>37.057341000000001</v>
          </cell>
          <cell r="U16">
            <v>38.066192999999998</v>
          </cell>
          <cell r="V16">
            <v>0</v>
          </cell>
          <cell r="W16">
            <v>1.0088520000000001</v>
          </cell>
          <cell r="X16">
            <v>400001.20807599998</v>
          </cell>
          <cell r="Y16">
            <v>400001.20807599998</v>
          </cell>
          <cell r="Z16">
            <v>389400.152282</v>
          </cell>
        </row>
        <row r="17">
          <cell r="C17">
            <v>38.894196999999998</v>
          </cell>
          <cell r="D17">
            <v>6.9599999999999995E-2</v>
          </cell>
          <cell r="E17">
            <v>37.057341000000001</v>
          </cell>
          <cell r="F17">
            <v>0.24882199999999999</v>
          </cell>
          <cell r="G17">
            <v>546.66168600000003</v>
          </cell>
          <cell r="H17">
            <v>313.21865300000002</v>
          </cell>
          <cell r="I17">
            <v>400001.20807599998</v>
          </cell>
          <cell r="J17">
            <v>13076.136891</v>
          </cell>
          <cell r="K17">
            <v>400001.20807599998</v>
          </cell>
          <cell r="L17">
            <v>37.057341000000001</v>
          </cell>
          <cell r="M17">
            <v>352.00377200000003</v>
          </cell>
          <cell r="N17">
            <v>35.955666999999998</v>
          </cell>
          <cell r="O17">
            <v>35.002352000000002</v>
          </cell>
          <cell r="P17">
            <v>13070.684214999999</v>
          </cell>
          <cell r="Q17">
            <v>12724.13312</v>
          </cell>
          <cell r="R17">
            <v>136.07846599999999</v>
          </cell>
          <cell r="S17">
            <v>139.78466299999999</v>
          </cell>
          <cell r="T17">
            <v>37.072800000000001</v>
          </cell>
          <cell r="U17">
            <v>38.082504999999998</v>
          </cell>
          <cell r="V17">
            <v>1.5459000000000001E-2</v>
          </cell>
          <cell r="W17">
            <v>1.025164</v>
          </cell>
          <cell r="X17">
            <v>400001.20807599998</v>
          </cell>
          <cell r="Y17">
            <v>399834.40979000001</v>
          </cell>
          <cell r="Z17">
            <v>389233.35399600002</v>
          </cell>
        </row>
        <row r="18">
          <cell r="C18">
            <v>43.285657</v>
          </cell>
          <cell r="D18">
            <v>8.7800000000000003E-2</v>
          </cell>
          <cell r="E18">
            <v>37.337328999999997</v>
          </cell>
          <cell r="F18">
            <v>0.25498199999999999</v>
          </cell>
          <cell r="G18">
            <v>537.458122</v>
          </cell>
          <cell r="H18">
            <v>318.93919099999999</v>
          </cell>
          <cell r="I18">
            <v>400002.08498300001</v>
          </cell>
          <cell r="J18">
            <v>13355.219821000001</v>
          </cell>
          <cell r="K18">
            <v>400002.08498300001</v>
          </cell>
          <cell r="L18">
            <v>37.337328999999997</v>
          </cell>
          <cell r="M18">
            <v>365.33431899999999</v>
          </cell>
          <cell r="N18">
            <v>35.701006</v>
          </cell>
          <cell r="O18">
            <v>34.724398999999998</v>
          </cell>
          <cell r="P18">
            <v>13355.219821000001</v>
          </cell>
          <cell r="Q18">
            <v>12989.885501999999</v>
          </cell>
          <cell r="R18">
            <v>137.04205300000001</v>
          </cell>
          <cell r="S18">
            <v>140.89629500000001</v>
          </cell>
          <cell r="T18">
            <v>37.337328999999997</v>
          </cell>
          <cell r="U18">
            <v>38.387422999999998</v>
          </cell>
          <cell r="V18">
            <v>0</v>
          </cell>
          <cell r="W18">
            <v>1.050095</v>
          </cell>
          <cell r="X18">
            <v>400002.08498300001</v>
          </cell>
          <cell r="Y18">
            <v>400002.08498300001</v>
          </cell>
          <cell r="Z18">
            <v>389059.95964700001</v>
          </cell>
        </row>
        <row r="19">
          <cell r="C19">
            <v>43.285657</v>
          </cell>
          <cell r="D19">
            <v>8.7800000000000003E-2</v>
          </cell>
          <cell r="E19">
            <v>37.337328999999997</v>
          </cell>
          <cell r="F19">
            <v>0.25498199999999999</v>
          </cell>
          <cell r="G19">
            <v>537.458122</v>
          </cell>
          <cell r="H19">
            <v>318.93919099999999</v>
          </cell>
          <cell r="I19">
            <v>400002.08498300001</v>
          </cell>
          <cell r="J19">
            <v>13355.219821000001</v>
          </cell>
          <cell r="K19">
            <v>400002.08498300001</v>
          </cell>
          <cell r="L19">
            <v>37.337328999999997</v>
          </cell>
          <cell r="M19">
            <v>371.40179599999999</v>
          </cell>
          <cell r="N19">
            <v>35.684786000000003</v>
          </cell>
          <cell r="O19">
            <v>34.708179000000001</v>
          </cell>
          <cell r="P19">
            <v>13349.152343</v>
          </cell>
          <cell r="Q19">
            <v>12983.818024</v>
          </cell>
          <cell r="R19">
            <v>137.10434100000001</v>
          </cell>
          <cell r="S19">
            <v>140.96213700000001</v>
          </cell>
          <cell r="T19">
            <v>37.354298999999997</v>
          </cell>
          <cell r="U19">
            <v>38.405361999999997</v>
          </cell>
          <cell r="V19">
            <v>1.6971E-2</v>
          </cell>
          <cell r="W19">
            <v>1.068033</v>
          </cell>
          <cell r="X19">
            <v>400002.08498300001</v>
          </cell>
          <cell r="Y19">
            <v>399820.35800299997</v>
          </cell>
          <cell r="Z19">
            <v>388878.23266699997</v>
          </cell>
        </row>
        <row r="20">
          <cell r="C20">
            <v>36.007736000000001</v>
          </cell>
          <cell r="D20">
            <v>5.9499999999999997E-2</v>
          </cell>
          <cell r="E20">
            <v>36.924014999999997</v>
          </cell>
          <cell r="F20">
            <v>0.243726</v>
          </cell>
          <cell r="G20">
            <v>556.11086499999999</v>
          </cell>
          <cell r="H20">
            <v>309.46816200000001</v>
          </cell>
          <cell r="I20">
            <v>400002.05902500002</v>
          </cell>
          <cell r="J20">
            <v>12890.115089000001</v>
          </cell>
          <cell r="K20">
            <v>400002.05902500002</v>
          </cell>
          <cell r="L20">
            <v>36.924014999999997</v>
          </cell>
          <cell r="M20">
            <v>0</v>
          </cell>
          <cell r="N20">
            <v>36.100627000000003</v>
          </cell>
          <cell r="O20">
            <v>35.378613999999999</v>
          </cell>
          <cell r="P20">
            <v>12890.115089000001</v>
          </cell>
          <cell r="Q20">
            <v>12632.312787000001</v>
          </cell>
          <cell r="R20">
            <v>135.53861699999999</v>
          </cell>
          <cell r="S20">
            <v>138.304711</v>
          </cell>
          <cell r="T20">
            <v>36.924014999999997</v>
          </cell>
          <cell r="U20">
            <v>37.677567000000003</v>
          </cell>
          <cell r="V20">
            <v>0</v>
          </cell>
          <cell r="W20">
            <v>0.75355099999999997</v>
          </cell>
          <cell r="X20">
            <v>400002.05902500002</v>
          </cell>
          <cell r="Y20">
            <v>400002.05902500002</v>
          </cell>
          <cell r="Z20">
            <v>392002.01784500002</v>
          </cell>
        </row>
        <row r="21">
          <cell r="C21">
            <v>47.044750000000001</v>
          </cell>
          <cell r="D21">
            <v>0.1065</v>
          </cell>
          <cell r="E21">
            <v>36.924014999999997</v>
          </cell>
          <cell r="F21">
            <v>0.243726</v>
          </cell>
          <cell r="G21">
            <v>556.11086499999999</v>
          </cell>
          <cell r="H21">
            <v>313.954249</v>
          </cell>
          <cell r="I21">
            <v>387742.35325300001</v>
          </cell>
          <cell r="J21">
            <v>13176.157633999999</v>
          </cell>
          <cell r="K21">
            <v>400002.05902500002</v>
          </cell>
          <cell r="L21">
            <v>36.924014999999997</v>
          </cell>
          <cell r="M21">
            <v>0</v>
          </cell>
          <cell r="N21">
            <v>34.994174999999998</v>
          </cell>
          <cell r="O21">
            <v>34.294291000000001</v>
          </cell>
          <cell r="P21">
            <v>13176.157633999999</v>
          </cell>
          <cell r="Q21">
            <v>12912.634480999999</v>
          </cell>
          <cell r="R21">
            <v>139.82409999999999</v>
          </cell>
          <cell r="S21">
            <v>142.67765299999999</v>
          </cell>
          <cell r="T21">
            <v>38.091484999999999</v>
          </cell>
          <cell r="U21">
            <v>38.868862999999997</v>
          </cell>
          <cell r="V21">
            <v>1.16747</v>
          </cell>
          <cell r="W21">
            <v>1.944847</v>
          </cell>
          <cell r="X21">
            <v>387742.35325300001</v>
          </cell>
          <cell r="Y21">
            <v>387742.35325300001</v>
          </cell>
          <cell r="Z21">
            <v>379987.50618800003</v>
          </cell>
        </row>
        <row r="22">
          <cell r="C22">
            <v>41.030777</v>
          </cell>
          <cell r="D22">
            <v>7.8E-2</v>
          </cell>
          <cell r="E22">
            <v>37.253042000000001</v>
          </cell>
          <cell r="F22">
            <v>0.25004500000000002</v>
          </cell>
          <cell r="G22">
            <v>546.85738700000002</v>
          </cell>
          <cell r="H22">
            <v>315.90725300000003</v>
          </cell>
          <cell r="I22">
            <v>400001.25352299999</v>
          </cell>
          <cell r="J22">
            <v>13206.880402999999</v>
          </cell>
          <cell r="K22">
            <v>400001.25352299999</v>
          </cell>
          <cell r="L22">
            <v>37.253042000000001</v>
          </cell>
          <cell r="M22">
            <v>0</v>
          </cell>
          <cell r="N22">
            <v>35.781706999999997</v>
          </cell>
          <cell r="O22">
            <v>35.066071999999998</v>
          </cell>
          <cell r="P22">
            <v>13206.880402999999</v>
          </cell>
          <cell r="Q22">
            <v>12942.742795</v>
          </cell>
          <cell r="R22">
            <v>136.73872900000001</v>
          </cell>
          <cell r="S22">
            <v>139.529315</v>
          </cell>
          <cell r="T22">
            <v>37.253042000000001</v>
          </cell>
          <cell r="U22">
            <v>38.013308000000002</v>
          </cell>
          <cell r="V22">
            <v>0</v>
          </cell>
          <cell r="W22">
            <v>0.760266</v>
          </cell>
          <cell r="X22">
            <v>400001.25352299999</v>
          </cell>
          <cell r="Y22">
            <v>400001.25352299999</v>
          </cell>
          <cell r="Z22">
            <v>392001.22845300002</v>
          </cell>
        </row>
        <row r="23">
          <cell r="C23">
            <v>52.103980999999997</v>
          </cell>
          <cell r="D23">
            <v>0.13700000000000001</v>
          </cell>
          <cell r="E23">
            <v>37.253042000000001</v>
          </cell>
          <cell r="F23">
            <v>0.25004500000000002</v>
          </cell>
          <cell r="G23">
            <v>546.85738700000002</v>
          </cell>
          <cell r="H23">
            <v>319.999999</v>
          </cell>
          <cell r="I23">
            <v>386925.81733699999</v>
          </cell>
          <cell r="J23">
            <v>13468.386214</v>
          </cell>
          <cell r="K23">
            <v>400001.25352299999</v>
          </cell>
          <cell r="L23">
            <v>37.253042000000001</v>
          </cell>
          <cell r="M23">
            <v>0</v>
          </cell>
          <cell r="N23">
            <v>34.612057</v>
          </cell>
          <cell r="O23">
            <v>33.919815999999997</v>
          </cell>
          <cell r="P23">
            <v>13468.386214</v>
          </cell>
          <cell r="Q23">
            <v>13199.01849</v>
          </cell>
          <cell r="R23">
            <v>141.35955899999999</v>
          </cell>
          <cell r="S23">
            <v>144.24444800000001</v>
          </cell>
          <cell r="T23">
            <v>38.511938999999998</v>
          </cell>
          <cell r="U23">
            <v>39.297896999999999</v>
          </cell>
          <cell r="V23">
            <v>1.2588969999999999</v>
          </cell>
          <cell r="W23">
            <v>2.0448550000000001</v>
          </cell>
          <cell r="X23">
            <v>386925.81733699999</v>
          </cell>
          <cell r="Y23">
            <v>386925.81733699999</v>
          </cell>
          <cell r="Z23">
            <v>379187.30099100003</v>
          </cell>
        </row>
        <row r="24">
          <cell r="C24">
            <v>46.002305999999997</v>
          </cell>
          <cell r="D24">
            <v>0.10100000000000001</v>
          </cell>
          <cell r="E24">
            <v>37.314014</v>
          </cell>
          <cell r="F24">
            <v>0.254834</v>
          </cell>
          <cell r="G24">
            <v>537.43480599999998</v>
          </cell>
          <cell r="H24">
            <v>319.85796199999999</v>
          </cell>
          <cell r="I24">
            <v>396754.81722000003</v>
          </cell>
          <cell r="J24">
            <v>13415.466344</v>
          </cell>
          <cell r="K24">
            <v>396754.81722000003</v>
          </cell>
          <cell r="L24">
            <v>37.314014</v>
          </cell>
          <cell r="M24">
            <v>0</v>
          </cell>
          <cell r="N24">
            <v>35.433306999999999</v>
          </cell>
          <cell r="O24">
            <v>34.724640999999998</v>
          </cell>
          <cell r="P24">
            <v>13415.466344</v>
          </cell>
          <cell r="Q24">
            <v>13147.157018</v>
          </cell>
          <cell r="R24">
            <v>136.956638</v>
          </cell>
          <cell r="S24">
            <v>139.75167099999999</v>
          </cell>
          <cell r="T24">
            <v>37.314014</v>
          </cell>
          <cell r="U24">
            <v>38.075524000000001</v>
          </cell>
          <cell r="V24">
            <v>0</v>
          </cell>
          <cell r="W24">
            <v>0.76151000000000002</v>
          </cell>
          <cell r="X24">
            <v>396754.81722000003</v>
          </cell>
          <cell r="Y24">
            <v>396754.81722000003</v>
          </cell>
          <cell r="Z24">
            <v>388819.72087600001</v>
          </cell>
        </row>
        <row r="25">
          <cell r="C25">
            <v>57.079267999999999</v>
          </cell>
          <cell r="D25">
            <v>0.17399999999999999</v>
          </cell>
          <cell r="E25">
            <v>37.314014</v>
          </cell>
          <cell r="F25">
            <v>0.254834</v>
          </cell>
          <cell r="G25">
            <v>537.43480599999998</v>
          </cell>
          <cell r="H25">
            <v>319.999999</v>
          </cell>
          <cell r="I25">
            <v>378868.42918899999</v>
          </cell>
          <cell r="J25">
            <v>13502.06855</v>
          </cell>
          <cell r="K25">
            <v>396754.81722000003</v>
          </cell>
          <cell r="L25">
            <v>37.314014</v>
          </cell>
          <cell r="M25">
            <v>0</v>
          </cell>
          <cell r="N25">
            <v>33.835912</v>
          </cell>
          <cell r="O25">
            <v>33.159193999999999</v>
          </cell>
          <cell r="P25">
            <v>13502.06855</v>
          </cell>
          <cell r="Q25">
            <v>13232.027179000001</v>
          </cell>
          <cell r="R25">
            <v>143.42236399999999</v>
          </cell>
          <cell r="S25">
            <v>146.34935100000001</v>
          </cell>
          <cell r="T25">
            <v>39.075609</v>
          </cell>
          <cell r="U25">
            <v>39.873069999999998</v>
          </cell>
          <cell r="V25">
            <v>1.7615959999999999</v>
          </cell>
          <cell r="W25">
            <v>2.5590570000000001</v>
          </cell>
          <cell r="X25">
            <v>378868.42918899999</v>
          </cell>
          <cell r="Y25">
            <v>378868.42918899999</v>
          </cell>
          <cell r="Z25">
            <v>371291.06060500001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err"/>
      <sheetName val="err"/>
      <sheetName val="all"/>
    </sheetNames>
    <sheetDataSet>
      <sheetData sheetId="0">
        <row r="2">
          <cell r="C2">
            <v>36.611317</v>
          </cell>
          <cell r="D2">
            <v>6.1499999999999999E-2</v>
          </cell>
          <cell r="E2">
            <v>14.89941</v>
          </cell>
          <cell r="F2">
            <v>6.4068E-2</v>
          </cell>
          <cell r="G2">
            <v>642.87532199999998</v>
          </cell>
          <cell r="H2">
            <v>74.758298999999994</v>
          </cell>
          <cell r="I2">
            <v>400002.500788</v>
          </cell>
          <cell r="J2">
            <v>2994.2199409999998</v>
          </cell>
          <cell r="K2">
            <v>400002.50075299997</v>
          </cell>
          <cell r="L2">
            <v>14.89941</v>
          </cell>
          <cell r="M2">
            <v>83.671242000000007</v>
          </cell>
          <cell r="N2">
            <v>53.677633</v>
          </cell>
          <cell r="O2">
            <v>53.220073999999997</v>
          </cell>
          <cell r="P2">
            <v>2994.2199409999998</v>
          </cell>
          <cell r="Q2">
            <v>2910.5486989999999</v>
          </cell>
          <cell r="R2">
            <v>41.187665000000003</v>
          </cell>
          <cell r="S2">
            <v>41.541775999999999</v>
          </cell>
          <cell r="T2">
            <v>14.89941</v>
          </cell>
          <cell r="U2">
            <v>15.027507999999999</v>
          </cell>
          <cell r="V2">
            <v>0</v>
          </cell>
          <cell r="W2">
            <v>0.12809799999999999</v>
          </cell>
          <cell r="X2">
            <v>122018.06755599999</v>
          </cell>
          <cell r="Y2">
            <v>400002.500788</v>
          </cell>
          <cell r="Z2">
            <v>396592.79693999997</v>
          </cell>
        </row>
        <row r="3">
          <cell r="C3">
            <v>36.611317</v>
          </cell>
          <cell r="D3">
            <v>6.1499999999999999E-2</v>
          </cell>
          <cell r="E3">
            <v>14.89941</v>
          </cell>
          <cell r="F3">
            <v>6.4068E-2</v>
          </cell>
          <cell r="G3">
            <v>642.87532199999998</v>
          </cell>
          <cell r="H3">
            <v>74.758298999999994</v>
          </cell>
          <cell r="I3">
            <v>400002.500788</v>
          </cell>
          <cell r="J3">
            <v>2994.2199409999998</v>
          </cell>
          <cell r="K3">
            <v>400002.50075299997</v>
          </cell>
          <cell r="L3">
            <v>14.89941</v>
          </cell>
          <cell r="M3">
            <v>85.113144000000005</v>
          </cell>
          <cell r="N3">
            <v>53.669747999999998</v>
          </cell>
          <cell r="O3">
            <v>53.212189000000002</v>
          </cell>
          <cell r="P3">
            <v>2992.7780389999998</v>
          </cell>
          <cell r="Q3">
            <v>2909.1067969999999</v>
          </cell>
          <cell r="R3">
            <v>41.193716999999999</v>
          </cell>
          <cell r="S3">
            <v>41.547932000000003</v>
          </cell>
          <cell r="T3">
            <v>14.901598999999999</v>
          </cell>
          <cell r="U3">
            <v>15.029733999999999</v>
          </cell>
          <cell r="V3">
            <v>2.189E-3</v>
          </cell>
          <cell r="W3">
            <v>0.130324</v>
          </cell>
          <cell r="X3">
            <v>122018.06755599999</v>
          </cell>
          <cell r="Y3">
            <v>399943.74153599999</v>
          </cell>
          <cell r="Z3">
            <v>396534.03768800001</v>
          </cell>
        </row>
        <row r="4">
          <cell r="C4">
            <v>40.982267999999998</v>
          </cell>
          <cell r="D4">
            <v>7.7799999999999994E-2</v>
          </cell>
          <cell r="E4">
            <v>14.903202</v>
          </cell>
          <cell r="F4">
            <v>6.4855999999999997E-2</v>
          </cell>
          <cell r="G4">
            <v>635.16440999999998</v>
          </cell>
          <cell r="H4">
            <v>77.2697</v>
          </cell>
          <cell r="I4">
            <v>400002.520013</v>
          </cell>
          <cell r="J4">
            <v>3107.6596089999998</v>
          </cell>
          <cell r="K4">
            <v>400002.519974</v>
          </cell>
          <cell r="L4">
            <v>14.903202</v>
          </cell>
          <cell r="M4">
            <v>90.462721999999999</v>
          </cell>
          <cell r="N4">
            <v>53.663980000000002</v>
          </cell>
          <cell r="O4">
            <v>53.181173999999999</v>
          </cell>
          <cell r="P4">
            <v>3107.6596089999998</v>
          </cell>
          <cell r="Q4">
            <v>3017.1968870000001</v>
          </cell>
          <cell r="R4">
            <v>41.194209000000001</v>
          </cell>
          <cell r="S4">
            <v>41.568190999999999</v>
          </cell>
          <cell r="T4">
            <v>14.903202</v>
          </cell>
          <cell r="U4">
            <v>15.038500000000001</v>
          </cell>
          <cell r="V4">
            <v>0</v>
          </cell>
          <cell r="W4">
            <v>0.135299</v>
          </cell>
          <cell r="X4">
            <v>123627.85181599999</v>
          </cell>
          <cell r="Y4">
            <v>400002.52001199999</v>
          </cell>
          <cell r="Z4">
            <v>396403.76293700002</v>
          </cell>
        </row>
        <row r="5">
          <cell r="C5">
            <v>40.982267999999998</v>
          </cell>
          <cell r="D5">
            <v>7.7799999999999994E-2</v>
          </cell>
          <cell r="E5">
            <v>14.903202</v>
          </cell>
          <cell r="F5">
            <v>6.4855999999999997E-2</v>
          </cell>
          <cell r="G5">
            <v>635.16440999999998</v>
          </cell>
          <cell r="H5">
            <v>77.2697</v>
          </cell>
          <cell r="I5">
            <v>400002.520013</v>
          </cell>
          <cell r="J5">
            <v>3107.6596089999998</v>
          </cell>
          <cell r="K5">
            <v>400002.519974</v>
          </cell>
          <cell r="L5">
            <v>14.903202</v>
          </cell>
          <cell r="M5">
            <v>92.130606999999998</v>
          </cell>
          <cell r="N5">
            <v>53.655078000000003</v>
          </cell>
          <cell r="O5">
            <v>53.172272</v>
          </cell>
          <cell r="P5">
            <v>3105.9917249999999</v>
          </cell>
          <cell r="Q5">
            <v>3015.5290030000001</v>
          </cell>
          <cell r="R5">
            <v>41.201044000000003</v>
          </cell>
          <cell r="S5">
            <v>41.575150000000001</v>
          </cell>
          <cell r="T5">
            <v>14.905673999999999</v>
          </cell>
          <cell r="U5">
            <v>15.041017999999999</v>
          </cell>
          <cell r="V5">
            <v>2.4729999999999999E-3</v>
          </cell>
          <cell r="W5">
            <v>0.137817</v>
          </cell>
          <cell r="X5">
            <v>123627.85181599999</v>
          </cell>
          <cell r="Y5">
            <v>399936.16880500002</v>
          </cell>
          <cell r="Z5">
            <v>396337.41172999999</v>
          </cell>
        </row>
        <row r="6">
          <cell r="C6">
            <v>45.213053000000002</v>
          </cell>
          <cell r="D6">
            <v>9.7000000000000003E-2</v>
          </cell>
          <cell r="E6">
            <v>14.940256</v>
          </cell>
          <cell r="F6">
            <v>6.5463999999999994E-2</v>
          </cell>
          <cell r="G6">
            <v>630.78195000000005</v>
          </cell>
          <cell r="H6">
            <v>79.491005999999999</v>
          </cell>
          <cell r="I6">
            <v>400002.49877100001</v>
          </cell>
          <cell r="J6">
            <v>3208.9355420000002</v>
          </cell>
          <cell r="K6">
            <v>400002.498724</v>
          </cell>
          <cell r="L6">
            <v>14.940256</v>
          </cell>
          <cell r="M6">
            <v>96.582128999999995</v>
          </cell>
          <cell r="N6">
            <v>53.530881999999998</v>
          </cell>
          <cell r="O6">
            <v>53.028525000000002</v>
          </cell>
          <cell r="P6">
            <v>3208.9355420000002</v>
          </cell>
          <cell r="Q6">
            <v>3112.3534129999998</v>
          </cell>
          <cell r="R6">
            <v>41.293650999999997</v>
          </cell>
          <cell r="S6">
            <v>41.684838999999997</v>
          </cell>
          <cell r="T6">
            <v>14.940256</v>
          </cell>
          <cell r="U6">
            <v>15.08179</v>
          </cell>
          <cell r="V6">
            <v>0</v>
          </cell>
          <cell r="W6">
            <v>0.14153399999999999</v>
          </cell>
          <cell r="X6">
            <v>124719.64683899999</v>
          </cell>
          <cell r="Y6">
            <v>400002.49877000001</v>
          </cell>
          <cell r="Z6">
            <v>396248.70289399999</v>
          </cell>
        </row>
        <row r="7">
          <cell r="C7">
            <v>45.213053000000002</v>
          </cell>
          <cell r="D7">
            <v>9.7000000000000003E-2</v>
          </cell>
          <cell r="E7">
            <v>14.940256</v>
          </cell>
          <cell r="F7">
            <v>6.5463999999999994E-2</v>
          </cell>
          <cell r="G7">
            <v>630.78195000000005</v>
          </cell>
          <cell r="H7">
            <v>79.491005999999999</v>
          </cell>
          <cell r="I7">
            <v>400002.49877100001</v>
          </cell>
          <cell r="J7">
            <v>3208.9355420000002</v>
          </cell>
          <cell r="K7">
            <v>400002.498724</v>
          </cell>
          <cell r="L7">
            <v>14.940256</v>
          </cell>
          <cell r="M7">
            <v>98.461426000000003</v>
          </cell>
          <cell r="N7">
            <v>53.521107000000001</v>
          </cell>
          <cell r="O7">
            <v>53.018749999999997</v>
          </cell>
          <cell r="P7">
            <v>3207.0562450000002</v>
          </cell>
          <cell r="Q7">
            <v>3110.4741159999999</v>
          </cell>
          <cell r="R7">
            <v>41.301192999999998</v>
          </cell>
          <cell r="S7">
            <v>41.692525000000003</v>
          </cell>
          <cell r="T7">
            <v>14.942983999999999</v>
          </cell>
          <cell r="U7">
            <v>15.084569999999999</v>
          </cell>
          <cell r="V7">
            <v>2.7290000000000001E-3</v>
          </cell>
          <cell r="W7">
            <v>0.144315</v>
          </cell>
          <cell r="X7">
            <v>124719.64683899999</v>
          </cell>
          <cell r="Y7">
            <v>399929.45733499998</v>
          </cell>
          <cell r="Z7">
            <v>396175.66145800002</v>
          </cell>
        </row>
        <row r="8">
          <cell r="C8">
            <v>38.021256000000001</v>
          </cell>
          <cell r="D8">
            <v>6.6400000000000001E-2</v>
          </cell>
          <cell r="E8">
            <v>14.912595</v>
          </cell>
          <cell r="F8">
            <v>6.4119999999999996E-2</v>
          </cell>
          <cell r="G8">
            <v>642.91413599999998</v>
          </cell>
          <cell r="H8">
            <v>75.062724000000003</v>
          </cell>
          <cell r="I8">
            <v>400002.78272700001</v>
          </cell>
          <cell r="J8">
            <v>3010.329279</v>
          </cell>
          <cell r="K8">
            <v>400002.704272</v>
          </cell>
          <cell r="L8">
            <v>14.912595</v>
          </cell>
          <cell r="M8">
            <v>3010.3273170000002</v>
          </cell>
          <cell r="N8">
            <v>53.630211000000003</v>
          </cell>
          <cell r="O8">
            <v>53.303736000000001</v>
          </cell>
          <cell r="P8">
            <v>3010.329279</v>
          </cell>
          <cell r="Q8">
            <v>2950.1226929999998</v>
          </cell>
          <cell r="R8">
            <v>41.223841999999998</v>
          </cell>
          <cell r="S8">
            <v>41.476329</v>
          </cell>
          <cell r="T8">
            <v>14.912592999999999</v>
          </cell>
          <cell r="U8">
            <v>15.003928999999999</v>
          </cell>
          <cell r="V8">
            <v>-3.0000000000000001E-6</v>
          </cell>
          <cell r="W8">
            <v>9.1333999999999999E-2</v>
          </cell>
          <cell r="X8">
            <v>121750.983727</v>
          </cell>
          <cell r="Y8">
            <v>400002.78272700001</v>
          </cell>
          <cell r="Z8">
            <v>397567.76305200002</v>
          </cell>
        </row>
        <row r="9">
          <cell r="C9">
            <v>51.097718</v>
          </cell>
          <cell r="D9">
            <v>0.13039999999999999</v>
          </cell>
          <cell r="E9">
            <v>14.912595</v>
          </cell>
          <cell r="F9">
            <v>6.4119999999999996E-2</v>
          </cell>
          <cell r="G9">
            <v>642.91413599999998</v>
          </cell>
          <cell r="H9">
            <v>76.574146999999996</v>
          </cell>
          <cell r="I9">
            <v>395139.93380100001</v>
          </cell>
          <cell r="J9">
            <v>3105.6736139999998</v>
          </cell>
          <cell r="K9">
            <v>400002.704272</v>
          </cell>
          <cell r="L9">
            <v>14.912595</v>
          </cell>
          <cell r="M9">
            <v>3010.3273170000002</v>
          </cell>
          <cell r="N9">
            <v>52.978225999999999</v>
          </cell>
          <cell r="O9">
            <v>52.664791999999998</v>
          </cell>
          <cell r="P9">
            <v>3105.6736139999998</v>
          </cell>
          <cell r="Q9">
            <v>3043.5601419999998</v>
          </cell>
          <cell r="R9">
            <v>41.731169000000001</v>
          </cell>
          <cell r="S9">
            <v>41.979531999999999</v>
          </cell>
          <cell r="T9">
            <v>15.096117</v>
          </cell>
          <cell r="U9">
            <v>15.185961000000001</v>
          </cell>
          <cell r="V9">
            <v>0.18352099999999999</v>
          </cell>
          <cell r="W9">
            <v>0.273366</v>
          </cell>
          <cell r="X9">
            <v>116888.13480099999</v>
          </cell>
          <cell r="Y9">
            <v>395139.93380100001</v>
          </cell>
          <cell r="Z9">
            <v>392802.17110500002</v>
          </cell>
        </row>
        <row r="10">
          <cell r="C10">
            <v>43.021569999999997</v>
          </cell>
          <cell r="D10">
            <v>8.6599999999999996E-2</v>
          </cell>
          <cell r="E10">
            <v>14.924443999999999</v>
          </cell>
          <cell r="F10">
            <v>6.4931000000000003E-2</v>
          </cell>
          <cell r="G10">
            <v>635.32677699999999</v>
          </cell>
          <cell r="H10">
            <v>77.722005999999993</v>
          </cell>
          <cell r="I10">
            <v>400002.504006</v>
          </cell>
          <cell r="J10">
            <v>3131.3547210000002</v>
          </cell>
          <cell r="K10">
            <v>400002.504006</v>
          </cell>
          <cell r="L10">
            <v>14.924443999999999</v>
          </cell>
          <cell r="M10">
            <v>3131.3547210000002</v>
          </cell>
          <cell r="N10">
            <v>53.587597000000002</v>
          </cell>
          <cell r="O10">
            <v>53.257477999999999</v>
          </cell>
          <cell r="P10">
            <v>3131.3547210000002</v>
          </cell>
          <cell r="Q10">
            <v>3068.7276270000002</v>
          </cell>
          <cell r="R10">
            <v>41.252554000000003</v>
          </cell>
          <cell r="S10">
            <v>41.508259000000002</v>
          </cell>
          <cell r="T10">
            <v>14.924443999999999</v>
          </cell>
          <cell r="U10">
            <v>15.016954</v>
          </cell>
          <cell r="V10">
            <v>0</v>
          </cell>
          <cell r="W10">
            <v>9.2509999999999995E-2</v>
          </cell>
          <cell r="X10">
            <v>123207.757006</v>
          </cell>
          <cell r="Y10">
            <v>400002.504006</v>
          </cell>
          <cell r="Z10">
            <v>397538.34886600001</v>
          </cell>
        </row>
        <row r="11">
          <cell r="C11">
            <v>56.035302999999999</v>
          </cell>
          <cell r="D11">
            <v>0.1656</v>
          </cell>
          <cell r="E11">
            <v>14.924443999999999</v>
          </cell>
          <cell r="F11">
            <v>6.4931000000000003E-2</v>
          </cell>
          <cell r="G11">
            <v>635.32677699999999</v>
          </cell>
          <cell r="H11">
            <v>79.291662000000002</v>
          </cell>
          <cell r="I11">
            <v>395010.31964900001</v>
          </cell>
          <cell r="J11">
            <v>3227.6672100000001</v>
          </cell>
          <cell r="K11">
            <v>400002.504006</v>
          </cell>
          <cell r="L11">
            <v>14.924443999999999</v>
          </cell>
          <cell r="M11">
            <v>3131.3547210000002</v>
          </cell>
          <cell r="N11">
            <v>52.918802999999997</v>
          </cell>
          <cell r="O11">
            <v>52.602060000000002</v>
          </cell>
          <cell r="P11">
            <v>3227.6672100000001</v>
          </cell>
          <cell r="Q11">
            <v>3163.1138660000001</v>
          </cell>
          <cell r="R11">
            <v>41.773907999999999</v>
          </cell>
          <cell r="S11">
            <v>42.025449000000002</v>
          </cell>
          <cell r="T11">
            <v>15.113061</v>
          </cell>
          <cell r="U11">
            <v>15.204064000000001</v>
          </cell>
          <cell r="V11">
            <v>0.18861700000000001</v>
          </cell>
          <cell r="W11">
            <v>0.27961999999999998</v>
          </cell>
          <cell r="X11">
            <v>118215.57264899999</v>
          </cell>
          <cell r="Y11">
            <v>395010.31964900001</v>
          </cell>
          <cell r="Z11">
            <v>392646.00819600001</v>
          </cell>
        </row>
        <row r="12">
          <cell r="C12">
            <v>48.041918000000003</v>
          </cell>
          <cell r="D12">
            <v>0.112</v>
          </cell>
          <cell r="E12">
            <v>14.972826</v>
          </cell>
          <cell r="F12">
            <v>6.5564999999999998E-2</v>
          </cell>
          <cell r="G12">
            <v>631.17923299999995</v>
          </cell>
          <cell r="H12">
            <v>80.130515000000003</v>
          </cell>
          <cell r="I12">
            <v>400002.20446899999</v>
          </cell>
          <cell r="J12">
            <v>3242.0896419999999</v>
          </cell>
          <cell r="K12">
            <v>400002.18775500002</v>
          </cell>
          <cell r="L12">
            <v>14.972826</v>
          </cell>
          <cell r="M12">
            <v>3242.0889969999998</v>
          </cell>
          <cell r="N12">
            <v>53.414396000000004</v>
          </cell>
          <cell r="O12">
            <v>53.082982999999999</v>
          </cell>
          <cell r="P12">
            <v>3242.0896419999999</v>
          </cell>
          <cell r="Q12">
            <v>3177.2478489999999</v>
          </cell>
          <cell r="R12">
            <v>41.383183000000002</v>
          </cell>
          <cell r="S12">
            <v>41.641550000000002</v>
          </cell>
          <cell r="T12">
            <v>14.972826</v>
          </cell>
          <cell r="U12">
            <v>15.066306000000001</v>
          </cell>
          <cell r="V12">
            <v>-9.9999999999999995E-7</v>
          </cell>
          <cell r="W12">
            <v>9.3479000000000007E-2</v>
          </cell>
          <cell r="X12">
            <v>124091.741469</v>
          </cell>
          <cell r="Y12">
            <v>400002.20446899999</v>
          </cell>
          <cell r="Z12">
            <v>397520.36963899998</v>
          </cell>
        </row>
        <row r="13">
          <cell r="C13">
            <v>61.013195000000003</v>
          </cell>
          <cell r="D13">
            <v>0.20899999999999999</v>
          </cell>
          <cell r="E13">
            <v>14.972826</v>
          </cell>
          <cell r="F13">
            <v>6.5564999999999998E-2</v>
          </cell>
          <cell r="G13">
            <v>631.17923299999995</v>
          </cell>
          <cell r="H13">
            <v>81.756579000000002</v>
          </cell>
          <cell r="I13">
            <v>394890.52228899999</v>
          </cell>
          <cell r="J13">
            <v>3339.3206100000002</v>
          </cell>
          <cell r="K13">
            <v>400002.18775500002</v>
          </cell>
          <cell r="L13">
            <v>14.972826</v>
          </cell>
          <cell r="M13">
            <v>3242.0889969999998</v>
          </cell>
          <cell r="N13">
            <v>52.731805999999999</v>
          </cell>
          <cell r="O13">
            <v>52.414045000000002</v>
          </cell>
          <cell r="P13">
            <v>3339.3206100000002</v>
          </cell>
          <cell r="Q13">
            <v>3272.5341979999998</v>
          </cell>
          <cell r="R13">
            <v>41.918869999999998</v>
          </cell>
          <cell r="S13">
            <v>42.173003000000001</v>
          </cell>
          <cell r="T13">
            <v>15.166642</v>
          </cell>
          <cell r="U13">
            <v>15.25859</v>
          </cell>
          <cell r="V13">
            <v>0.19381599999999999</v>
          </cell>
          <cell r="W13">
            <v>0.28576400000000002</v>
          </cell>
          <cell r="X13">
            <v>118980.059289</v>
          </cell>
          <cell r="Y13">
            <v>394890.52228899999</v>
          </cell>
          <cell r="Z13">
            <v>392510.921103</v>
          </cell>
        </row>
        <row r="14">
          <cell r="C14">
            <v>36.611317</v>
          </cell>
          <cell r="D14">
            <v>6.1499999999999999E-2</v>
          </cell>
          <cell r="E14">
            <v>36.987071999999998</v>
          </cell>
          <cell r="F14">
            <v>0.244114</v>
          </cell>
          <cell r="G14">
            <v>556.17392099999995</v>
          </cell>
          <cell r="H14">
            <v>310.29197900000003</v>
          </cell>
          <cell r="I14">
            <v>400000.411188</v>
          </cell>
          <cell r="J14">
            <v>10940.047329999999</v>
          </cell>
          <cell r="K14">
            <v>400000.411188</v>
          </cell>
          <cell r="L14">
            <v>36.987071999999998</v>
          </cell>
          <cell r="M14">
            <v>305.71213799999998</v>
          </cell>
          <cell r="N14">
            <v>36.038933</v>
          </cell>
          <cell r="O14">
            <v>35.031849999999999</v>
          </cell>
          <cell r="P14">
            <v>10940.047329999999</v>
          </cell>
          <cell r="Q14">
            <v>10634.335192</v>
          </cell>
          <cell r="R14">
            <v>135.76963699999999</v>
          </cell>
          <cell r="S14">
            <v>139.672695</v>
          </cell>
          <cell r="T14">
            <v>36.987071999999998</v>
          </cell>
          <cell r="U14">
            <v>38.050362999999997</v>
          </cell>
          <cell r="V14">
            <v>0</v>
          </cell>
          <cell r="W14">
            <v>1.063291</v>
          </cell>
          <cell r="X14">
            <v>400000.411188</v>
          </cell>
          <cell r="Y14">
            <v>400000.411188</v>
          </cell>
          <cell r="Z14">
            <v>388822.67336999997</v>
          </cell>
        </row>
        <row r="15">
          <cell r="C15">
            <v>36.611317</v>
          </cell>
          <cell r="D15">
            <v>6.1499999999999999E-2</v>
          </cell>
          <cell r="E15">
            <v>36.987071999999998</v>
          </cell>
          <cell r="F15">
            <v>0.244114</v>
          </cell>
          <cell r="G15">
            <v>556.17392099999995</v>
          </cell>
          <cell r="H15">
            <v>310.29197900000003</v>
          </cell>
          <cell r="I15">
            <v>400000.411188</v>
          </cell>
          <cell r="J15">
            <v>10940.047329999999</v>
          </cell>
          <cell r="K15">
            <v>400000.411188</v>
          </cell>
          <cell r="L15">
            <v>36.987071999999998</v>
          </cell>
          <cell r="M15">
            <v>310.98045500000001</v>
          </cell>
          <cell r="N15">
            <v>36.021577999999998</v>
          </cell>
          <cell r="O15">
            <v>35.014494999999997</v>
          </cell>
          <cell r="P15">
            <v>10934.779012000001</v>
          </cell>
          <cell r="Q15">
            <v>10629.066875</v>
          </cell>
          <cell r="R15">
            <v>135.83505</v>
          </cell>
          <cell r="S15">
            <v>139.74192400000001</v>
          </cell>
          <cell r="T15">
            <v>37.004891999999998</v>
          </cell>
          <cell r="U15">
            <v>38.069223000000001</v>
          </cell>
          <cell r="V15">
            <v>1.7819999999999999E-2</v>
          </cell>
          <cell r="W15">
            <v>1.0821510000000001</v>
          </cell>
          <cell r="X15">
            <v>400000.411188</v>
          </cell>
          <cell r="Y15">
            <v>399807.78594799998</v>
          </cell>
          <cell r="Z15">
            <v>388630.04813100002</v>
          </cell>
        </row>
        <row r="16">
          <cell r="C16">
            <v>40.982267999999998</v>
          </cell>
          <cell r="D16">
            <v>7.7799999999999994E-2</v>
          </cell>
          <cell r="E16">
            <v>37.255218999999997</v>
          </cell>
          <cell r="F16">
            <v>0.250058</v>
          </cell>
          <cell r="G16">
            <v>546.85956399999998</v>
          </cell>
          <cell r="H16">
            <v>315.90747900000002</v>
          </cell>
          <cell r="I16">
            <v>400000.59276500001</v>
          </cell>
          <cell r="J16">
            <v>11174.114592</v>
          </cell>
          <cell r="K16">
            <v>400000.59276500001</v>
          </cell>
          <cell r="L16">
            <v>37.255218999999997</v>
          </cell>
          <cell r="M16">
            <v>325.27497399999999</v>
          </cell>
          <cell r="N16">
            <v>35.779556999999997</v>
          </cell>
          <cell r="O16">
            <v>34.738025</v>
          </cell>
          <cell r="P16">
            <v>11174.114592</v>
          </cell>
          <cell r="Q16">
            <v>10848.839618</v>
          </cell>
          <cell r="R16">
            <v>136.74669800000001</v>
          </cell>
          <cell r="S16">
            <v>140.84670199999999</v>
          </cell>
          <cell r="T16">
            <v>37.255218999999997</v>
          </cell>
          <cell r="U16">
            <v>38.372222000000001</v>
          </cell>
          <cell r="V16">
            <v>0</v>
          </cell>
          <cell r="W16">
            <v>1.117003</v>
          </cell>
          <cell r="X16">
            <v>400000.59276500001</v>
          </cell>
          <cell r="Y16">
            <v>400000.59276500001</v>
          </cell>
          <cell r="Z16">
            <v>388356.70085700002</v>
          </cell>
        </row>
        <row r="17">
          <cell r="C17">
            <v>40.982267999999998</v>
          </cell>
          <cell r="D17">
            <v>7.7799999999999994E-2</v>
          </cell>
          <cell r="E17">
            <v>37.255218999999997</v>
          </cell>
          <cell r="F17">
            <v>0.250058</v>
          </cell>
          <cell r="G17">
            <v>546.85956399999998</v>
          </cell>
          <cell r="H17">
            <v>315.90747900000002</v>
          </cell>
          <cell r="I17">
            <v>400000.59276500001</v>
          </cell>
          <cell r="J17">
            <v>11174.114592</v>
          </cell>
          <cell r="K17">
            <v>400000.59276500001</v>
          </cell>
          <cell r="L17">
            <v>37.255218999999997</v>
          </cell>
          <cell r="M17">
            <v>331.27215000000001</v>
          </cell>
          <cell r="N17">
            <v>35.760354</v>
          </cell>
          <cell r="O17">
            <v>34.718822000000003</v>
          </cell>
          <cell r="P17">
            <v>11168.117415999999</v>
          </cell>
          <cell r="Q17">
            <v>10842.842441999999</v>
          </cell>
          <cell r="R17">
            <v>136.82013000000001</v>
          </cell>
          <cell r="S17">
            <v>140.92460399999999</v>
          </cell>
          <cell r="T17">
            <v>37.275224000000001</v>
          </cell>
          <cell r="U17">
            <v>38.393445999999997</v>
          </cell>
          <cell r="V17">
            <v>2.0005999999999999E-2</v>
          </cell>
          <cell r="W17">
            <v>1.1382270000000001</v>
          </cell>
          <cell r="X17">
            <v>400000.59276500001</v>
          </cell>
          <cell r="Y17">
            <v>399785.91142199998</v>
          </cell>
          <cell r="Z17">
            <v>388142.01951499999</v>
          </cell>
        </row>
        <row r="18">
          <cell r="C18">
            <v>45.213053000000002</v>
          </cell>
          <cell r="D18">
            <v>9.7000000000000003E-2</v>
          </cell>
          <cell r="E18">
            <v>37.523645000000002</v>
          </cell>
          <cell r="F18">
            <v>0.25616299999999997</v>
          </cell>
          <cell r="G18">
            <v>537.64443700000004</v>
          </cell>
          <cell r="H18">
            <v>321.48393399999998</v>
          </cell>
          <cell r="I18">
            <v>400000.11810700002</v>
          </cell>
          <cell r="J18">
            <v>11403.623645</v>
          </cell>
          <cell r="K18">
            <v>400000.11810700002</v>
          </cell>
          <cell r="L18">
            <v>37.523645000000002</v>
          </cell>
          <cell r="M18">
            <v>343.22576800000002</v>
          </cell>
          <cell r="N18">
            <v>35.523564999999998</v>
          </cell>
          <cell r="O18">
            <v>34.454377999999998</v>
          </cell>
          <cell r="P18">
            <v>11403.623645</v>
          </cell>
          <cell r="Q18">
            <v>11060.397876000001</v>
          </cell>
          <cell r="R18">
            <v>137.72467</v>
          </cell>
          <cell r="S18">
            <v>141.998536</v>
          </cell>
          <cell r="T18">
            <v>37.523645000000002</v>
          </cell>
          <cell r="U18">
            <v>38.688077</v>
          </cell>
          <cell r="V18">
            <v>0</v>
          </cell>
          <cell r="W18">
            <v>1.1644319999999999</v>
          </cell>
          <cell r="X18">
            <v>400000.11810700002</v>
          </cell>
          <cell r="Y18">
            <v>400000.11810700002</v>
          </cell>
          <cell r="Z18">
            <v>387960.93195100001</v>
          </cell>
        </row>
        <row r="19">
          <cell r="C19">
            <v>45.213053000000002</v>
          </cell>
          <cell r="D19">
            <v>9.7000000000000003E-2</v>
          </cell>
          <cell r="E19">
            <v>37.523645000000002</v>
          </cell>
          <cell r="F19">
            <v>0.25616299999999997</v>
          </cell>
          <cell r="G19">
            <v>537.64443700000004</v>
          </cell>
          <cell r="H19">
            <v>321.48393399999998</v>
          </cell>
          <cell r="I19">
            <v>400000.11810700002</v>
          </cell>
          <cell r="J19">
            <v>11403.623645</v>
          </cell>
          <cell r="K19">
            <v>400000.11810700002</v>
          </cell>
          <cell r="L19">
            <v>37.523645000000002</v>
          </cell>
          <cell r="M19">
            <v>349.90425800000003</v>
          </cell>
          <cell r="N19">
            <v>35.502761</v>
          </cell>
          <cell r="O19">
            <v>34.433574</v>
          </cell>
          <cell r="P19">
            <v>11396.945154999999</v>
          </cell>
          <cell r="Q19">
            <v>11053.719386999999</v>
          </cell>
          <cell r="R19">
            <v>137.805375</v>
          </cell>
          <cell r="S19">
            <v>142.084329</v>
          </cell>
          <cell r="T19">
            <v>37.545633000000002</v>
          </cell>
          <cell r="U19">
            <v>38.711450999999997</v>
          </cell>
          <cell r="V19">
            <v>2.1988000000000001E-2</v>
          </cell>
          <cell r="W19">
            <v>1.1878070000000001</v>
          </cell>
          <cell r="X19">
            <v>400000.11810700002</v>
          </cell>
          <cell r="Y19">
            <v>399765.85953199997</v>
          </cell>
          <cell r="Z19">
            <v>387726.67337500001</v>
          </cell>
        </row>
        <row r="20">
          <cell r="C20">
            <v>38.021256000000001</v>
          </cell>
          <cell r="D20">
            <v>6.6400000000000001E-2</v>
          </cell>
          <cell r="E20">
            <v>37.113188999999998</v>
          </cell>
          <cell r="F20">
            <v>0.244889</v>
          </cell>
          <cell r="G20">
            <v>556.30003899999997</v>
          </cell>
          <cell r="H20">
            <v>312.02577200000002</v>
          </cell>
          <cell r="I20">
            <v>400001.06323700002</v>
          </cell>
          <cell r="J20">
            <v>11012.114818</v>
          </cell>
          <cell r="K20">
            <v>400001.06323700002</v>
          </cell>
          <cell r="L20">
            <v>37.113188999999998</v>
          </cell>
          <cell r="M20">
            <v>0</v>
          </cell>
          <cell r="N20">
            <v>35.916525</v>
          </cell>
          <cell r="O20">
            <v>35.198194000000001</v>
          </cell>
          <cell r="P20">
            <v>11012.114818</v>
          </cell>
          <cell r="Q20">
            <v>10791.872522</v>
          </cell>
          <cell r="R20">
            <v>136.23170500000001</v>
          </cell>
          <cell r="S20">
            <v>139.011944</v>
          </cell>
          <cell r="T20">
            <v>37.113188999999998</v>
          </cell>
          <cell r="U20">
            <v>37.870601000000001</v>
          </cell>
          <cell r="V20">
            <v>0</v>
          </cell>
          <cell r="W20">
            <v>0.75741199999999997</v>
          </cell>
          <cell r="X20">
            <v>400001.06323700002</v>
          </cell>
          <cell r="Y20">
            <v>400001.06323700002</v>
          </cell>
          <cell r="Z20">
            <v>392001.04197199998</v>
          </cell>
        </row>
        <row r="21">
          <cell r="C21">
            <v>51.097718</v>
          </cell>
          <cell r="D21">
            <v>0.13039999999999999</v>
          </cell>
          <cell r="E21">
            <v>37.113188999999998</v>
          </cell>
          <cell r="F21">
            <v>0.244889</v>
          </cell>
          <cell r="G21">
            <v>556.30003899999997</v>
          </cell>
          <cell r="H21">
            <v>317.41443099999998</v>
          </cell>
          <cell r="I21">
            <v>385425.59173099999</v>
          </cell>
          <cell r="J21">
            <v>11297.56163</v>
          </cell>
          <cell r="K21">
            <v>400001.06323700002</v>
          </cell>
          <cell r="L21">
            <v>37.113188999999998</v>
          </cell>
          <cell r="M21">
            <v>0</v>
          </cell>
          <cell r="N21">
            <v>34.607776999999999</v>
          </cell>
          <cell r="O21">
            <v>33.915621999999999</v>
          </cell>
          <cell r="P21">
            <v>11297.56163</v>
          </cell>
          <cell r="Q21">
            <v>11071.610397</v>
          </cell>
          <cell r="R21">
            <v>141.38352</v>
          </cell>
          <cell r="S21">
            <v>144.26889800000001</v>
          </cell>
          <cell r="T21">
            <v>38.516683</v>
          </cell>
          <cell r="U21">
            <v>39.302737999999998</v>
          </cell>
          <cell r="V21">
            <v>1.4034930000000001</v>
          </cell>
          <cell r="W21">
            <v>2.1895479999999998</v>
          </cell>
          <cell r="X21">
            <v>385425.59173099999</v>
          </cell>
          <cell r="Y21">
            <v>385425.59173099999</v>
          </cell>
          <cell r="Z21">
            <v>377717.07989699999</v>
          </cell>
        </row>
        <row r="22">
          <cell r="C22">
            <v>43.021569999999997</v>
          </cell>
          <cell r="D22">
            <v>8.6599999999999996E-2</v>
          </cell>
          <cell r="E22">
            <v>37.444699999999997</v>
          </cell>
          <cell r="F22">
            <v>0.25124099999999999</v>
          </cell>
          <cell r="G22">
            <v>547.04904499999998</v>
          </cell>
          <cell r="H22">
            <v>318.51264200000003</v>
          </cell>
          <cell r="I22">
            <v>400000.36374200002</v>
          </cell>
          <cell r="J22">
            <v>11281.078674</v>
          </cell>
          <cell r="K22">
            <v>400000.36374200002</v>
          </cell>
          <cell r="L22">
            <v>37.444699999999997</v>
          </cell>
          <cell r="M22">
            <v>0</v>
          </cell>
          <cell r="N22">
            <v>35.598481999999997</v>
          </cell>
          <cell r="O22">
            <v>34.886512000000003</v>
          </cell>
          <cell r="P22">
            <v>11281.078674</v>
          </cell>
          <cell r="Q22">
            <v>11055.457101</v>
          </cell>
          <cell r="R22">
            <v>137.44091599999999</v>
          </cell>
          <cell r="S22">
            <v>140.245833</v>
          </cell>
          <cell r="T22">
            <v>37.444699999999997</v>
          </cell>
          <cell r="U22">
            <v>38.208877000000001</v>
          </cell>
          <cell r="V22">
            <v>0</v>
          </cell>
          <cell r="W22">
            <v>0.76417800000000002</v>
          </cell>
          <cell r="X22">
            <v>400000.36374200002</v>
          </cell>
          <cell r="Y22">
            <v>400000.36374200002</v>
          </cell>
          <cell r="Z22">
            <v>392000.35646799998</v>
          </cell>
        </row>
        <row r="23">
          <cell r="C23">
            <v>56.035302999999999</v>
          </cell>
          <cell r="D23">
            <v>0.1656</v>
          </cell>
          <cell r="E23">
            <v>37.444699999999997</v>
          </cell>
          <cell r="F23">
            <v>0.25124099999999999</v>
          </cell>
          <cell r="G23">
            <v>547.04904499999998</v>
          </cell>
          <cell r="H23">
            <v>319.999999</v>
          </cell>
          <cell r="I23">
            <v>380551.670682</v>
          </cell>
          <cell r="J23">
            <v>11418.948560000001</v>
          </cell>
          <cell r="K23">
            <v>400000.36374200002</v>
          </cell>
          <cell r="L23">
            <v>37.444699999999997</v>
          </cell>
          <cell r="M23">
            <v>0</v>
          </cell>
          <cell r="N23">
            <v>33.867623000000002</v>
          </cell>
          <cell r="O23">
            <v>33.190271000000003</v>
          </cell>
          <cell r="P23">
            <v>11418.948560000001</v>
          </cell>
          <cell r="Q23">
            <v>11190.569588</v>
          </cell>
          <cell r="R23">
            <v>144.46505099999999</v>
          </cell>
          <cell r="S23">
            <v>147.413318</v>
          </cell>
          <cell r="T23">
            <v>39.358370000000001</v>
          </cell>
          <cell r="U23">
            <v>40.161602000000002</v>
          </cell>
          <cell r="V23">
            <v>1.91367</v>
          </cell>
          <cell r="W23">
            <v>2.7169020000000002</v>
          </cell>
          <cell r="X23">
            <v>380551.670682</v>
          </cell>
          <cell r="Y23">
            <v>380551.670682</v>
          </cell>
          <cell r="Z23">
            <v>372940.63726799999</v>
          </cell>
        </row>
        <row r="24">
          <cell r="C24">
            <v>48.041918000000003</v>
          </cell>
          <cell r="D24">
            <v>0.112</v>
          </cell>
          <cell r="E24">
            <v>33.752436000000003</v>
          </cell>
          <cell r="F24">
            <v>0.23209199999999999</v>
          </cell>
          <cell r="G24">
            <v>533.87322900000004</v>
          </cell>
          <cell r="H24">
            <v>287.34620000000001</v>
          </cell>
          <cell r="I24">
            <v>353394.447858</v>
          </cell>
          <cell r="J24">
            <v>10209.479891999999</v>
          </cell>
          <cell r="K24">
            <v>353394.447858</v>
          </cell>
          <cell r="L24">
            <v>33.752436000000003</v>
          </cell>
          <cell r="M24">
            <v>0</v>
          </cell>
          <cell r="N24">
            <v>34.891210999999998</v>
          </cell>
          <cell r="O24">
            <v>34.193385999999997</v>
          </cell>
          <cell r="P24">
            <v>10209.479891999999</v>
          </cell>
          <cell r="Q24">
            <v>10005.290294</v>
          </cell>
          <cell r="R24">
            <v>123.90788000000001</v>
          </cell>
          <cell r="S24">
            <v>126.436612</v>
          </cell>
          <cell r="T24">
            <v>33.752436000000003</v>
          </cell>
          <cell r="U24">
            <v>34.441260999999997</v>
          </cell>
          <cell r="V24">
            <v>0</v>
          </cell>
          <cell r="W24">
            <v>0.68882500000000002</v>
          </cell>
          <cell r="X24">
            <v>353394.447858</v>
          </cell>
          <cell r="Y24">
            <v>353394.447858</v>
          </cell>
          <cell r="Z24">
            <v>346326.5589</v>
          </cell>
        </row>
        <row r="25">
          <cell r="C25">
            <v>61.013195000000003</v>
          </cell>
          <cell r="D25">
            <v>0.20899999999999999</v>
          </cell>
          <cell r="E25">
            <v>33.752436000000003</v>
          </cell>
          <cell r="F25">
            <v>0.23209199999999999</v>
          </cell>
          <cell r="G25">
            <v>533.87322900000004</v>
          </cell>
          <cell r="H25">
            <v>292.33855499999999</v>
          </cell>
          <cell r="I25">
            <v>340342.62271999998</v>
          </cell>
          <cell r="J25">
            <v>10455.751499</v>
          </cell>
          <cell r="K25">
            <v>353394.447858</v>
          </cell>
          <cell r="L25">
            <v>33.752436000000003</v>
          </cell>
          <cell r="M25">
            <v>0</v>
          </cell>
          <cell r="N25">
            <v>33.602583000000003</v>
          </cell>
          <cell r="O25">
            <v>32.930531000000002</v>
          </cell>
          <cell r="P25">
            <v>10455.751499</v>
          </cell>
          <cell r="Q25">
            <v>10246.636468999999</v>
          </cell>
          <cell r="R25">
            <v>128.65963300000001</v>
          </cell>
          <cell r="S25">
            <v>131.28533899999999</v>
          </cell>
          <cell r="T25">
            <v>35.046810999999998</v>
          </cell>
          <cell r="U25">
            <v>35.762051999999997</v>
          </cell>
          <cell r="V25">
            <v>1.2943750000000001</v>
          </cell>
          <cell r="W25">
            <v>2.0096159999999998</v>
          </cell>
          <cell r="X25">
            <v>340342.62271999998</v>
          </cell>
          <cell r="Y25">
            <v>340342.62271999998</v>
          </cell>
          <cell r="Z25">
            <v>333535.77026600001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err"/>
      <sheetName val="err"/>
      <sheetName val="all"/>
    </sheetNames>
    <sheetDataSet>
      <sheetData sheetId="0">
        <row r="2">
          <cell r="C2">
            <v>38.598111000000003</v>
          </cell>
          <cell r="D2">
            <v>6.8500000000000005E-2</v>
          </cell>
          <cell r="E2">
            <v>14.918587</v>
          </cell>
          <cell r="F2">
            <v>6.4144000000000007E-2</v>
          </cell>
          <cell r="G2">
            <v>642.93177500000002</v>
          </cell>
          <cell r="H2">
            <v>75.194235000000006</v>
          </cell>
          <cell r="I2">
            <v>400002.15647599997</v>
          </cell>
          <cell r="J2">
            <v>2614.6648890000001</v>
          </cell>
          <cell r="K2">
            <v>400002.15644400002</v>
          </cell>
          <cell r="L2">
            <v>14.918587</v>
          </cell>
          <cell r="M2">
            <v>79.602209000000002</v>
          </cell>
          <cell r="N2">
            <v>53.608589000000002</v>
          </cell>
          <cell r="O2">
            <v>53.112318999999999</v>
          </cell>
          <cell r="P2">
            <v>2614.6648890000001</v>
          </cell>
          <cell r="Q2">
            <v>2535.06268</v>
          </cell>
          <cell r="R2">
            <v>41.240291999999997</v>
          </cell>
          <cell r="S2">
            <v>41.625632000000003</v>
          </cell>
          <cell r="T2">
            <v>14.918587</v>
          </cell>
          <cell r="U2">
            <v>15.057983</v>
          </cell>
          <cell r="V2">
            <v>0</v>
          </cell>
          <cell r="W2">
            <v>0.13939599999999999</v>
          </cell>
          <cell r="X2">
            <v>121628.85494400001</v>
          </cell>
          <cell r="Y2">
            <v>400002.15647500003</v>
          </cell>
          <cell r="Z2">
            <v>396299.22478500003</v>
          </cell>
        </row>
        <row r="3">
          <cell r="C3">
            <v>38.598111000000003</v>
          </cell>
          <cell r="D3">
            <v>6.8500000000000005E-2</v>
          </cell>
          <cell r="E3">
            <v>14.918587</v>
          </cell>
          <cell r="F3">
            <v>6.4144000000000007E-2</v>
          </cell>
          <cell r="G3">
            <v>642.93177500000002</v>
          </cell>
          <cell r="H3">
            <v>75.194235000000006</v>
          </cell>
          <cell r="I3">
            <v>400002.15647599997</v>
          </cell>
          <cell r="J3">
            <v>2614.6648890000001</v>
          </cell>
          <cell r="K3">
            <v>400002.15644400002</v>
          </cell>
          <cell r="L3">
            <v>14.918587</v>
          </cell>
          <cell r="M3">
            <v>81.180869000000001</v>
          </cell>
          <cell r="N3">
            <v>53.598747000000003</v>
          </cell>
          <cell r="O3">
            <v>53.102477</v>
          </cell>
          <cell r="P3">
            <v>2613.086229</v>
          </cell>
          <cell r="Q3">
            <v>2533.4840199999999</v>
          </cell>
          <cell r="R3">
            <v>41.247864</v>
          </cell>
          <cell r="S3">
            <v>41.633346000000003</v>
          </cell>
          <cell r="T3">
            <v>14.921326000000001</v>
          </cell>
          <cell r="U3">
            <v>15.060774</v>
          </cell>
          <cell r="V3">
            <v>2.7390000000000001E-3</v>
          </cell>
          <cell r="W3">
            <v>0.14218700000000001</v>
          </cell>
          <cell r="X3">
            <v>121628.85494400001</v>
          </cell>
          <cell r="Y3">
            <v>399928.72042999999</v>
          </cell>
          <cell r="Z3">
            <v>396225.78873899998</v>
          </cell>
        </row>
        <row r="4">
          <cell r="C4">
            <v>42.888342999999999</v>
          </cell>
          <cell r="D4">
            <v>8.5999999999999993E-2</v>
          </cell>
          <cell r="E4">
            <v>14.923469000000001</v>
          </cell>
          <cell r="F4">
            <v>6.4928E-2</v>
          </cell>
          <cell r="G4">
            <v>635.31932200000006</v>
          </cell>
          <cell r="H4">
            <v>77.696445999999995</v>
          </cell>
          <cell r="I4">
            <v>400002.38807400002</v>
          </cell>
          <cell r="J4">
            <v>2712.4639980000002</v>
          </cell>
          <cell r="K4">
            <v>400002.38805800001</v>
          </cell>
          <cell r="L4">
            <v>14.923469000000001</v>
          </cell>
          <cell r="M4">
            <v>86.134152</v>
          </cell>
          <cell r="N4">
            <v>53.591082999999998</v>
          </cell>
          <cell r="O4">
            <v>53.066822000000002</v>
          </cell>
          <cell r="P4">
            <v>2712.4639980000002</v>
          </cell>
          <cell r="Q4">
            <v>2626.3298460000001</v>
          </cell>
          <cell r="R4">
            <v>41.249876</v>
          </cell>
          <cell r="S4">
            <v>41.657392999999999</v>
          </cell>
          <cell r="T4">
            <v>14.923469000000001</v>
          </cell>
          <cell r="U4">
            <v>15.070900999999999</v>
          </cell>
          <cell r="V4">
            <v>0</v>
          </cell>
          <cell r="W4">
            <v>0.14743300000000001</v>
          </cell>
          <cell r="X4">
            <v>123226.92765</v>
          </cell>
          <cell r="Y4">
            <v>400002.38807400002</v>
          </cell>
          <cell r="Z4">
            <v>396089.32344299997</v>
          </cell>
        </row>
        <row r="5">
          <cell r="C5">
            <v>42.888342999999999</v>
          </cell>
          <cell r="D5">
            <v>8.5999999999999993E-2</v>
          </cell>
          <cell r="E5">
            <v>14.923469000000001</v>
          </cell>
          <cell r="F5">
            <v>6.4928E-2</v>
          </cell>
          <cell r="G5">
            <v>635.31932200000006</v>
          </cell>
          <cell r="H5">
            <v>77.696445999999995</v>
          </cell>
          <cell r="I5">
            <v>400002.38807400002</v>
          </cell>
          <cell r="J5">
            <v>2712.4639980000002</v>
          </cell>
          <cell r="K5">
            <v>400002.38805800001</v>
          </cell>
          <cell r="L5">
            <v>14.923469000000001</v>
          </cell>
          <cell r="M5">
            <v>87.959764000000007</v>
          </cell>
          <cell r="N5">
            <v>53.579971</v>
          </cell>
          <cell r="O5">
            <v>53.055711000000002</v>
          </cell>
          <cell r="P5">
            <v>2710.6383860000001</v>
          </cell>
          <cell r="Q5">
            <v>2624.504234</v>
          </cell>
          <cell r="R5">
            <v>41.258429999999997</v>
          </cell>
          <cell r="S5">
            <v>41.666117999999997</v>
          </cell>
          <cell r="T5">
            <v>14.926564000000001</v>
          </cell>
          <cell r="U5">
            <v>15.074058000000001</v>
          </cell>
          <cell r="V5">
            <v>3.0950000000000001E-3</v>
          </cell>
          <cell r="W5">
            <v>0.150589</v>
          </cell>
          <cell r="X5">
            <v>123226.92765</v>
          </cell>
          <cell r="Y5">
            <v>399919.45072700002</v>
          </cell>
          <cell r="Z5">
            <v>396006.38609599997</v>
          </cell>
        </row>
        <row r="6">
          <cell r="C6">
            <v>47.229294000000003</v>
          </cell>
          <cell r="D6">
            <v>0.1075</v>
          </cell>
          <cell r="E6">
            <v>14.963832999999999</v>
          </cell>
          <cell r="F6">
            <v>6.5536999999999998E-2</v>
          </cell>
          <cell r="G6">
            <v>631.06952899999999</v>
          </cell>
          <cell r="H6">
            <v>79.949473999999995</v>
          </cell>
          <cell r="I6">
            <v>400004.20945800003</v>
          </cell>
          <cell r="J6">
            <v>2801.5446969999998</v>
          </cell>
          <cell r="K6">
            <v>400003.18725900003</v>
          </cell>
          <cell r="L6">
            <v>14.963801</v>
          </cell>
          <cell r="M6">
            <v>92.090168000000006</v>
          </cell>
          <cell r="N6">
            <v>53.446764000000002</v>
          </cell>
          <cell r="O6">
            <v>52.900972000000003</v>
          </cell>
          <cell r="P6">
            <v>2801.5443749999999</v>
          </cell>
          <cell r="Q6">
            <v>2709.4545290000001</v>
          </cell>
          <cell r="R6">
            <v>41.358358000000003</v>
          </cell>
          <cell r="S6">
            <v>41.785062000000003</v>
          </cell>
          <cell r="T6">
            <v>14.963794999999999</v>
          </cell>
          <cell r="U6">
            <v>15.118180000000001</v>
          </cell>
          <cell r="V6">
            <v>-6.0000000000000002E-6</v>
          </cell>
          <cell r="W6">
            <v>0.15437899999999999</v>
          </cell>
          <cell r="X6">
            <v>124267.05184299999</v>
          </cell>
          <cell r="Y6">
            <v>400004.19517399999</v>
          </cell>
          <cell r="Z6">
            <v>395919.40092799999</v>
          </cell>
        </row>
        <row r="7">
          <cell r="C7">
            <v>47.229294000000003</v>
          </cell>
          <cell r="D7">
            <v>0.1075</v>
          </cell>
          <cell r="E7">
            <v>14.963832999999999</v>
          </cell>
          <cell r="F7">
            <v>6.5536999999999998E-2</v>
          </cell>
          <cell r="G7">
            <v>631.06952899999999</v>
          </cell>
          <cell r="H7">
            <v>79.949473999999995</v>
          </cell>
          <cell r="I7">
            <v>400004.20945800003</v>
          </cell>
          <cell r="J7">
            <v>2801.5446969999998</v>
          </cell>
          <cell r="K7">
            <v>400003.18725900003</v>
          </cell>
          <cell r="L7">
            <v>14.963801</v>
          </cell>
          <cell r="M7">
            <v>94.148949999999999</v>
          </cell>
          <cell r="N7">
            <v>53.434562</v>
          </cell>
          <cell r="O7">
            <v>52.888770000000001</v>
          </cell>
          <cell r="P7">
            <v>2799.4855929999999</v>
          </cell>
          <cell r="Q7">
            <v>2707.395747</v>
          </cell>
          <cell r="R7">
            <v>41.367803000000002</v>
          </cell>
          <cell r="S7">
            <v>41.794702999999998</v>
          </cell>
          <cell r="T7">
            <v>14.967212</v>
          </cell>
          <cell r="U7">
            <v>15.121668</v>
          </cell>
          <cell r="V7">
            <v>3.411E-3</v>
          </cell>
          <cell r="W7">
            <v>0.15786700000000001</v>
          </cell>
          <cell r="X7">
            <v>124267.05184299999</v>
          </cell>
          <cell r="Y7">
            <v>399912.87457400002</v>
          </cell>
          <cell r="Z7">
            <v>395828.080327</v>
          </cell>
        </row>
        <row r="8">
          <cell r="C8">
            <v>40.039518000000001</v>
          </cell>
          <cell r="D8">
            <v>7.3999999999999996E-2</v>
          </cell>
          <cell r="E8">
            <v>14.932207999999999</v>
          </cell>
          <cell r="F8">
            <v>6.4198000000000005E-2</v>
          </cell>
          <cell r="G8">
            <v>642.97188200000005</v>
          </cell>
          <cell r="H8">
            <v>75.508967999999996</v>
          </cell>
          <cell r="I8">
            <v>400001.60597400001</v>
          </cell>
          <cell r="J8">
            <v>2629.0365489999999</v>
          </cell>
          <cell r="K8">
            <v>400001.62567500002</v>
          </cell>
          <cell r="L8">
            <v>14.932207999999999</v>
          </cell>
          <cell r="M8">
            <v>2629.0369049999999</v>
          </cell>
          <cell r="N8">
            <v>53.559614000000003</v>
          </cell>
          <cell r="O8">
            <v>53.234636000000002</v>
          </cell>
          <cell r="P8">
            <v>2629.0365489999999</v>
          </cell>
          <cell r="Q8">
            <v>2576.4558179999999</v>
          </cell>
          <cell r="R8">
            <v>41.277673999999998</v>
          </cell>
          <cell r="S8">
            <v>41.529657999999998</v>
          </cell>
          <cell r="T8">
            <v>14.932209</v>
          </cell>
          <cell r="U8">
            <v>15.023364000000001</v>
          </cell>
          <cell r="V8">
            <v>9.9999999999999995E-7</v>
          </cell>
          <cell r="W8">
            <v>9.1156000000000001E-2</v>
          </cell>
          <cell r="X8">
            <v>121352.036974</v>
          </cell>
          <cell r="Y8">
            <v>400001.60597400001</v>
          </cell>
          <cell r="Z8">
            <v>397574.56523399998</v>
          </cell>
        </row>
        <row r="9">
          <cell r="C9">
            <v>55.051043</v>
          </cell>
          <cell r="D9">
            <v>0.158</v>
          </cell>
          <cell r="E9">
            <v>14.932207999999999</v>
          </cell>
          <cell r="F9">
            <v>6.4198000000000005E-2</v>
          </cell>
          <cell r="G9">
            <v>642.97188200000005</v>
          </cell>
          <cell r="H9">
            <v>77.265229000000005</v>
          </cell>
          <cell r="I9">
            <v>394390.231539</v>
          </cell>
          <cell r="J9">
            <v>2723.815474</v>
          </cell>
          <cell r="K9">
            <v>400001.62567500002</v>
          </cell>
          <cell r="L9">
            <v>14.932207999999999</v>
          </cell>
          <cell r="M9">
            <v>2629.0369049999999</v>
          </cell>
          <cell r="N9">
            <v>52.808259</v>
          </cell>
          <cell r="O9">
            <v>52.498308999999999</v>
          </cell>
          <cell r="P9">
            <v>2723.815474</v>
          </cell>
          <cell r="Q9">
            <v>2669.3391649999999</v>
          </cell>
          <cell r="R9">
            <v>41.864970999999997</v>
          </cell>
          <cell r="S9">
            <v>42.112141999999999</v>
          </cell>
          <cell r="T9">
            <v>15.144664000000001</v>
          </cell>
          <cell r="U9">
            <v>15.234078</v>
          </cell>
          <cell r="V9">
            <v>0.21245600000000001</v>
          </cell>
          <cell r="W9">
            <v>0.30187000000000003</v>
          </cell>
          <cell r="X9">
            <v>115740.662539</v>
          </cell>
          <cell r="Y9">
            <v>394390.231539</v>
          </cell>
          <cell r="Z9">
            <v>392075.41828799999</v>
          </cell>
        </row>
        <row r="10">
          <cell r="C10">
            <v>45.011369999999999</v>
          </cell>
          <cell r="D10">
            <v>9.6000000000000002E-2</v>
          </cell>
          <cell r="E10">
            <v>14.945823000000001</v>
          </cell>
          <cell r="F10">
            <v>6.5006999999999995E-2</v>
          </cell>
          <cell r="G10">
            <v>635.49021700000003</v>
          </cell>
          <cell r="H10">
            <v>78.172786000000002</v>
          </cell>
          <cell r="I10">
            <v>400002.81310000003</v>
          </cell>
          <cell r="J10">
            <v>2733.989857</v>
          </cell>
          <cell r="K10">
            <v>400002.80658999999</v>
          </cell>
          <cell r="L10">
            <v>14.945823000000001</v>
          </cell>
          <cell r="M10">
            <v>2733.9895270000002</v>
          </cell>
          <cell r="N10">
            <v>53.510984999999998</v>
          </cell>
          <cell r="O10">
            <v>53.182470000000002</v>
          </cell>
          <cell r="P10">
            <v>2733.989857</v>
          </cell>
          <cell r="Q10">
            <v>2679.3100599999998</v>
          </cell>
          <cell r="R10">
            <v>41.311273</v>
          </cell>
          <cell r="S10">
            <v>41.566457999999997</v>
          </cell>
          <cell r="T10">
            <v>14.945822</v>
          </cell>
          <cell r="U10">
            <v>15.038145</v>
          </cell>
          <cell r="V10">
            <v>0</v>
          </cell>
          <cell r="W10">
            <v>9.2322000000000001E-2</v>
          </cell>
          <cell r="X10">
            <v>122785.20909999999</v>
          </cell>
          <cell r="Y10">
            <v>400002.81310000003</v>
          </cell>
          <cell r="Z10">
            <v>397547.10891800001</v>
          </cell>
        </row>
        <row r="11">
          <cell r="C11">
            <v>60.058643000000004</v>
          </cell>
          <cell r="D11">
            <v>0.2</v>
          </cell>
          <cell r="E11">
            <v>14.945823000000001</v>
          </cell>
          <cell r="F11">
            <v>6.5006999999999995E-2</v>
          </cell>
          <cell r="G11">
            <v>635.49021700000003</v>
          </cell>
          <cell r="H11">
            <v>80.010041999999999</v>
          </cell>
          <cell r="I11">
            <v>394200.47476999997</v>
          </cell>
          <cell r="J11">
            <v>2830.4719599999999</v>
          </cell>
          <cell r="K11">
            <v>400002.80658999999</v>
          </cell>
          <cell r="L11">
            <v>14.945823000000001</v>
          </cell>
          <cell r="M11">
            <v>2733.9895270000002</v>
          </cell>
          <cell r="N11">
            <v>52.734769</v>
          </cell>
          <cell r="O11">
            <v>52.421776999999999</v>
          </cell>
          <cell r="P11">
            <v>2830.4719599999999</v>
          </cell>
          <cell r="Q11">
            <v>2773.862521</v>
          </cell>
          <cell r="R11">
            <v>41.919344000000002</v>
          </cell>
          <cell r="S11">
            <v>42.169629</v>
          </cell>
          <cell r="T11">
            <v>15.165813999999999</v>
          </cell>
          <cell r="U11">
            <v>15.256363</v>
          </cell>
          <cell r="V11">
            <v>0.21999099999999999</v>
          </cell>
          <cell r="W11">
            <v>0.31054100000000001</v>
          </cell>
          <cell r="X11">
            <v>116982.87076999999</v>
          </cell>
          <cell r="Y11">
            <v>394200.47476999997</v>
          </cell>
          <cell r="Z11">
            <v>391860.81735500001</v>
          </cell>
        </row>
        <row r="12">
          <cell r="C12">
            <v>50.079369999999997</v>
          </cell>
          <cell r="D12">
            <v>0.124</v>
          </cell>
          <cell r="E12">
            <v>14.996919</v>
          </cell>
          <cell r="F12">
            <v>6.5639000000000003E-2</v>
          </cell>
          <cell r="G12">
            <v>631.47314700000004</v>
          </cell>
          <cell r="H12">
            <v>80.600601999999995</v>
          </cell>
          <cell r="I12">
            <v>400003.21928100003</v>
          </cell>
          <cell r="J12">
            <v>2830.6902749999999</v>
          </cell>
          <cell r="K12">
            <v>400003.21928100003</v>
          </cell>
          <cell r="L12">
            <v>14.996919</v>
          </cell>
          <cell r="M12">
            <v>2830.6902749999999</v>
          </cell>
          <cell r="N12">
            <v>53.328721999999999</v>
          </cell>
          <cell r="O12">
            <v>52.999077</v>
          </cell>
          <cell r="P12">
            <v>2830.6902749999999</v>
          </cell>
          <cell r="Q12">
            <v>2774.0764690000001</v>
          </cell>
          <cell r="R12">
            <v>41.449412000000002</v>
          </cell>
          <cell r="S12">
            <v>41.70722</v>
          </cell>
          <cell r="T12">
            <v>14.996919</v>
          </cell>
          <cell r="U12">
            <v>15.090197</v>
          </cell>
          <cell r="V12">
            <v>0</v>
          </cell>
          <cell r="W12">
            <v>9.3278E-2</v>
          </cell>
          <cell r="X12">
            <v>123628.438281</v>
          </cell>
          <cell r="Y12">
            <v>400003.21928100003</v>
          </cell>
          <cell r="Z12">
            <v>397530.65051499999</v>
          </cell>
        </row>
        <row r="13">
          <cell r="C13">
            <v>65.052535000000006</v>
          </cell>
          <cell r="D13">
            <v>0.251</v>
          </cell>
          <cell r="E13">
            <v>14.996919</v>
          </cell>
          <cell r="F13">
            <v>6.5639000000000003E-2</v>
          </cell>
          <cell r="G13">
            <v>631.47314700000004</v>
          </cell>
          <cell r="H13">
            <v>82.501129000000006</v>
          </cell>
          <cell r="I13">
            <v>394071.10443499999</v>
          </cell>
          <cell r="J13">
            <v>2927.9779010000002</v>
          </cell>
          <cell r="K13">
            <v>400003.21928100003</v>
          </cell>
          <cell r="L13">
            <v>14.996919</v>
          </cell>
          <cell r="M13">
            <v>2830.6902749999999</v>
          </cell>
          <cell r="N13">
            <v>52.537847999999997</v>
          </cell>
          <cell r="O13">
            <v>52.224021</v>
          </cell>
          <cell r="P13">
            <v>2927.9779010000002</v>
          </cell>
          <cell r="Q13">
            <v>2869.4183429999998</v>
          </cell>
          <cell r="R13">
            <v>42.073366999999998</v>
          </cell>
          <cell r="S13">
            <v>42.326196000000003</v>
          </cell>
          <cell r="T13">
            <v>15.222674</v>
          </cell>
          <cell r="U13">
            <v>15.31415</v>
          </cell>
          <cell r="V13">
            <v>0.22575500000000001</v>
          </cell>
          <cell r="W13">
            <v>0.31723200000000001</v>
          </cell>
          <cell r="X13">
            <v>117696.323435</v>
          </cell>
          <cell r="Y13">
            <v>394071.10443499999</v>
          </cell>
          <cell r="Z13">
            <v>391717.17796599999</v>
          </cell>
        </row>
        <row r="14">
          <cell r="C14">
            <v>38.598111000000003</v>
          </cell>
          <cell r="D14">
            <v>6.8500000000000005E-2</v>
          </cell>
          <cell r="E14">
            <v>37.173589</v>
          </cell>
          <cell r="F14">
            <v>0.24526000000000001</v>
          </cell>
          <cell r="G14">
            <v>556.36043800000004</v>
          </cell>
          <cell r="H14">
            <v>312.818375</v>
          </cell>
          <cell r="I14">
            <v>400000.91310800001</v>
          </cell>
          <cell r="J14">
            <v>9571.2411549999997</v>
          </cell>
          <cell r="K14">
            <v>400000.91310800001</v>
          </cell>
          <cell r="L14">
            <v>37.173589</v>
          </cell>
          <cell r="M14">
            <v>291.39253600000001</v>
          </cell>
          <cell r="N14">
            <v>35.858153999999999</v>
          </cell>
          <cell r="O14">
            <v>34.766466999999999</v>
          </cell>
          <cell r="P14">
            <v>9571.2411549999997</v>
          </cell>
          <cell r="Q14">
            <v>9279.848618</v>
          </cell>
          <cell r="R14">
            <v>136.45298600000001</v>
          </cell>
          <cell r="S14">
            <v>140.73768699999999</v>
          </cell>
          <cell r="T14">
            <v>37.173589</v>
          </cell>
          <cell r="U14">
            <v>38.340860999999997</v>
          </cell>
          <cell r="V14">
            <v>0</v>
          </cell>
          <cell r="W14">
            <v>1.1672720000000001</v>
          </cell>
          <cell r="X14">
            <v>400000.91310800001</v>
          </cell>
          <cell r="Y14">
            <v>400000.91310800001</v>
          </cell>
          <cell r="Z14">
            <v>387823.04831699998</v>
          </cell>
        </row>
        <row r="15">
          <cell r="C15">
            <v>38.598111000000003</v>
          </cell>
          <cell r="D15">
            <v>6.8500000000000005E-2</v>
          </cell>
          <cell r="E15">
            <v>37.173589</v>
          </cell>
          <cell r="F15">
            <v>0.24526000000000001</v>
          </cell>
          <cell r="G15">
            <v>556.36043800000004</v>
          </cell>
          <cell r="H15">
            <v>312.818375</v>
          </cell>
          <cell r="I15">
            <v>400000.91310800001</v>
          </cell>
          <cell r="J15">
            <v>9571.2411549999997</v>
          </cell>
          <cell r="K15">
            <v>400000.91310800001</v>
          </cell>
          <cell r="L15">
            <v>37.173589</v>
          </cell>
          <cell r="M15">
            <v>297.17139300000002</v>
          </cell>
          <cell r="N15">
            <v>35.836503999999998</v>
          </cell>
          <cell r="O15">
            <v>34.744816999999998</v>
          </cell>
          <cell r="P15">
            <v>9565.4622990000007</v>
          </cell>
          <cell r="Q15">
            <v>9274.0697619999992</v>
          </cell>
          <cell r="R15">
            <v>136.53542200000001</v>
          </cell>
          <cell r="S15">
            <v>140.82538400000001</v>
          </cell>
          <cell r="T15">
            <v>37.196047</v>
          </cell>
          <cell r="U15">
            <v>38.364752000000003</v>
          </cell>
          <cell r="V15">
            <v>2.2457999999999999E-2</v>
          </cell>
          <cell r="W15">
            <v>1.191163</v>
          </cell>
          <cell r="X15">
            <v>400000.91310800001</v>
          </cell>
          <cell r="Y15">
            <v>399759.403384</v>
          </cell>
          <cell r="Z15">
            <v>387581.53859299998</v>
          </cell>
        </row>
        <row r="16">
          <cell r="C16">
            <v>42.888342999999999</v>
          </cell>
          <cell r="D16">
            <v>8.5999999999999993E-2</v>
          </cell>
          <cell r="E16">
            <v>37.437885000000001</v>
          </cell>
          <cell r="F16">
            <v>0.25119799999999998</v>
          </cell>
          <cell r="G16">
            <v>547.04223000000002</v>
          </cell>
          <cell r="H16">
            <v>318.39378799999997</v>
          </cell>
          <cell r="I16">
            <v>400000.65956</v>
          </cell>
          <cell r="J16">
            <v>9771.950519</v>
          </cell>
          <cell r="K16">
            <v>400000.65956</v>
          </cell>
          <cell r="L16">
            <v>37.437885000000001</v>
          </cell>
          <cell r="M16">
            <v>310.30839200000003</v>
          </cell>
          <cell r="N16">
            <v>35.604987999999999</v>
          </cell>
          <cell r="O16">
            <v>34.474350999999999</v>
          </cell>
          <cell r="P16">
            <v>9771.950519</v>
          </cell>
          <cell r="Q16">
            <v>9461.6421269999992</v>
          </cell>
          <cell r="R16">
            <v>137.415943</v>
          </cell>
          <cell r="S16">
            <v>141.92269999999999</v>
          </cell>
          <cell r="T16">
            <v>37.437885000000001</v>
          </cell>
          <cell r="U16">
            <v>38.665714999999999</v>
          </cell>
          <cell r="V16">
            <v>0</v>
          </cell>
          <cell r="W16">
            <v>1.22783</v>
          </cell>
          <cell r="X16">
            <v>400000.65956</v>
          </cell>
          <cell r="Y16">
            <v>400000.65956</v>
          </cell>
          <cell r="Z16">
            <v>387298.63438200002</v>
          </cell>
        </row>
        <row r="17">
          <cell r="C17">
            <v>42.888342999999999</v>
          </cell>
          <cell r="D17">
            <v>8.5999999999999993E-2</v>
          </cell>
          <cell r="E17">
            <v>37.437885000000001</v>
          </cell>
          <cell r="F17">
            <v>0.25119799999999998</v>
          </cell>
          <cell r="G17">
            <v>547.04223000000002</v>
          </cell>
          <cell r="H17">
            <v>318.39378799999997</v>
          </cell>
          <cell r="I17">
            <v>400000.65956</v>
          </cell>
          <cell r="J17">
            <v>9771.950519</v>
          </cell>
          <cell r="K17">
            <v>400000.65956</v>
          </cell>
          <cell r="L17">
            <v>37.437885000000001</v>
          </cell>
          <cell r="M17">
            <v>316.88536900000003</v>
          </cell>
          <cell r="N17">
            <v>35.581023999999999</v>
          </cell>
          <cell r="O17">
            <v>34.450386999999999</v>
          </cell>
          <cell r="P17">
            <v>9765.3735419999994</v>
          </cell>
          <cell r="Q17">
            <v>9455.0651500000004</v>
          </cell>
          <cell r="R17">
            <v>137.50849199999999</v>
          </cell>
          <cell r="S17">
            <v>142.021421</v>
          </cell>
          <cell r="T17">
            <v>37.463099</v>
          </cell>
          <cell r="U17">
            <v>38.692610999999999</v>
          </cell>
          <cell r="V17">
            <v>2.5214E-2</v>
          </cell>
          <cell r="W17">
            <v>1.254726</v>
          </cell>
          <cell r="X17">
            <v>400000.65956</v>
          </cell>
          <cell r="Y17">
            <v>399731.44050800003</v>
          </cell>
          <cell r="Z17">
            <v>387029.41532999999</v>
          </cell>
        </row>
        <row r="18">
          <cell r="C18">
            <v>47.229294000000003</v>
          </cell>
          <cell r="D18">
            <v>0.1075</v>
          </cell>
          <cell r="E18">
            <v>37.721048000000003</v>
          </cell>
          <cell r="F18">
            <v>0.25741399999999998</v>
          </cell>
          <cell r="G18">
            <v>537.84184100000004</v>
          </cell>
          <cell r="H18">
            <v>324.18325900000002</v>
          </cell>
          <cell r="I18">
            <v>400000.263393</v>
          </cell>
          <cell r="J18">
            <v>9977.5797970000003</v>
          </cell>
          <cell r="K18">
            <v>400000.263393</v>
          </cell>
          <cell r="L18">
            <v>37.721048000000003</v>
          </cell>
          <cell r="M18">
            <v>327.976066</v>
          </cell>
          <cell r="N18">
            <v>35.337674</v>
          </cell>
          <cell r="O18">
            <v>34.176079000000001</v>
          </cell>
          <cell r="P18">
            <v>9977.5797970000003</v>
          </cell>
          <cell r="Q18">
            <v>9649.6037309999992</v>
          </cell>
          <cell r="R18">
            <v>138.44790699999999</v>
          </cell>
          <cell r="S18">
            <v>143.15355099999999</v>
          </cell>
          <cell r="T18">
            <v>37.721048000000003</v>
          </cell>
          <cell r="U18">
            <v>39.003132000000001</v>
          </cell>
          <cell r="V18">
            <v>0</v>
          </cell>
          <cell r="W18">
            <v>1.282084</v>
          </cell>
          <cell r="X18">
            <v>400000.263393</v>
          </cell>
          <cell r="Y18">
            <v>400000.263393</v>
          </cell>
          <cell r="Z18">
            <v>386851.73283300002</v>
          </cell>
        </row>
        <row r="19">
          <cell r="C19">
            <v>47.229294000000003</v>
          </cell>
          <cell r="D19">
            <v>0.1075</v>
          </cell>
          <cell r="E19">
            <v>37.721048000000003</v>
          </cell>
          <cell r="F19">
            <v>0.25741399999999998</v>
          </cell>
          <cell r="G19">
            <v>537.84184100000004</v>
          </cell>
          <cell r="H19">
            <v>324.18325900000002</v>
          </cell>
          <cell r="I19">
            <v>400000.263393</v>
          </cell>
          <cell r="J19">
            <v>9977.5797970000003</v>
          </cell>
          <cell r="K19">
            <v>400000.263393</v>
          </cell>
          <cell r="L19">
            <v>37.721048000000003</v>
          </cell>
          <cell r="M19">
            <v>335.30834700000003</v>
          </cell>
          <cell r="N19">
            <v>35.311705000000003</v>
          </cell>
          <cell r="O19">
            <v>34.150109999999998</v>
          </cell>
          <cell r="P19">
            <v>9970.2475169999998</v>
          </cell>
          <cell r="Q19">
            <v>9642.2714500000002</v>
          </cell>
          <cell r="R19">
            <v>138.549724</v>
          </cell>
          <cell r="S19">
            <v>143.26240899999999</v>
          </cell>
          <cell r="T19">
            <v>37.748789000000002</v>
          </cell>
          <cell r="U19">
            <v>39.032791000000003</v>
          </cell>
          <cell r="V19">
            <v>2.7740999999999998E-2</v>
          </cell>
          <cell r="W19">
            <v>1.3117430000000001</v>
          </cell>
          <cell r="X19">
            <v>400000.263393</v>
          </cell>
          <cell r="Y19">
            <v>399706.31293900002</v>
          </cell>
          <cell r="Z19">
            <v>386557.78237899998</v>
          </cell>
        </row>
        <row r="20">
          <cell r="C20">
            <v>40.039518000000001</v>
          </cell>
          <cell r="D20">
            <v>7.3999999999999996E-2</v>
          </cell>
          <cell r="E20">
            <v>37.304744999999997</v>
          </cell>
          <cell r="F20">
            <v>0.24606600000000001</v>
          </cell>
          <cell r="G20">
            <v>556.49159399999996</v>
          </cell>
          <cell r="H20">
            <v>314.62087200000002</v>
          </cell>
          <cell r="I20">
            <v>400000.89632699999</v>
          </cell>
          <cell r="J20">
            <v>9635.9278749999994</v>
          </cell>
          <cell r="K20">
            <v>400000.89632699999</v>
          </cell>
          <cell r="L20">
            <v>37.304744999999997</v>
          </cell>
          <cell r="M20">
            <v>0</v>
          </cell>
          <cell r="N20">
            <v>35.732081999999998</v>
          </cell>
          <cell r="O20">
            <v>35.017440999999998</v>
          </cell>
          <cell r="P20">
            <v>9635.9278749999994</v>
          </cell>
          <cell r="Q20">
            <v>9443.2093179999993</v>
          </cell>
          <cell r="R20">
            <v>136.93351799999999</v>
          </cell>
          <cell r="S20">
            <v>139.72808000000001</v>
          </cell>
          <cell r="T20">
            <v>37.304744999999997</v>
          </cell>
          <cell r="U20">
            <v>38.066065999999999</v>
          </cell>
          <cell r="V20">
            <v>0</v>
          </cell>
          <cell r="W20">
            <v>0.76132100000000003</v>
          </cell>
          <cell r="X20">
            <v>400000.89632699999</v>
          </cell>
          <cell r="Y20">
            <v>400000.89632699999</v>
          </cell>
          <cell r="Z20">
            <v>392000.87839999999</v>
          </cell>
        </row>
        <row r="21">
          <cell r="C21">
            <v>55.051043</v>
          </cell>
          <cell r="D21">
            <v>0.158</v>
          </cell>
          <cell r="E21">
            <v>37.304744999999997</v>
          </cell>
          <cell r="F21">
            <v>0.24606600000000001</v>
          </cell>
          <cell r="G21">
            <v>556.49159399999996</v>
          </cell>
          <cell r="H21">
            <v>319.999999</v>
          </cell>
          <cell r="I21">
            <v>382142.25591800001</v>
          </cell>
          <cell r="J21">
            <v>9891.284619</v>
          </cell>
          <cell r="K21">
            <v>400000.89632699999</v>
          </cell>
          <cell r="L21">
            <v>37.304744999999997</v>
          </cell>
          <cell r="M21">
            <v>0</v>
          </cell>
          <cell r="N21">
            <v>34.136769999999999</v>
          </cell>
          <cell r="O21">
            <v>33.454034999999998</v>
          </cell>
          <cell r="P21">
            <v>9891.284619</v>
          </cell>
          <cell r="Q21">
            <v>9693.4589269999997</v>
          </cell>
          <cell r="R21">
            <v>143.33282800000001</v>
          </cell>
          <cell r="S21">
            <v>146.25798700000001</v>
          </cell>
          <cell r="T21">
            <v>39.048105999999997</v>
          </cell>
          <cell r="U21">
            <v>39.845007000000003</v>
          </cell>
          <cell r="V21">
            <v>1.7433609999999999</v>
          </cell>
          <cell r="W21">
            <v>2.5402610000000001</v>
          </cell>
          <cell r="X21">
            <v>382142.25591800001</v>
          </cell>
          <cell r="Y21">
            <v>382142.25591800001</v>
          </cell>
          <cell r="Z21">
            <v>374499.41080000001</v>
          </cell>
        </row>
        <row r="22">
          <cell r="C22">
            <v>45.011369999999999</v>
          </cell>
          <cell r="D22">
            <v>9.6000000000000002E-2</v>
          </cell>
          <cell r="E22">
            <v>34.187072000000001</v>
          </cell>
          <cell r="F22">
            <v>0.230798</v>
          </cell>
          <cell r="G22">
            <v>543.79141700000002</v>
          </cell>
          <cell r="H22">
            <v>314.038161</v>
          </cell>
          <cell r="I22">
            <v>391140.48334999999</v>
          </cell>
          <cell r="J22">
            <v>9651.0867999999991</v>
          </cell>
          <cell r="K22">
            <v>391140.48334999999</v>
          </cell>
          <cell r="L22">
            <v>34.187072000000001</v>
          </cell>
          <cell r="M22">
            <v>0</v>
          </cell>
          <cell r="N22">
            <v>38.12697</v>
          </cell>
          <cell r="O22">
            <v>37.364431000000003</v>
          </cell>
          <cell r="P22">
            <v>9651.0867999999991</v>
          </cell>
          <cell r="Q22">
            <v>9458.0650640000003</v>
          </cell>
          <cell r="R22">
            <v>125.505758</v>
          </cell>
          <cell r="S22">
            <v>128.06710000000001</v>
          </cell>
          <cell r="T22">
            <v>34.187072000000001</v>
          </cell>
          <cell r="U22">
            <v>34.884768000000001</v>
          </cell>
          <cell r="V22">
            <v>0</v>
          </cell>
          <cell r="W22">
            <v>0.69769499999999995</v>
          </cell>
          <cell r="X22">
            <v>391140.48334999999</v>
          </cell>
          <cell r="Y22">
            <v>391140.48334999999</v>
          </cell>
          <cell r="Z22">
            <v>383317.67368299997</v>
          </cell>
        </row>
        <row r="23">
          <cell r="C23">
            <v>50.079369999999997</v>
          </cell>
          <cell r="D23">
            <v>0.124</v>
          </cell>
          <cell r="E23">
            <v>37.118169999999999</v>
          </cell>
          <cell r="F23">
            <v>0.25359100000000001</v>
          </cell>
          <cell r="G23">
            <v>537.23896300000001</v>
          </cell>
          <cell r="H23">
            <v>319.73843299999999</v>
          </cell>
          <cell r="I23">
            <v>389911.38069700002</v>
          </cell>
          <cell r="J23">
            <v>9856.6462329999995</v>
          </cell>
          <cell r="K23">
            <v>389911.38069700002</v>
          </cell>
          <cell r="L23">
            <v>37.118169999999999</v>
          </cell>
          <cell r="M23">
            <v>0</v>
          </cell>
          <cell r="N23">
            <v>35.005862999999998</v>
          </cell>
          <cell r="O23">
            <v>34.305745999999999</v>
          </cell>
          <cell r="P23">
            <v>9856.6462329999995</v>
          </cell>
          <cell r="Q23">
            <v>9659.5133089999999</v>
          </cell>
          <cell r="R23">
            <v>136.239115</v>
          </cell>
          <cell r="S23">
            <v>139.01950500000001</v>
          </cell>
          <cell r="T23">
            <v>37.118169999999999</v>
          </cell>
          <cell r="U23">
            <v>37.875684</v>
          </cell>
          <cell r="V23">
            <v>0</v>
          </cell>
          <cell r="W23">
            <v>0.75751400000000002</v>
          </cell>
          <cell r="X23">
            <v>389911.38069700002</v>
          </cell>
          <cell r="Y23">
            <v>389911.38069700002</v>
          </cell>
          <cell r="Z23">
            <v>382113.15308299998</v>
          </cell>
        </row>
        <row r="24">
          <cell r="C24">
            <v>65.052535000000006</v>
          </cell>
          <cell r="D24">
            <v>0.251</v>
          </cell>
          <cell r="E24">
            <v>37.118169999999999</v>
          </cell>
          <cell r="F24">
            <v>0.25359100000000001</v>
          </cell>
          <cell r="G24">
            <v>537.23896300000001</v>
          </cell>
          <cell r="H24">
            <v>319.999999</v>
          </cell>
          <cell r="I24">
            <v>366141.50611800002</v>
          </cell>
          <cell r="J24">
            <v>9935.6285000000007</v>
          </cell>
          <cell r="K24">
            <v>389911.38069700002</v>
          </cell>
          <cell r="L24">
            <v>37.118169999999999</v>
          </cell>
          <cell r="M24">
            <v>0</v>
          </cell>
          <cell r="N24">
            <v>32.871827000000003</v>
          </cell>
          <cell r="O24">
            <v>32.214390999999999</v>
          </cell>
          <cell r="P24">
            <v>9935.6285000000007</v>
          </cell>
          <cell r="Q24">
            <v>9736.9159299999992</v>
          </cell>
          <cell r="R24">
            <v>145.08374599999999</v>
          </cell>
          <cell r="S24">
            <v>148.04463899999999</v>
          </cell>
          <cell r="T24">
            <v>39.527878000000001</v>
          </cell>
          <cell r="U24">
            <v>40.334569999999999</v>
          </cell>
          <cell r="V24">
            <v>2.4097080000000002</v>
          </cell>
          <cell r="W24">
            <v>3.2164000000000001</v>
          </cell>
          <cell r="X24">
            <v>366141.50611800002</v>
          </cell>
          <cell r="Y24">
            <v>366141.50611800002</v>
          </cell>
          <cell r="Z24">
            <v>358818.675995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"/>
      <sheetName val="COAL_CT"/>
      <sheetName val="DIAGRAMS_COAL"/>
      <sheetName val="NG"/>
      <sheetName val="NG_CT"/>
      <sheetName val="DIAGRAMS_NG"/>
      <sheetName val="Economics"/>
      <sheetName val="Econ_rec"/>
    </sheetNames>
    <sheetDataSet>
      <sheetData sheetId="0">
        <row r="6">
          <cell r="K6">
            <v>27717.117247999999</v>
          </cell>
        </row>
        <row r="11">
          <cell r="AP11">
            <v>19095.023831999977</v>
          </cell>
        </row>
        <row r="20">
          <cell r="K20"/>
        </row>
        <row r="25">
          <cell r="AP25">
            <v>8044.8041089400076</v>
          </cell>
        </row>
        <row r="34">
          <cell r="K34">
            <v>28913.165316999999</v>
          </cell>
        </row>
      </sheetData>
      <sheetData sheetId="1">
        <row r="11">
          <cell r="AP11">
            <v>7408.4716150000459</v>
          </cell>
        </row>
        <row r="25">
          <cell r="AP25">
            <v>7502.7238854097268</v>
          </cell>
        </row>
      </sheetData>
      <sheetData sheetId="2"/>
      <sheetData sheetId="3">
        <row r="6">
          <cell r="K6">
            <v>7613.5690780000004</v>
          </cell>
        </row>
        <row r="11">
          <cell r="AP11">
            <v>6126.6842709999764</v>
          </cell>
        </row>
        <row r="20">
          <cell r="K20"/>
        </row>
        <row r="25">
          <cell r="AP25">
            <v>2504.090009711847</v>
          </cell>
        </row>
        <row r="34">
          <cell r="K34">
            <v>8098.5093390000002</v>
          </cell>
        </row>
      </sheetData>
      <sheetData sheetId="4">
        <row r="11">
          <cell r="AP11">
            <v>2288.5480670000543</v>
          </cell>
        </row>
        <row r="25">
          <cell r="AP25">
            <v>2350.0980016441431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"/>
      <sheetName val="COAL_CT"/>
      <sheetName val="DIAGRAMS_COAL"/>
      <sheetName val="NG"/>
      <sheetName val="NG_CT"/>
      <sheetName val="DIAGRAMS_NG"/>
      <sheetName val="Economics"/>
      <sheetName val="Econ_rec"/>
    </sheetNames>
    <sheetDataSet>
      <sheetData sheetId="0">
        <row r="6">
          <cell r="K6">
            <v>15522.002915999999</v>
          </cell>
        </row>
        <row r="15">
          <cell r="AP15">
            <v>27922.586135000049</v>
          </cell>
        </row>
        <row r="20">
          <cell r="K20"/>
        </row>
        <row r="29">
          <cell r="AP29">
            <v>17024.306818172023</v>
          </cell>
        </row>
        <row r="34">
          <cell r="K34">
            <v>16183.014137</v>
          </cell>
        </row>
      </sheetData>
      <sheetData sheetId="1">
        <row r="15">
          <cell r="AP15">
            <v>9455.0331419999711</v>
          </cell>
        </row>
        <row r="29">
          <cell r="AP29">
            <v>9680.0466484990702</v>
          </cell>
        </row>
      </sheetData>
      <sheetData sheetId="2"/>
      <sheetData sheetId="3">
        <row r="6">
          <cell r="K6">
            <v>4270.677858</v>
          </cell>
        </row>
        <row r="15">
          <cell r="AP15">
            <v>9101.9499930000165</v>
          </cell>
        </row>
        <row r="20">
          <cell r="K20"/>
        </row>
        <row r="29">
          <cell r="AP29">
            <v>5550.601901431035</v>
          </cell>
        </row>
        <row r="34">
          <cell r="K34">
            <v>4540.5404900000003</v>
          </cell>
        </row>
      </sheetData>
      <sheetData sheetId="4">
        <row r="15">
          <cell r="AP15">
            <v>2902.4200500000152</v>
          </cell>
        </row>
        <row r="29">
          <cell r="AP29">
            <v>3012.1368701497745</v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"/>
      <sheetName val="COAL_CT"/>
      <sheetName val="DIAGRAMS_COAL"/>
      <sheetName val="NG"/>
      <sheetName val="NG_CT"/>
      <sheetName val="DIAGRAMS_NG"/>
      <sheetName val="Economics"/>
      <sheetName val="Econ_rec"/>
    </sheetNames>
    <sheetDataSet>
      <sheetData sheetId="0">
        <row r="6">
          <cell r="K6">
            <v>12750.187215</v>
          </cell>
        </row>
        <row r="17">
          <cell r="AP17">
            <v>31923.819809000008</v>
          </cell>
        </row>
        <row r="20">
          <cell r="K20"/>
        </row>
        <row r="31">
          <cell r="AP31">
            <v>21360.914251713177</v>
          </cell>
        </row>
        <row r="34">
          <cell r="K34">
            <v>13290.922651000001</v>
          </cell>
        </row>
        <row r="45">
          <cell r="AP45">
            <v>10443.444096963658</v>
          </cell>
        </row>
      </sheetData>
      <sheetData sheetId="1">
        <row r="17">
          <cell r="AP17">
            <v>10496.053784999996</v>
          </cell>
        </row>
        <row r="31">
          <cell r="AP31">
            <v>10781.779960075297</v>
          </cell>
        </row>
        <row r="45">
          <cell r="AP45">
            <v>10974.693027396015</v>
          </cell>
        </row>
      </sheetData>
      <sheetData sheetId="2"/>
      <sheetData sheetId="3">
        <row r="6">
          <cell r="K6">
            <v>3510.9500849999999</v>
          </cell>
        </row>
        <row r="17">
          <cell r="AP17">
            <v>10470.082363000023</v>
          </cell>
        </row>
        <row r="31">
          <cell r="AP31">
            <v>7041.2260578427849</v>
          </cell>
        </row>
        <row r="34">
          <cell r="K34">
            <v>3732.3866760000001</v>
          </cell>
        </row>
        <row r="45">
          <cell r="AP45">
            <v>3351.8027311042392</v>
          </cell>
        </row>
      </sheetData>
      <sheetData sheetId="4">
        <row r="17">
          <cell r="AP17">
            <v>3212.10335999995</v>
          </cell>
        </row>
        <row r="31">
          <cell r="AP31">
            <v>3344.053975180685</v>
          </cell>
        </row>
        <row r="45">
          <cell r="AP45">
            <v>3433.6898022259638</v>
          </cell>
        </row>
      </sheetData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"/>
      <sheetName val="COAL_CT"/>
      <sheetName val="DIAGRAMS_COAL"/>
      <sheetName val="NG"/>
      <sheetName val="NG_CT"/>
      <sheetName val="DIAGRAMS_NG"/>
      <sheetName val="Economics"/>
      <sheetName val="Econ_rec"/>
    </sheetNames>
    <sheetDataSet>
      <sheetData sheetId="0">
        <row r="6">
          <cell r="K6">
            <v>10831.519281999999</v>
          </cell>
        </row>
        <row r="19">
          <cell r="AP19">
            <v>36254.881425000029</v>
          </cell>
        </row>
        <row r="22">
          <cell r="K22"/>
        </row>
        <row r="35">
          <cell r="AP35">
            <v>29935.508418307949</v>
          </cell>
        </row>
        <row r="38">
          <cell r="K38">
            <v>11370.330999</v>
          </cell>
        </row>
        <row r="51">
          <cell r="AP51" t="e">
            <v>#DIV/0!</v>
          </cell>
        </row>
      </sheetData>
      <sheetData sheetId="1">
        <row r="19">
          <cell r="AP19">
            <v>11562.988297000004</v>
          </cell>
        </row>
        <row r="35">
          <cell r="AP35">
            <v>11972.780691051576</v>
          </cell>
        </row>
        <row r="51">
          <cell r="AP51">
            <v>12289.241320348619</v>
          </cell>
        </row>
      </sheetData>
      <sheetData sheetId="2"/>
      <sheetData sheetId="3">
        <row r="6">
          <cell r="K6">
            <v>2985.1285010000001</v>
          </cell>
        </row>
        <row r="19">
          <cell r="AP19">
            <v>11962.471871000016</v>
          </cell>
        </row>
        <row r="22">
          <cell r="K22"/>
        </row>
        <row r="35">
          <cell r="AP35">
            <v>10006.819643926812</v>
          </cell>
        </row>
        <row r="38">
          <cell r="K38">
            <v>3201.3919919999998</v>
          </cell>
        </row>
        <row r="51">
          <cell r="AP51">
            <v>7877.5006629193031</v>
          </cell>
        </row>
      </sheetData>
      <sheetData sheetId="4">
        <row r="19">
          <cell r="AP19">
            <v>3527.2494709999883</v>
          </cell>
        </row>
        <row r="35">
          <cell r="AP35">
            <v>3700.434422167566</v>
          </cell>
        </row>
        <row r="51">
          <cell r="AP51">
            <v>3831.7858626493789</v>
          </cell>
        </row>
      </sheetData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"/>
      <sheetName val="COAL_CT"/>
      <sheetName val="DIAGRAMS_COAL"/>
      <sheetName val="NG"/>
      <sheetName val="NG_CT"/>
      <sheetName val="DIAGRAMS_NG"/>
      <sheetName val="Economics"/>
      <sheetName val="Econ_rec"/>
    </sheetNames>
    <sheetDataSet>
      <sheetData sheetId="0">
        <row r="6">
          <cell r="K6">
            <v>9424.4112220000006</v>
          </cell>
        </row>
        <row r="21">
          <cell r="AP21">
            <v>40343.270507000037</v>
          </cell>
        </row>
        <row r="25">
          <cell r="K25">
            <v>9834.3072080000002</v>
          </cell>
        </row>
        <row r="40">
          <cell r="AP40">
            <v>55406.083326099892</v>
          </cell>
        </row>
        <row r="44">
          <cell r="K44">
            <v>9864.7095019999997</v>
          </cell>
        </row>
        <row r="59">
          <cell r="AP59">
            <v>55641.106615880846</v>
          </cell>
        </row>
      </sheetData>
      <sheetData sheetId="1">
        <row r="21">
          <cell r="AP21">
            <v>12660.884239000035</v>
          </cell>
        </row>
        <row r="40">
          <cell r="AP40">
            <v>13240.471674718607</v>
          </cell>
        </row>
        <row r="59">
          <cell r="AP59">
            <v>13736.45377989923</v>
          </cell>
        </row>
      </sheetData>
      <sheetData sheetId="2"/>
      <sheetData sheetId="3">
        <row r="6">
          <cell r="K6">
            <v>2599.5386899999999</v>
          </cell>
        </row>
        <row r="21">
          <cell r="AP21">
            <v>13385.672196999949</v>
          </cell>
        </row>
        <row r="25">
          <cell r="K25">
            <v>2704.2806820000001</v>
          </cell>
        </row>
        <row r="40">
          <cell r="AP40">
            <v>13795.941698384151</v>
          </cell>
        </row>
        <row r="44">
          <cell r="K44">
            <v>2800.6675770000002</v>
          </cell>
        </row>
        <row r="59">
          <cell r="AP59">
            <v>14074.722638155547</v>
          </cell>
        </row>
      </sheetData>
      <sheetData sheetId="4">
        <row r="21">
          <cell r="AP21">
            <v>3849.8334020000184</v>
          </cell>
        </row>
        <row r="40">
          <cell r="AP40">
            <v>4078.9664095369526</v>
          </cell>
        </row>
        <row r="59">
          <cell r="AP59">
            <v>4267.4667826477889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err"/>
      <sheetName val="err"/>
      <sheetName val="all"/>
    </sheetNames>
    <sheetDataSet>
      <sheetData sheetId="0">
        <row r="2">
          <cell r="C2">
            <v>26.673193000000001</v>
          </cell>
          <cell r="D2">
            <v>3.5000000000000003E-2</v>
          </cell>
          <cell r="E2">
            <v>14.806514999999999</v>
          </cell>
          <cell r="F2">
            <v>6.3698000000000005E-2</v>
          </cell>
          <cell r="G2">
            <v>642.60203200000001</v>
          </cell>
          <cell r="H2">
            <v>72.651043000000001</v>
          </cell>
          <cell r="I2">
            <v>400005.40853999997</v>
          </cell>
          <cell r="J2">
            <v>12494.832657000001</v>
          </cell>
          <cell r="K2">
            <v>400004.05063900002</v>
          </cell>
          <cell r="L2">
            <v>14.806479</v>
          </cell>
          <cell r="M2">
            <v>196.493503</v>
          </cell>
          <cell r="N2">
            <v>54.014795999999997</v>
          </cell>
          <cell r="O2">
            <v>53.751680999999998</v>
          </cell>
          <cell r="P2">
            <v>12494.831630999999</v>
          </cell>
          <cell r="Q2">
            <v>12298.339153999999</v>
          </cell>
          <cell r="R2">
            <v>40.932595999999997</v>
          </cell>
          <cell r="S2">
            <v>41.132961999999999</v>
          </cell>
          <cell r="T2">
            <v>14.806464999999999</v>
          </cell>
          <cell r="U2">
            <v>14.878942</v>
          </cell>
          <cell r="V2">
            <v>-1.5E-5</v>
          </cell>
          <cell r="W2">
            <v>7.2463E-2</v>
          </cell>
          <cell r="X2">
            <v>123903.448586</v>
          </cell>
          <cell r="Y2">
            <v>400005.39836699999</v>
          </cell>
          <cell r="Z2">
            <v>398056.90524300002</v>
          </cell>
        </row>
        <row r="3">
          <cell r="C3">
            <v>26.673193000000001</v>
          </cell>
          <cell r="D3">
            <v>3.5000000000000003E-2</v>
          </cell>
          <cell r="E3">
            <v>14.806514999999999</v>
          </cell>
          <cell r="F3">
            <v>6.3698000000000005E-2</v>
          </cell>
          <cell r="G3">
            <v>642.60203200000001</v>
          </cell>
          <cell r="H3">
            <v>72.651043000000001</v>
          </cell>
          <cell r="I3">
            <v>400005.40853999997</v>
          </cell>
          <cell r="J3">
            <v>12494.832657000001</v>
          </cell>
          <cell r="K3">
            <v>400004.05063900002</v>
          </cell>
          <cell r="L3">
            <v>14.806479</v>
          </cell>
          <cell r="M3">
            <v>197.42206300000001</v>
          </cell>
          <cell r="N3">
            <v>54.013553000000002</v>
          </cell>
          <cell r="O3">
            <v>53.750438000000003</v>
          </cell>
          <cell r="P3">
            <v>12493.903071000001</v>
          </cell>
          <cell r="Q3">
            <v>12297.410594000001</v>
          </cell>
          <cell r="R3">
            <v>40.933537999999999</v>
          </cell>
          <cell r="S3">
            <v>41.133913</v>
          </cell>
          <cell r="T3">
            <v>14.806805000000001</v>
          </cell>
          <cell r="U3">
            <v>14.879287</v>
          </cell>
          <cell r="V3">
            <v>3.2600000000000001E-4</v>
          </cell>
          <cell r="W3">
            <v>7.2806999999999997E-2</v>
          </cell>
          <cell r="X3">
            <v>123903.448586</v>
          </cell>
          <cell r="Y3">
            <v>399996.19041600003</v>
          </cell>
          <cell r="Z3">
            <v>398047.697292</v>
          </cell>
        </row>
        <row r="4">
          <cell r="C4">
            <v>30.817177000000001</v>
          </cell>
          <cell r="D4">
            <v>4.4499999999999998E-2</v>
          </cell>
          <cell r="E4">
            <v>14.79848</v>
          </cell>
          <cell r="F4">
            <v>6.4484E-2</v>
          </cell>
          <cell r="G4">
            <v>634.36440200000004</v>
          </cell>
          <cell r="H4">
            <v>75.070238000000003</v>
          </cell>
          <cell r="I4">
            <v>400004.35967799998</v>
          </cell>
          <cell r="J4">
            <v>12968.942437</v>
          </cell>
          <cell r="K4">
            <v>400004.358679</v>
          </cell>
          <cell r="L4">
            <v>14.79848</v>
          </cell>
          <cell r="M4">
            <v>208.04259200000001</v>
          </cell>
          <cell r="N4">
            <v>54.043982999999997</v>
          </cell>
          <cell r="O4">
            <v>53.771546999999998</v>
          </cell>
          <cell r="P4">
            <v>12968.942435999999</v>
          </cell>
          <cell r="Q4">
            <v>12760.899845</v>
          </cell>
          <cell r="R4">
            <v>40.906576999999999</v>
          </cell>
          <cell r="S4">
            <v>41.113832000000002</v>
          </cell>
          <cell r="T4">
            <v>14.79848</v>
          </cell>
          <cell r="U4">
            <v>14.873457</v>
          </cell>
          <cell r="V4">
            <v>0</v>
          </cell>
          <cell r="W4">
            <v>7.4977000000000002E-2</v>
          </cell>
          <cell r="X4">
            <v>125699.451621</v>
          </cell>
          <cell r="Y4">
            <v>400004.35967099998</v>
          </cell>
          <cell r="Z4">
            <v>397987.93930899998</v>
          </cell>
        </row>
        <row r="5">
          <cell r="C5">
            <v>30.817177000000001</v>
          </cell>
          <cell r="D5">
            <v>4.4499999999999998E-2</v>
          </cell>
          <cell r="E5">
            <v>14.79848</v>
          </cell>
          <cell r="F5">
            <v>6.4484E-2</v>
          </cell>
          <cell r="G5">
            <v>634.36440200000004</v>
          </cell>
          <cell r="H5">
            <v>75.070238000000003</v>
          </cell>
          <cell r="I5">
            <v>400004.35967799998</v>
          </cell>
          <cell r="J5">
            <v>12968.942437</v>
          </cell>
          <cell r="K5">
            <v>400004.358679</v>
          </cell>
          <cell r="L5">
            <v>14.79848</v>
          </cell>
          <cell r="M5">
            <v>209.08945800000001</v>
          </cell>
          <cell r="N5">
            <v>54.042611999999998</v>
          </cell>
          <cell r="O5">
            <v>53.770175999999999</v>
          </cell>
          <cell r="P5">
            <v>12967.895570000001</v>
          </cell>
          <cell r="Q5">
            <v>12759.852978999999</v>
          </cell>
          <cell r="R5">
            <v>40.907615</v>
          </cell>
          <cell r="S5">
            <v>41.114879999999999</v>
          </cell>
          <cell r="T5">
            <v>14.798855</v>
          </cell>
          <cell r="U5">
            <v>14.873836000000001</v>
          </cell>
          <cell r="V5">
            <v>3.7500000000000001E-4</v>
          </cell>
          <cell r="W5">
            <v>7.5356000000000006E-2</v>
          </cell>
          <cell r="X5">
            <v>125699.451621</v>
          </cell>
          <cell r="Y5">
            <v>399994.21308800002</v>
          </cell>
          <cell r="Z5">
            <v>397977.79272600001</v>
          </cell>
        </row>
        <row r="6">
          <cell r="C6">
            <v>35.228050000000003</v>
          </cell>
          <cell r="D6">
            <v>5.7000000000000002E-2</v>
          </cell>
          <cell r="E6">
            <v>14.827389999999999</v>
          </cell>
          <cell r="F6">
            <v>6.5114000000000005E-2</v>
          </cell>
          <cell r="G6">
            <v>629.40580299999999</v>
          </cell>
          <cell r="H6">
            <v>77.299356000000003</v>
          </cell>
          <cell r="I6">
            <v>400004.67745900003</v>
          </cell>
          <cell r="J6">
            <v>13412.141039</v>
          </cell>
          <cell r="K6">
            <v>400004.66140699998</v>
          </cell>
          <cell r="L6">
            <v>14.827389</v>
          </cell>
          <cell r="M6">
            <v>218.45176699999999</v>
          </cell>
          <cell r="N6">
            <v>53.938653000000002</v>
          </cell>
          <cell r="O6">
            <v>53.659951999999997</v>
          </cell>
          <cell r="P6">
            <v>13412.141027</v>
          </cell>
          <cell r="Q6">
            <v>13193.689272</v>
          </cell>
          <cell r="R6">
            <v>40.98339</v>
          </cell>
          <cell r="S6">
            <v>41.196252000000001</v>
          </cell>
          <cell r="T6">
            <v>14.827389</v>
          </cell>
          <cell r="U6">
            <v>14.904400000000001</v>
          </cell>
          <cell r="V6">
            <v>0</v>
          </cell>
          <cell r="W6">
            <v>7.7010999999999996E-2</v>
          </cell>
          <cell r="X6">
            <v>126895.760765</v>
          </cell>
          <cell r="Y6">
            <v>400004.67734599998</v>
          </cell>
          <cell r="Z6">
            <v>397937.84837600001</v>
          </cell>
        </row>
        <row r="7">
          <cell r="C7">
            <v>35.228050000000003</v>
          </cell>
          <cell r="D7">
            <v>5.7000000000000002E-2</v>
          </cell>
          <cell r="E7">
            <v>14.827389999999999</v>
          </cell>
          <cell r="F7">
            <v>6.5114000000000005E-2</v>
          </cell>
          <cell r="G7">
            <v>629.40580299999999</v>
          </cell>
          <cell r="H7">
            <v>77.299356000000003</v>
          </cell>
          <cell r="I7">
            <v>400004.67745900003</v>
          </cell>
          <cell r="J7">
            <v>13412.141039</v>
          </cell>
          <cell r="K7">
            <v>400004.66140699998</v>
          </cell>
          <cell r="L7">
            <v>14.827389</v>
          </cell>
          <cell r="M7">
            <v>219.602408</v>
          </cell>
          <cell r="N7">
            <v>53.937184999999999</v>
          </cell>
          <cell r="O7">
            <v>53.658484000000001</v>
          </cell>
          <cell r="P7">
            <v>13410.990385999999</v>
          </cell>
          <cell r="Q7">
            <v>13192.538630999999</v>
          </cell>
          <cell r="R7">
            <v>40.984506000000003</v>
          </cell>
          <cell r="S7">
            <v>41.197378999999998</v>
          </cell>
          <cell r="T7">
            <v>14.827793</v>
          </cell>
          <cell r="U7">
            <v>14.904807999999999</v>
          </cell>
          <cell r="V7">
            <v>4.0299999999999998E-4</v>
          </cell>
          <cell r="W7">
            <v>7.7419000000000002E-2</v>
          </cell>
          <cell r="X7">
            <v>126895.760765</v>
          </cell>
          <cell r="Y7">
            <v>399993.79083499999</v>
          </cell>
          <cell r="Z7">
            <v>397926.96186500002</v>
          </cell>
        </row>
        <row r="8">
          <cell r="C8">
            <v>28.077817</v>
          </cell>
          <cell r="D8">
            <v>3.7999999999999999E-2</v>
          </cell>
          <cell r="E8">
            <v>14.817731</v>
          </cell>
          <cell r="F8">
            <v>6.3742999999999994E-2</v>
          </cell>
          <cell r="G8">
            <v>642.63501399999996</v>
          </cell>
          <cell r="H8">
            <v>72.924261000000001</v>
          </cell>
          <cell r="I8">
            <v>400004.28387799999</v>
          </cell>
          <cell r="J8">
            <v>12557.36587</v>
          </cell>
          <cell r="K8">
            <v>400004.28387799999</v>
          </cell>
          <cell r="L8">
            <v>14.817731</v>
          </cell>
          <cell r="M8">
            <v>12557.36587</v>
          </cell>
          <cell r="N8">
            <v>53.973757999999997</v>
          </cell>
          <cell r="O8">
            <v>53.640000999999998</v>
          </cell>
          <cell r="P8">
            <v>12557.36587</v>
          </cell>
          <cell r="Q8">
            <v>12306.218553000001</v>
          </cell>
          <cell r="R8">
            <v>40.963515000000001</v>
          </cell>
          <cell r="S8">
            <v>41.218397000000003</v>
          </cell>
          <cell r="T8">
            <v>14.817731</v>
          </cell>
          <cell r="U8">
            <v>14.909929999999999</v>
          </cell>
          <cell r="V8">
            <v>0</v>
          </cell>
          <cell r="W8">
            <v>9.2198000000000002E-2</v>
          </cell>
          <cell r="X8">
            <v>123675.13991300001</v>
          </cell>
          <cell r="Y8">
            <v>400004.28387799999</v>
          </cell>
          <cell r="Z8">
            <v>397530.78107999999</v>
          </cell>
        </row>
        <row r="9">
          <cell r="C9">
            <v>31.013164</v>
          </cell>
          <cell r="D9">
            <v>4.4999999999999998E-2</v>
          </cell>
          <cell r="E9">
            <v>14.817731</v>
          </cell>
          <cell r="F9">
            <v>6.3742999999999994E-2</v>
          </cell>
          <cell r="G9">
            <v>642.63501399999996</v>
          </cell>
          <cell r="H9">
            <v>73.244088000000005</v>
          </cell>
          <cell r="I9">
            <v>398938.85836900002</v>
          </cell>
          <cell r="J9">
            <v>12651.817623000001</v>
          </cell>
          <cell r="K9">
            <v>400004.28387799999</v>
          </cell>
          <cell r="L9">
            <v>14.817731</v>
          </cell>
          <cell r="M9">
            <v>12557.36587</v>
          </cell>
          <cell r="N9">
            <v>53.829996999999999</v>
          </cell>
          <cell r="O9">
            <v>53.499115000000003</v>
          </cell>
          <cell r="P9">
            <v>12651.817623000001</v>
          </cell>
          <cell r="Q9">
            <v>12398.781269999999</v>
          </cell>
          <cell r="R9">
            <v>41.072915000000002</v>
          </cell>
          <cell r="S9">
            <v>41.326943</v>
          </cell>
          <cell r="T9">
            <v>14.857303999999999</v>
          </cell>
          <cell r="U9">
            <v>14.949194</v>
          </cell>
          <cell r="V9">
            <v>3.9572999999999997E-2</v>
          </cell>
          <cell r="W9">
            <v>0.131463</v>
          </cell>
          <cell r="X9">
            <v>122609.714404</v>
          </cell>
          <cell r="Y9">
            <v>398938.85836900002</v>
          </cell>
          <cell r="Z9">
            <v>396486.66408100002</v>
          </cell>
        </row>
        <row r="10">
          <cell r="C10">
            <v>33.052711000000002</v>
          </cell>
          <cell r="D10">
            <v>5.0500000000000003E-2</v>
          </cell>
          <cell r="E10">
            <v>14.819461</v>
          </cell>
          <cell r="F10">
            <v>6.4559000000000005E-2</v>
          </cell>
          <cell r="G10">
            <v>634.524629</v>
          </cell>
          <cell r="H10">
            <v>75.527722999999995</v>
          </cell>
          <cell r="I10">
            <v>400004.49379199999</v>
          </cell>
          <cell r="J10">
            <v>13073.023998999999</v>
          </cell>
          <cell r="K10">
            <v>400004.49130400002</v>
          </cell>
          <cell r="L10">
            <v>14.819461</v>
          </cell>
          <cell r="M10">
            <v>13073.022825</v>
          </cell>
          <cell r="N10">
            <v>53.967485000000003</v>
          </cell>
          <cell r="O10">
            <v>53.629423000000003</v>
          </cell>
          <cell r="P10">
            <v>13073.023998999999</v>
          </cell>
          <cell r="Q10">
            <v>12811.563518999999</v>
          </cell>
          <cell r="R10">
            <v>40.964205</v>
          </cell>
          <cell r="S10">
            <v>41.222430000000003</v>
          </cell>
          <cell r="T10">
            <v>14.819461</v>
          </cell>
          <cell r="U10">
            <v>14.912877999999999</v>
          </cell>
          <cell r="V10">
            <v>0</v>
          </cell>
          <cell r="W10">
            <v>9.3417E-2</v>
          </cell>
          <cell r="X10">
            <v>125285.05779200001</v>
          </cell>
          <cell r="Y10">
            <v>400004.49379199999</v>
          </cell>
          <cell r="Z10">
            <v>397498.79263600003</v>
          </cell>
        </row>
        <row r="11">
          <cell r="C11">
            <v>36.007736000000001</v>
          </cell>
          <cell r="D11">
            <v>5.9499999999999997E-2</v>
          </cell>
          <cell r="E11">
            <v>14.819461</v>
          </cell>
          <cell r="F11">
            <v>6.4559000000000005E-2</v>
          </cell>
          <cell r="G11">
            <v>634.524629</v>
          </cell>
          <cell r="H11">
            <v>75.863602999999998</v>
          </cell>
          <cell r="I11">
            <v>398898.362295</v>
          </cell>
          <cell r="J11">
            <v>13168.642551999999</v>
          </cell>
          <cell r="K11">
            <v>400004.49130400002</v>
          </cell>
          <cell r="L11">
            <v>14.819461</v>
          </cell>
          <cell r="M11">
            <v>13073.022825</v>
          </cell>
          <cell r="N11">
            <v>53.818249000000002</v>
          </cell>
          <cell r="O11">
            <v>53.483172000000003</v>
          </cell>
          <cell r="P11">
            <v>13168.642551999999</v>
          </cell>
          <cell r="Q11">
            <v>12905.269700999999</v>
          </cell>
          <cell r="R11">
            <v>41.077798000000001</v>
          </cell>
          <cell r="S11">
            <v>41.335154000000003</v>
          </cell>
          <cell r="T11">
            <v>14.860555</v>
          </cell>
          <cell r="U11">
            <v>14.953658000000001</v>
          </cell>
          <cell r="V11">
            <v>4.1093999999999999E-2</v>
          </cell>
          <cell r="W11">
            <v>0.13419700000000001</v>
          </cell>
          <cell r="X11">
            <v>124178.926295</v>
          </cell>
          <cell r="Y11">
            <v>398898.362295</v>
          </cell>
          <cell r="Z11">
            <v>396414.78376899997</v>
          </cell>
        </row>
        <row r="12">
          <cell r="C12">
            <v>38.049079999999996</v>
          </cell>
          <cell r="D12">
            <v>6.6500000000000004E-2</v>
          </cell>
          <cell r="E12">
            <v>14.857093000000001</v>
          </cell>
          <cell r="F12">
            <v>6.5207000000000001E-2</v>
          </cell>
          <cell r="G12">
            <v>629.76788299999998</v>
          </cell>
          <cell r="H12">
            <v>77.891968000000006</v>
          </cell>
          <cell r="I12">
            <v>400004.89408599999</v>
          </cell>
          <cell r="J12">
            <v>13546.143335999999</v>
          </cell>
          <cell r="K12">
            <v>400004.89408599999</v>
          </cell>
          <cell r="L12">
            <v>14.857093000000001</v>
          </cell>
          <cell r="M12">
            <v>13546.143335999999</v>
          </cell>
          <cell r="N12">
            <v>53.830844999999997</v>
          </cell>
          <cell r="O12">
            <v>53.490842999999998</v>
          </cell>
          <cell r="P12">
            <v>13546.143335999999</v>
          </cell>
          <cell r="Q12">
            <v>13275.220469</v>
          </cell>
          <cell r="R12">
            <v>41.065043000000003</v>
          </cell>
          <cell r="S12">
            <v>41.326064000000002</v>
          </cell>
          <cell r="T12">
            <v>14.857093000000001</v>
          </cell>
          <cell r="U12">
            <v>14.951528</v>
          </cell>
          <cell r="V12">
            <v>0</v>
          </cell>
          <cell r="W12">
            <v>9.4436000000000006E-2</v>
          </cell>
          <cell r="X12">
            <v>126323.99808600001</v>
          </cell>
          <cell r="Y12">
            <v>400004.89408599999</v>
          </cell>
          <cell r="Z12">
            <v>397478.414124</v>
          </cell>
        </row>
        <row r="13">
          <cell r="C13">
            <v>41.151581</v>
          </cell>
          <cell r="D13">
            <v>7.85E-2</v>
          </cell>
          <cell r="E13">
            <v>14.857093000000001</v>
          </cell>
          <cell r="F13">
            <v>6.5207000000000001E-2</v>
          </cell>
          <cell r="G13">
            <v>629.76788299999998</v>
          </cell>
          <cell r="H13">
            <v>78.258443999999997</v>
          </cell>
          <cell r="I13">
            <v>398812.07184500003</v>
          </cell>
          <cell r="J13">
            <v>13647.15538</v>
          </cell>
          <cell r="K13">
            <v>400004.89408599999</v>
          </cell>
          <cell r="L13">
            <v>14.857093000000001</v>
          </cell>
          <cell r="M13">
            <v>13546.143335999999</v>
          </cell>
          <cell r="N13">
            <v>53.670319999999997</v>
          </cell>
          <cell r="O13">
            <v>53.333528999999999</v>
          </cell>
          <cell r="P13">
            <v>13647.15538</v>
          </cell>
          <cell r="Q13">
            <v>13374.212272000001</v>
          </cell>
          <cell r="R13">
            <v>41.187866</v>
          </cell>
          <cell r="S13">
            <v>41.447960000000002</v>
          </cell>
          <cell r="T13">
            <v>14.901529</v>
          </cell>
          <cell r="U13">
            <v>14.99563</v>
          </cell>
          <cell r="V13">
            <v>4.4436999999999997E-2</v>
          </cell>
          <cell r="W13">
            <v>0.13853699999999999</v>
          </cell>
          <cell r="X13">
            <v>125131.17584500001</v>
          </cell>
          <cell r="Y13">
            <v>398812.07184500003</v>
          </cell>
          <cell r="Z13">
            <v>396309.44832800003</v>
          </cell>
        </row>
        <row r="14">
          <cell r="C14">
            <v>26.673193000000001</v>
          </cell>
          <cell r="D14">
            <v>3.5000000000000003E-2</v>
          </cell>
          <cell r="E14">
            <v>36.096905</v>
          </cell>
          <cell r="F14">
            <v>0.23863200000000001</v>
          </cell>
          <cell r="G14">
            <v>555.28375400000004</v>
          </cell>
          <cell r="H14">
            <v>298.23788100000002</v>
          </cell>
          <cell r="I14">
            <v>400002.51038400002</v>
          </cell>
          <cell r="J14">
            <v>45245.486360000003</v>
          </cell>
          <cell r="K14">
            <v>400002.51038400002</v>
          </cell>
          <cell r="L14">
            <v>36.096905</v>
          </cell>
          <cell r="M14">
            <v>711.53356299999996</v>
          </cell>
          <cell r="N14">
            <v>36.927864</v>
          </cell>
          <cell r="O14">
            <v>36.347133999999997</v>
          </cell>
          <cell r="P14">
            <v>45245.486360000003</v>
          </cell>
          <cell r="Q14">
            <v>44533.952795999998</v>
          </cell>
          <cell r="R14">
            <v>132.508274</v>
          </cell>
          <cell r="S14">
            <v>134.62540200000001</v>
          </cell>
          <cell r="T14">
            <v>36.096905</v>
          </cell>
          <cell r="U14">
            <v>36.673636999999999</v>
          </cell>
          <cell r="V14">
            <v>0</v>
          </cell>
          <cell r="W14">
            <v>0.57673200000000002</v>
          </cell>
          <cell r="X14">
            <v>400002.51038400002</v>
          </cell>
          <cell r="Y14">
            <v>400002.51038400002</v>
          </cell>
          <cell r="Z14">
            <v>393712.043986</v>
          </cell>
        </row>
        <row r="15">
          <cell r="C15">
            <v>26.673193000000001</v>
          </cell>
          <cell r="D15">
            <v>3.5000000000000003E-2</v>
          </cell>
          <cell r="E15">
            <v>36.096905</v>
          </cell>
          <cell r="F15">
            <v>0.23863200000000001</v>
          </cell>
          <cell r="G15">
            <v>555.28375400000004</v>
          </cell>
          <cell r="H15">
            <v>298.23788100000002</v>
          </cell>
          <cell r="I15">
            <v>400002.51038400002</v>
          </cell>
          <cell r="J15">
            <v>45245.486360000003</v>
          </cell>
          <cell r="K15">
            <v>400002.51038400002</v>
          </cell>
          <cell r="L15">
            <v>36.096905</v>
          </cell>
          <cell r="M15">
            <v>714.89601100000004</v>
          </cell>
          <cell r="N15">
            <v>36.92512</v>
          </cell>
          <cell r="O15">
            <v>36.344389999999997</v>
          </cell>
          <cell r="P15">
            <v>45242.123912000003</v>
          </cell>
          <cell r="Q15">
            <v>44530.590348999998</v>
          </cell>
          <cell r="R15">
            <v>132.51812200000001</v>
          </cell>
          <cell r="S15">
            <v>134.63556700000001</v>
          </cell>
          <cell r="T15">
            <v>36.099587999999997</v>
          </cell>
          <cell r="U15">
            <v>36.676406</v>
          </cell>
          <cell r="V15">
            <v>2.6830000000000001E-3</v>
          </cell>
          <cell r="W15">
            <v>0.57950100000000004</v>
          </cell>
          <cell r="X15">
            <v>400002.51038400002</v>
          </cell>
          <cell r="Y15">
            <v>399972.78393699997</v>
          </cell>
          <cell r="Z15">
            <v>393682.31753900001</v>
          </cell>
        </row>
        <row r="16">
          <cell r="C16">
            <v>30.817177000000001</v>
          </cell>
          <cell r="D16">
            <v>4.4499999999999998E-2</v>
          </cell>
          <cell r="E16">
            <v>36.325899</v>
          </cell>
          <cell r="F16">
            <v>0.24424699999999999</v>
          </cell>
          <cell r="G16">
            <v>545.93024400000002</v>
          </cell>
          <cell r="H16">
            <v>303.26535899999999</v>
          </cell>
          <cell r="I16">
            <v>400003.71109400003</v>
          </cell>
          <cell r="J16">
            <v>46176.528794999998</v>
          </cell>
          <cell r="K16">
            <v>400003.71109400003</v>
          </cell>
          <cell r="L16">
            <v>36.325899</v>
          </cell>
          <cell r="M16">
            <v>740.75002700000005</v>
          </cell>
          <cell r="N16">
            <v>36.695186</v>
          </cell>
          <cell r="O16">
            <v>36.106532999999999</v>
          </cell>
          <cell r="P16">
            <v>46176.528794999998</v>
          </cell>
          <cell r="Q16">
            <v>45435.778767999996</v>
          </cell>
          <cell r="R16">
            <v>133.34189000000001</v>
          </cell>
          <cell r="S16">
            <v>135.515794</v>
          </cell>
          <cell r="T16">
            <v>36.325899</v>
          </cell>
          <cell r="U16">
            <v>36.918128000000003</v>
          </cell>
          <cell r="V16">
            <v>0</v>
          </cell>
          <cell r="W16">
            <v>0.59223000000000003</v>
          </cell>
          <cell r="X16">
            <v>400003.71109400003</v>
          </cell>
          <cell r="Y16">
            <v>400003.71109400003</v>
          </cell>
          <cell r="Z16">
            <v>393586.97152100003</v>
          </cell>
        </row>
        <row r="17">
          <cell r="C17">
            <v>30.817177000000001</v>
          </cell>
          <cell r="D17">
            <v>4.4499999999999998E-2</v>
          </cell>
          <cell r="E17">
            <v>36.325899</v>
          </cell>
          <cell r="F17">
            <v>0.24424699999999999</v>
          </cell>
          <cell r="G17">
            <v>545.93024400000002</v>
          </cell>
          <cell r="H17">
            <v>303.26535899999999</v>
          </cell>
          <cell r="I17">
            <v>400003.71109400003</v>
          </cell>
          <cell r="J17">
            <v>46176.528794999998</v>
          </cell>
          <cell r="K17">
            <v>400003.71109400003</v>
          </cell>
          <cell r="L17">
            <v>36.325899</v>
          </cell>
          <cell r="M17">
            <v>744.47745099999997</v>
          </cell>
          <cell r="N17">
            <v>36.692224000000003</v>
          </cell>
          <cell r="O17">
            <v>36.103571000000002</v>
          </cell>
          <cell r="P17">
            <v>46172.801370000001</v>
          </cell>
          <cell r="Q17">
            <v>45432.051344</v>
          </cell>
          <cell r="R17">
            <v>133.352655</v>
          </cell>
          <cell r="S17">
            <v>135.52691200000001</v>
          </cell>
          <cell r="T17">
            <v>36.328831000000001</v>
          </cell>
          <cell r="U17">
            <v>36.921157000000001</v>
          </cell>
          <cell r="V17">
            <v>2.9329999999999998E-3</v>
          </cell>
          <cell r="W17">
            <v>0.59525799999999995</v>
          </cell>
          <cell r="X17">
            <v>400003.71109400003</v>
          </cell>
          <cell r="Y17">
            <v>399971.42231599998</v>
          </cell>
          <cell r="Z17">
            <v>393554.68274299998</v>
          </cell>
        </row>
        <row r="18">
          <cell r="C18">
            <v>35.228050000000003</v>
          </cell>
          <cell r="D18">
            <v>5.7000000000000002E-2</v>
          </cell>
          <cell r="E18">
            <v>36.591968999999999</v>
          </cell>
          <cell r="F18">
            <v>0.25024800000000003</v>
          </cell>
          <cell r="G18">
            <v>536.712762</v>
          </cell>
          <cell r="H18">
            <v>308.74794600000001</v>
          </cell>
          <cell r="I18">
            <v>400000.45151799999</v>
          </cell>
          <cell r="J18">
            <v>47173.34994</v>
          </cell>
          <cell r="K18">
            <v>400000.45151799999</v>
          </cell>
          <cell r="L18">
            <v>36.591968999999999</v>
          </cell>
          <cell r="M18">
            <v>768.34642599999995</v>
          </cell>
          <cell r="N18">
            <v>36.428068000000003</v>
          </cell>
          <cell r="O18">
            <v>35.834738000000002</v>
          </cell>
          <cell r="P18">
            <v>47173.34994</v>
          </cell>
          <cell r="Q18">
            <v>46405.003514000004</v>
          </cell>
          <cell r="R18">
            <v>134.311241</v>
          </cell>
          <cell r="S18">
            <v>136.535087</v>
          </cell>
          <cell r="T18">
            <v>36.591968999999999</v>
          </cell>
          <cell r="U18">
            <v>37.197837</v>
          </cell>
          <cell r="V18">
            <v>0</v>
          </cell>
          <cell r="W18">
            <v>0.60586799999999996</v>
          </cell>
          <cell r="X18">
            <v>400000.45151799999</v>
          </cell>
          <cell r="Y18">
            <v>400000.45151799999</v>
          </cell>
          <cell r="Z18">
            <v>393485.35522199998</v>
          </cell>
        </row>
        <row r="19">
          <cell r="C19">
            <v>35.228050000000003</v>
          </cell>
          <cell r="D19">
            <v>5.7000000000000002E-2</v>
          </cell>
          <cell r="E19">
            <v>36.591968999999999</v>
          </cell>
          <cell r="F19">
            <v>0.25024800000000003</v>
          </cell>
          <cell r="G19">
            <v>536.712762</v>
          </cell>
          <cell r="H19">
            <v>308.74794600000001</v>
          </cell>
          <cell r="I19">
            <v>400000.45151799999</v>
          </cell>
          <cell r="J19">
            <v>47173.34994</v>
          </cell>
          <cell r="K19">
            <v>400000.45151799999</v>
          </cell>
          <cell r="L19">
            <v>36.591968999999999</v>
          </cell>
          <cell r="M19">
            <v>772.39348600000005</v>
          </cell>
          <cell r="N19">
            <v>36.424942999999999</v>
          </cell>
          <cell r="O19">
            <v>35.831612999999997</v>
          </cell>
          <cell r="P19">
            <v>47169.302880000003</v>
          </cell>
          <cell r="Q19">
            <v>46400.956453999999</v>
          </cell>
          <cell r="R19">
            <v>134.322765</v>
          </cell>
          <cell r="S19">
            <v>136.54699500000001</v>
          </cell>
          <cell r="T19">
            <v>36.595109000000001</v>
          </cell>
          <cell r="U19">
            <v>37.201082</v>
          </cell>
          <cell r="V19">
            <v>3.14E-3</v>
          </cell>
          <cell r="W19">
            <v>0.60911199999999999</v>
          </cell>
          <cell r="X19">
            <v>400000.45151799999</v>
          </cell>
          <cell r="Y19">
            <v>399966.13498500001</v>
          </cell>
          <cell r="Z19">
            <v>393451.03868900001</v>
          </cell>
        </row>
        <row r="20">
          <cell r="C20">
            <v>28.077817</v>
          </cell>
          <cell r="D20">
            <v>3.7999999999999999E-2</v>
          </cell>
          <cell r="E20">
            <v>36.196192000000003</v>
          </cell>
          <cell r="F20">
            <v>0.23924400000000001</v>
          </cell>
          <cell r="G20">
            <v>555.38304200000005</v>
          </cell>
          <cell r="H20">
            <v>299.68091099999998</v>
          </cell>
          <cell r="I20">
            <v>400002.05747200001</v>
          </cell>
          <cell r="J20">
            <v>45504.828942</v>
          </cell>
          <cell r="K20">
            <v>400002.05747200001</v>
          </cell>
          <cell r="L20">
            <v>36.196192000000003</v>
          </cell>
          <cell r="M20">
            <v>0</v>
          </cell>
          <cell r="N20">
            <v>36.826528000000003</v>
          </cell>
          <cell r="O20">
            <v>36.089996999999997</v>
          </cell>
          <cell r="P20">
            <v>45504.828942</v>
          </cell>
          <cell r="Q20">
            <v>44594.732363000003</v>
          </cell>
          <cell r="R20">
            <v>132.872049</v>
          </cell>
          <cell r="S20">
            <v>135.58372399999999</v>
          </cell>
          <cell r="T20">
            <v>36.196192000000003</v>
          </cell>
          <cell r="U20">
            <v>36.934890000000003</v>
          </cell>
          <cell r="V20">
            <v>0</v>
          </cell>
          <cell r="W20">
            <v>0.73869799999999997</v>
          </cell>
          <cell r="X20">
            <v>400002.05747200001</v>
          </cell>
          <cell r="Y20">
            <v>400002.05747200001</v>
          </cell>
          <cell r="Z20">
            <v>392002.01632300002</v>
          </cell>
        </row>
        <row r="21">
          <cell r="C21">
            <v>31.013164</v>
          </cell>
          <cell r="D21">
            <v>4.4999999999999998E-2</v>
          </cell>
          <cell r="E21">
            <v>36.196192000000003</v>
          </cell>
          <cell r="F21">
            <v>0.23924400000000001</v>
          </cell>
          <cell r="G21">
            <v>555.38304200000005</v>
          </cell>
          <cell r="H21">
            <v>300.81218899999999</v>
          </cell>
          <cell r="I21">
            <v>396783.66351500002</v>
          </cell>
          <cell r="J21">
            <v>45792.116162999999</v>
          </cell>
          <cell r="K21">
            <v>400002.05747200001</v>
          </cell>
          <cell r="L21">
            <v>36.196192000000003</v>
          </cell>
          <cell r="M21">
            <v>0</v>
          </cell>
          <cell r="N21">
            <v>36.530223999999997</v>
          </cell>
          <cell r="O21">
            <v>35.799619</v>
          </cell>
          <cell r="P21">
            <v>45792.116162999999</v>
          </cell>
          <cell r="Q21">
            <v>44876.273840000002</v>
          </cell>
          <cell r="R21">
            <v>133.94980200000001</v>
          </cell>
          <cell r="S21">
            <v>136.683471</v>
          </cell>
          <cell r="T21">
            <v>36.489787</v>
          </cell>
          <cell r="U21">
            <v>37.234476999999998</v>
          </cell>
          <cell r="V21">
            <v>0.29359499999999999</v>
          </cell>
          <cell r="W21">
            <v>1.038284</v>
          </cell>
          <cell r="X21">
            <v>396783.66351500002</v>
          </cell>
          <cell r="Y21">
            <v>396783.66351500002</v>
          </cell>
          <cell r="Z21">
            <v>388847.99024399999</v>
          </cell>
        </row>
        <row r="22">
          <cell r="C22">
            <v>33.052711000000002</v>
          </cell>
          <cell r="D22">
            <v>5.0500000000000003E-2</v>
          </cell>
          <cell r="E22">
            <v>36.503100000000003</v>
          </cell>
          <cell r="F22">
            <v>0.24535699999999999</v>
          </cell>
          <cell r="G22">
            <v>546.10744499999998</v>
          </cell>
          <cell r="H22">
            <v>305.76754599999998</v>
          </cell>
          <cell r="I22">
            <v>400001.47745499999</v>
          </cell>
          <cell r="J22">
            <v>46622.531884000004</v>
          </cell>
          <cell r="K22">
            <v>400001.47745499999</v>
          </cell>
          <cell r="L22">
            <v>36.503100000000003</v>
          </cell>
          <cell r="M22">
            <v>0</v>
          </cell>
          <cell r="N22">
            <v>36.516848000000003</v>
          </cell>
          <cell r="O22">
            <v>35.786510999999997</v>
          </cell>
          <cell r="P22">
            <v>46622.531884000004</v>
          </cell>
          <cell r="Q22">
            <v>45690.081247000002</v>
          </cell>
          <cell r="R22">
            <v>133.99112299999999</v>
          </cell>
          <cell r="S22">
            <v>136.72563600000001</v>
          </cell>
          <cell r="T22">
            <v>36.503100000000003</v>
          </cell>
          <cell r="U22">
            <v>37.248061</v>
          </cell>
          <cell r="V22">
            <v>0</v>
          </cell>
          <cell r="W22">
            <v>0.74496099999999998</v>
          </cell>
          <cell r="X22">
            <v>400001.47745499999</v>
          </cell>
          <cell r="Y22">
            <v>400001.47745499999</v>
          </cell>
          <cell r="Z22">
            <v>392001.44790600002</v>
          </cell>
        </row>
        <row r="23">
          <cell r="C23">
            <v>36.007736000000001</v>
          </cell>
          <cell r="D23">
            <v>5.9499999999999997E-2</v>
          </cell>
          <cell r="E23">
            <v>36.503100000000003</v>
          </cell>
          <cell r="F23">
            <v>0.24535699999999999</v>
          </cell>
          <cell r="G23">
            <v>546.10744499999998</v>
          </cell>
          <cell r="H23">
            <v>306.93703199999999</v>
          </cell>
          <cell r="I23">
            <v>396729.203439</v>
          </cell>
          <cell r="J23">
            <v>46905.995836000002</v>
          </cell>
          <cell r="K23">
            <v>400001.47745499999</v>
          </cell>
          <cell r="L23">
            <v>36.503100000000003</v>
          </cell>
          <cell r="M23">
            <v>0</v>
          </cell>
          <cell r="N23">
            <v>36.218116999999999</v>
          </cell>
          <cell r="O23">
            <v>35.493754000000003</v>
          </cell>
          <cell r="P23">
            <v>46905.995836000002</v>
          </cell>
          <cell r="Q23">
            <v>45967.875918999998</v>
          </cell>
          <cell r="R23">
            <v>135.09629899999999</v>
          </cell>
          <cell r="S23">
            <v>137.85336599999999</v>
          </cell>
          <cell r="T23">
            <v>36.804181999999997</v>
          </cell>
          <cell r="U23">
            <v>37.555287999999997</v>
          </cell>
          <cell r="V23">
            <v>0.30108200000000002</v>
          </cell>
          <cell r="W23">
            <v>1.0521879999999999</v>
          </cell>
          <cell r="X23">
            <v>396729.203439</v>
          </cell>
          <cell r="Y23">
            <v>396729.203439</v>
          </cell>
          <cell r="Z23">
            <v>388794.61936999997</v>
          </cell>
        </row>
        <row r="24">
          <cell r="C24">
            <v>38.049079999999996</v>
          </cell>
          <cell r="D24">
            <v>6.6500000000000004E-2</v>
          </cell>
          <cell r="E24">
            <v>36.828099999999999</v>
          </cell>
          <cell r="F24">
            <v>0.251749</v>
          </cell>
          <cell r="G24">
            <v>536.948893</v>
          </cell>
          <cell r="H24">
            <v>312.06205499999999</v>
          </cell>
          <cell r="I24">
            <v>400001.98031900002</v>
          </cell>
          <cell r="J24">
            <v>47758.645572000001</v>
          </cell>
          <cell r="K24">
            <v>400001.98031900002</v>
          </cell>
          <cell r="L24">
            <v>36.828099999999999</v>
          </cell>
          <cell r="M24">
            <v>0</v>
          </cell>
          <cell r="N24">
            <v>36.19464</v>
          </cell>
          <cell r="O24">
            <v>35.470748</v>
          </cell>
          <cell r="P24">
            <v>47758.645572000001</v>
          </cell>
          <cell r="Q24">
            <v>46803.472661</v>
          </cell>
          <cell r="R24">
            <v>135.176368</v>
          </cell>
          <cell r="S24">
            <v>137.93507</v>
          </cell>
          <cell r="T24">
            <v>36.828099999999999</v>
          </cell>
          <cell r="U24">
            <v>37.579694000000003</v>
          </cell>
          <cell r="V24">
            <v>0</v>
          </cell>
          <cell r="W24">
            <v>0.75159399999999998</v>
          </cell>
          <cell r="X24">
            <v>400001.98031900002</v>
          </cell>
          <cell r="Y24">
            <v>400001.98031900002</v>
          </cell>
          <cell r="Z24">
            <v>392001.94071200001</v>
          </cell>
        </row>
        <row r="25">
          <cell r="C25">
            <v>41.151581</v>
          </cell>
          <cell r="D25">
            <v>7.85E-2</v>
          </cell>
          <cell r="E25">
            <v>36.828099999999999</v>
          </cell>
          <cell r="F25">
            <v>0.251749</v>
          </cell>
          <cell r="G25">
            <v>536.948893</v>
          </cell>
          <cell r="H25">
            <v>313.32377400000001</v>
          </cell>
          <cell r="I25">
            <v>396531.33668499999</v>
          </cell>
          <cell r="J25">
            <v>48051.946951999998</v>
          </cell>
          <cell r="K25">
            <v>400001.98031900002</v>
          </cell>
          <cell r="L25">
            <v>36.828099999999999</v>
          </cell>
          <cell r="M25">
            <v>0</v>
          </cell>
          <cell r="N25">
            <v>35.880595</v>
          </cell>
          <cell r="O25">
            <v>35.162982999999997</v>
          </cell>
          <cell r="P25">
            <v>48051.946951999998</v>
          </cell>
          <cell r="Q25">
            <v>47090.908013</v>
          </cell>
          <cell r="R25">
            <v>136.35950099999999</v>
          </cell>
          <cell r="S25">
            <v>139.142348</v>
          </cell>
          <cell r="T25">
            <v>37.150438000000001</v>
          </cell>
          <cell r="U25">
            <v>37.908610000000003</v>
          </cell>
          <cell r="V25">
            <v>0.32233800000000001</v>
          </cell>
          <cell r="W25">
            <v>1.0805100000000001</v>
          </cell>
          <cell r="X25">
            <v>396531.33668499999</v>
          </cell>
          <cell r="Y25">
            <v>396531.33668499999</v>
          </cell>
          <cell r="Z25">
            <v>388600.709952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err"/>
      <sheetName val="err"/>
      <sheetName val="all"/>
    </sheetNames>
    <sheetDataSet>
      <sheetData sheetId="0">
        <row r="2">
          <cell r="C2">
            <v>28.524591000000001</v>
          </cell>
          <cell r="D2">
            <v>3.9E-2</v>
          </cell>
          <cell r="E2">
            <v>14.823083</v>
          </cell>
          <cell r="F2">
            <v>6.3764000000000001E-2</v>
          </cell>
          <cell r="G2">
            <v>642.65075300000001</v>
          </cell>
          <cell r="H2">
            <v>73.030742000000004</v>
          </cell>
          <cell r="I2">
            <v>400003.99536300002</v>
          </cell>
          <cell r="J2">
            <v>7549.0157159999999</v>
          </cell>
          <cell r="K2">
            <v>400003.99367</v>
          </cell>
          <cell r="L2">
            <v>14.823083</v>
          </cell>
          <cell r="M2">
            <v>137.804936</v>
          </cell>
          <cell r="N2">
            <v>53.954231999999998</v>
          </cell>
          <cell r="O2">
            <v>53.649977999999997</v>
          </cell>
          <cell r="P2">
            <v>7549.0157149999995</v>
          </cell>
          <cell r="Q2">
            <v>7411.2107800000003</v>
          </cell>
          <cell r="R2">
            <v>40.978202000000003</v>
          </cell>
          <cell r="S2">
            <v>41.210594</v>
          </cell>
          <cell r="T2">
            <v>14.823083</v>
          </cell>
          <cell r="U2">
            <v>14.907145999999999</v>
          </cell>
          <cell r="V2">
            <v>0</v>
          </cell>
          <cell r="W2">
            <v>8.4062999999999999E-2</v>
          </cell>
          <cell r="X2">
            <v>123566.44058900001</v>
          </cell>
          <cell r="Y2">
            <v>400003.99534800003</v>
          </cell>
          <cell r="Z2">
            <v>397748.328393</v>
          </cell>
        </row>
        <row r="3">
          <cell r="C3">
            <v>28.524591000000001</v>
          </cell>
          <cell r="D3">
            <v>3.9E-2</v>
          </cell>
          <cell r="E3">
            <v>14.823083</v>
          </cell>
          <cell r="F3">
            <v>6.3764000000000001E-2</v>
          </cell>
          <cell r="G3">
            <v>642.65075300000001</v>
          </cell>
          <cell r="H3">
            <v>73.030742000000004</v>
          </cell>
          <cell r="I3">
            <v>400003.99536300002</v>
          </cell>
          <cell r="J3">
            <v>7549.0157159999999</v>
          </cell>
          <cell r="K3">
            <v>400003.99367</v>
          </cell>
          <cell r="L3">
            <v>14.823083</v>
          </cell>
          <cell r="M3">
            <v>138.80933400000001</v>
          </cell>
          <cell r="N3">
            <v>53.952013999999998</v>
          </cell>
          <cell r="O3">
            <v>53.647759999999998</v>
          </cell>
          <cell r="P3">
            <v>7548.0113170000004</v>
          </cell>
          <cell r="Q3">
            <v>7410.2063820000003</v>
          </cell>
          <cell r="R3">
            <v>40.979886999999998</v>
          </cell>
          <cell r="S3">
            <v>41.212297</v>
          </cell>
          <cell r="T3">
            <v>14.823691999999999</v>
          </cell>
          <cell r="U3">
            <v>14.907762</v>
          </cell>
          <cell r="V3">
            <v>6.0899999999999995E-4</v>
          </cell>
          <cell r="W3">
            <v>8.4679000000000004E-2</v>
          </cell>
          <cell r="X3">
            <v>123566.44058900001</v>
          </cell>
          <cell r="Y3">
            <v>399987.55480699998</v>
          </cell>
          <cell r="Z3">
            <v>397731.88785200001</v>
          </cell>
        </row>
        <row r="4">
          <cell r="C4">
            <v>32.875489999999999</v>
          </cell>
          <cell r="D4">
            <v>0.05</v>
          </cell>
          <cell r="E4">
            <v>14.818918</v>
          </cell>
          <cell r="F4">
            <v>6.4557000000000003E-2</v>
          </cell>
          <cell r="G4">
            <v>634.52048300000001</v>
          </cell>
          <cell r="H4">
            <v>75.502347999999998</v>
          </cell>
          <cell r="I4">
            <v>400004.64748799999</v>
          </cell>
          <cell r="J4">
            <v>7840.0889669999997</v>
          </cell>
          <cell r="K4">
            <v>400004.637368</v>
          </cell>
          <cell r="L4">
            <v>14.818918</v>
          </cell>
          <cell r="M4">
            <v>147.05190999999999</v>
          </cell>
          <cell r="N4">
            <v>53.969482999999997</v>
          </cell>
          <cell r="O4">
            <v>53.652402000000002</v>
          </cell>
          <cell r="P4">
            <v>7840.0889619999998</v>
          </cell>
          <cell r="Q4">
            <v>7693.0370569999995</v>
          </cell>
          <cell r="R4">
            <v>40.962713999999998</v>
          </cell>
          <cell r="S4">
            <v>41.204799999999999</v>
          </cell>
          <cell r="T4">
            <v>14.818918</v>
          </cell>
          <cell r="U4">
            <v>14.906496000000001</v>
          </cell>
          <cell r="V4">
            <v>0</v>
          </cell>
          <cell r="W4">
            <v>8.7578000000000003E-2</v>
          </cell>
          <cell r="X4">
            <v>125295.93620700001</v>
          </cell>
          <cell r="Y4">
            <v>400004.64740199997</v>
          </cell>
          <cell r="Z4">
            <v>397654.54574099998</v>
          </cell>
        </row>
        <row r="5">
          <cell r="C5">
            <v>32.875489999999999</v>
          </cell>
          <cell r="D5">
            <v>0.05</v>
          </cell>
          <cell r="E5">
            <v>14.818918</v>
          </cell>
          <cell r="F5">
            <v>6.4557000000000003E-2</v>
          </cell>
          <cell r="G5">
            <v>634.52048300000001</v>
          </cell>
          <cell r="H5">
            <v>75.502347999999998</v>
          </cell>
          <cell r="I5">
            <v>400004.647513</v>
          </cell>
          <cell r="J5">
            <v>7840.088968</v>
          </cell>
          <cell r="K5">
            <v>400004.637368</v>
          </cell>
          <cell r="L5">
            <v>14.818918</v>
          </cell>
          <cell r="M5">
            <v>148.197135</v>
          </cell>
          <cell r="N5">
            <v>53.967013999999999</v>
          </cell>
          <cell r="O5">
            <v>53.649932999999997</v>
          </cell>
          <cell r="P5">
            <v>7838.9437379999999</v>
          </cell>
          <cell r="Q5">
            <v>7691.8918329999997</v>
          </cell>
          <cell r="R5">
            <v>40.964587999999999</v>
          </cell>
          <cell r="S5">
            <v>41.206696000000001</v>
          </cell>
          <cell r="T5">
            <v>14.819596000000001</v>
          </cell>
          <cell r="U5">
            <v>14.907183</v>
          </cell>
          <cell r="V5">
            <v>6.78E-4</v>
          </cell>
          <cell r="W5">
            <v>8.8263999999999995E-2</v>
          </cell>
          <cell r="X5">
            <v>125295.936218</v>
          </cell>
          <cell r="Y5">
            <v>399986.34508</v>
          </cell>
          <cell r="Z5">
            <v>397636.24341900001</v>
          </cell>
        </row>
        <row r="6">
          <cell r="C6">
            <v>37.284782999999997</v>
          </cell>
          <cell r="D6">
            <v>6.3799999999999996E-2</v>
          </cell>
          <cell r="E6">
            <v>14.849796</v>
          </cell>
          <cell r="F6">
            <v>6.5184000000000006E-2</v>
          </cell>
          <cell r="G6">
            <v>629.67893400000003</v>
          </cell>
          <cell r="H6">
            <v>77.737531000000004</v>
          </cell>
          <cell r="I6">
            <v>400004.397864</v>
          </cell>
          <cell r="J6">
            <v>8106.4743070000004</v>
          </cell>
          <cell r="K6">
            <v>400004.397864</v>
          </cell>
          <cell r="L6">
            <v>14.849796</v>
          </cell>
          <cell r="M6">
            <v>155.328384</v>
          </cell>
          <cell r="N6">
            <v>53.857227999999999</v>
          </cell>
          <cell r="O6">
            <v>53.530966999999997</v>
          </cell>
          <cell r="P6">
            <v>8106.4743070000004</v>
          </cell>
          <cell r="Q6">
            <v>7951.145923</v>
          </cell>
          <cell r="R6">
            <v>41.044986000000002</v>
          </cell>
          <cell r="S6">
            <v>41.295147</v>
          </cell>
          <cell r="T6">
            <v>14.849796</v>
          </cell>
          <cell r="U6">
            <v>14.940303</v>
          </cell>
          <cell r="V6">
            <v>0</v>
          </cell>
          <cell r="W6">
            <v>9.0507000000000004E-2</v>
          </cell>
          <cell r="X6">
            <v>126464.01455599999</v>
          </cell>
          <cell r="Y6">
            <v>400004.397864</v>
          </cell>
          <cell r="Z6">
            <v>397581.21728899999</v>
          </cell>
        </row>
        <row r="7">
          <cell r="C7">
            <v>37.284782999999997</v>
          </cell>
          <cell r="D7">
            <v>6.3799999999999996E-2</v>
          </cell>
          <cell r="E7">
            <v>14.849796</v>
          </cell>
          <cell r="F7">
            <v>6.5184000000000006E-2</v>
          </cell>
          <cell r="G7">
            <v>629.67893400000003</v>
          </cell>
          <cell r="H7">
            <v>77.737531000000004</v>
          </cell>
          <cell r="I7">
            <v>400004.397864</v>
          </cell>
          <cell r="J7">
            <v>8106.4743070000004</v>
          </cell>
          <cell r="K7">
            <v>400004.397864</v>
          </cell>
          <cell r="L7">
            <v>14.849796</v>
          </cell>
          <cell r="M7">
            <v>156.600191</v>
          </cell>
          <cell r="N7">
            <v>53.854557</v>
          </cell>
          <cell r="O7">
            <v>53.528295999999997</v>
          </cell>
          <cell r="P7">
            <v>8105.2025000000003</v>
          </cell>
          <cell r="Q7">
            <v>7949.874116</v>
          </cell>
          <cell r="R7">
            <v>41.047021999999998</v>
          </cell>
          <cell r="S7">
            <v>41.297207999999998</v>
          </cell>
          <cell r="T7">
            <v>14.850533</v>
          </cell>
          <cell r="U7">
            <v>14.941049</v>
          </cell>
          <cell r="V7">
            <v>7.3700000000000002E-4</v>
          </cell>
          <cell r="W7">
            <v>9.1252E-2</v>
          </cell>
          <cell r="X7">
            <v>126464.01455599999</v>
          </cell>
          <cell r="Y7">
            <v>399984.557202</v>
          </cell>
          <cell r="Z7">
            <v>397561.37662699999</v>
          </cell>
        </row>
        <row r="8">
          <cell r="C8">
            <v>30.054532999999999</v>
          </cell>
          <cell r="D8">
            <v>4.2599999999999999E-2</v>
          </cell>
          <cell r="E8">
            <v>14.836273</v>
          </cell>
          <cell r="F8">
            <v>6.3816999999999999E-2</v>
          </cell>
          <cell r="G8">
            <v>642.68954499999995</v>
          </cell>
          <cell r="H8">
            <v>73.340659000000002</v>
          </cell>
          <cell r="I8">
            <v>400001.08074599999</v>
          </cell>
          <cell r="J8">
            <v>7591.9183650000004</v>
          </cell>
          <cell r="K8">
            <v>400001.08074599999</v>
          </cell>
          <cell r="L8">
            <v>14.836273</v>
          </cell>
          <cell r="M8">
            <v>7591.9183650000004</v>
          </cell>
          <cell r="N8">
            <v>53.905873</v>
          </cell>
          <cell r="O8">
            <v>53.573554999999999</v>
          </cell>
          <cell r="P8">
            <v>7591.9183650000004</v>
          </cell>
          <cell r="Q8">
            <v>7440.0799980000002</v>
          </cell>
          <cell r="R8">
            <v>41.014398</v>
          </cell>
          <cell r="S8">
            <v>41.268811999999997</v>
          </cell>
          <cell r="T8">
            <v>14.836273</v>
          </cell>
          <cell r="U8">
            <v>14.928303</v>
          </cell>
          <cell r="V8">
            <v>0</v>
          </cell>
          <cell r="W8">
            <v>9.2030000000000001E-2</v>
          </cell>
          <cell r="X8">
            <v>123296.32374599999</v>
          </cell>
          <cell r="Y8">
            <v>400001.08074599999</v>
          </cell>
          <cell r="Z8">
            <v>397535.15427100001</v>
          </cell>
        </row>
        <row r="9">
          <cell r="C9">
            <v>35.100561999999996</v>
          </cell>
          <cell r="D9">
            <v>5.6599999999999998E-2</v>
          </cell>
          <cell r="E9">
            <v>14.836273</v>
          </cell>
          <cell r="F9">
            <v>6.3816999999999999E-2</v>
          </cell>
          <cell r="G9">
            <v>642.68954499999995</v>
          </cell>
          <cell r="H9">
            <v>73.896893000000006</v>
          </cell>
          <cell r="I9">
            <v>398161.01224800001</v>
          </cell>
          <cell r="J9">
            <v>7688.5896089999997</v>
          </cell>
          <cell r="K9">
            <v>400001.08074599999</v>
          </cell>
          <cell r="L9">
            <v>14.836273</v>
          </cell>
          <cell r="M9">
            <v>7591.9183650000004</v>
          </cell>
          <cell r="N9">
            <v>53.657898000000003</v>
          </cell>
          <cell r="O9">
            <v>53.330539000000002</v>
          </cell>
          <cell r="P9">
            <v>7688.5896089999997</v>
          </cell>
          <cell r="Q9">
            <v>7534.8178170000001</v>
          </cell>
          <cell r="R9">
            <v>41.203943000000002</v>
          </cell>
          <cell r="S9">
            <v>41.456865999999998</v>
          </cell>
          <cell r="T9">
            <v>14.904837000000001</v>
          </cell>
          <cell r="U9">
            <v>14.996328</v>
          </cell>
          <cell r="V9">
            <v>6.8565000000000001E-2</v>
          </cell>
          <cell r="W9">
            <v>0.160055</v>
          </cell>
          <cell r="X9">
            <v>121456.255248</v>
          </cell>
          <cell r="Y9">
            <v>398161.01224800001</v>
          </cell>
          <cell r="Z9">
            <v>395731.88714300003</v>
          </cell>
        </row>
        <row r="10">
          <cell r="C10">
            <v>35.068567999999999</v>
          </cell>
          <cell r="D10">
            <v>5.6500000000000002E-2</v>
          </cell>
          <cell r="E10">
            <v>14.840370999999999</v>
          </cell>
          <cell r="F10">
            <v>6.4632999999999996E-2</v>
          </cell>
          <cell r="G10">
            <v>634.68433500000003</v>
          </cell>
          <cell r="H10">
            <v>75.962642000000002</v>
          </cell>
          <cell r="I10">
            <v>400002.13893000002</v>
          </cell>
          <cell r="J10">
            <v>7903.3114450000003</v>
          </cell>
          <cell r="K10">
            <v>400002.13893000002</v>
          </cell>
          <cell r="L10">
            <v>14.840370999999999</v>
          </cell>
          <cell r="M10">
            <v>7903.3114450000003</v>
          </cell>
          <cell r="N10">
            <v>53.891129999999997</v>
          </cell>
          <cell r="O10">
            <v>53.554664000000002</v>
          </cell>
          <cell r="P10">
            <v>7903.3114450000003</v>
          </cell>
          <cell r="Q10">
            <v>7745.2452160000003</v>
          </cell>
          <cell r="R10">
            <v>41.021636000000001</v>
          </cell>
          <cell r="S10">
            <v>41.279361000000002</v>
          </cell>
          <cell r="T10">
            <v>14.840370999999999</v>
          </cell>
          <cell r="U10">
            <v>14.933608</v>
          </cell>
          <cell r="V10">
            <v>0</v>
          </cell>
          <cell r="W10">
            <v>9.3237E-2</v>
          </cell>
          <cell r="X10">
            <v>124869.51793</v>
          </cell>
          <cell r="Y10">
            <v>400002.13893000002</v>
          </cell>
          <cell r="Z10">
            <v>397504.74857200001</v>
          </cell>
        </row>
        <row r="11">
          <cell r="C11">
            <v>40.165919000000002</v>
          </cell>
          <cell r="D11">
            <v>7.4499999999999997E-2</v>
          </cell>
          <cell r="E11">
            <v>14.840370999999999</v>
          </cell>
          <cell r="F11">
            <v>6.4632999999999996E-2</v>
          </cell>
          <cell r="G11">
            <v>634.68433500000003</v>
          </cell>
          <cell r="H11">
            <v>76.548983000000007</v>
          </cell>
          <cell r="I11">
            <v>398084.92095200001</v>
          </cell>
          <cell r="J11">
            <v>8001.8286090000001</v>
          </cell>
          <cell r="K11">
            <v>400002.13893000002</v>
          </cell>
          <cell r="L11">
            <v>14.840370999999999</v>
          </cell>
          <cell r="M11">
            <v>7903.3114450000003</v>
          </cell>
          <cell r="N11">
            <v>53.632829000000001</v>
          </cell>
          <cell r="O11">
            <v>53.301529000000002</v>
          </cell>
          <cell r="P11">
            <v>8001.8286090000001</v>
          </cell>
          <cell r="Q11">
            <v>7841.7920370000002</v>
          </cell>
          <cell r="R11">
            <v>41.219200999999998</v>
          </cell>
          <cell r="S11">
            <v>41.475402000000003</v>
          </cell>
          <cell r="T11">
            <v>14.911842999999999</v>
          </cell>
          <cell r="U11">
            <v>15.004529</v>
          </cell>
          <cell r="V11">
            <v>7.1472999999999995E-2</v>
          </cell>
          <cell r="W11">
            <v>0.164159</v>
          </cell>
          <cell r="X11">
            <v>122952.299952</v>
          </cell>
          <cell r="Y11">
            <v>398084.92095200001</v>
          </cell>
          <cell r="Z11">
            <v>395625.87495299999</v>
          </cell>
        </row>
        <row r="12">
          <cell r="C12">
            <v>40.039518000000001</v>
          </cell>
          <cell r="D12">
            <v>7.3999999999999996E-2</v>
          </cell>
          <cell r="E12">
            <v>14.879776</v>
          </cell>
          <cell r="F12">
            <v>6.5277000000000002E-2</v>
          </cell>
          <cell r="G12">
            <v>630.04442300000005</v>
          </cell>
          <cell r="H12">
            <v>78.328716</v>
          </cell>
          <cell r="I12">
            <v>400001.465753</v>
          </cell>
          <cell r="J12">
            <v>8187.0441730000002</v>
          </cell>
          <cell r="K12">
            <v>400001.465753</v>
          </cell>
          <cell r="L12">
            <v>14.879776</v>
          </cell>
          <cell r="M12">
            <v>8187.0441730000002</v>
          </cell>
          <cell r="N12">
            <v>53.748323999999997</v>
          </cell>
          <cell r="O12">
            <v>53.410024</v>
          </cell>
          <cell r="P12">
            <v>8187.0441730000002</v>
          </cell>
          <cell r="Q12">
            <v>8023.3032890000004</v>
          </cell>
          <cell r="R12">
            <v>41.127395999999997</v>
          </cell>
          <cell r="S12">
            <v>41.387898</v>
          </cell>
          <cell r="T12">
            <v>14.879776</v>
          </cell>
          <cell r="U12">
            <v>14.974024</v>
          </cell>
          <cell r="V12">
            <v>0</v>
          </cell>
          <cell r="W12">
            <v>9.4248999999999999E-2</v>
          </cell>
          <cell r="X12">
            <v>125883.712753</v>
          </cell>
          <cell r="Y12">
            <v>400001.465753</v>
          </cell>
          <cell r="Z12">
            <v>397483.79149799998</v>
          </cell>
        </row>
        <row r="13">
          <cell r="C13">
            <v>45.011369999999999</v>
          </cell>
          <cell r="D13">
            <v>9.6000000000000002E-2</v>
          </cell>
          <cell r="E13">
            <v>14.879776</v>
          </cell>
          <cell r="F13">
            <v>6.5277000000000002E-2</v>
          </cell>
          <cell r="G13">
            <v>630.04442300000005</v>
          </cell>
          <cell r="H13">
            <v>78.922777999999994</v>
          </cell>
          <cell r="I13">
            <v>398080.96694800002</v>
          </cell>
          <cell r="J13">
            <v>8284.1502220000002</v>
          </cell>
          <cell r="K13">
            <v>400001.465753</v>
          </cell>
          <cell r="L13">
            <v>14.879776</v>
          </cell>
          <cell r="M13">
            <v>8187.0441730000002</v>
          </cell>
          <cell r="N13">
            <v>53.490265999999998</v>
          </cell>
          <cell r="O13">
            <v>53.157127000000003</v>
          </cell>
          <cell r="P13">
            <v>8284.1502220000002</v>
          </cell>
          <cell r="Q13">
            <v>8118.4672179999998</v>
          </cell>
          <cell r="R13">
            <v>41.325811000000002</v>
          </cell>
          <cell r="S13">
            <v>41.584803000000001</v>
          </cell>
          <cell r="T13">
            <v>14.951561</v>
          </cell>
          <cell r="U13">
            <v>15.045264</v>
          </cell>
          <cell r="V13">
            <v>7.1786000000000003E-2</v>
          </cell>
          <cell r="W13">
            <v>0.165488</v>
          </cell>
          <cell r="X13">
            <v>123963.213948</v>
          </cell>
          <cell r="Y13">
            <v>398080.96694800002</v>
          </cell>
          <cell r="Z13">
            <v>395601.70266900002</v>
          </cell>
        </row>
        <row r="14">
          <cell r="C14">
            <v>28.524591000000001</v>
          </cell>
          <cell r="D14">
            <v>3.9E-2</v>
          </cell>
          <cell r="E14">
            <v>36.253123000000002</v>
          </cell>
          <cell r="F14">
            <v>0.239595</v>
          </cell>
          <cell r="G14">
            <v>555.43997200000001</v>
          </cell>
          <cell r="H14">
            <v>300.37245999999999</v>
          </cell>
          <cell r="I14">
            <v>400006.60116600001</v>
          </cell>
          <cell r="J14">
            <v>27377.618789</v>
          </cell>
          <cell r="K14">
            <v>400006.60116600001</v>
          </cell>
          <cell r="L14">
            <v>36.253123000000002</v>
          </cell>
          <cell r="M14">
            <v>499.77219700000001</v>
          </cell>
          <cell r="N14">
            <v>36.769114000000002</v>
          </cell>
          <cell r="O14">
            <v>36.097903000000002</v>
          </cell>
          <cell r="P14">
            <v>27377.618789</v>
          </cell>
          <cell r="Q14">
            <v>26877.846592000002</v>
          </cell>
          <cell r="R14">
            <v>133.08062799999999</v>
          </cell>
          <cell r="S14">
            <v>135.55515700000001</v>
          </cell>
          <cell r="T14">
            <v>36.253123000000002</v>
          </cell>
          <cell r="U14">
            <v>36.927221000000003</v>
          </cell>
          <cell r="V14">
            <v>0</v>
          </cell>
          <cell r="W14">
            <v>0.67409799999999997</v>
          </cell>
          <cell r="X14">
            <v>400006.60116600001</v>
          </cell>
          <cell r="Y14">
            <v>400006.60116600001</v>
          </cell>
          <cell r="Z14">
            <v>392704.57175100001</v>
          </cell>
        </row>
        <row r="15">
          <cell r="C15">
            <v>28.524591000000001</v>
          </cell>
          <cell r="D15">
            <v>3.9E-2</v>
          </cell>
          <cell r="E15">
            <v>36.253123000000002</v>
          </cell>
          <cell r="F15">
            <v>0.239595</v>
          </cell>
          <cell r="G15">
            <v>555.43997200000001</v>
          </cell>
          <cell r="H15">
            <v>300.37245999999999</v>
          </cell>
          <cell r="I15">
            <v>400006.60116600001</v>
          </cell>
          <cell r="J15">
            <v>27377.618789</v>
          </cell>
          <cell r="K15">
            <v>400006.60116600001</v>
          </cell>
          <cell r="L15">
            <v>36.253123000000002</v>
          </cell>
          <cell r="M15">
            <v>503.414804</v>
          </cell>
          <cell r="N15">
            <v>36.764221999999997</v>
          </cell>
          <cell r="O15">
            <v>36.09301</v>
          </cell>
          <cell r="P15">
            <v>27373.976181999999</v>
          </cell>
          <cell r="Q15">
            <v>26874.203985</v>
          </cell>
          <cell r="R15">
            <v>133.09833699999999</v>
          </cell>
          <cell r="S15">
            <v>135.57353000000001</v>
          </cell>
          <cell r="T15">
            <v>36.257947000000001</v>
          </cell>
          <cell r="U15">
            <v>36.932226</v>
          </cell>
          <cell r="V15">
            <v>4.8240000000000002E-3</v>
          </cell>
          <cell r="W15">
            <v>0.67910300000000001</v>
          </cell>
          <cell r="X15">
            <v>400006.60116600001</v>
          </cell>
          <cell r="Y15">
            <v>399953.38006599998</v>
          </cell>
          <cell r="Z15">
            <v>392651.35065099999</v>
          </cell>
        </row>
        <row r="16">
          <cell r="C16">
            <v>32.875489999999999</v>
          </cell>
          <cell r="D16">
            <v>0.05</v>
          </cell>
          <cell r="E16">
            <v>36.503937999999998</v>
          </cell>
          <cell r="F16">
            <v>0.245362</v>
          </cell>
          <cell r="G16">
            <v>546.10828300000003</v>
          </cell>
          <cell r="H16">
            <v>305.70534199999997</v>
          </cell>
          <cell r="I16">
            <v>400005.47470800002</v>
          </cell>
          <cell r="J16">
            <v>27966.093796000001</v>
          </cell>
          <cell r="K16">
            <v>400005.47470800002</v>
          </cell>
          <cell r="L16">
            <v>36.503937999999998</v>
          </cell>
          <cell r="M16">
            <v>524.54604300000005</v>
          </cell>
          <cell r="N16">
            <v>36.516374999999996</v>
          </cell>
          <cell r="O16">
            <v>35.831456000000003</v>
          </cell>
          <cell r="P16">
            <v>27966.093796000001</v>
          </cell>
          <cell r="Q16">
            <v>27441.547752999999</v>
          </cell>
          <cell r="R16">
            <v>133.994191</v>
          </cell>
          <cell r="S16">
            <v>136.55549400000001</v>
          </cell>
          <cell r="T16">
            <v>36.503937999999998</v>
          </cell>
          <cell r="U16">
            <v>37.201712000000001</v>
          </cell>
          <cell r="V16">
            <v>0</v>
          </cell>
          <cell r="W16">
            <v>0.69777400000000001</v>
          </cell>
          <cell r="X16">
            <v>400005.47470800002</v>
          </cell>
          <cell r="Y16">
            <v>400005.47470800002</v>
          </cell>
          <cell r="Z16">
            <v>392502.77195099997</v>
          </cell>
        </row>
        <row r="17">
          <cell r="C17">
            <v>32.875489999999999</v>
          </cell>
          <cell r="D17">
            <v>0.05</v>
          </cell>
          <cell r="E17">
            <v>36.503937999999998</v>
          </cell>
          <cell r="F17">
            <v>0.245362</v>
          </cell>
          <cell r="G17">
            <v>546.10828300000003</v>
          </cell>
          <cell r="H17">
            <v>305.70534199999997</v>
          </cell>
          <cell r="I17">
            <v>400005.47470800002</v>
          </cell>
          <cell r="J17">
            <v>27966.093796000001</v>
          </cell>
          <cell r="K17">
            <v>400005.47470800002</v>
          </cell>
          <cell r="L17">
            <v>36.503937999999998</v>
          </cell>
          <cell r="M17">
            <v>528.63114399999995</v>
          </cell>
          <cell r="N17">
            <v>36.511040999999999</v>
          </cell>
          <cell r="O17">
            <v>35.826121000000001</v>
          </cell>
          <cell r="P17">
            <v>27962.008695</v>
          </cell>
          <cell r="Q17">
            <v>27437.462651999998</v>
          </cell>
          <cell r="R17">
            <v>134.013767</v>
          </cell>
          <cell r="S17">
            <v>136.57582500000001</v>
          </cell>
          <cell r="T17">
            <v>36.509270999999998</v>
          </cell>
          <cell r="U17">
            <v>37.207250999999999</v>
          </cell>
          <cell r="V17">
            <v>5.3330000000000001E-3</v>
          </cell>
          <cell r="W17">
            <v>0.70331299999999997</v>
          </cell>
          <cell r="X17">
            <v>400005.47470800002</v>
          </cell>
          <cell r="Y17">
            <v>399947.044567</v>
          </cell>
          <cell r="Z17">
            <v>392444.34181100002</v>
          </cell>
        </row>
        <row r="18">
          <cell r="C18">
            <v>37.284782999999997</v>
          </cell>
          <cell r="D18">
            <v>6.3799999999999996E-2</v>
          </cell>
          <cell r="E18">
            <v>36.773431000000002</v>
          </cell>
          <cell r="F18">
            <v>0.25140200000000001</v>
          </cell>
          <cell r="G18">
            <v>536.89422400000001</v>
          </cell>
          <cell r="H18">
            <v>311.24775699999998</v>
          </cell>
          <cell r="I18">
            <v>400001.47851599997</v>
          </cell>
          <cell r="J18">
            <v>28568.135292999999</v>
          </cell>
          <cell r="K18">
            <v>400001.47851599997</v>
          </cell>
          <cell r="L18">
            <v>36.773431000000002</v>
          </cell>
          <cell r="M18">
            <v>547.39770499999997</v>
          </cell>
          <cell r="N18">
            <v>36.248403000000003</v>
          </cell>
          <cell r="O18">
            <v>35.553843000000001</v>
          </cell>
          <cell r="P18">
            <v>28568.135292999999</v>
          </cell>
          <cell r="Q18">
            <v>28020.737588</v>
          </cell>
          <cell r="R18">
            <v>134.97607199999999</v>
          </cell>
          <cell r="S18">
            <v>137.61288999999999</v>
          </cell>
          <cell r="T18">
            <v>36.773431000000002</v>
          </cell>
          <cell r="U18">
            <v>37.491816999999998</v>
          </cell>
          <cell r="V18">
            <v>0</v>
          </cell>
          <cell r="W18">
            <v>0.71838599999999997</v>
          </cell>
          <cell r="X18">
            <v>400001.47851599997</v>
          </cell>
          <cell r="Y18">
            <v>400001.47851599997</v>
          </cell>
          <cell r="Z18">
            <v>392336.99888099998</v>
          </cell>
        </row>
        <row r="19">
          <cell r="C19">
            <v>37.284782999999997</v>
          </cell>
          <cell r="D19">
            <v>6.3799999999999996E-2</v>
          </cell>
          <cell r="E19">
            <v>36.773431000000002</v>
          </cell>
          <cell r="F19">
            <v>0.25140200000000001</v>
          </cell>
          <cell r="G19">
            <v>536.89422400000001</v>
          </cell>
          <cell r="H19">
            <v>311.24775699999998</v>
          </cell>
          <cell r="I19">
            <v>400001.47851599997</v>
          </cell>
          <cell r="J19">
            <v>28568.135292999999</v>
          </cell>
          <cell r="K19">
            <v>400001.47851599997</v>
          </cell>
          <cell r="L19">
            <v>36.773431000000002</v>
          </cell>
          <cell r="M19">
            <v>551.87971000000005</v>
          </cell>
          <cell r="N19">
            <v>36.242716000000001</v>
          </cell>
          <cell r="O19">
            <v>35.548155999999999</v>
          </cell>
          <cell r="P19">
            <v>28563.653288000001</v>
          </cell>
          <cell r="Q19">
            <v>28016.255582999998</v>
          </cell>
          <cell r="R19">
            <v>134.99725100000001</v>
          </cell>
          <cell r="S19">
            <v>137.634905</v>
          </cell>
          <cell r="T19">
            <v>36.779201999999998</v>
          </cell>
          <cell r="U19">
            <v>37.497815000000003</v>
          </cell>
          <cell r="V19">
            <v>5.77E-3</v>
          </cell>
          <cell r="W19">
            <v>0.724383</v>
          </cell>
          <cell r="X19">
            <v>400001.47851599997</v>
          </cell>
          <cell r="Y19">
            <v>399938.72297599999</v>
          </cell>
          <cell r="Z19">
            <v>392274.24334099999</v>
          </cell>
        </row>
        <row r="20">
          <cell r="C20">
            <v>30.054532999999999</v>
          </cell>
          <cell r="D20">
            <v>4.2599999999999999E-2</v>
          </cell>
          <cell r="E20">
            <v>36.374986</v>
          </cell>
          <cell r="F20">
            <v>0.240346</v>
          </cell>
          <cell r="G20">
            <v>555.56183499999997</v>
          </cell>
          <cell r="H20">
            <v>302.07787400000001</v>
          </cell>
          <cell r="I20">
            <v>400001.192507</v>
          </cell>
          <cell r="J20">
            <v>27562.892220000002</v>
          </cell>
          <cell r="K20">
            <v>400001.192507</v>
          </cell>
          <cell r="L20">
            <v>36.374986</v>
          </cell>
          <cell r="M20">
            <v>0</v>
          </cell>
          <cell r="N20">
            <v>36.645435999999997</v>
          </cell>
          <cell r="O20">
            <v>35.912526999999997</v>
          </cell>
          <cell r="P20">
            <v>27562.892220000002</v>
          </cell>
          <cell r="Q20">
            <v>27011.634375000001</v>
          </cell>
          <cell r="R20">
            <v>133.52710500000001</v>
          </cell>
          <cell r="S20">
            <v>136.25214800000001</v>
          </cell>
          <cell r="T20">
            <v>36.374986</v>
          </cell>
          <cell r="U20">
            <v>37.117331999999998</v>
          </cell>
          <cell r="V20">
            <v>0</v>
          </cell>
          <cell r="W20">
            <v>0.74234699999999998</v>
          </cell>
          <cell r="X20">
            <v>400001.192507</v>
          </cell>
          <cell r="Y20">
            <v>400001.192507</v>
          </cell>
          <cell r="Z20">
            <v>392001.168657</v>
          </cell>
        </row>
        <row r="21">
          <cell r="C21">
            <v>35.100561999999996</v>
          </cell>
          <cell r="D21">
            <v>5.6599999999999998E-2</v>
          </cell>
          <cell r="E21">
            <v>36.374986</v>
          </cell>
          <cell r="F21">
            <v>0.240346</v>
          </cell>
          <cell r="G21">
            <v>555.56183499999997</v>
          </cell>
          <cell r="H21">
            <v>304.048473</v>
          </cell>
          <cell r="I21">
            <v>394451.32479799999</v>
          </cell>
          <cell r="J21">
            <v>27855.821821000001</v>
          </cell>
          <cell r="K21">
            <v>400001.192507</v>
          </cell>
          <cell r="L21">
            <v>36.374986</v>
          </cell>
          <cell r="M21">
            <v>0</v>
          </cell>
          <cell r="N21">
            <v>36.136994000000001</v>
          </cell>
          <cell r="O21">
            <v>35.414254</v>
          </cell>
          <cell r="P21">
            <v>27855.821821000001</v>
          </cell>
          <cell r="Q21">
            <v>27298.705385000001</v>
          </cell>
          <cell r="R21">
            <v>135.40581</v>
          </cell>
          <cell r="S21">
            <v>138.169194</v>
          </cell>
          <cell r="T21">
            <v>36.886775999999998</v>
          </cell>
          <cell r="U21">
            <v>37.639567</v>
          </cell>
          <cell r="V21">
            <v>0.51178999999999997</v>
          </cell>
          <cell r="W21">
            <v>1.2645820000000001</v>
          </cell>
          <cell r="X21">
            <v>394451.32479799999</v>
          </cell>
          <cell r="Y21">
            <v>394451.32479799999</v>
          </cell>
          <cell r="Z21">
            <v>386562.29830199998</v>
          </cell>
        </row>
        <row r="22">
          <cell r="C22">
            <v>35.068567999999999</v>
          </cell>
          <cell r="D22">
            <v>5.6500000000000002E-2</v>
          </cell>
          <cell r="E22">
            <v>36.689968</v>
          </cell>
          <cell r="F22">
            <v>0.246526</v>
          </cell>
          <cell r="G22">
            <v>546.29431299999999</v>
          </cell>
          <cell r="H22">
            <v>308.28561999999999</v>
          </cell>
          <cell r="I22">
            <v>400002.59985900001</v>
          </cell>
          <cell r="J22">
            <v>28243.453119000002</v>
          </cell>
          <cell r="K22">
            <v>400002.59985900001</v>
          </cell>
          <cell r="L22">
            <v>36.689968</v>
          </cell>
          <cell r="M22">
            <v>0</v>
          </cell>
          <cell r="N22">
            <v>36.330964000000002</v>
          </cell>
          <cell r="O22">
            <v>35.604343999999998</v>
          </cell>
          <cell r="P22">
            <v>28243.453119000002</v>
          </cell>
          <cell r="Q22">
            <v>27678.584057</v>
          </cell>
          <cell r="R22">
            <v>134.67576299999999</v>
          </cell>
          <cell r="S22">
            <v>137.42424800000001</v>
          </cell>
          <cell r="T22">
            <v>36.689968</v>
          </cell>
          <cell r="U22">
            <v>37.438743000000002</v>
          </cell>
          <cell r="V22">
            <v>0</v>
          </cell>
          <cell r="W22">
            <v>0.74877499999999997</v>
          </cell>
          <cell r="X22">
            <v>400002.59985900001</v>
          </cell>
          <cell r="Y22">
            <v>400002.59985900001</v>
          </cell>
          <cell r="Z22">
            <v>392002.54786200001</v>
          </cell>
        </row>
        <row r="23">
          <cell r="C23">
            <v>40.165919000000002</v>
          </cell>
          <cell r="D23">
            <v>7.4499999999999997E-2</v>
          </cell>
          <cell r="E23">
            <v>36.689968</v>
          </cell>
          <cell r="F23">
            <v>0.246526</v>
          </cell>
          <cell r="G23">
            <v>546.29431299999999</v>
          </cell>
          <cell r="H23">
            <v>310.33072700000002</v>
          </cell>
          <cell r="I23">
            <v>394339.32659399998</v>
          </cell>
          <cell r="J23">
            <v>28534.549887000001</v>
          </cell>
          <cell r="K23">
            <v>400002.59985900001</v>
          </cell>
          <cell r="L23">
            <v>36.689968</v>
          </cell>
          <cell r="M23">
            <v>0</v>
          </cell>
          <cell r="N23">
            <v>35.816586000000001</v>
          </cell>
          <cell r="O23">
            <v>35.100254999999997</v>
          </cell>
          <cell r="P23">
            <v>28534.549887000001</v>
          </cell>
          <cell r="Q23">
            <v>27963.85889</v>
          </cell>
          <cell r="R23">
            <v>136.60989900000001</v>
          </cell>
          <cell r="S23">
            <v>139.39785599999999</v>
          </cell>
          <cell r="T23">
            <v>37.216887999999997</v>
          </cell>
          <cell r="U23">
            <v>37.976416999999998</v>
          </cell>
          <cell r="V23">
            <v>0.52692000000000005</v>
          </cell>
          <cell r="W23">
            <v>1.286448</v>
          </cell>
          <cell r="X23">
            <v>394339.32659399998</v>
          </cell>
          <cell r="Y23">
            <v>394339.32659399998</v>
          </cell>
          <cell r="Z23">
            <v>386452.54006199999</v>
          </cell>
        </row>
        <row r="24">
          <cell r="C24">
            <v>40.039518000000001</v>
          </cell>
          <cell r="D24">
            <v>7.3999999999999996E-2</v>
          </cell>
          <cell r="E24">
            <v>37.016924000000003</v>
          </cell>
          <cell r="F24">
            <v>0.25294800000000001</v>
          </cell>
          <cell r="G24">
            <v>537.13771599999995</v>
          </cell>
          <cell r="H24">
            <v>314.62108499999999</v>
          </cell>
          <cell r="I24">
            <v>400001.16744500003</v>
          </cell>
          <cell r="J24">
            <v>28926.897175999999</v>
          </cell>
          <cell r="K24">
            <v>400001.16744500003</v>
          </cell>
          <cell r="L24">
            <v>37.016924000000003</v>
          </cell>
          <cell r="M24">
            <v>0</v>
          </cell>
          <cell r="N24">
            <v>36.009937999999998</v>
          </cell>
          <cell r="O24">
            <v>35.289738999999997</v>
          </cell>
          <cell r="P24">
            <v>28926.897175999999</v>
          </cell>
          <cell r="Q24">
            <v>28348.359232999999</v>
          </cell>
          <cell r="R24">
            <v>135.86817300000001</v>
          </cell>
          <cell r="S24">
            <v>138.64099200000001</v>
          </cell>
          <cell r="T24">
            <v>37.016924000000003</v>
          </cell>
          <cell r="U24">
            <v>37.772371</v>
          </cell>
          <cell r="V24">
            <v>0</v>
          </cell>
          <cell r="W24">
            <v>0.75544699999999998</v>
          </cell>
          <cell r="X24">
            <v>400001.16744500003</v>
          </cell>
          <cell r="Y24">
            <v>400001.16744500003</v>
          </cell>
          <cell r="Z24">
            <v>392001.144096</v>
          </cell>
        </row>
        <row r="25">
          <cell r="C25">
            <v>45.011369999999999</v>
          </cell>
          <cell r="D25">
            <v>9.6000000000000002E-2</v>
          </cell>
          <cell r="E25">
            <v>37.016924000000003</v>
          </cell>
          <cell r="F25">
            <v>0.25294800000000001</v>
          </cell>
          <cell r="G25">
            <v>537.13771599999995</v>
          </cell>
          <cell r="H25">
            <v>316.67014999999998</v>
          </cell>
          <cell r="I25">
            <v>394419.95926899998</v>
          </cell>
          <cell r="J25">
            <v>29208.228358</v>
          </cell>
          <cell r="K25">
            <v>400001.16744500003</v>
          </cell>
          <cell r="L25">
            <v>37.016924000000003</v>
          </cell>
          <cell r="M25">
            <v>0</v>
          </cell>
          <cell r="N25">
            <v>35.507491999999999</v>
          </cell>
          <cell r="O25">
            <v>34.797342</v>
          </cell>
          <cell r="P25">
            <v>29208.228358</v>
          </cell>
          <cell r="Q25">
            <v>28624.063791</v>
          </cell>
          <cell r="R25">
            <v>137.790764</v>
          </cell>
          <cell r="S25">
            <v>140.60282100000001</v>
          </cell>
          <cell r="T25">
            <v>37.540728999999999</v>
          </cell>
          <cell r="U25">
            <v>38.306865999999999</v>
          </cell>
          <cell r="V25">
            <v>0.52380499999999997</v>
          </cell>
          <cell r="W25">
            <v>1.2899419999999999</v>
          </cell>
          <cell r="X25">
            <v>394419.95926899998</v>
          </cell>
          <cell r="Y25">
            <v>394419.95926899998</v>
          </cell>
          <cell r="Z25">
            <v>386531.560084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err"/>
      <sheetName val="err"/>
      <sheetName val="all"/>
    </sheetNames>
    <sheetDataSet>
      <sheetData sheetId="0">
        <row r="2">
          <cell r="C2">
            <v>30.619267000000001</v>
          </cell>
          <cell r="D2">
            <v>4.3999999999999997E-2</v>
          </cell>
          <cell r="E2">
            <v>14.842523</v>
          </cell>
          <cell r="F2">
            <v>6.3841999999999996E-2</v>
          </cell>
          <cell r="G2">
            <v>642.70793100000003</v>
          </cell>
          <cell r="H2">
            <v>73.470472000000001</v>
          </cell>
          <cell r="I2">
            <v>400003.819135</v>
          </cell>
          <cell r="J2">
            <v>5435.2193049999996</v>
          </cell>
          <cell r="K2">
            <v>400003.69135899999</v>
          </cell>
          <cell r="L2">
            <v>14.84252</v>
          </cell>
          <cell r="M2">
            <v>112.371447</v>
          </cell>
          <cell r="N2">
            <v>53.883540000000004</v>
          </cell>
          <cell r="O2">
            <v>53.540500000000002</v>
          </cell>
          <cell r="P2">
            <v>5435.2192530000002</v>
          </cell>
          <cell r="Q2">
            <v>5322.8478580000001</v>
          </cell>
          <cell r="R2">
            <v>41.03154</v>
          </cell>
          <cell r="S2">
            <v>41.294432999999998</v>
          </cell>
          <cell r="T2">
            <v>14.842518999999999</v>
          </cell>
          <cell r="U2">
            <v>14.937616</v>
          </cell>
          <cell r="V2">
            <v>-9.9999999999999995E-7</v>
          </cell>
          <cell r="W2">
            <v>9.5096E-2</v>
          </cell>
          <cell r="X2">
            <v>123172.41274</v>
          </cell>
          <cell r="Y2">
            <v>400003.81794699997</v>
          </cell>
          <cell r="Z2">
            <v>397457.26830200001</v>
          </cell>
        </row>
        <row r="3">
          <cell r="C3">
            <v>30.619267000000001</v>
          </cell>
          <cell r="D3">
            <v>4.3999999999999997E-2</v>
          </cell>
          <cell r="E3">
            <v>14.842523</v>
          </cell>
          <cell r="F3">
            <v>6.3841999999999996E-2</v>
          </cell>
          <cell r="G3">
            <v>642.70793100000003</v>
          </cell>
          <cell r="H3">
            <v>73.470472000000001</v>
          </cell>
          <cell r="I3">
            <v>400003.819135</v>
          </cell>
          <cell r="J3">
            <v>5435.2193049999996</v>
          </cell>
          <cell r="K3">
            <v>400003.69135899999</v>
          </cell>
          <cell r="L3">
            <v>14.84252</v>
          </cell>
          <cell r="M3">
            <v>113.46746</v>
          </cell>
          <cell r="N3">
            <v>53.880194000000003</v>
          </cell>
          <cell r="O3">
            <v>53.537154999999998</v>
          </cell>
          <cell r="P3">
            <v>5434.1232399999999</v>
          </cell>
          <cell r="Q3">
            <v>5321.7518460000001</v>
          </cell>
          <cell r="R3">
            <v>41.034087999999997</v>
          </cell>
          <cell r="S3">
            <v>41.297013999999997</v>
          </cell>
          <cell r="T3">
            <v>14.843439999999999</v>
          </cell>
          <cell r="U3">
            <v>14.938549999999999</v>
          </cell>
          <cell r="V3">
            <v>9.2000000000000003E-4</v>
          </cell>
          <cell r="W3">
            <v>9.6030000000000004E-2</v>
          </cell>
          <cell r="X3">
            <v>123172.41274</v>
          </cell>
          <cell r="Y3">
            <v>399978.98021800001</v>
          </cell>
          <cell r="Z3">
            <v>397432.43057199998</v>
          </cell>
        </row>
        <row r="4">
          <cell r="C4">
            <v>34.907857999999997</v>
          </cell>
          <cell r="D4">
            <v>5.6000000000000001E-2</v>
          </cell>
          <cell r="E4">
            <v>14.839696</v>
          </cell>
          <cell r="F4">
            <v>6.4630999999999994E-2</v>
          </cell>
          <cell r="G4">
            <v>634.67918099999997</v>
          </cell>
          <cell r="H4">
            <v>75.937638000000007</v>
          </cell>
          <cell r="I4">
            <v>400004.68024299998</v>
          </cell>
          <cell r="J4">
            <v>5642.4194630000002</v>
          </cell>
          <cell r="K4">
            <v>400004.68202000001</v>
          </cell>
          <cell r="L4">
            <v>14.839696</v>
          </cell>
          <cell r="M4">
            <v>120.490961</v>
          </cell>
          <cell r="N4">
            <v>53.893923000000001</v>
          </cell>
          <cell r="O4">
            <v>53.534607999999999</v>
          </cell>
          <cell r="P4">
            <v>5642.4194639999996</v>
          </cell>
          <cell r="Q4">
            <v>5521.9285019999998</v>
          </cell>
          <cell r="R4">
            <v>41.019782999999997</v>
          </cell>
          <cell r="S4">
            <v>41.295101000000003</v>
          </cell>
          <cell r="T4">
            <v>14.839696</v>
          </cell>
          <cell r="U4">
            <v>14.939297</v>
          </cell>
          <cell r="V4">
            <v>0</v>
          </cell>
          <cell r="W4">
            <v>9.9601999999999996E-2</v>
          </cell>
          <cell r="X4">
            <v>124885.393289</v>
          </cell>
          <cell r="Y4">
            <v>400004.68025999999</v>
          </cell>
          <cell r="Z4">
            <v>397337.81699700002</v>
          </cell>
        </row>
        <row r="5">
          <cell r="C5">
            <v>34.907857999999997</v>
          </cell>
          <cell r="D5">
            <v>5.6000000000000001E-2</v>
          </cell>
          <cell r="E5">
            <v>14.839696</v>
          </cell>
          <cell r="F5">
            <v>6.4630999999999994E-2</v>
          </cell>
          <cell r="G5">
            <v>634.67918099999997</v>
          </cell>
          <cell r="H5">
            <v>75.937638000000007</v>
          </cell>
          <cell r="I5">
            <v>400004.68024299998</v>
          </cell>
          <cell r="J5">
            <v>5642.4194630000002</v>
          </cell>
          <cell r="K5">
            <v>400004.68202000001</v>
          </cell>
          <cell r="L5">
            <v>14.839696</v>
          </cell>
          <cell r="M5">
            <v>121.748783</v>
          </cell>
          <cell r="N5">
            <v>53.890172</v>
          </cell>
          <cell r="O5">
            <v>53.530856999999997</v>
          </cell>
          <cell r="P5">
            <v>5641.161642</v>
          </cell>
          <cell r="Q5">
            <v>5520.6706800000002</v>
          </cell>
          <cell r="R5">
            <v>41.022638000000001</v>
          </cell>
          <cell r="S5">
            <v>41.297994000000003</v>
          </cell>
          <cell r="T5">
            <v>14.840729</v>
          </cell>
          <cell r="U5">
            <v>14.940344</v>
          </cell>
          <cell r="V5">
            <v>1.0330000000000001E-3</v>
          </cell>
          <cell r="W5">
            <v>0.100648</v>
          </cell>
          <cell r="X5">
            <v>124885.393289</v>
          </cell>
          <cell r="Y5">
            <v>399976.84050300001</v>
          </cell>
          <cell r="Z5">
            <v>397309.97723999998</v>
          </cell>
        </row>
        <row r="6">
          <cell r="C6">
            <v>39.265241000000003</v>
          </cell>
          <cell r="D6">
            <v>7.0999999999999994E-2</v>
          </cell>
          <cell r="E6">
            <v>14.871926</v>
          </cell>
          <cell r="F6">
            <v>6.5253000000000005E-2</v>
          </cell>
          <cell r="G6">
            <v>629.94871799999999</v>
          </cell>
          <cell r="H6">
            <v>78.167135000000002</v>
          </cell>
          <cell r="I6">
            <v>400001.39586500003</v>
          </cell>
          <cell r="J6">
            <v>5831.9334859999999</v>
          </cell>
          <cell r="K6">
            <v>400001.395769</v>
          </cell>
          <cell r="L6">
            <v>14.871926</v>
          </cell>
          <cell r="M6">
            <v>127.803423</v>
          </cell>
          <cell r="N6">
            <v>53.776685000000001</v>
          </cell>
          <cell r="O6">
            <v>53.405360999999999</v>
          </cell>
          <cell r="P6">
            <v>5831.9334859999999</v>
          </cell>
          <cell r="Q6">
            <v>5704.1300629999996</v>
          </cell>
          <cell r="R6">
            <v>41.105817999999999</v>
          </cell>
          <cell r="S6">
            <v>41.391624</v>
          </cell>
          <cell r="T6">
            <v>14.871926</v>
          </cell>
          <cell r="U6">
            <v>14.975329</v>
          </cell>
          <cell r="V6">
            <v>0</v>
          </cell>
          <cell r="W6">
            <v>0.103404</v>
          </cell>
          <cell r="X6">
            <v>126034.83046300001</v>
          </cell>
          <cell r="Y6">
            <v>400001.39586500003</v>
          </cell>
          <cell r="Z6">
            <v>397239.41601099999</v>
          </cell>
        </row>
        <row r="7">
          <cell r="C7">
            <v>39.265241000000003</v>
          </cell>
          <cell r="D7">
            <v>7.0999999999999994E-2</v>
          </cell>
          <cell r="E7">
            <v>14.871926</v>
          </cell>
          <cell r="F7">
            <v>6.5253000000000005E-2</v>
          </cell>
          <cell r="G7">
            <v>629.94871799999999</v>
          </cell>
          <cell r="H7">
            <v>78.167135000000002</v>
          </cell>
          <cell r="I7">
            <v>400001.39586500003</v>
          </cell>
          <cell r="J7">
            <v>5831.9334859999999</v>
          </cell>
          <cell r="K7">
            <v>400001.395769</v>
          </cell>
          <cell r="L7">
            <v>14.871926</v>
          </cell>
          <cell r="M7">
            <v>129.209486</v>
          </cell>
          <cell r="N7">
            <v>53.772599999999997</v>
          </cell>
          <cell r="O7">
            <v>53.401276000000003</v>
          </cell>
          <cell r="P7">
            <v>5830.5274239999999</v>
          </cell>
          <cell r="Q7">
            <v>5702.7240000000002</v>
          </cell>
          <cell r="R7">
            <v>41.108941000000002</v>
          </cell>
          <cell r="S7">
            <v>41.39479</v>
          </cell>
          <cell r="T7">
            <v>14.873056</v>
          </cell>
          <cell r="U7">
            <v>14.976475000000001</v>
          </cell>
          <cell r="V7">
            <v>1.1299999999999999E-3</v>
          </cell>
          <cell r="W7">
            <v>0.104549</v>
          </cell>
          <cell r="X7">
            <v>126034.83046300001</v>
          </cell>
          <cell r="Y7">
            <v>399971.009234</v>
          </cell>
          <cell r="Z7">
            <v>397209.02938099997</v>
          </cell>
        </row>
        <row r="8">
          <cell r="C8">
            <v>32.002797000000001</v>
          </cell>
          <cell r="D8">
            <v>4.7600000000000003E-2</v>
          </cell>
          <cell r="E8">
            <v>14.854818</v>
          </cell>
          <cell r="F8">
            <v>6.3891000000000003E-2</v>
          </cell>
          <cell r="G8">
            <v>642.74409800000001</v>
          </cell>
          <cell r="H8">
            <v>73.756523000000001</v>
          </cell>
          <cell r="I8">
            <v>400003.90285499999</v>
          </cell>
          <cell r="J8">
            <v>5463.598336</v>
          </cell>
          <cell r="K8">
            <v>400003.90285499999</v>
          </cell>
          <cell r="L8">
            <v>14.854818</v>
          </cell>
          <cell r="M8">
            <v>5463.598336</v>
          </cell>
          <cell r="N8">
            <v>53.838954999999999</v>
          </cell>
          <cell r="O8">
            <v>53.508054999999999</v>
          </cell>
          <cell r="P8">
            <v>5463.598336</v>
          </cell>
          <cell r="Q8">
            <v>5354.3263690000003</v>
          </cell>
          <cell r="R8">
            <v>41.065291999999999</v>
          </cell>
          <cell r="S8">
            <v>41.319245000000002</v>
          </cell>
          <cell r="T8">
            <v>14.854818</v>
          </cell>
          <cell r="U8">
            <v>14.946681999999999</v>
          </cell>
          <cell r="V8">
            <v>0</v>
          </cell>
          <cell r="W8">
            <v>9.1864000000000001E-2</v>
          </cell>
          <cell r="X8">
            <v>122923.367855</v>
          </cell>
          <cell r="Y8">
            <v>400003.90285499999</v>
          </cell>
          <cell r="Z8">
            <v>397545.43549800001</v>
          </cell>
        </row>
        <row r="9">
          <cell r="C9">
            <v>39.159878999999997</v>
          </cell>
          <cell r="D9">
            <v>7.0599999999999996E-2</v>
          </cell>
          <cell r="E9">
            <v>14.854818</v>
          </cell>
          <cell r="F9">
            <v>6.3891000000000003E-2</v>
          </cell>
          <cell r="G9">
            <v>642.74409800000001</v>
          </cell>
          <cell r="H9">
            <v>74.554713000000007</v>
          </cell>
          <cell r="I9">
            <v>397381.69433500001</v>
          </cell>
          <cell r="J9">
            <v>5561.0680480000001</v>
          </cell>
          <cell r="K9">
            <v>400003.90285499999</v>
          </cell>
          <cell r="L9">
            <v>14.854818</v>
          </cell>
          <cell r="M9">
            <v>5463.598336</v>
          </cell>
          <cell r="N9">
            <v>53.486015999999999</v>
          </cell>
          <cell r="O9">
            <v>53.162174999999998</v>
          </cell>
          <cell r="P9">
            <v>5561.0680480000001</v>
          </cell>
          <cell r="Q9">
            <v>5449.8466870000002</v>
          </cell>
          <cell r="R9">
            <v>41.336269999999999</v>
          </cell>
          <cell r="S9">
            <v>41.588073000000001</v>
          </cell>
          <cell r="T9">
            <v>14.952840999999999</v>
          </cell>
          <cell r="U9">
            <v>15.043927</v>
          </cell>
          <cell r="V9">
            <v>9.8022999999999999E-2</v>
          </cell>
          <cell r="W9">
            <v>0.189109</v>
          </cell>
          <cell r="X9">
            <v>120301.159335</v>
          </cell>
          <cell r="Y9">
            <v>397381.69433500001</v>
          </cell>
          <cell r="Z9">
            <v>394975.67114799999</v>
          </cell>
        </row>
        <row r="10">
          <cell r="C10">
            <v>37.052953000000002</v>
          </cell>
          <cell r="D10">
            <v>6.3E-2</v>
          </cell>
          <cell r="E10">
            <v>14.861193999999999</v>
          </cell>
          <cell r="F10">
            <v>6.4707000000000001E-2</v>
          </cell>
          <cell r="G10">
            <v>634.84341300000006</v>
          </cell>
          <cell r="H10">
            <v>76.395893000000001</v>
          </cell>
          <cell r="I10">
            <v>400003.81848700001</v>
          </cell>
          <cell r="J10">
            <v>5687.36672</v>
          </cell>
          <cell r="K10">
            <v>400003.81848700001</v>
          </cell>
          <cell r="L10">
            <v>14.861193999999999</v>
          </cell>
          <cell r="M10">
            <v>5687.36672</v>
          </cell>
          <cell r="N10">
            <v>53.815843999999998</v>
          </cell>
          <cell r="O10">
            <v>53.480952000000002</v>
          </cell>
          <cell r="P10">
            <v>5687.36672</v>
          </cell>
          <cell r="Q10">
            <v>5573.6193860000003</v>
          </cell>
          <cell r="R10">
            <v>41.078831000000001</v>
          </cell>
          <cell r="S10">
            <v>41.336061999999998</v>
          </cell>
          <cell r="T10">
            <v>14.861193999999999</v>
          </cell>
          <cell r="U10">
            <v>14.954253</v>
          </cell>
          <cell r="V10">
            <v>0</v>
          </cell>
          <cell r="W10">
            <v>9.3059000000000003E-2</v>
          </cell>
          <cell r="X10">
            <v>124459.633487</v>
          </cell>
          <cell r="Y10">
            <v>400003.81848700001</v>
          </cell>
          <cell r="Z10">
            <v>397514.62581699999</v>
          </cell>
        </row>
        <row r="11">
          <cell r="C11">
            <v>44.186115999999998</v>
          </cell>
          <cell r="D11">
            <v>9.1999999999999998E-2</v>
          </cell>
          <cell r="E11">
            <v>14.861193999999999</v>
          </cell>
          <cell r="F11">
            <v>6.4707000000000001E-2</v>
          </cell>
          <cell r="G11">
            <v>634.84341300000006</v>
          </cell>
          <cell r="H11">
            <v>77.226123000000001</v>
          </cell>
          <cell r="I11">
            <v>397307.97044900001</v>
          </cell>
          <cell r="J11">
            <v>5785.6480469999997</v>
          </cell>
          <cell r="K11">
            <v>400003.81848700001</v>
          </cell>
          <cell r="L11">
            <v>14.861193999999999</v>
          </cell>
          <cell r="M11">
            <v>5687.36672</v>
          </cell>
          <cell r="N11">
            <v>53.453149000000003</v>
          </cell>
          <cell r="O11">
            <v>53.125511000000003</v>
          </cell>
          <cell r="P11">
            <v>5785.6480469999997</v>
          </cell>
          <cell r="Q11">
            <v>5669.9350860000004</v>
          </cell>
          <cell r="R11">
            <v>41.357562000000001</v>
          </cell>
          <cell r="S11">
            <v>41.612623999999997</v>
          </cell>
          <cell r="T11">
            <v>14.962032000000001</v>
          </cell>
          <cell r="U11">
            <v>15.054306</v>
          </cell>
          <cell r="V11">
            <v>0.100837</v>
          </cell>
          <cell r="W11">
            <v>0.19311200000000001</v>
          </cell>
          <cell r="X11">
            <v>121763.785449</v>
          </cell>
          <cell r="Y11">
            <v>397307.97044900001</v>
          </cell>
          <cell r="Z11">
            <v>394872.69474000001</v>
          </cell>
        </row>
        <row r="12">
          <cell r="C12">
            <v>42.025463000000002</v>
          </cell>
          <cell r="D12">
            <v>8.2199999999999995E-2</v>
          </cell>
          <cell r="E12">
            <v>14.902664</v>
          </cell>
          <cell r="F12">
            <v>6.5348000000000003E-2</v>
          </cell>
          <cell r="G12">
            <v>630.32350799999995</v>
          </cell>
          <cell r="H12">
            <v>78.769615999999999</v>
          </cell>
          <cell r="I12">
            <v>400002.03069799999</v>
          </cell>
          <cell r="J12">
            <v>5890.5007260000002</v>
          </cell>
          <cell r="K12">
            <v>400002.03069799999</v>
          </cell>
          <cell r="L12">
            <v>14.902664</v>
          </cell>
          <cell r="M12">
            <v>5890.5007260000002</v>
          </cell>
          <cell r="N12">
            <v>53.665849999999999</v>
          </cell>
          <cell r="O12">
            <v>53.329250000000002</v>
          </cell>
          <cell r="P12">
            <v>5890.5007260000002</v>
          </cell>
          <cell r="Q12">
            <v>5772.6907110000002</v>
          </cell>
          <cell r="R12">
            <v>41.190314999999998</v>
          </cell>
          <cell r="S12">
            <v>41.450296999999999</v>
          </cell>
          <cell r="T12">
            <v>14.902664</v>
          </cell>
          <cell r="U12">
            <v>14.996726000000001</v>
          </cell>
          <cell r="V12">
            <v>0</v>
          </cell>
          <cell r="W12">
            <v>9.4062000000000007E-2</v>
          </cell>
          <cell r="X12">
            <v>125443.398698</v>
          </cell>
          <cell r="Y12">
            <v>400002.03069799999</v>
          </cell>
          <cell r="Z12">
            <v>397493.16272399999</v>
          </cell>
        </row>
        <row r="13">
          <cell r="C13">
            <v>49.116787000000002</v>
          </cell>
          <cell r="D13">
            <v>0.1182</v>
          </cell>
          <cell r="E13">
            <v>14.902664</v>
          </cell>
          <cell r="F13">
            <v>6.5348000000000003E-2</v>
          </cell>
          <cell r="G13">
            <v>630.32350799999995</v>
          </cell>
          <cell r="H13">
            <v>79.627114000000006</v>
          </cell>
          <cell r="I13">
            <v>397249.46001799998</v>
          </cell>
          <cell r="J13">
            <v>5989.289057</v>
          </cell>
          <cell r="K13">
            <v>400002.03069799999</v>
          </cell>
          <cell r="L13">
            <v>14.902664</v>
          </cell>
          <cell r="M13">
            <v>5890.5007260000002</v>
          </cell>
          <cell r="N13">
            <v>53.296554</v>
          </cell>
          <cell r="O13">
            <v>52.96734</v>
          </cell>
          <cell r="P13">
            <v>5989.289057</v>
          </cell>
          <cell r="Q13">
            <v>5869.503275</v>
          </cell>
          <cell r="R13">
            <v>41.475724999999997</v>
          </cell>
          <cell r="S13">
            <v>41.733514</v>
          </cell>
          <cell r="T13">
            <v>15.005926000000001</v>
          </cell>
          <cell r="U13">
            <v>15.099194000000001</v>
          </cell>
          <cell r="V13">
            <v>0.10326200000000001</v>
          </cell>
          <cell r="W13">
            <v>0.19653000000000001</v>
          </cell>
          <cell r="X13">
            <v>122690.828018</v>
          </cell>
          <cell r="Y13">
            <v>397249.46001799998</v>
          </cell>
          <cell r="Z13">
            <v>394795.64345799998</v>
          </cell>
        </row>
        <row r="14">
          <cell r="C14">
            <v>30.619267000000001</v>
          </cell>
          <cell r="D14">
            <v>4.3999999999999997E-2</v>
          </cell>
          <cell r="E14">
            <v>36.438218999999997</v>
          </cell>
          <cell r="F14">
            <v>0.24073600000000001</v>
          </cell>
          <cell r="G14">
            <v>555.62506900000005</v>
          </cell>
          <cell r="H14">
            <v>302.87617</v>
          </cell>
          <cell r="I14">
            <v>400001.37868099997</v>
          </cell>
          <cell r="J14">
            <v>19748.393725999998</v>
          </cell>
          <cell r="K14">
            <v>400001.37868099997</v>
          </cell>
          <cell r="L14">
            <v>36.438218999999997</v>
          </cell>
          <cell r="M14">
            <v>408.29342000000003</v>
          </cell>
          <cell r="N14">
            <v>36.581859999999999</v>
          </cell>
          <cell r="O14">
            <v>35.825538999999999</v>
          </cell>
          <cell r="P14">
            <v>19748.393725999998</v>
          </cell>
          <cell r="Q14">
            <v>19340.100306</v>
          </cell>
          <cell r="R14">
            <v>133.75877199999999</v>
          </cell>
          <cell r="S14">
            <v>136.58258499999999</v>
          </cell>
          <cell r="T14">
            <v>36.438218999999997</v>
          </cell>
          <cell r="U14">
            <v>37.207475000000002</v>
          </cell>
          <cell r="V14">
            <v>0</v>
          </cell>
          <cell r="W14">
            <v>0.76925600000000005</v>
          </cell>
          <cell r="X14">
            <v>400001.37868099997</v>
          </cell>
          <cell r="Y14">
            <v>400001.37868099997</v>
          </cell>
          <cell r="Z14">
            <v>391731.443761</v>
          </cell>
        </row>
        <row r="15">
          <cell r="C15">
            <v>30.619267000000001</v>
          </cell>
          <cell r="D15">
            <v>4.3999999999999997E-2</v>
          </cell>
          <cell r="E15">
            <v>36.438218999999997</v>
          </cell>
          <cell r="F15">
            <v>0.24073600000000001</v>
          </cell>
          <cell r="G15">
            <v>555.62506900000005</v>
          </cell>
          <cell r="H15">
            <v>302.87617</v>
          </cell>
          <cell r="I15">
            <v>400001.37868099997</v>
          </cell>
          <cell r="J15">
            <v>19748.393725999998</v>
          </cell>
          <cell r="K15">
            <v>400001.37868099997</v>
          </cell>
          <cell r="L15">
            <v>36.438218999999997</v>
          </cell>
          <cell r="M15">
            <v>412.27569599999998</v>
          </cell>
          <cell r="N15">
            <v>36.574483000000001</v>
          </cell>
          <cell r="O15">
            <v>35.818162000000001</v>
          </cell>
          <cell r="P15">
            <v>19744.411448999999</v>
          </cell>
          <cell r="Q15">
            <v>19336.118029000001</v>
          </cell>
          <cell r="R15">
            <v>133.78575000000001</v>
          </cell>
          <cell r="S15">
            <v>136.610714</v>
          </cell>
          <cell r="T15">
            <v>36.445568999999999</v>
          </cell>
          <cell r="U15">
            <v>37.215138000000003</v>
          </cell>
          <cell r="V15">
            <v>7.3489999999999996E-3</v>
          </cell>
          <cell r="W15">
            <v>0.77691900000000003</v>
          </cell>
          <cell r="X15">
            <v>400001.37868099997</v>
          </cell>
          <cell r="Y15">
            <v>399920.71814299998</v>
          </cell>
          <cell r="Z15">
            <v>391650.783222</v>
          </cell>
        </row>
        <row r="16">
          <cell r="C16">
            <v>34.907857999999997</v>
          </cell>
          <cell r="D16">
            <v>5.6000000000000001E-2</v>
          </cell>
          <cell r="E16">
            <v>36.687213</v>
          </cell>
          <cell r="F16">
            <v>0.24650900000000001</v>
          </cell>
          <cell r="G16">
            <v>546.29155800000001</v>
          </cell>
          <cell r="H16">
            <v>308.19619799999998</v>
          </cell>
          <cell r="I16">
            <v>400002.509066</v>
          </cell>
          <cell r="J16">
            <v>20165.921844</v>
          </cell>
          <cell r="K16">
            <v>400002.509066</v>
          </cell>
          <cell r="L16">
            <v>36.687213</v>
          </cell>
          <cell r="M16">
            <v>430.63462500000003</v>
          </cell>
          <cell r="N16">
            <v>36.333683000000001</v>
          </cell>
          <cell r="O16">
            <v>35.557792999999997</v>
          </cell>
          <cell r="P16">
            <v>20165.921844</v>
          </cell>
          <cell r="Q16">
            <v>19735.287219000002</v>
          </cell>
          <cell r="R16">
            <v>134.66566599999999</v>
          </cell>
          <cell r="S16">
            <v>137.60414399999999</v>
          </cell>
          <cell r="T16">
            <v>36.687213</v>
          </cell>
          <cell r="U16">
            <v>37.487748000000003</v>
          </cell>
          <cell r="V16">
            <v>0</v>
          </cell>
          <cell r="W16">
            <v>0.800535</v>
          </cell>
          <cell r="X16">
            <v>400002.509066</v>
          </cell>
          <cell r="Y16">
            <v>400002.509066</v>
          </cell>
          <cell r="Z16">
            <v>391460.62679000001</v>
          </cell>
        </row>
        <row r="17">
          <cell r="C17">
            <v>34.907857999999997</v>
          </cell>
          <cell r="D17">
            <v>5.6000000000000001E-2</v>
          </cell>
          <cell r="E17">
            <v>36.687213</v>
          </cell>
          <cell r="F17">
            <v>0.24650900000000001</v>
          </cell>
          <cell r="G17">
            <v>546.29155800000001</v>
          </cell>
          <cell r="H17">
            <v>308.19619799999998</v>
          </cell>
          <cell r="I17">
            <v>400002.509066</v>
          </cell>
          <cell r="J17">
            <v>20165.921844</v>
          </cell>
          <cell r="K17">
            <v>400002.509066</v>
          </cell>
          <cell r="L17">
            <v>36.687213</v>
          </cell>
          <cell r="M17">
            <v>435.13007299999998</v>
          </cell>
          <cell r="N17">
            <v>36.325583999999999</v>
          </cell>
          <cell r="O17">
            <v>35.549694000000002</v>
          </cell>
          <cell r="P17">
            <v>20161.426394999999</v>
          </cell>
          <cell r="Q17">
            <v>19730.791771</v>
          </cell>
          <cell r="R17">
            <v>134.69569300000001</v>
          </cell>
          <cell r="S17">
            <v>137.63549499999999</v>
          </cell>
          <cell r="T17">
            <v>36.695394</v>
          </cell>
          <cell r="U17">
            <v>37.496288999999997</v>
          </cell>
          <cell r="V17">
            <v>8.1799999999999998E-3</v>
          </cell>
          <cell r="W17">
            <v>0.80907600000000002</v>
          </cell>
          <cell r="X17">
            <v>400002.509066</v>
          </cell>
          <cell r="Y17">
            <v>399913.33929700003</v>
          </cell>
          <cell r="Z17">
            <v>391371.45702099998</v>
          </cell>
        </row>
        <row r="18">
          <cell r="C18">
            <v>39.265241000000003</v>
          </cell>
          <cell r="D18">
            <v>7.0999999999999994E-2</v>
          </cell>
          <cell r="E18">
            <v>36.955775000000003</v>
          </cell>
          <cell r="F18">
            <v>0.25256000000000001</v>
          </cell>
          <cell r="G18">
            <v>537.07656799999995</v>
          </cell>
          <cell r="H18">
            <v>313.73796900000002</v>
          </cell>
          <cell r="I18">
            <v>400000.16166699998</v>
          </cell>
          <cell r="J18">
            <v>20594.254973999999</v>
          </cell>
          <cell r="K18">
            <v>400000.16166699998</v>
          </cell>
          <cell r="L18">
            <v>36.955775000000003</v>
          </cell>
          <cell r="M18">
            <v>451.31305400000002</v>
          </cell>
          <cell r="N18">
            <v>36.069431000000002</v>
          </cell>
          <cell r="O18">
            <v>35.278987000000001</v>
          </cell>
          <cell r="P18">
            <v>20594.254973999999</v>
          </cell>
          <cell r="Q18">
            <v>20142.941920000001</v>
          </cell>
          <cell r="R18">
            <v>135.64413099999999</v>
          </cell>
          <cell r="S18">
            <v>138.68330800000001</v>
          </cell>
          <cell r="T18">
            <v>36.955775000000003</v>
          </cell>
          <cell r="U18">
            <v>37.783788000000001</v>
          </cell>
          <cell r="V18">
            <v>0</v>
          </cell>
          <cell r="W18">
            <v>0.828013</v>
          </cell>
          <cell r="X18">
            <v>400000.16166699998</v>
          </cell>
          <cell r="Y18">
            <v>400000.16166699998</v>
          </cell>
          <cell r="Z18">
            <v>391234.35320800002</v>
          </cell>
        </row>
        <row r="19">
          <cell r="C19">
            <v>39.265241000000003</v>
          </cell>
          <cell r="D19">
            <v>7.0999999999999994E-2</v>
          </cell>
          <cell r="E19">
            <v>36.955775000000003</v>
          </cell>
          <cell r="F19">
            <v>0.25256000000000001</v>
          </cell>
          <cell r="G19">
            <v>537.07656799999995</v>
          </cell>
          <cell r="H19">
            <v>313.73796900000002</v>
          </cell>
          <cell r="I19">
            <v>400000.16166699998</v>
          </cell>
          <cell r="J19">
            <v>20594.254973999999</v>
          </cell>
          <cell r="K19">
            <v>400000.16166699998</v>
          </cell>
          <cell r="L19">
            <v>36.955775000000003</v>
          </cell>
          <cell r="M19">
            <v>456.27828299999999</v>
          </cell>
          <cell r="N19">
            <v>36.060735000000001</v>
          </cell>
          <cell r="O19">
            <v>35.270291</v>
          </cell>
          <cell r="P19">
            <v>20589.289744999998</v>
          </cell>
          <cell r="Q19">
            <v>20137.976691</v>
          </cell>
          <cell r="R19">
            <v>135.67684299999999</v>
          </cell>
          <cell r="S19">
            <v>138.717502</v>
          </cell>
          <cell r="T19">
            <v>36.964686999999998</v>
          </cell>
          <cell r="U19">
            <v>37.793104</v>
          </cell>
          <cell r="V19">
            <v>8.9119999999999998E-3</v>
          </cell>
          <cell r="W19">
            <v>0.83732899999999999</v>
          </cell>
          <cell r="X19">
            <v>400000.16166699998</v>
          </cell>
          <cell r="Y19">
            <v>399903.72252100002</v>
          </cell>
          <cell r="Z19">
            <v>391137.914062</v>
          </cell>
        </row>
        <row r="20">
          <cell r="C20">
            <v>32.002797000000001</v>
          </cell>
          <cell r="D20">
            <v>4.7600000000000003E-2</v>
          </cell>
          <cell r="E20">
            <v>36.553040000000003</v>
          </cell>
          <cell r="F20">
            <v>0.24144299999999999</v>
          </cell>
          <cell r="G20">
            <v>555.73988899999995</v>
          </cell>
          <cell r="H20">
            <v>304.46906799999999</v>
          </cell>
          <cell r="I20">
            <v>400002.58685800002</v>
          </cell>
          <cell r="J20">
            <v>19872.348959999999</v>
          </cell>
          <cell r="K20">
            <v>400002.58685800002</v>
          </cell>
          <cell r="L20">
            <v>36.553040000000003</v>
          </cell>
          <cell r="M20">
            <v>0</v>
          </cell>
          <cell r="N20">
            <v>36.467058999999999</v>
          </cell>
          <cell r="O20">
            <v>35.737718000000001</v>
          </cell>
          <cell r="P20">
            <v>19872.348959999999</v>
          </cell>
          <cell r="Q20">
            <v>19474.901979999999</v>
          </cell>
          <cell r="R20">
            <v>134.179452</v>
          </cell>
          <cell r="S20">
            <v>136.91780800000001</v>
          </cell>
          <cell r="T20">
            <v>36.553040000000003</v>
          </cell>
          <cell r="U20">
            <v>37.299019999999999</v>
          </cell>
          <cell r="V20">
            <v>0</v>
          </cell>
          <cell r="W20">
            <v>0.74597999999999998</v>
          </cell>
          <cell r="X20">
            <v>400002.58685800002</v>
          </cell>
          <cell r="Y20">
            <v>400002.58685800002</v>
          </cell>
          <cell r="Z20">
            <v>392002.53512100002</v>
          </cell>
        </row>
        <row r="21">
          <cell r="C21">
            <v>39.159878999999997</v>
          </cell>
          <cell r="D21">
            <v>7.0599999999999996E-2</v>
          </cell>
          <cell r="E21">
            <v>36.553040000000003</v>
          </cell>
          <cell r="F21">
            <v>0.24144299999999999</v>
          </cell>
          <cell r="G21">
            <v>555.73988899999995</v>
          </cell>
          <cell r="H21">
            <v>307.30117200000001</v>
          </cell>
          <cell r="I21">
            <v>392106.25556700001</v>
          </cell>
          <cell r="J21">
            <v>20166.708210000001</v>
          </cell>
          <cell r="K21">
            <v>400002.58685800002</v>
          </cell>
          <cell r="L21">
            <v>36.553040000000003</v>
          </cell>
          <cell r="M21">
            <v>0</v>
          </cell>
          <cell r="N21">
            <v>35.747174000000001</v>
          </cell>
          <cell r="O21">
            <v>35.032229999999998</v>
          </cell>
          <cell r="P21">
            <v>20166.708210000001</v>
          </cell>
          <cell r="Q21">
            <v>19763.374046000001</v>
          </cell>
          <cell r="R21">
            <v>136.88158999999999</v>
          </cell>
          <cell r="S21">
            <v>139.67509200000001</v>
          </cell>
          <cell r="T21">
            <v>37.289154000000003</v>
          </cell>
          <cell r="U21">
            <v>38.050156999999999</v>
          </cell>
          <cell r="V21">
            <v>0.73611400000000005</v>
          </cell>
          <cell r="W21">
            <v>1.497117</v>
          </cell>
          <cell r="X21">
            <v>392106.25556700001</v>
          </cell>
          <cell r="Y21">
            <v>392106.25556700001</v>
          </cell>
          <cell r="Z21">
            <v>384264.13045599998</v>
          </cell>
        </row>
        <row r="22">
          <cell r="C22">
            <v>37.052953000000002</v>
          </cell>
          <cell r="D22">
            <v>6.3E-2</v>
          </cell>
          <cell r="E22">
            <v>36.875616999999998</v>
          </cell>
          <cell r="F22">
            <v>0.24768699999999999</v>
          </cell>
          <cell r="G22">
            <v>546.479962</v>
          </cell>
          <cell r="H22">
            <v>310.79295500000001</v>
          </cell>
          <cell r="I22">
            <v>400002.74895400001</v>
          </cell>
          <cell r="J22">
            <v>20365.268118</v>
          </cell>
          <cell r="K22">
            <v>400002.74895400001</v>
          </cell>
          <cell r="L22">
            <v>36.875616999999998</v>
          </cell>
          <cell r="M22">
            <v>0</v>
          </cell>
          <cell r="N22">
            <v>36.148069999999997</v>
          </cell>
          <cell r="O22">
            <v>35.425108999999999</v>
          </cell>
          <cell r="P22">
            <v>20365.268118</v>
          </cell>
          <cell r="Q22">
            <v>19957.962755</v>
          </cell>
          <cell r="R22">
            <v>135.35593499999999</v>
          </cell>
          <cell r="S22">
            <v>138.118301</v>
          </cell>
          <cell r="T22">
            <v>36.875616999999998</v>
          </cell>
          <cell r="U22">
            <v>37.628180999999998</v>
          </cell>
          <cell r="V22">
            <v>0</v>
          </cell>
          <cell r="W22">
            <v>0.75256400000000001</v>
          </cell>
          <cell r="X22">
            <v>400002.74895400001</v>
          </cell>
          <cell r="Y22">
            <v>400002.74895400001</v>
          </cell>
          <cell r="Z22">
            <v>392002.693975</v>
          </cell>
        </row>
        <row r="23">
          <cell r="C23">
            <v>44.186115999999998</v>
          </cell>
          <cell r="D23">
            <v>9.1999999999999998E-2</v>
          </cell>
          <cell r="E23">
            <v>36.875616999999998</v>
          </cell>
          <cell r="F23">
            <v>0.24768699999999999</v>
          </cell>
          <cell r="G23">
            <v>546.479962</v>
          </cell>
          <cell r="H23">
            <v>313.69363900000002</v>
          </cell>
          <cell r="I23">
            <v>392051.11713600002</v>
          </cell>
          <cell r="J23">
            <v>20654.853109</v>
          </cell>
          <cell r="K23">
            <v>400002.74895400001</v>
          </cell>
          <cell r="L23">
            <v>36.875616999999998</v>
          </cell>
          <cell r="M23">
            <v>0</v>
          </cell>
          <cell r="N23">
            <v>35.429485</v>
          </cell>
          <cell r="O23">
            <v>34.720894999999999</v>
          </cell>
          <cell r="P23">
            <v>20654.853109</v>
          </cell>
          <cell r="Q23">
            <v>20241.756046999999</v>
          </cell>
          <cell r="R23">
            <v>138.10124200000001</v>
          </cell>
          <cell r="S23">
            <v>140.919635</v>
          </cell>
          <cell r="T23">
            <v>37.623533000000002</v>
          </cell>
          <cell r="U23">
            <v>38.391359999999999</v>
          </cell>
          <cell r="V23">
            <v>0.74791600000000003</v>
          </cell>
          <cell r="W23">
            <v>1.5157430000000001</v>
          </cell>
          <cell r="X23">
            <v>392051.11713600002</v>
          </cell>
          <cell r="Y23">
            <v>392051.11713600002</v>
          </cell>
          <cell r="Z23">
            <v>384210.09479300003</v>
          </cell>
        </row>
        <row r="24">
          <cell r="C24">
            <v>42.025463000000002</v>
          </cell>
          <cell r="D24">
            <v>8.2199999999999995E-2</v>
          </cell>
          <cell r="E24">
            <v>37.207231999999998</v>
          </cell>
          <cell r="F24">
            <v>0.25415700000000002</v>
          </cell>
          <cell r="G24">
            <v>537.32802400000003</v>
          </cell>
          <cell r="H24">
            <v>317.20537400000001</v>
          </cell>
          <cell r="I24">
            <v>400001.11553299997</v>
          </cell>
          <cell r="J24">
            <v>20857.436992999999</v>
          </cell>
          <cell r="K24">
            <v>400001.11553299997</v>
          </cell>
          <cell r="L24">
            <v>37.207231999999998</v>
          </cell>
          <cell r="M24">
            <v>0</v>
          </cell>
          <cell r="N24">
            <v>35.825749000000002</v>
          </cell>
          <cell r="O24">
            <v>35.109234999999998</v>
          </cell>
          <cell r="P24">
            <v>20857.436992999999</v>
          </cell>
          <cell r="Q24">
            <v>20440.288252999999</v>
          </cell>
          <cell r="R24">
            <v>136.565415</v>
          </cell>
          <cell r="S24">
            <v>139.352464</v>
          </cell>
          <cell r="T24">
            <v>37.207231999999998</v>
          </cell>
          <cell r="U24">
            <v>37.966563000000001</v>
          </cell>
          <cell r="V24">
            <v>0</v>
          </cell>
          <cell r="W24">
            <v>0.75933099999999998</v>
          </cell>
          <cell r="X24">
            <v>400001.11553299997</v>
          </cell>
          <cell r="Y24">
            <v>400001.11553299997</v>
          </cell>
          <cell r="Z24">
            <v>392001.093223</v>
          </cell>
        </row>
        <row r="25">
          <cell r="C25">
            <v>49.116787000000002</v>
          </cell>
          <cell r="D25">
            <v>0.1182</v>
          </cell>
          <cell r="E25">
            <v>37.207231999999998</v>
          </cell>
          <cell r="F25">
            <v>0.25415700000000002</v>
          </cell>
          <cell r="G25">
            <v>537.32802400000003</v>
          </cell>
          <cell r="H25">
            <v>319.999999</v>
          </cell>
          <cell r="I25">
            <v>391806.92864599999</v>
          </cell>
          <cell r="J25">
            <v>21131.719874999999</v>
          </cell>
          <cell r="K25">
            <v>400001.11553299997</v>
          </cell>
          <cell r="L25">
            <v>37.207231999999998</v>
          </cell>
          <cell r="M25">
            <v>0</v>
          </cell>
          <cell r="N25">
            <v>35.091844000000002</v>
          </cell>
          <cell r="O25">
            <v>34.390006999999997</v>
          </cell>
          <cell r="P25">
            <v>21131.719874999999</v>
          </cell>
          <cell r="Q25">
            <v>20709.085477000001</v>
          </cell>
          <cell r="R25">
            <v>139.42152200000001</v>
          </cell>
          <cell r="S25">
            <v>142.26685900000001</v>
          </cell>
          <cell r="T25">
            <v>37.985377999999997</v>
          </cell>
          <cell r="U25">
            <v>38.760589000000003</v>
          </cell>
          <cell r="V25">
            <v>0.778146</v>
          </cell>
          <cell r="W25">
            <v>1.553358</v>
          </cell>
          <cell r="X25">
            <v>391806.92864599999</v>
          </cell>
          <cell r="Y25">
            <v>391806.92864599999</v>
          </cell>
          <cell r="Z25">
            <v>383970.79007300001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zoomScale="125" zoomScaleNormal="125" workbookViewId="0">
      <selection activeCell="E33" sqref="E33"/>
    </sheetView>
  </sheetViews>
  <sheetFormatPr baseColWidth="10" defaultRowHeight="15" x14ac:dyDescent="0.2"/>
  <cols>
    <col min="1" max="1" width="5.1640625" bestFit="1" customWidth="1"/>
    <col min="2" max="2" width="6.33203125" bestFit="1" customWidth="1"/>
    <col min="4" max="9" width="9.6640625" bestFit="1" customWidth="1"/>
    <col min="10" max="10" width="3.6640625" customWidth="1"/>
    <col min="11" max="17" width="9.6640625" bestFit="1" customWidth="1"/>
    <col min="18" max="18" width="4" customWidth="1"/>
    <col min="26" max="26" width="3.1640625" customWidth="1"/>
  </cols>
  <sheetData>
    <row r="1" spans="1:25" x14ac:dyDescent="0.2">
      <c r="C1" t="s">
        <v>104</v>
      </c>
    </row>
    <row r="2" spans="1:25" s="138" customFormat="1" x14ac:dyDescent="0.2">
      <c r="A2" s="149" t="s">
        <v>106</v>
      </c>
    </row>
    <row r="3" spans="1:25" x14ac:dyDescent="0.2">
      <c r="C3" s="135" t="s">
        <v>122</v>
      </c>
      <c r="D3" s="136"/>
      <c r="E3" s="136"/>
      <c r="F3" s="136"/>
      <c r="G3" s="136"/>
      <c r="H3" s="136"/>
      <c r="I3" s="136"/>
      <c r="K3" s="147" t="s">
        <v>123</v>
      </c>
      <c r="L3" s="83"/>
      <c r="M3" s="83"/>
      <c r="N3" s="83"/>
      <c r="O3" s="83"/>
      <c r="P3" s="83"/>
      <c r="Q3" s="83"/>
      <c r="S3" s="143" t="s">
        <v>124</v>
      </c>
      <c r="T3" s="144"/>
      <c r="U3" s="144"/>
      <c r="V3" s="144"/>
      <c r="W3" s="144"/>
      <c r="X3" s="144"/>
      <c r="Y3" s="144"/>
    </row>
    <row r="4" spans="1:25" x14ac:dyDescent="0.2">
      <c r="C4" s="15" t="s">
        <v>109</v>
      </c>
      <c r="D4" s="15" t="s">
        <v>110</v>
      </c>
      <c r="E4" s="15" t="s">
        <v>111</v>
      </c>
      <c r="F4" s="15" t="s">
        <v>112</v>
      </c>
      <c r="G4" s="15" t="s">
        <v>113</v>
      </c>
      <c r="H4" s="15" t="s">
        <v>114</v>
      </c>
      <c r="I4" s="15" t="s">
        <v>115</v>
      </c>
      <c r="K4" s="15" t="s">
        <v>109</v>
      </c>
      <c r="L4" s="15" t="s">
        <v>110</v>
      </c>
      <c r="M4" s="15" t="s">
        <v>111</v>
      </c>
      <c r="N4" s="15" t="s">
        <v>112</v>
      </c>
      <c r="O4" s="15" t="s">
        <v>113</v>
      </c>
      <c r="P4" s="15" t="s">
        <v>114</v>
      </c>
      <c r="Q4" s="15" t="s">
        <v>115</v>
      </c>
      <c r="S4" s="15" t="s">
        <v>109</v>
      </c>
      <c r="T4" s="15" t="s">
        <v>110</v>
      </c>
      <c r="U4" s="15" t="s">
        <v>111</v>
      </c>
      <c r="V4" s="15" t="s">
        <v>112</v>
      </c>
      <c r="W4" s="15" t="s">
        <v>113</v>
      </c>
      <c r="X4" s="15" t="s">
        <v>114</v>
      </c>
      <c r="Y4" s="15" t="s">
        <v>115</v>
      </c>
    </row>
    <row r="5" spans="1:25" x14ac:dyDescent="0.2">
      <c r="A5" s="15" t="s">
        <v>20</v>
      </c>
      <c r="B5" s="15">
        <v>15</v>
      </c>
      <c r="C5" s="3">
        <f>Results_DT3!Z13</f>
        <v>122609.714404</v>
      </c>
      <c r="D5" s="3">
        <f>Results_DT5!Z13</f>
        <v>121456.255248</v>
      </c>
      <c r="E5" s="3">
        <f>Results_DT7!Z13</f>
        <v>120301.159335</v>
      </c>
      <c r="F5" s="3">
        <f>Results_DT9!Z13</f>
        <v>119161.72607600001</v>
      </c>
      <c r="G5" s="3">
        <f>Results_DT11!Z13</f>
        <v>118062.340956</v>
      </c>
      <c r="H5" s="3">
        <f>Results_DT13!Z13</f>
        <v>116888.13480099999</v>
      </c>
      <c r="I5" s="3">
        <f>Results_DT15!Z13</f>
        <v>115740.662539</v>
      </c>
      <c r="K5" s="3">
        <f>Results_DT3!Z12</f>
        <v>123675.13991300001</v>
      </c>
      <c r="L5" s="3">
        <f>Results_DT5!Z12</f>
        <v>123296.32374599999</v>
      </c>
      <c r="M5" s="3">
        <f>Results_DT7!Z12</f>
        <v>122923.367855</v>
      </c>
      <c r="N5" s="3">
        <f>Results_DT9!Z12</f>
        <v>122533.54159399999</v>
      </c>
      <c r="O5" s="3">
        <f>Results_DT11!Z12</f>
        <v>122145.878082</v>
      </c>
      <c r="P5" s="3">
        <f>Results_DT13!Z12</f>
        <v>121750.983727</v>
      </c>
      <c r="Q5" s="3">
        <f>Results_DT15!Z12</f>
        <v>121352.036974</v>
      </c>
      <c r="S5" s="3">
        <f>Results_DT3!L13</f>
        <v>12651.817623000001</v>
      </c>
      <c r="T5" s="3">
        <f>Results_DT5!L13</f>
        <v>7688.5896089999997</v>
      </c>
      <c r="U5" s="3">
        <f>Results_DT7!L13</f>
        <v>5561.0680480000001</v>
      </c>
      <c r="V5" s="3">
        <f>Results_DT9!L13</f>
        <v>4379.1230589999996</v>
      </c>
      <c r="W5" s="3">
        <f>Results_DT11!L13</f>
        <v>3625.73686</v>
      </c>
      <c r="X5" s="3">
        <f>Results_DT13!L13</f>
        <v>3105.6736139999998</v>
      </c>
      <c r="Y5" s="3">
        <f>Results_DT15!L13</f>
        <v>2723.815474</v>
      </c>
    </row>
    <row r="6" spans="1:25" x14ac:dyDescent="0.2">
      <c r="A6" s="15"/>
      <c r="B6" s="15">
        <v>20</v>
      </c>
      <c r="C6" s="3">
        <f>Results_DT3!Z15</f>
        <v>124178.926295</v>
      </c>
      <c r="D6" s="3">
        <f>Results_DT5!Z15</f>
        <v>122952.299952</v>
      </c>
      <c r="E6" s="3">
        <f>Results_DT7!Z15</f>
        <v>121763.785449</v>
      </c>
      <c r="F6" s="3">
        <f>Results_DT9!Z15</f>
        <v>120620.26075099999</v>
      </c>
      <c r="G6" s="3">
        <f>Results_DT11!Z15</f>
        <v>119402.11797399999</v>
      </c>
      <c r="H6" s="3">
        <f>Results_DT13!Z15</f>
        <v>118215.57264899999</v>
      </c>
      <c r="I6" s="3">
        <f>Results_DT15!Z15</f>
        <v>116982.87076999999</v>
      </c>
      <c r="K6" s="3">
        <f>Results_DT3!Z14</f>
        <v>125285.05779200001</v>
      </c>
      <c r="L6" s="3">
        <f>Results_DT5!Z14</f>
        <v>124869.51793</v>
      </c>
      <c r="M6" s="3">
        <f>Results_DT7!Z14</f>
        <v>124459.633487</v>
      </c>
      <c r="N6" s="3">
        <f>Results_DT9!Z14</f>
        <v>124053.483848</v>
      </c>
      <c r="O6" s="3">
        <f>Results_DT11!Z14</f>
        <v>123628.471448</v>
      </c>
      <c r="P6" s="3">
        <f>Results_DT13!Z14</f>
        <v>123207.757006</v>
      </c>
      <c r="Q6" s="3">
        <f>Results_DT15!Z14</f>
        <v>122785.20909999999</v>
      </c>
      <c r="S6" s="3">
        <f>Results_DT3!L15</f>
        <v>13168.642551999999</v>
      </c>
      <c r="T6" s="3">
        <f>Results_DT5!L15</f>
        <v>8001.8286090000001</v>
      </c>
      <c r="U6" s="3">
        <f>Results_DT7!L15</f>
        <v>5785.6480469999997</v>
      </c>
      <c r="V6" s="3">
        <f>Results_DT9!L15</f>
        <v>4552.6048499999997</v>
      </c>
      <c r="W6" s="3">
        <f>Results_DT11!L15</f>
        <v>3770.281481</v>
      </c>
      <c r="X6" s="3">
        <f>Results_DT13!L15</f>
        <v>3227.6672100000001</v>
      </c>
      <c r="Y6" s="3">
        <f>Results_DT15!L15</f>
        <v>2830.4719599999999</v>
      </c>
    </row>
    <row r="7" spans="1:25" x14ac:dyDescent="0.2">
      <c r="A7" s="15"/>
      <c r="B7" s="15">
        <v>25</v>
      </c>
      <c r="C7" s="3">
        <f>Results_DT3!Z17</f>
        <v>125131.17584500001</v>
      </c>
      <c r="D7" s="3">
        <f>Results_DT5!Z17</f>
        <v>123963.213948</v>
      </c>
      <c r="E7" s="3">
        <f>Results_DT7!Z17</f>
        <v>122690.828018</v>
      </c>
      <c r="F7" s="3">
        <f>Results_DT9!Z17</f>
        <v>121483.499799</v>
      </c>
      <c r="G7" s="3">
        <f>Results_DT11!Z17</f>
        <v>120210.82747400001</v>
      </c>
      <c r="H7" s="3">
        <f>Results_DT13!Z17</f>
        <v>118980.059289</v>
      </c>
      <c r="I7" s="3">
        <f>Results_DT15!Z17</f>
        <v>117696.323435</v>
      </c>
      <c r="K7" s="3">
        <f>Results_DT3!Z16</f>
        <v>126323.99808600001</v>
      </c>
      <c r="L7" s="3">
        <f>Results_DT5!Z16</f>
        <v>125883.712753</v>
      </c>
      <c r="M7" s="3">
        <f>Results_DT7!Z16</f>
        <v>125443.398698</v>
      </c>
      <c r="N7" s="3">
        <f>Results_DT9!Z16</f>
        <v>124984.54279199999</v>
      </c>
      <c r="O7" s="3">
        <f>Results_DT11!Z16</f>
        <v>124553.44687699999</v>
      </c>
      <c r="P7" s="3">
        <f>Results_DT13!Z16</f>
        <v>124091.741469</v>
      </c>
      <c r="Q7" s="3">
        <f>Results_DT15!Z16</f>
        <v>123628.438281</v>
      </c>
      <c r="S7" s="3">
        <f>Results_DT3!L17</f>
        <v>13647.15538</v>
      </c>
      <c r="T7" s="3">
        <f>Results_DT5!L17</f>
        <v>8284.1502220000002</v>
      </c>
      <c r="U7" s="3">
        <f>Results_DT7!L17</f>
        <v>5989.289057</v>
      </c>
      <c r="V7" s="3">
        <f>Results_DT9!L17</f>
        <v>4713.1969799999997</v>
      </c>
      <c r="W7" s="3">
        <f>Results_DT11!L17</f>
        <v>3901.3846149999999</v>
      </c>
      <c r="X7" s="3">
        <f>Results_DT13!L17</f>
        <v>3339.3206100000002</v>
      </c>
      <c r="Y7" s="3">
        <f>Results_DT15!L17</f>
        <v>2927.9779010000002</v>
      </c>
    </row>
    <row r="8" spans="1:25" x14ac:dyDescent="0.2">
      <c r="A8" s="15" t="s">
        <v>108</v>
      </c>
      <c r="B8" s="15">
        <v>15</v>
      </c>
      <c r="C8" s="3">
        <f>Results_DT3!Z25</f>
        <v>396783.66351500002</v>
      </c>
      <c r="D8" s="3">
        <f>Results_DT5!Z25</f>
        <v>394451.32479799999</v>
      </c>
      <c r="E8" s="3">
        <f>Results_DT7!Z25</f>
        <v>392106.25556700001</v>
      </c>
      <c r="F8" s="3">
        <f>Results_DT9!Z25</f>
        <v>389864.935918</v>
      </c>
      <c r="G8" s="3">
        <f>Results_DT11!Z25</f>
        <v>387742.35325300001</v>
      </c>
      <c r="H8" s="3">
        <f>Results_DT13!Z25</f>
        <v>385425.59173099999</v>
      </c>
      <c r="I8" s="3">
        <f>Results_DT15!Z25</f>
        <v>382142.25591800001</v>
      </c>
      <c r="K8" s="3">
        <f>Results_DT3!Z24</f>
        <v>400002.05747200001</v>
      </c>
      <c r="L8" s="3">
        <f>Results_DT5!Z24</f>
        <v>400001.192507</v>
      </c>
      <c r="M8" s="3">
        <f>Results_DT7!Z24</f>
        <v>400002.58685800002</v>
      </c>
      <c r="N8" s="3">
        <f>Results_DT9!Z24</f>
        <v>400002.94725000003</v>
      </c>
      <c r="O8" s="3">
        <f>Results_DT11!Z24</f>
        <v>400002.05902500002</v>
      </c>
      <c r="P8" s="3">
        <f>Results_DT13!Z24</f>
        <v>400001.06323700002</v>
      </c>
      <c r="Q8" s="3">
        <f>Results_DT15!Z24</f>
        <v>400000.89632699999</v>
      </c>
      <c r="S8" s="3">
        <f>Results_DT3!L25</f>
        <v>45792.116162999999</v>
      </c>
      <c r="T8" s="3">
        <f>Results_DT5!L25</f>
        <v>27855.821821000001</v>
      </c>
      <c r="U8" s="3">
        <f>Results_DT7!L25</f>
        <v>20166.708210000001</v>
      </c>
      <c r="V8" s="3">
        <f>Results_DT9!L25</f>
        <v>15897.11148</v>
      </c>
      <c r="W8" s="3">
        <f>Results_DT11!L25</f>
        <v>13176.157633999999</v>
      </c>
      <c r="X8" s="3">
        <f>Results_DT13!L25</f>
        <v>11297.56163</v>
      </c>
      <c r="Y8" s="3">
        <f>Results_DT15!L25</f>
        <v>9891.284619</v>
      </c>
    </row>
    <row r="9" spans="1:25" x14ac:dyDescent="0.2">
      <c r="A9" s="15"/>
      <c r="B9" s="15">
        <v>20</v>
      </c>
      <c r="C9" s="3">
        <f>Results_DT3!Z27</f>
        <v>396729.203439</v>
      </c>
      <c r="D9" s="3">
        <f>Results_DT5!Z27</f>
        <v>394339.32659399998</v>
      </c>
      <c r="E9" s="3">
        <f>Results_DT7!Z27</f>
        <v>392051.11713600002</v>
      </c>
      <c r="F9" s="3">
        <f>Results_DT9!Z27</f>
        <v>389889.91100899997</v>
      </c>
      <c r="G9" s="3">
        <f>Results_DT11!Z27</f>
        <v>386925.81733699999</v>
      </c>
      <c r="H9" s="3">
        <f>Results_DT13!Z27</f>
        <v>380551.670682</v>
      </c>
      <c r="I9" s="3">
        <f>Results_DT15!Z27</f>
        <v>389911.38069700002</v>
      </c>
      <c r="K9" s="3">
        <f>Results_DT3!Z26</f>
        <v>400001.47745499999</v>
      </c>
      <c r="L9" s="3">
        <f>Results_DT5!Z26</f>
        <v>400002.59985900001</v>
      </c>
      <c r="M9" s="3">
        <f>Results_DT7!Z26</f>
        <v>400002.74895400001</v>
      </c>
      <c r="N9" s="3">
        <f>Results_DT9!Z26</f>
        <v>400002.40033500001</v>
      </c>
      <c r="O9" s="3">
        <f>Results_DT11!Z26</f>
        <v>400001.25352299999</v>
      </c>
      <c r="P9" s="3">
        <f>Results_DT13!Z26</f>
        <v>400000.36374200002</v>
      </c>
      <c r="Q9" s="3">
        <f>Results_DT15!Z26</f>
        <v>391140.48334999999</v>
      </c>
      <c r="S9" s="3">
        <f>Results_DT3!L27</f>
        <v>46905.995836000002</v>
      </c>
      <c r="T9" s="3">
        <f>Results_DT5!L27</f>
        <v>28534.549887000001</v>
      </c>
      <c r="U9" s="3">
        <f>Results_DT7!L27</f>
        <v>20654.853109</v>
      </c>
      <c r="V9" s="3">
        <f>Results_DT9!L27</f>
        <v>16271.434621</v>
      </c>
      <c r="W9" s="3">
        <f>Results_DT11!L27</f>
        <v>13468.386214</v>
      </c>
      <c r="X9" s="3">
        <f>Results_DT13!L27</f>
        <v>11418.948560000001</v>
      </c>
      <c r="Y9" s="3">
        <f>Results_DT15!L27</f>
        <v>9856.6462329999995</v>
      </c>
    </row>
    <row r="10" spans="1:25" x14ac:dyDescent="0.2">
      <c r="A10" s="15"/>
      <c r="B10" s="15">
        <v>25</v>
      </c>
      <c r="C10" s="3">
        <f>Results_DT3!Z29</f>
        <v>396531.33668499999</v>
      </c>
      <c r="D10" s="3">
        <f>Results_DT5!Z29</f>
        <v>394419.95926899998</v>
      </c>
      <c r="E10" s="3">
        <f>Results_DT7!Z29</f>
        <v>391806.92864599999</v>
      </c>
      <c r="F10" s="3">
        <f>Results_DT9!Z29</f>
        <v>385378.35288399999</v>
      </c>
      <c r="G10" s="3">
        <f>Results_DT11!Z29</f>
        <v>378868.42918899999</v>
      </c>
      <c r="H10" s="3">
        <f>Results_DT13!Z29</f>
        <v>340342.62271999998</v>
      </c>
      <c r="I10" s="3">
        <f>Results_DT15!Z29</f>
        <v>0</v>
      </c>
      <c r="K10" s="3">
        <f>Results_DT3!Z28</f>
        <v>400001.98031900002</v>
      </c>
      <c r="L10" s="3">
        <f>Results_DT5!Z28</f>
        <v>400001.16744500003</v>
      </c>
      <c r="M10" s="3">
        <f>Results_DT7!Z28</f>
        <v>400001.11553299997</v>
      </c>
      <c r="N10" s="3">
        <f>Results_DT9!Z28</f>
        <v>400002.286632</v>
      </c>
      <c r="O10" s="3">
        <f>Results_DT11!Z28</f>
        <v>396754.81722000003</v>
      </c>
      <c r="P10" s="3">
        <f>Results_DT13!Z28</f>
        <v>353394.447858</v>
      </c>
      <c r="Q10" s="3">
        <f>Results_DT15!Z28</f>
        <v>366141.50611800002</v>
      </c>
      <c r="S10" s="3">
        <f>Results_DT3!L29</f>
        <v>48051.946951999998</v>
      </c>
      <c r="T10" s="3">
        <f>Results_DT5!L29</f>
        <v>29208.228358</v>
      </c>
      <c r="U10" s="3">
        <f>Results_DT7!L29</f>
        <v>21131.719874999999</v>
      </c>
      <c r="V10" s="3">
        <f>Results_DT9!L29</f>
        <v>16470.067966999999</v>
      </c>
      <c r="W10" s="3">
        <f>Results_DT11!L29</f>
        <v>13502.06855</v>
      </c>
      <c r="X10" s="3">
        <f>Results_DT13!L29</f>
        <v>10455.751499</v>
      </c>
      <c r="Y10" s="3">
        <f>Results_DT15!L29</f>
        <v>0</v>
      </c>
    </row>
    <row r="12" spans="1:25" x14ac:dyDescent="0.2">
      <c r="A12" s="139" t="s">
        <v>125</v>
      </c>
      <c r="B12" s="140"/>
      <c r="C12" s="140"/>
      <c r="D12" s="140"/>
      <c r="E12" s="140"/>
      <c r="F12" s="140"/>
      <c r="G12" s="140"/>
      <c r="H12" s="140"/>
    </row>
    <row r="13" spans="1:25" x14ac:dyDescent="0.2">
      <c r="A13" s="139" t="s">
        <v>126</v>
      </c>
      <c r="B13" s="140"/>
      <c r="C13" s="140"/>
      <c r="D13" s="140"/>
      <c r="E13" s="140"/>
      <c r="F13" s="140"/>
      <c r="G13" s="155" t="s">
        <v>127</v>
      </c>
      <c r="H13" s="140"/>
    </row>
    <row r="14" spans="1:25" x14ac:dyDescent="0.2">
      <c r="A14" s="139" t="s">
        <v>120</v>
      </c>
      <c r="B14" s="140"/>
      <c r="C14" s="140"/>
      <c r="D14" s="140"/>
      <c r="E14" s="140"/>
      <c r="F14" s="140"/>
      <c r="G14" s="140"/>
      <c r="H14" s="140"/>
    </row>
    <row r="15" spans="1:25" s="73" customFormat="1" x14ac:dyDescent="0.2">
      <c r="C15" s="148"/>
    </row>
    <row r="16" spans="1:25" s="144" customFormat="1" x14ac:dyDescent="0.2">
      <c r="A16" s="150" t="s">
        <v>107</v>
      </c>
    </row>
    <row r="17" spans="1:33" x14ac:dyDescent="0.2">
      <c r="C17" s="137" t="s">
        <v>122</v>
      </c>
      <c r="D17" s="138"/>
      <c r="E17" s="138"/>
      <c r="F17" s="138"/>
      <c r="G17" s="138"/>
      <c r="H17" s="138"/>
      <c r="I17" s="138"/>
      <c r="K17" s="139" t="s">
        <v>105</v>
      </c>
      <c r="L17" s="140"/>
      <c r="M17" s="140"/>
      <c r="N17" s="140"/>
      <c r="O17" s="140"/>
      <c r="P17" s="140"/>
      <c r="Q17" s="140"/>
      <c r="S17" s="141" t="s">
        <v>98</v>
      </c>
      <c r="T17" s="142"/>
      <c r="U17" s="142"/>
      <c r="V17" s="142"/>
      <c r="W17" s="142"/>
      <c r="X17" s="142"/>
      <c r="Y17" s="142"/>
      <c r="AA17" s="135" t="s">
        <v>97</v>
      </c>
      <c r="AB17" s="136"/>
      <c r="AC17" s="136"/>
      <c r="AD17" s="136"/>
      <c r="AE17" s="136"/>
      <c r="AF17" s="136"/>
      <c r="AG17" s="136"/>
    </row>
    <row r="18" spans="1:33" x14ac:dyDescent="0.2">
      <c r="C18" s="15" t="s">
        <v>109</v>
      </c>
      <c r="D18" s="15" t="s">
        <v>110</v>
      </c>
      <c r="E18" s="15" t="s">
        <v>111</v>
      </c>
      <c r="F18" s="15" t="s">
        <v>112</v>
      </c>
      <c r="G18" s="15" t="s">
        <v>113</v>
      </c>
      <c r="H18" s="15" t="s">
        <v>114</v>
      </c>
      <c r="I18" s="15" t="s">
        <v>115</v>
      </c>
      <c r="K18" s="15" t="s">
        <v>109</v>
      </c>
      <c r="L18" s="15" t="s">
        <v>110</v>
      </c>
      <c r="M18" s="15" t="s">
        <v>111</v>
      </c>
      <c r="N18" s="15" t="s">
        <v>112</v>
      </c>
      <c r="O18" s="15" t="s">
        <v>113</v>
      </c>
      <c r="P18" s="15" t="s">
        <v>114</v>
      </c>
      <c r="Q18" s="15" t="s">
        <v>115</v>
      </c>
      <c r="S18" s="15" t="s">
        <v>109</v>
      </c>
      <c r="T18" s="15" t="s">
        <v>110</v>
      </c>
      <c r="U18" s="15" t="s">
        <v>111</v>
      </c>
      <c r="V18" s="15" t="s">
        <v>112</v>
      </c>
      <c r="W18" s="15" t="s">
        <v>113</v>
      </c>
      <c r="X18" s="15" t="s">
        <v>114</v>
      </c>
      <c r="Y18" s="15" t="s">
        <v>115</v>
      </c>
      <c r="Z18" s="15"/>
      <c r="AA18" s="15" t="s">
        <v>109</v>
      </c>
      <c r="AB18" s="15" t="s">
        <v>110</v>
      </c>
      <c r="AC18" s="15" t="s">
        <v>111</v>
      </c>
      <c r="AD18" s="15" t="s">
        <v>112</v>
      </c>
      <c r="AE18" s="15" t="s">
        <v>113</v>
      </c>
      <c r="AF18" s="15" t="s">
        <v>114</v>
      </c>
      <c r="AG18" s="15" t="s">
        <v>115</v>
      </c>
    </row>
    <row r="19" spans="1:33" x14ac:dyDescent="0.2">
      <c r="A19" s="15" t="s">
        <v>20</v>
      </c>
      <c r="B19" s="15">
        <v>15</v>
      </c>
      <c r="C19" s="3">
        <f>Results_DT3!Z7</f>
        <v>123903.448586</v>
      </c>
      <c r="D19" s="3">
        <f>Results_DT5!Z7</f>
        <v>123566.44058900001</v>
      </c>
      <c r="E19" s="3">
        <f>Results_DT7!Z7</f>
        <v>123172.41274</v>
      </c>
      <c r="F19" s="3">
        <f>Results_DT9!Z7</f>
        <v>122790.012068</v>
      </c>
      <c r="G19" s="3">
        <f>Results_DT11!Z7</f>
        <v>122412.912572</v>
      </c>
      <c r="H19" s="3">
        <f>Results_DT13!Z7</f>
        <v>122018.06755599999</v>
      </c>
      <c r="I19" s="3">
        <f>Results_DT15!Z7</f>
        <v>121628.85494400001</v>
      </c>
      <c r="K19" s="3">
        <f>Results_DT3!L7</f>
        <v>12494.832657000001</v>
      </c>
      <c r="L19" s="3">
        <f>Results_DT5!L7</f>
        <v>7549.0157159999999</v>
      </c>
      <c r="M19" s="3">
        <f>Results_DT7!L7</f>
        <v>5435.2193049999996</v>
      </c>
      <c r="N19" s="3">
        <f>Results_DT9!L7</f>
        <v>4259.8273230000004</v>
      </c>
      <c r="O19" s="3">
        <f>Results_DT11!L7</f>
        <v>3511.4253920000001</v>
      </c>
      <c r="P19" s="3">
        <f>Results_DT13!L7</f>
        <v>2994.2199409999998</v>
      </c>
      <c r="Q19" s="3">
        <f>Results_DT15!L7</f>
        <v>2614.6648890000001</v>
      </c>
      <c r="S19" s="3">
        <f>Results_DT3!O7</f>
        <v>197.42206300000001</v>
      </c>
      <c r="T19" s="3">
        <f>Results_DT5!O7</f>
        <v>138.80933400000001</v>
      </c>
      <c r="U19" s="3">
        <f>Results_DT7!O7</f>
        <v>113.46746</v>
      </c>
      <c r="V19" s="3">
        <f>Results_DT9!O7</f>
        <v>99.490604000000005</v>
      </c>
      <c r="W19" s="3">
        <f>Results_DT11!O7</f>
        <v>90.823980000000006</v>
      </c>
      <c r="X19" s="3">
        <f>Results_DT13!O7</f>
        <v>85.113144000000005</v>
      </c>
      <c r="Y19" s="3">
        <f>Results_DT15!O7</f>
        <v>81.180869000000001</v>
      </c>
      <c r="AA19" s="3">
        <f>Results_DT3!O6</f>
        <v>196.493503</v>
      </c>
      <c r="AB19" s="3">
        <f>Results_DT5!O6</f>
        <v>137.804936</v>
      </c>
      <c r="AC19" s="3">
        <f>Results_DT7!O6</f>
        <v>112.371447</v>
      </c>
      <c r="AD19" s="3">
        <f>Results_DT9!O6</f>
        <v>98.290539999999993</v>
      </c>
      <c r="AE19" s="3">
        <f>Results_DT11!O6</f>
        <v>89.508579999999995</v>
      </c>
      <c r="AF19" s="3">
        <f>Results_DT13!O6</f>
        <v>83.671242000000007</v>
      </c>
      <c r="AG19" s="3">
        <f>Results_DT15!O6</f>
        <v>79.602209000000002</v>
      </c>
    </row>
    <row r="20" spans="1:33" x14ac:dyDescent="0.2">
      <c r="A20" s="15"/>
      <c r="B20" s="15">
        <v>20</v>
      </c>
      <c r="C20" s="3">
        <f>Results_DT3!Z9</f>
        <v>125699.451621</v>
      </c>
      <c r="D20" s="3">
        <f>Results_DT5!Z9</f>
        <v>125295.936218</v>
      </c>
      <c r="E20" s="3">
        <f>Results_DT7!Z9</f>
        <v>124885.393289</v>
      </c>
      <c r="F20" s="3">
        <f>Results_DT9!Z9</f>
        <v>124469.841887</v>
      </c>
      <c r="G20" s="3">
        <f>Results_DT11!Z9</f>
        <v>124064.44465600001</v>
      </c>
      <c r="H20" s="3">
        <f>Results_DT13!Z9</f>
        <v>123627.85181599999</v>
      </c>
      <c r="I20" s="3">
        <f>Results_DT15!Z9</f>
        <v>123226.92765</v>
      </c>
      <c r="K20" s="3">
        <f>Results_DT3!L9</f>
        <v>12968.942437</v>
      </c>
      <c r="L20" s="3">
        <f>Results_DT5!L9</f>
        <v>7840.088968</v>
      </c>
      <c r="M20" s="3">
        <f>Results_DT7!L9</f>
        <v>5642.4194630000002</v>
      </c>
      <c r="N20" s="3">
        <f>Results_DT9!L9</f>
        <v>4421.7910979999997</v>
      </c>
      <c r="O20" s="3">
        <f>Results_DT11!L9</f>
        <v>3644.2982050000001</v>
      </c>
      <c r="P20" s="3">
        <f>Results_DT13!L9</f>
        <v>3107.6596089999998</v>
      </c>
      <c r="Q20" s="3">
        <f>Results_DT15!L9</f>
        <v>2712.4639980000002</v>
      </c>
      <c r="S20" s="3">
        <f>Results_DT3!O9</f>
        <v>209.08945800000001</v>
      </c>
      <c r="T20" s="3">
        <f>Results_DT5!O9</f>
        <v>148.197135</v>
      </c>
      <c r="U20" s="3">
        <f>Results_DT7!O9</f>
        <v>121.748783</v>
      </c>
      <c r="V20" s="3">
        <f>Results_DT9!O9</f>
        <v>107.16879299999999</v>
      </c>
      <c r="W20" s="3">
        <f>Results_DT11!O9</f>
        <v>98.102575000000002</v>
      </c>
      <c r="X20" s="3">
        <f>Results_DT13!O9</f>
        <v>92.130606999999998</v>
      </c>
      <c r="Y20" s="3">
        <f>Results_DT15!O9</f>
        <v>87.959764000000007</v>
      </c>
      <c r="AA20" s="3">
        <f>Results_DT3!O8</f>
        <v>208.04259200000001</v>
      </c>
      <c r="AB20" s="3">
        <f>Results_DT5!O8</f>
        <v>147.05190999999999</v>
      </c>
      <c r="AC20" s="3">
        <f>Results_DT7!O8</f>
        <v>120.490961</v>
      </c>
      <c r="AD20" s="3">
        <f>Results_DT9!O8</f>
        <v>105.785674</v>
      </c>
      <c r="AE20" s="3">
        <f>Results_DT11!O8</f>
        <v>96.582926</v>
      </c>
      <c r="AF20" s="3">
        <f>Results_DT13!O8</f>
        <v>90.462721999999999</v>
      </c>
      <c r="AG20" s="3">
        <f>Results_DT15!O8</f>
        <v>86.134152</v>
      </c>
    </row>
    <row r="21" spans="1:33" x14ac:dyDescent="0.2">
      <c r="A21" s="15"/>
      <c r="B21" s="15">
        <v>25</v>
      </c>
      <c r="C21" s="3">
        <f>Results_DT3!Z11</f>
        <v>126895.760765</v>
      </c>
      <c r="D21" s="3">
        <f>Results_DT5!Z11</f>
        <v>126464.01455599999</v>
      </c>
      <c r="E21" s="3">
        <f>Results_DT7!Z11</f>
        <v>126034.83046300001</v>
      </c>
      <c r="F21" s="3">
        <f>Results_DT9!Z11</f>
        <v>125623.147392</v>
      </c>
      <c r="G21" s="3">
        <f>Results_DT11!Z11</f>
        <v>125149.371663</v>
      </c>
      <c r="H21" s="3">
        <f>Results_DT13!Z11</f>
        <v>124719.64683899999</v>
      </c>
      <c r="I21" s="3">
        <f>Results_DT15!Z11</f>
        <v>124267.05184299999</v>
      </c>
      <c r="K21" s="3">
        <f>Results_DT3!L11</f>
        <v>13412.141039</v>
      </c>
      <c r="L21" s="3">
        <f>Results_DT5!L11</f>
        <v>8106.4743070000004</v>
      </c>
      <c r="M21" s="3">
        <f>Results_DT7!L11</f>
        <v>5831.9334859999999</v>
      </c>
      <c r="N21" s="3">
        <f>Results_DT9!L11</f>
        <v>4567.2088780000004</v>
      </c>
      <c r="O21" s="3">
        <f>Results_DT11!L11</f>
        <v>3765.8755609999998</v>
      </c>
      <c r="P21" s="3">
        <f>Results_DT13!L11</f>
        <v>3208.9355420000002</v>
      </c>
      <c r="Q21" s="3">
        <f>Results_DT15!L11</f>
        <v>2801.5446969999998</v>
      </c>
      <c r="S21" s="3">
        <f>Results_DT3!O11</f>
        <v>219.602408</v>
      </c>
      <c r="T21" s="3">
        <f>Results_DT5!O11</f>
        <v>156.600191</v>
      </c>
      <c r="U21" s="3">
        <f>Results_DT7!O11</f>
        <v>129.209486</v>
      </c>
      <c r="V21" s="3">
        <f>Results_DT9!O11</f>
        <v>114.057712</v>
      </c>
      <c r="W21" s="3">
        <f>Results_DT11!O11</f>
        <v>104.726714</v>
      </c>
      <c r="X21" s="3">
        <f>Results_DT13!O11</f>
        <v>98.461426000000003</v>
      </c>
      <c r="Y21" s="3">
        <f>Results_DT15!O11</f>
        <v>94.148949999999999</v>
      </c>
      <c r="AA21" s="3">
        <f>Results_DT3!O10</f>
        <v>218.45176699999999</v>
      </c>
      <c r="AB21" s="3">
        <f>Results_DT5!O10</f>
        <v>155.328384</v>
      </c>
      <c r="AC21" s="3">
        <f>Results_DT7!O10</f>
        <v>127.803423</v>
      </c>
      <c r="AD21" s="3">
        <f>Results_DT9!O10</f>
        <v>112.505618</v>
      </c>
      <c r="AE21" s="3">
        <f>Results_DT11!O10</f>
        <v>103.01582399999999</v>
      </c>
      <c r="AF21" s="3">
        <f>Results_DT13!O10</f>
        <v>96.582128999999995</v>
      </c>
      <c r="AG21" s="3">
        <f>Results_DT15!O10</f>
        <v>92.090168000000006</v>
      </c>
    </row>
    <row r="22" spans="1:33" x14ac:dyDescent="0.2">
      <c r="A22" s="15" t="s">
        <v>108</v>
      </c>
      <c r="B22" s="15">
        <v>15</v>
      </c>
      <c r="C22" s="3">
        <f>Results_DT3!Z19</f>
        <v>400002.51038400002</v>
      </c>
      <c r="D22" s="3">
        <f>Results_DT5!Z19</f>
        <v>400006.60116600001</v>
      </c>
      <c r="E22" s="3">
        <f>Results_DT7!Z19</f>
        <v>400001.37868099997</v>
      </c>
      <c r="F22" s="3">
        <f>Results_DT9!Z19</f>
        <v>400003.97395299998</v>
      </c>
      <c r="G22" s="3">
        <f>Results_DT11!Z19</f>
        <v>400002.57788</v>
      </c>
      <c r="H22" s="3">
        <f>Results_DT13!Z19</f>
        <v>400000.411188</v>
      </c>
      <c r="I22" s="3">
        <f>Results_DT15!Z19</f>
        <v>400000.91310800001</v>
      </c>
      <c r="K22" s="3">
        <f>Results_DT3!L19</f>
        <v>45245.486360000003</v>
      </c>
      <c r="L22" s="3">
        <f>Results_DT5!L19</f>
        <v>27377.618789</v>
      </c>
      <c r="M22" s="3">
        <f>Results_DT7!L19</f>
        <v>19748.393725999998</v>
      </c>
      <c r="N22" s="3">
        <f>Results_DT9!L19</f>
        <v>15506.346686999999</v>
      </c>
      <c r="O22" s="3">
        <f>Results_DT11!L19</f>
        <v>12805.337885000001</v>
      </c>
      <c r="P22" s="3">
        <f>Results_DT13!L19</f>
        <v>10940.047329999999</v>
      </c>
      <c r="Q22" s="3">
        <f>Results_DT15!L19</f>
        <v>9571.2411549999997</v>
      </c>
      <c r="S22" s="3">
        <f>Results_DT3!O19</f>
        <v>714.89601100000004</v>
      </c>
      <c r="T22" s="3">
        <f>Results_DT5!O19</f>
        <v>503.414804</v>
      </c>
      <c r="U22" s="3">
        <f>Results_DT7!O19</f>
        <v>412.27569599999998</v>
      </c>
      <c r="V22" s="3">
        <f>Results_DT9!O19</f>
        <v>362.160507</v>
      </c>
      <c r="W22" s="3">
        <f>Results_DT11!O19</f>
        <v>331.21465699999999</v>
      </c>
      <c r="X22" s="3">
        <f>Results_DT13!O19</f>
        <v>310.98045500000001</v>
      </c>
      <c r="Y22" s="3">
        <f>Results_DT15!O19</f>
        <v>297.17139300000002</v>
      </c>
      <c r="AA22" s="3">
        <f>Results_DT3!O18</f>
        <v>711.53356299999996</v>
      </c>
      <c r="AB22" s="3">
        <f>Results_DT5!O18</f>
        <v>499.77219700000001</v>
      </c>
      <c r="AC22" s="3">
        <f>Results_DT7!O18</f>
        <v>408.29342000000003</v>
      </c>
      <c r="AD22" s="3">
        <f>Results_DT9!O18</f>
        <v>357.792101</v>
      </c>
      <c r="AE22" s="3">
        <f>Results_DT11!O18</f>
        <v>326.41769199999999</v>
      </c>
      <c r="AF22" s="3">
        <f>Results_DT13!O18</f>
        <v>305.71213799999998</v>
      </c>
      <c r="AG22" s="3">
        <f>Results_DT15!O18</f>
        <v>291.39253600000001</v>
      </c>
    </row>
    <row r="23" spans="1:33" x14ac:dyDescent="0.2">
      <c r="A23" s="15"/>
      <c r="B23" s="15">
        <v>20</v>
      </c>
      <c r="C23" s="3">
        <f>Results_DT3!Z21</f>
        <v>400003.71109400003</v>
      </c>
      <c r="D23" s="3">
        <f>Results_DT5!Z21</f>
        <v>400005.47470800002</v>
      </c>
      <c r="E23" s="3">
        <f>Results_DT7!Z21</f>
        <v>400002.509066</v>
      </c>
      <c r="F23" s="3">
        <f>Results_DT9!Z21</f>
        <v>400003.84362200001</v>
      </c>
      <c r="G23" s="3">
        <f>Results_DT11!Z21</f>
        <v>400001.20807599998</v>
      </c>
      <c r="H23" s="3">
        <f>Results_DT13!Z21</f>
        <v>400000.59276500001</v>
      </c>
      <c r="I23" s="3">
        <f>Results_DT15!Z21</f>
        <v>400000.65956</v>
      </c>
      <c r="K23" s="3">
        <f>Results_DT3!L21</f>
        <v>46176.528794999998</v>
      </c>
      <c r="L23" s="3">
        <f>Results_DT5!L21</f>
        <v>27966.093796000001</v>
      </c>
      <c r="M23" s="3">
        <f>Results_DT7!L21</f>
        <v>20165.921844</v>
      </c>
      <c r="N23" s="3">
        <f>Results_DT9!L21</f>
        <v>15835.01801</v>
      </c>
      <c r="O23" s="3">
        <f>Results_DT11!L21</f>
        <v>13076.136891</v>
      </c>
      <c r="P23" s="3">
        <f>Results_DT13!L21</f>
        <v>11174.114592</v>
      </c>
      <c r="Q23" s="3">
        <f>Results_DT15!L21</f>
        <v>9771.950519</v>
      </c>
      <c r="S23" s="3">
        <f>Results_DT3!O21</f>
        <v>744.47745099999997</v>
      </c>
      <c r="T23" s="3">
        <f>Results_DT5!O21</f>
        <v>528.63114399999995</v>
      </c>
      <c r="U23" s="3">
        <f>Results_DT7!O21</f>
        <v>435.13007299999998</v>
      </c>
      <c r="V23" s="3">
        <f>Results_DT9!O21</f>
        <v>383.78703100000001</v>
      </c>
      <c r="W23" s="3">
        <f>Results_DT11!O21</f>
        <v>352.00377200000003</v>
      </c>
      <c r="X23" s="3">
        <f>Results_DT13!O21</f>
        <v>331.27215000000001</v>
      </c>
      <c r="Y23" s="3">
        <f>Results_DT15!O21</f>
        <v>316.88536900000003</v>
      </c>
      <c r="AA23" s="3">
        <f>Results_DT3!O20</f>
        <v>740.75002700000005</v>
      </c>
      <c r="AB23" s="3">
        <f>Results_DT5!O20</f>
        <v>524.54604300000005</v>
      </c>
      <c r="AC23" s="3">
        <f>Results_DT7!O20</f>
        <v>430.63462500000003</v>
      </c>
      <c r="AD23" s="3">
        <f>Results_DT9!O20</f>
        <v>378.83388500000001</v>
      </c>
      <c r="AE23" s="3">
        <f>Results_DT11!O20</f>
        <v>346.55109499999998</v>
      </c>
      <c r="AF23" s="3">
        <f>Results_DT13!O20</f>
        <v>325.27497399999999</v>
      </c>
      <c r="AG23" s="3">
        <f>Results_DT15!O20</f>
        <v>310.30839200000003</v>
      </c>
    </row>
    <row r="24" spans="1:33" x14ac:dyDescent="0.2">
      <c r="A24" s="15"/>
      <c r="B24" s="15">
        <v>25</v>
      </c>
      <c r="C24" s="3">
        <f>Results_DT3!Z23</f>
        <v>400000.45151799999</v>
      </c>
      <c r="D24" s="3">
        <f>Results_DT5!Z23</f>
        <v>400001.47851599997</v>
      </c>
      <c r="E24" s="3">
        <f>Results_DT7!Z23</f>
        <v>400000.16166699998</v>
      </c>
      <c r="F24" s="3">
        <f>Results_DT9!Z23</f>
        <v>400000.62909900001</v>
      </c>
      <c r="G24" s="3">
        <f>Results_DT11!Z23</f>
        <v>400002.08498300001</v>
      </c>
      <c r="H24" s="3">
        <f>Results_DT13!Z23</f>
        <v>400000.11810700002</v>
      </c>
      <c r="I24" s="3">
        <f>Results_DT15!Z23</f>
        <v>400000.263393</v>
      </c>
      <c r="K24" s="3">
        <f>Results_DT3!L23</f>
        <v>47173.34994</v>
      </c>
      <c r="L24" s="3">
        <f>Results_DT5!L23</f>
        <v>28568.135292999999</v>
      </c>
      <c r="M24" s="3">
        <f>Results_DT7!L23</f>
        <v>20594.254973999999</v>
      </c>
      <c r="N24" s="3">
        <f>Results_DT9!L23</f>
        <v>16159.960564000001</v>
      </c>
      <c r="O24" s="3">
        <f>Results_DT11!L23</f>
        <v>13355.219821000001</v>
      </c>
      <c r="P24" s="3">
        <f>Results_DT13!L23</f>
        <v>11403.623645</v>
      </c>
      <c r="Q24" s="3">
        <f>Results_DT15!L23</f>
        <v>9977.5797970000003</v>
      </c>
      <c r="S24" s="3">
        <f>Results_DT3!O23</f>
        <v>772.39348600000005</v>
      </c>
      <c r="T24" s="3">
        <f>Results_DT5!O23</f>
        <v>551.87971000000005</v>
      </c>
      <c r="U24" s="3">
        <f>Results_DT7!O23</f>
        <v>456.27828299999999</v>
      </c>
      <c r="V24" s="3">
        <f>Results_DT9!O23</f>
        <v>403.56716699999998</v>
      </c>
      <c r="W24" s="3">
        <f>Results_DT11!O23</f>
        <v>371.40179599999999</v>
      </c>
      <c r="X24" s="3">
        <f>Results_DT13!O23</f>
        <v>349.90425800000003</v>
      </c>
      <c r="Y24" s="3">
        <f>Results_DT15!O23</f>
        <v>335.30834700000003</v>
      </c>
      <c r="AA24" s="3">
        <f>Results_DT3!O22</f>
        <v>768.34642599999995</v>
      </c>
      <c r="AB24" s="3">
        <f>Results_DT5!O22</f>
        <v>547.39770499999997</v>
      </c>
      <c r="AC24" s="3">
        <f>Results_DT7!O22</f>
        <v>451.31305400000002</v>
      </c>
      <c r="AD24" s="3">
        <f>Results_DT9!O22</f>
        <v>398.075444</v>
      </c>
      <c r="AE24" s="3">
        <f>Results_DT11!O22</f>
        <v>365.33431899999999</v>
      </c>
      <c r="AF24" s="3">
        <f>Results_DT13!O22</f>
        <v>343.22576800000002</v>
      </c>
      <c r="AG24" s="3">
        <f>Results_DT15!O22</f>
        <v>327.976066</v>
      </c>
    </row>
    <row r="26" spans="1:33" x14ac:dyDescent="0.2">
      <c r="A26" s="135" t="s">
        <v>129</v>
      </c>
      <c r="B26" s="136"/>
      <c r="C26" s="136"/>
      <c r="D26" s="136"/>
      <c r="E26" s="136"/>
      <c r="F26" s="136"/>
    </row>
    <row r="27" spans="1:33" x14ac:dyDescent="0.2">
      <c r="A27" s="135" t="s">
        <v>130</v>
      </c>
      <c r="B27" s="136"/>
      <c r="C27" s="136"/>
      <c r="D27" s="136"/>
      <c r="E27" s="136"/>
      <c r="F27" s="136"/>
    </row>
    <row r="28" spans="1:33" x14ac:dyDescent="0.2">
      <c r="A28" s="135" t="s">
        <v>120</v>
      </c>
      <c r="B28" s="136"/>
      <c r="C28" s="136"/>
      <c r="D28" s="136"/>
      <c r="E28" s="136"/>
      <c r="F28" s="136"/>
    </row>
    <row r="31" spans="1:33" s="109" customFormat="1" ht="19" x14ac:dyDescent="0.25">
      <c r="A31" s="153" t="s">
        <v>121</v>
      </c>
      <c r="B31" s="152"/>
      <c r="C31" s="152"/>
      <c r="D31" s="152"/>
      <c r="E31" s="154" t="s">
        <v>128</v>
      </c>
      <c r="F31" s="152"/>
      <c r="G31" s="152"/>
    </row>
    <row r="32" spans="1:33" ht="19" x14ac:dyDescent="0.25">
      <c r="A32" s="151"/>
      <c r="B32" s="151"/>
      <c r="D32" s="151"/>
      <c r="E32" s="151"/>
      <c r="F32" s="151"/>
      <c r="G32" s="151"/>
      <c r="H32" s="151"/>
      <c r="I32" s="15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6"/>
  <sheetViews>
    <sheetView zoomScale="158" zoomScaleNormal="200" workbookViewId="0">
      <selection activeCell="E7" sqref="E7"/>
    </sheetView>
  </sheetViews>
  <sheetFormatPr baseColWidth="10" defaultRowHeight="15" x14ac:dyDescent="0.2"/>
  <cols>
    <col min="2" max="2" width="12.1640625" bestFit="1" customWidth="1"/>
    <col min="3" max="3" width="11.33203125" bestFit="1" customWidth="1"/>
    <col min="4" max="4" width="11.5" bestFit="1" customWidth="1"/>
    <col min="5" max="6" width="11.6640625" bestFit="1" customWidth="1"/>
    <col min="7" max="7" width="12.1640625" bestFit="1" customWidth="1"/>
    <col min="8" max="8" width="11.6640625" bestFit="1" customWidth="1"/>
    <col min="9" max="9" width="12" style="49" bestFit="1" customWidth="1"/>
    <col min="10" max="10" width="11.5" bestFit="1" customWidth="1"/>
    <col min="11" max="12" width="11.6640625" bestFit="1" customWidth="1"/>
    <col min="13" max="13" width="12.1640625" style="49" bestFit="1" customWidth="1"/>
    <col min="14" max="15" width="11.6640625" bestFit="1" customWidth="1"/>
    <col min="16" max="16" width="11.5" bestFit="1" customWidth="1"/>
    <col min="17" max="17" width="13.83203125" customWidth="1"/>
  </cols>
  <sheetData>
    <row r="1" spans="1:54" x14ac:dyDescent="0.2">
      <c r="A1" t="s">
        <v>63</v>
      </c>
      <c r="L1">
        <f>$R$3*F4/(Results_DT3!AA6)</f>
        <v>2.7066765974075886</v>
      </c>
      <c r="Q1">
        <f>4.3/75</f>
        <v>5.7333333333333333E-2</v>
      </c>
    </row>
    <row r="2" spans="1:54" x14ac:dyDescent="0.2">
      <c r="A2" s="84"/>
      <c r="B2" s="129"/>
      <c r="C2" s="129"/>
      <c r="D2" s="129"/>
      <c r="E2" s="129"/>
      <c r="F2" s="129"/>
      <c r="G2" s="129"/>
      <c r="H2" s="129"/>
      <c r="I2" s="129"/>
      <c r="J2" s="129"/>
      <c r="K2" s="129" t="s">
        <v>62</v>
      </c>
      <c r="L2" s="129"/>
      <c r="M2" s="129"/>
      <c r="N2" s="129" t="s">
        <v>61</v>
      </c>
      <c r="O2" s="129"/>
      <c r="P2" s="129"/>
      <c r="U2" t="s">
        <v>80</v>
      </c>
      <c r="AB2" t="s">
        <v>81</v>
      </c>
      <c r="AI2" t="s">
        <v>82</v>
      </c>
      <c r="AP2" t="s">
        <v>83</v>
      </c>
      <c r="AW2" t="s">
        <v>84</v>
      </c>
    </row>
    <row r="3" spans="1:54" x14ac:dyDescent="0.2">
      <c r="A3" s="85" t="s">
        <v>57</v>
      </c>
      <c r="B3" s="85" t="s">
        <v>58</v>
      </c>
      <c r="C3" s="85" t="s">
        <v>60</v>
      </c>
      <c r="D3" s="85" t="s">
        <v>59</v>
      </c>
      <c r="E3" s="85" t="s">
        <v>58</v>
      </c>
      <c r="F3" s="85" t="s">
        <v>60</v>
      </c>
      <c r="G3" s="85" t="s">
        <v>59</v>
      </c>
      <c r="H3" s="85" t="s">
        <v>58</v>
      </c>
      <c r="I3" s="86" t="s">
        <v>60</v>
      </c>
      <c r="J3" s="85" t="s">
        <v>59</v>
      </c>
      <c r="K3" s="85" t="s">
        <v>58</v>
      </c>
      <c r="L3" s="85" t="s">
        <v>60</v>
      </c>
      <c r="M3" s="86" t="s">
        <v>59</v>
      </c>
      <c r="N3" s="85" t="s">
        <v>58</v>
      </c>
      <c r="O3" s="85" t="s">
        <v>60</v>
      </c>
      <c r="P3" s="85" t="s">
        <v>59</v>
      </c>
      <c r="Q3" s="77" t="s">
        <v>65</v>
      </c>
      <c r="R3" s="82">
        <f>_RES_COAL_NG!G28</f>
        <v>75</v>
      </c>
      <c r="S3">
        <v>3</v>
      </c>
      <c r="U3" t="s">
        <v>62</v>
      </c>
      <c r="X3" t="s">
        <v>61</v>
      </c>
      <c r="AB3" t="s">
        <v>62</v>
      </c>
      <c r="AE3" t="s">
        <v>61</v>
      </c>
      <c r="AI3" t="s">
        <v>62</v>
      </c>
      <c r="AL3" t="s">
        <v>61</v>
      </c>
      <c r="AP3" t="s">
        <v>62</v>
      </c>
      <c r="AS3" t="s">
        <v>61</v>
      </c>
      <c r="AW3" t="s">
        <v>62</v>
      </c>
      <c r="AZ3" t="s">
        <v>61</v>
      </c>
    </row>
    <row r="4" spans="1:54" x14ac:dyDescent="0.2">
      <c r="A4" s="87" t="s">
        <v>47</v>
      </c>
      <c r="B4" s="84">
        <f>Results_DT3!L6</f>
        <v>12494.832657000001</v>
      </c>
      <c r="C4" s="84">
        <f>((1-0.16)*(1-$R$20)*$R$7)/($R$20*4.19*S3)</f>
        <v>47520.551577830804</v>
      </c>
      <c r="D4" s="84">
        <f>(C4-B4)/B4*100</f>
        <v>280.32163280880991</v>
      </c>
      <c r="E4" s="84">
        <f>Results_DT3!AL9</f>
        <v>2036.7135419999249</v>
      </c>
      <c r="F4" s="84">
        <f t="shared" ref="F4:F10" si="0">0.0076*S3^2*C4*(2-$R$6)+$R$7*$R$6</f>
        <v>14435.803341288782</v>
      </c>
      <c r="G4" s="84">
        <f>(F4-E4)/E4*100</f>
        <v>608.77926834589266</v>
      </c>
      <c r="H4" s="84" t="e">
        <f>#REF!</f>
        <v>#REF!</v>
      </c>
      <c r="I4" s="88">
        <f>$R$7*(0.000001729*S3^2+0.00131*S3+0.0122)</f>
        <v>6458.2244000000001</v>
      </c>
      <c r="J4" s="84" t="e">
        <f>(I4-H4)/H4*100</f>
        <v>#REF!</v>
      </c>
      <c r="K4" s="84">
        <f>_RES_COAL_NG!I6</f>
        <v>2.0913876051187543</v>
      </c>
      <c r="L4" s="84">
        <f>$R$3*F4/$R$7</f>
        <v>2.7067131264916462</v>
      </c>
      <c r="M4" s="88">
        <f>(L4-K4)/K4*100</f>
        <v>29.421878558850505</v>
      </c>
      <c r="N4" s="84">
        <f>_RES_COAL_NG!H6</f>
        <v>1.1906098672137668</v>
      </c>
      <c r="O4" s="84">
        <f>$R$3*I4/$R$7</f>
        <v>1.210917075</v>
      </c>
      <c r="P4" s="84">
        <f>(O4-N4)/N4*100</f>
        <v>1.7056139332824078</v>
      </c>
      <c r="Q4" t="s">
        <v>66</v>
      </c>
      <c r="R4" s="82">
        <f>_RES_COAL_NG!G29</f>
        <v>75</v>
      </c>
      <c r="S4">
        <v>5</v>
      </c>
      <c r="U4" t="s">
        <v>58</v>
      </c>
      <c r="V4" t="s">
        <v>60</v>
      </c>
      <c r="W4" t="s">
        <v>59</v>
      </c>
      <c r="X4" t="s">
        <v>58</v>
      </c>
      <c r="Y4" t="s">
        <v>60</v>
      </c>
      <c r="Z4" t="s">
        <v>59</v>
      </c>
      <c r="AB4" t="s">
        <v>58</v>
      </c>
      <c r="AC4" t="s">
        <v>60</v>
      </c>
      <c r="AD4" t="s">
        <v>59</v>
      </c>
      <c r="AE4" t="s">
        <v>58</v>
      </c>
      <c r="AF4" t="s">
        <v>60</v>
      </c>
      <c r="AG4" t="s">
        <v>59</v>
      </c>
      <c r="AI4" t="s">
        <v>58</v>
      </c>
      <c r="AJ4" t="s">
        <v>60</v>
      </c>
      <c r="AK4" t="s">
        <v>59</v>
      </c>
      <c r="AL4" t="s">
        <v>58</v>
      </c>
      <c r="AM4" t="s">
        <v>60</v>
      </c>
      <c r="AN4" t="s">
        <v>59</v>
      </c>
      <c r="AP4" t="s">
        <v>58</v>
      </c>
      <c r="AQ4" t="s">
        <v>60</v>
      </c>
      <c r="AR4" t="s">
        <v>59</v>
      </c>
      <c r="AS4" t="s">
        <v>58</v>
      </c>
      <c r="AT4" t="s">
        <v>60</v>
      </c>
      <c r="AU4" t="s">
        <v>59</v>
      </c>
      <c r="AW4" t="s">
        <v>58</v>
      </c>
      <c r="AX4" t="s">
        <v>60</v>
      </c>
      <c r="AY4" t="s">
        <v>59</v>
      </c>
      <c r="AZ4" t="s">
        <v>58</v>
      </c>
      <c r="BA4" t="s">
        <v>60</v>
      </c>
      <c r="BB4" t="s">
        <v>59</v>
      </c>
    </row>
    <row r="5" spans="1:54" x14ac:dyDescent="0.2">
      <c r="A5" s="87" t="s">
        <v>51</v>
      </c>
      <c r="B5" s="84">
        <f>[2]COAL!$K$6</f>
        <v>27717.117247999999</v>
      </c>
      <c r="C5" s="84">
        <f t="shared" ref="C5:C10" si="1">((1-0.16)*(1-$R$20)*$R$7)/($R$20*4.19*S4)</f>
        <v>28512.330946698487</v>
      </c>
      <c r="D5" s="84">
        <f t="shared" ref="D5:D8" si="2">(C5-B5)/B5*100</f>
        <v>2.8690346531469415</v>
      </c>
      <c r="E5" s="84">
        <f>[2]COAL!$AP$11</f>
        <v>19095.023831999977</v>
      </c>
      <c r="F5" s="84">
        <f t="shared" si="0"/>
        <v>18726.338902147971</v>
      </c>
      <c r="G5" s="84">
        <f t="shared" ref="G5:G8" si="3">(F5-E5)/E5*100</f>
        <v>-1.9307906242785302</v>
      </c>
      <c r="H5" s="84">
        <f>[2]COAL_CT!$AP$11</f>
        <v>7408.4716150000459</v>
      </c>
      <c r="I5" s="88">
        <f t="shared" ref="I5:I10" si="4">$R$7*(0.000001729*S4^2+0.00131*S4+0.0122)</f>
        <v>7517.29</v>
      </c>
      <c r="J5" s="84">
        <f t="shared" ref="J5:J8" si="5">(I5-H5)/H5*100</f>
        <v>1.4688371725637426</v>
      </c>
      <c r="K5" s="84" t="e">
        <f>_RES_COAL_NG!#REF!</f>
        <v>#REF!</v>
      </c>
      <c r="L5" s="84">
        <f t="shared" ref="L5:L10" si="6">$R$3*F5/$R$7</f>
        <v>3.5111885441527444</v>
      </c>
      <c r="M5" s="88" t="e">
        <f>(L5-K5)/K5*100</f>
        <v>#REF!</v>
      </c>
      <c r="N5" s="84" t="e">
        <f>_RES_COAL_NG!#REF!</f>
        <v>#REF!</v>
      </c>
      <c r="O5" s="84">
        <f t="shared" ref="O5:O9" si="7">$R$3*I5/$R$7</f>
        <v>1.4094918750000001</v>
      </c>
      <c r="P5" s="84" t="e">
        <f t="shared" ref="P5:P10" si="8">(O5-N5)/N5*100</f>
        <v>#REF!</v>
      </c>
      <c r="R5" s="82"/>
      <c r="S5">
        <v>7</v>
      </c>
    </row>
    <row r="6" spans="1:54" x14ac:dyDescent="0.2">
      <c r="A6" s="87" t="s">
        <v>48</v>
      </c>
      <c r="B6" s="84">
        <f>[1]COAL!$K$6</f>
        <v>19879.181043</v>
      </c>
      <c r="C6" s="84">
        <f t="shared" si="1"/>
        <v>20365.950676213204</v>
      </c>
      <c r="D6" s="84">
        <f t="shared" si="2"/>
        <v>2.4486402742662703</v>
      </c>
      <c r="E6" s="84">
        <f>[1]COAL!$AP$13</f>
        <v>23590.303169000021</v>
      </c>
      <c r="F6" s="84">
        <f t="shared" si="0"/>
        <v>23016.87446300716</v>
      </c>
      <c r="G6" s="84">
        <f t="shared" si="3"/>
        <v>-2.4307814184702923</v>
      </c>
      <c r="H6" s="84">
        <f>[1]COAL_CT!$AP$13</f>
        <v>8431.2472430000198</v>
      </c>
      <c r="I6" s="88">
        <f t="shared" si="4"/>
        <v>8581.8883999999998</v>
      </c>
      <c r="J6" s="84">
        <f t="shared" si="5"/>
        <v>1.7867007414003748</v>
      </c>
      <c r="K6" s="84">
        <f>_RES_COAL_NG!I12</f>
        <v>2.950960575438756</v>
      </c>
      <c r="L6" s="84">
        <f t="shared" si="6"/>
        <v>4.3156639618138426</v>
      </c>
      <c r="M6" s="88">
        <f t="shared" ref="M6:M8" si="9">(L6-K6)/K6*100</f>
        <v>46.246073151017249</v>
      </c>
      <c r="N6" s="84">
        <f>_RES_COAL_NG!H12</f>
        <v>1.5808604961476957</v>
      </c>
      <c r="O6" s="84">
        <f t="shared" si="7"/>
        <v>1.6091040750000001</v>
      </c>
      <c r="P6" s="84">
        <f t="shared" si="8"/>
        <v>1.7865952701790837</v>
      </c>
      <c r="Q6" t="s">
        <v>67</v>
      </c>
      <c r="R6">
        <v>0.02</v>
      </c>
      <c r="S6">
        <v>9</v>
      </c>
      <c r="U6">
        <v>0.34873691488339559</v>
      </c>
      <c r="V6">
        <v>0.33753357142857149</v>
      </c>
      <c r="W6">
        <v>-3.2125487657565803</v>
      </c>
      <c r="X6">
        <v>0.19237027326877126</v>
      </c>
      <c r="Y6">
        <v>0.18855263044084827</v>
      </c>
      <c r="Z6">
        <v>-1.9845284632876454</v>
      </c>
      <c r="AB6">
        <v>0.39232902924382007</v>
      </c>
      <c r="AC6">
        <v>0.37972526785714289</v>
      </c>
      <c r="AD6">
        <v>-3.2125487657565976</v>
      </c>
      <c r="AE6">
        <v>0.21641655742736768</v>
      </c>
      <c r="AF6">
        <v>0.2121217092459543</v>
      </c>
      <c r="AG6">
        <v>-1.9845284632876499</v>
      </c>
      <c r="AI6">
        <v>0.4359211436042445</v>
      </c>
      <c r="AJ6">
        <v>0.42191696428571435</v>
      </c>
      <c r="AK6">
        <v>-3.2125487657565865</v>
      </c>
      <c r="AL6">
        <v>0.24046284158596409</v>
      </c>
      <c r="AM6">
        <v>0.23569078805106033</v>
      </c>
      <c r="AN6">
        <v>-1.9845284632876536</v>
      </c>
      <c r="AP6">
        <v>0.47951325796466893</v>
      </c>
      <c r="AQ6">
        <v>0.4641086607142858</v>
      </c>
      <c r="AR6">
        <v>-3.2125487657565772</v>
      </c>
      <c r="AS6">
        <v>0.26450912574456054</v>
      </c>
      <c r="AT6">
        <v>0.25925986685616637</v>
      </c>
      <c r="AU6">
        <v>-1.9845284632876672</v>
      </c>
      <c r="AW6">
        <v>0.52310537232509335</v>
      </c>
      <c r="AX6">
        <v>0.50630035714285715</v>
      </c>
      <c r="AY6">
        <v>-3.2125487657565905</v>
      </c>
      <c r="AZ6">
        <v>0.28855540990315692</v>
      </c>
      <c r="BA6">
        <v>0.28282894566127242</v>
      </c>
      <c r="BB6">
        <v>-1.9845284632876499</v>
      </c>
    </row>
    <row r="7" spans="1:54" x14ac:dyDescent="0.2">
      <c r="A7" s="87" t="s">
        <v>85</v>
      </c>
      <c r="B7" s="84">
        <f>[3]COAL!$K$6</f>
        <v>15522.002915999999</v>
      </c>
      <c r="C7" s="84">
        <f t="shared" si="1"/>
        <v>15840.183859276936</v>
      </c>
      <c r="D7" s="84">
        <f t="shared" si="2"/>
        <v>2.0498704000948074</v>
      </c>
      <c r="E7" s="84">
        <f>[3]COAL!$AP$15</f>
        <v>27922.586135000049</v>
      </c>
      <c r="F7" s="84">
        <f t="shared" si="0"/>
        <v>27307.410023866349</v>
      </c>
      <c r="G7" s="84">
        <f t="shared" si="3"/>
        <v>-2.2031487633682931</v>
      </c>
      <c r="H7" s="84">
        <f>[3]COAL_CT!$AP$15</f>
        <v>9455.0331419999711</v>
      </c>
      <c r="I7" s="88">
        <f t="shared" si="4"/>
        <v>9652.0195999999996</v>
      </c>
      <c r="J7" s="84">
        <f t="shared" si="5"/>
        <v>2.0834031466796215</v>
      </c>
      <c r="K7" s="84">
        <f>_RES_COAL_NG!I15</f>
        <v>3.3628706344424972</v>
      </c>
      <c r="L7" s="84">
        <f t="shared" si="6"/>
        <v>5.1201393794749404</v>
      </c>
      <c r="M7" s="88">
        <f t="shared" si="9"/>
        <v>52.255020667001247</v>
      </c>
      <c r="N7" s="84">
        <f>_RES_COAL_NG!H15</f>
        <v>1.7728187132996938</v>
      </c>
      <c r="O7" s="84">
        <f t="shared" si="7"/>
        <v>1.8097536749999998</v>
      </c>
      <c r="P7" s="84">
        <f t="shared" si="8"/>
        <v>2.0834031942025337</v>
      </c>
      <c r="Q7" t="s">
        <v>68</v>
      </c>
      <c r="R7">
        <v>400000</v>
      </c>
      <c r="S7">
        <v>11</v>
      </c>
    </row>
    <row r="8" spans="1:54" x14ac:dyDescent="0.2">
      <c r="A8" s="87" t="s">
        <v>86</v>
      </c>
      <c r="B8" s="84">
        <f>[4]COAL!$K$6</f>
        <v>12750.187215</v>
      </c>
      <c r="C8" s="84">
        <f t="shared" si="1"/>
        <v>12960.150430317493</v>
      </c>
      <c r="D8" s="84">
        <f t="shared" si="2"/>
        <v>1.6467461361703108</v>
      </c>
      <c r="E8" s="84">
        <f>[4]COAL!$AP$17</f>
        <v>31923.819809000008</v>
      </c>
      <c r="F8" s="84">
        <f t="shared" si="0"/>
        <v>31597.945584725534</v>
      </c>
      <c r="G8" s="84">
        <f t="shared" si="3"/>
        <v>-1.0207870681647029</v>
      </c>
      <c r="H8" s="84">
        <f>[4]COAL_CT!$AP$17</f>
        <v>10496.053784999996</v>
      </c>
      <c r="I8" s="88">
        <f t="shared" si="4"/>
        <v>10727.6836</v>
      </c>
      <c r="J8" s="84">
        <f t="shared" si="5"/>
        <v>2.206827630123505</v>
      </c>
      <c r="K8" s="84">
        <f>_RES_COAL_NG!I18</f>
        <v>3.7527286569487512</v>
      </c>
      <c r="L8" s="84">
        <f t="shared" si="6"/>
        <v>5.9246147971360372</v>
      </c>
      <c r="M8" s="88">
        <f t="shared" si="9"/>
        <v>57.874851574086136</v>
      </c>
      <c r="N8" s="84">
        <f>_RES_COAL_NG!H18</f>
        <v>1.9680100820750304</v>
      </c>
      <c r="O8" s="84">
        <f t="shared" si="7"/>
        <v>2.0114406750000002</v>
      </c>
      <c r="P8" s="84">
        <f t="shared" si="8"/>
        <v>2.2068277657997322</v>
      </c>
      <c r="Q8" t="s">
        <v>69</v>
      </c>
      <c r="R8">
        <v>0.31</v>
      </c>
      <c r="S8">
        <v>13</v>
      </c>
    </row>
    <row r="9" spans="1:54" x14ac:dyDescent="0.2">
      <c r="A9" s="87" t="s">
        <v>87</v>
      </c>
      <c r="B9" s="84">
        <f>[5]COAL!$K$6</f>
        <v>10831.519281999999</v>
      </c>
      <c r="C9" s="84">
        <f t="shared" si="1"/>
        <v>10966.281133345572</v>
      </c>
      <c r="D9" s="84">
        <f t="shared" ref="D9:D10" si="10">(C9-B9)/B9*100</f>
        <v>1.2441638872353045</v>
      </c>
      <c r="E9" s="84">
        <f>[5]COAL!$AP$19</f>
        <v>36254.881425000029</v>
      </c>
      <c r="F9" s="84">
        <f t="shared" si="0"/>
        <v>35888.481145584723</v>
      </c>
      <c r="G9" s="84">
        <f t="shared" ref="G9:G10" si="11">(F9-E9)/E9*100</f>
        <v>-1.0106233009567909</v>
      </c>
      <c r="H9" s="84">
        <f>[5]COAL_CT!$AP$19</f>
        <v>11562.988297000004</v>
      </c>
      <c r="I9" s="88">
        <f t="shared" si="4"/>
        <v>11808.8804</v>
      </c>
      <c r="J9" s="84">
        <f t="shared" ref="J9:J10" si="12">(I9-H9)/H9*100</f>
        <v>2.1265445980239619</v>
      </c>
      <c r="K9" s="84">
        <f>_RES_COAL_NG!I21</f>
        <v>4.1782468763662619</v>
      </c>
      <c r="L9" s="84">
        <f t="shared" si="6"/>
        <v>6.729090214797135</v>
      </c>
      <c r="M9" s="88">
        <f t="shared" ref="M9:M10" si="13">(L9-K9)/K9*100</f>
        <v>61.050565318660411</v>
      </c>
      <c r="N9" s="84">
        <f>_RES_COAL_NG!H21</f>
        <v>2.1680602986997219</v>
      </c>
      <c r="O9" s="84">
        <f t="shared" si="7"/>
        <v>2.2141650749999999</v>
      </c>
      <c r="P9" s="84">
        <f t="shared" si="8"/>
        <v>2.126544927183482</v>
      </c>
      <c r="S9">
        <v>15</v>
      </c>
    </row>
    <row r="10" spans="1:54" x14ac:dyDescent="0.2">
      <c r="A10" s="87" t="s">
        <v>88</v>
      </c>
      <c r="B10" s="84">
        <f>[6]COAL!$K$6</f>
        <v>9424.4112220000006</v>
      </c>
      <c r="C10" s="84">
        <f t="shared" si="1"/>
        <v>9504.1103155661622</v>
      </c>
      <c r="D10" s="84">
        <f t="shared" si="10"/>
        <v>0.84566655347248532</v>
      </c>
      <c r="E10" s="84">
        <f>[6]COAL!$AP$21</f>
        <v>40343.270507000037</v>
      </c>
      <c r="F10" s="84">
        <f t="shared" si="0"/>
        <v>40179.016706443908</v>
      </c>
      <c r="G10" s="84">
        <f t="shared" si="11"/>
        <v>-0.4071405180887086</v>
      </c>
      <c r="H10" s="84">
        <f>[6]COAL_CT!$AP$21</f>
        <v>12660.884239000035</v>
      </c>
      <c r="I10" s="88">
        <f t="shared" si="4"/>
        <v>12895.610000000002</v>
      </c>
      <c r="J10" s="84">
        <f t="shared" si="12"/>
        <v>1.853944452607251</v>
      </c>
      <c r="K10" s="84"/>
      <c r="L10" s="84">
        <f t="shared" si="6"/>
        <v>7.5335656324582327</v>
      </c>
      <c r="M10" s="88" t="e">
        <f t="shared" si="13"/>
        <v>#DIV/0!</v>
      </c>
      <c r="N10" s="84"/>
      <c r="O10" s="84"/>
      <c r="P10" s="84" t="e">
        <f t="shared" si="8"/>
        <v>#DIV/0!</v>
      </c>
    </row>
    <row r="11" spans="1:54" x14ac:dyDescent="0.2">
      <c r="A11" s="85" t="s">
        <v>20</v>
      </c>
      <c r="B11" s="84"/>
      <c r="C11" s="84"/>
      <c r="D11" s="84"/>
      <c r="E11" s="84"/>
      <c r="F11" s="84"/>
      <c r="G11" s="84"/>
      <c r="H11" s="84"/>
      <c r="I11" s="88"/>
      <c r="J11" s="84"/>
      <c r="K11" s="84"/>
      <c r="L11" s="89"/>
      <c r="M11" s="88"/>
      <c r="N11" s="84"/>
      <c r="O11" s="84"/>
      <c r="P11" s="84"/>
      <c r="U11">
        <v>1.2993479661892213</v>
      </c>
      <c r="V11">
        <v>1.2557383333333334</v>
      </c>
      <c r="W11">
        <v>-3.3562705288089969</v>
      </c>
      <c r="X11">
        <v>0.44282245625283218</v>
      </c>
      <c r="Y11">
        <v>0.44235714928933029</v>
      </c>
      <c r="Z11">
        <v>-0.10507754449476658</v>
      </c>
      <c r="AB11">
        <v>1.4617664619628739</v>
      </c>
      <c r="AC11">
        <v>1.4127056249999999</v>
      </c>
      <c r="AD11">
        <v>-3.3562705288090031</v>
      </c>
      <c r="AE11">
        <v>0.49817526328443618</v>
      </c>
      <c r="AF11">
        <v>0.49765179295049661</v>
      </c>
      <c r="AG11">
        <v>-0.10507754449475545</v>
      </c>
      <c r="AI11">
        <v>1.6241849577365266</v>
      </c>
      <c r="AJ11">
        <v>1.5696729166666668</v>
      </c>
      <c r="AK11">
        <v>-3.3562705288089938</v>
      </c>
      <c r="AL11">
        <v>0.55352807031604023</v>
      </c>
      <c r="AM11">
        <v>0.55294643661166276</v>
      </c>
      <c r="AN11">
        <v>-0.10507754449478664</v>
      </c>
      <c r="AP11">
        <v>1.7866034535101794</v>
      </c>
      <c r="AQ11">
        <v>1.7266402083333332</v>
      </c>
      <c r="AR11">
        <v>-3.3562705288090107</v>
      </c>
      <c r="AS11">
        <v>0.60888087734764429</v>
      </c>
      <c r="AT11">
        <v>0.60824108027282908</v>
      </c>
      <c r="AU11">
        <v>-0.10507754449478482</v>
      </c>
      <c r="AW11">
        <v>1.9490219492838319</v>
      </c>
      <c r="AX11">
        <v>1.8836075000000001</v>
      </c>
      <c r="AY11">
        <v>-3.3562705288089911</v>
      </c>
      <c r="AZ11">
        <v>0.66423368437924823</v>
      </c>
      <c r="BA11">
        <v>0.6635357239339954</v>
      </c>
      <c r="BB11">
        <v>-0.10507754449476661</v>
      </c>
    </row>
    <row r="12" spans="1:54" x14ac:dyDescent="0.2">
      <c r="A12" s="87" t="s">
        <v>47</v>
      </c>
      <c r="B12" s="84" t="e">
        <f>#REF!</f>
        <v>#REF!</v>
      </c>
      <c r="C12" s="84">
        <f t="shared" ref="C12:C18" si="14">((1-0.52)*(1-$R$21)*$R$7)/($R$21*4.19*S12)</f>
        <v>13011.579598691767</v>
      </c>
      <c r="D12" s="84" t="e">
        <f>(C12-B12)/B12*100</f>
        <v>#REF!</v>
      </c>
      <c r="E12" s="84" t="e">
        <f>#REF!</f>
        <v>#REF!</v>
      </c>
      <c r="F12" s="84">
        <f t="shared" ref="F12:F18" si="15">0.00912*S3^2*C12*(2-$R$6)+$R$7*$R$6*$R$8</f>
        <v>4594.6210978520285</v>
      </c>
      <c r="G12" s="84" t="e">
        <f>(F12-E12)/E12*100</f>
        <v>#REF!</v>
      </c>
      <c r="H12" s="84" t="e">
        <f>#REF!</f>
        <v>#REF!</v>
      </c>
      <c r="I12" s="88">
        <f>($R$7*$R$8)*(0.000001729*S3^2+0.00131*S3+0.0122)</f>
        <v>2002.0495639999999</v>
      </c>
      <c r="J12" s="84" t="e">
        <f>(I12-H12)/H12*100</f>
        <v>#REF!</v>
      </c>
      <c r="K12" s="84">
        <f>_RES_COAL_NG!G6</f>
        <v>0.65955371195250245</v>
      </c>
      <c r="L12" s="84">
        <f>$R$3*F12/$R$7</f>
        <v>0.86149145584725528</v>
      </c>
      <c r="M12" s="88">
        <f>(L12-K12)/K12*100</f>
        <v>30.617331118787689</v>
      </c>
      <c r="N12" s="84">
        <f>_RES_COAL_NG!F6</f>
        <v>0.36879734947540332</v>
      </c>
      <c r="O12" s="84">
        <f>$R$3*I12/$R$7</f>
        <v>0.37538429325</v>
      </c>
      <c r="P12" s="84">
        <f>(O12-N12)/N12*100</f>
        <v>1.7860604974429155</v>
      </c>
      <c r="Q12" t="s">
        <v>70</v>
      </c>
      <c r="R12">
        <f>0.00135*S12+0.012</f>
        <v>1.6050000000000002E-2</v>
      </c>
      <c r="S12">
        <v>3</v>
      </c>
    </row>
    <row r="13" spans="1:54" x14ac:dyDescent="0.2">
      <c r="A13" s="87" t="s">
        <v>51</v>
      </c>
      <c r="B13" s="84">
        <f>[2]NG!$K$6</f>
        <v>7613.5690780000004</v>
      </c>
      <c r="C13" s="84">
        <f t="shared" si="14"/>
        <v>7806.9477592150597</v>
      </c>
      <c r="D13" s="84">
        <f>(C13-B13)/B13*100</f>
        <v>2.5399215431543398</v>
      </c>
      <c r="E13" s="84">
        <f>[2]NG!$AP$11</f>
        <v>6126.6842709999764</v>
      </c>
      <c r="F13" s="84">
        <f t="shared" si="15"/>
        <v>6004.3684964200465</v>
      </c>
      <c r="G13" s="84">
        <f t="shared" ref="G13:G16" si="16">(F13-E13)/E13*100</f>
        <v>-1.9964432500447087</v>
      </c>
      <c r="H13" s="84">
        <f>[2]NG_CT!$AP$11</f>
        <v>2288.5480670000543</v>
      </c>
      <c r="I13" s="88">
        <f t="shared" ref="I13:I18" si="17">($R$7*$R$8)*(0.000001729*S4^2+0.00131*S4+0.0122)</f>
        <v>2330.3598999999999</v>
      </c>
      <c r="J13" s="84">
        <f t="shared" ref="J13:J16" si="18">(I13-H13)/H13*100</f>
        <v>1.8270026137032256</v>
      </c>
      <c r="K13" s="84" t="e">
        <f>_RES_COAL_NG!#REF!</f>
        <v>#REF!</v>
      </c>
      <c r="L13" s="84">
        <f t="shared" ref="L13:L18" si="19">$R$3*F13/$R$7</f>
        <v>1.1258190930787588</v>
      </c>
      <c r="M13" s="88" t="e">
        <f t="shared" ref="M13:M16" si="20">(L13-K13)/K13*100</f>
        <v>#REF!</v>
      </c>
      <c r="N13" s="84" t="e">
        <f>_RES_COAL_NG!#REF!</f>
        <v>#REF!</v>
      </c>
      <c r="O13" s="84">
        <f t="shared" ref="O13:O17" si="21">$R$3*I13/$R$7</f>
        <v>0.43694248124999996</v>
      </c>
      <c r="P13" s="84" t="e">
        <f t="shared" ref="P13:P16" si="22">(O13-N13)/N13*100</f>
        <v>#REF!</v>
      </c>
      <c r="Q13" t="s">
        <v>89</v>
      </c>
      <c r="R13">
        <f>0.00135*S13+0.012</f>
        <v>1.8750000000000003E-2</v>
      </c>
      <c r="S13">
        <v>5</v>
      </c>
    </row>
    <row r="14" spans="1:54" x14ac:dyDescent="0.2">
      <c r="A14" s="87" t="s">
        <v>48</v>
      </c>
      <c r="B14" s="84">
        <f>[1]NG!$K$6</f>
        <v>5465.1160010000003</v>
      </c>
      <c r="C14" s="84">
        <f t="shared" si="14"/>
        <v>5576.3912565821856</v>
      </c>
      <c r="D14" s="84">
        <f>(C14-B14)/B14*100</f>
        <v>2.0361005248895778</v>
      </c>
      <c r="E14" s="84">
        <f>[1]NG!$AP$13</f>
        <v>7635.3721520000254</v>
      </c>
      <c r="F14" s="84">
        <f t="shared" si="15"/>
        <v>7414.1158949880655</v>
      </c>
      <c r="G14" s="84">
        <f t="shared" si="16"/>
        <v>-2.8977796053333633</v>
      </c>
      <c r="H14" s="84">
        <f>[1]NG_CT!$AP$13</f>
        <v>2562.2809739999357</v>
      </c>
      <c r="I14" s="88">
        <f t="shared" si="17"/>
        <v>2660.3854040000001</v>
      </c>
      <c r="J14" s="84">
        <f t="shared" si="18"/>
        <v>3.8287928215349147</v>
      </c>
      <c r="K14" s="84">
        <f>_RES_COAL_NG!G12</f>
        <v>0.94279344500625217</v>
      </c>
      <c r="L14" s="84">
        <f t="shared" si="19"/>
        <v>1.3901467303102624</v>
      </c>
      <c r="M14" s="88">
        <f t="shared" si="20"/>
        <v>47.449766189352701</v>
      </c>
      <c r="N14" s="84">
        <f>_RES_COAL_NG!F12</f>
        <v>0.48679243385023618</v>
      </c>
      <c r="O14" s="84">
        <f t="shared" si="21"/>
        <v>0.49882226325000001</v>
      </c>
      <c r="P14" s="84">
        <f t="shared" si="22"/>
        <v>2.471244120335867</v>
      </c>
      <c r="Q14" t="s">
        <v>71</v>
      </c>
      <c r="R14">
        <f>0.00135*S14+0.012</f>
        <v>2.145E-2</v>
      </c>
      <c r="S14">
        <v>7</v>
      </c>
      <c r="U14">
        <v>0.40249335818473958</v>
      </c>
      <c r="V14">
        <v>0.39235317391304358</v>
      </c>
      <c r="W14">
        <v>-2.5193420128542279</v>
      </c>
      <c r="X14">
        <v>0.21196378542738994</v>
      </c>
      <c r="Y14">
        <v>0.21347436942085604</v>
      </c>
      <c r="Z14">
        <v>0.71266135883554538</v>
      </c>
      <c r="AB14">
        <v>0.45280502795783206</v>
      </c>
      <c r="AC14">
        <v>0.44139732065217402</v>
      </c>
      <c r="AD14">
        <v>-2.5193420128542385</v>
      </c>
      <c r="AE14">
        <v>0.23845925860581371</v>
      </c>
      <c r="AF14">
        <v>0.24015866559846302</v>
      </c>
      <c r="AG14">
        <v>0.71266135883552495</v>
      </c>
      <c r="AI14">
        <v>0.50311669773092449</v>
      </c>
      <c r="AJ14">
        <v>0.49044146739130445</v>
      </c>
      <c r="AK14">
        <v>-2.5193420128542363</v>
      </c>
      <c r="AL14">
        <v>0.26495473178423745</v>
      </c>
      <c r="AM14">
        <v>0.26684296177607003</v>
      </c>
      <c r="AN14">
        <v>0.71266135883552961</v>
      </c>
      <c r="AP14">
        <v>0.55342836750401692</v>
      </c>
      <c r="AQ14">
        <v>0.53948561413043483</v>
      </c>
      <c r="AR14">
        <v>-2.5193420128542443</v>
      </c>
      <c r="AS14">
        <v>0.29145020496266116</v>
      </c>
      <c r="AT14">
        <v>0.29352725795367707</v>
      </c>
      <c r="AU14">
        <v>0.71266135883555259</v>
      </c>
      <c r="AW14">
        <v>0.60374003727710945</v>
      </c>
      <c r="AX14">
        <v>0.58852976086956543</v>
      </c>
      <c r="AY14">
        <v>-2.5193420128542319</v>
      </c>
      <c r="AZ14">
        <v>0.31794567814108493</v>
      </c>
      <c r="BA14">
        <v>0.32021155413128405</v>
      </c>
      <c r="BB14">
        <v>0.71266135883553661</v>
      </c>
    </row>
    <row r="15" spans="1:54" x14ac:dyDescent="0.2">
      <c r="A15" s="87" t="s">
        <v>85</v>
      </c>
      <c r="B15" s="84">
        <f>[3]NG!$K$6</f>
        <v>4270.677858</v>
      </c>
      <c r="C15" s="84">
        <f t="shared" si="14"/>
        <v>4337.1931995639225</v>
      </c>
      <c r="D15" s="84">
        <f t="shared" ref="D15:D16" si="23">(C15-B15)/B15*100</f>
        <v>1.5574890866405042</v>
      </c>
      <c r="E15" s="84">
        <f>[3]NG!$AP$15</f>
        <v>9101.9499930000165</v>
      </c>
      <c r="F15" s="84">
        <f t="shared" si="15"/>
        <v>8823.8632935560836</v>
      </c>
      <c r="G15" s="84">
        <f t="shared" si="16"/>
        <v>-3.0552431034866099</v>
      </c>
      <c r="H15" s="84">
        <f>[3]NG_CT!$AP$15</f>
        <v>2902.4200500000152</v>
      </c>
      <c r="I15" s="88">
        <f t="shared" si="17"/>
        <v>2992.126076</v>
      </c>
      <c r="J15" s="84">
        <f t="shared" si="18"/>
        <v>3.0907320255034882</v>
      </c>
      <c r="K15" s="84">
        <f>_RES_COAL_NG!G15</f>
        <v>1.0790718824099985</v>
      </c>
      <c r="L15" s="84">
        <f t="shared" si="19"/>
        <v>1.6544743675417657</v>
      </c>
      <c r="M15" s="88">
        <f t="shared" si="20"/>
        <v>53.323832685424399</v>
      </c>
      <c r="N15" s="84">
        <f>_RES_COAL_NG!F15</f>
        <v>0.5442037640865437</v>
      </c>
      <c r="O15" s="84">
        <f t="shared" si="21"/>
        <v>0.56102363924999998</v>
      </c>
      <c r="P15" s="84">
        <f t="shared" si="22"/>
        <v>3.0907311329771425</v>
      </c>
      <c r="Q15" t="s">
        <v>90</v>
      </c>
      <c r="R15">
        <f t="shared" ref="R15:R17" si="24">0.00135*S15+0.012</f>
        <v>2.4150000000000001E-2</v>
      </c>
      <c r="S15">
        <v>9</v>
      </c>
    </row>
    <row r="16" spans="1:54" x14ac:dyDescent="0.2">
      <c r="A16" s="87" t="s">
        <v>86</v>
      </c>
      <c r="B16" s="84">
        <f>[4]NG!$K$6</f>
        <v>3510.9500849999999</v>
      </c>
      <c r="C16" s="84">
        <f t="shared" si="14"/>
        <v>3548.612617825027</v>
      </c>
      <c r="D16" s="84">
        <f t="shared" si="23"/>
        <v>1.0727162709015565</v>
      </c>
      <c r="E16" s="84">
        <f>[4]NG!$AP$17</f>
        <v>10470.082363000023</v>
      </c>
      <c r="F16" s="84">
        <f t="shared" si="15"/>
        <v>10233.610692124103</v>
      </c>
      <c r="G16" s="84">
        <f t="shared" si="16"/>
        <v>-2.258546424730929</v>
      </c>
      <c r="H16" s="84">
        <f>[4]NG_CT!$AP$17</f>
        <v>3212.10335999995</v>
      </c>
      <c r="I16" s="88">
        <f t="shared" si="17"/>
        <v>3325.5819160000001</v>
      </c>
      <c r="J16" s="84">
        <f t="shared" si="18"/>
        <v>3.5328426044189252</v>
      </c>
      <c r="K16" s="84">
        <f>_RES_COAL_NG!G18</f>
        <v>1.2083969897099995</v>
      </c>
      <c r="L16" s="84">
        <f t="shared" si="19"/>
        <v>1.9188020047732692</v>
      </c>
      <c r="M16" s="88">
        <f t="shared" si="20"/>
        <v>58.789042103932928</v>
      </c>
      <c r="N16" s="84">
        <f>_RES_COAL_NG!F18</f>
        <v>0.60226876958259612</v>
      </c>
      <c r="O16" s="84">
        <f t="shared" si="21"/>
        <v>0.62354660925000005</v>
      </c>
      <c r="P16" s="84">
        <f t="shared" si="22"/>
        <v>3.5329475380486008</v>
      </c>
      <c r="Q16" t="s">
        <v>91</v>
      </c>
      <c r="R16">
        <f>0.00135*S16+0.012</f>
        <v>2.6849999999999999E-2</v>
      </c>
      <c r="S16">
        <v>11</v>
      </c>
    </row>
    <row r="17" spans="1:54" x14ac:dyDescent="0.2">
      <c r="A17" s="87" t="s">
        <v>87</v>
      </c>
      <c r="B17" s="84">
        <f>[5]NG!$K$6</f>
        <v>2985.1285010000001</v>
      </c>
      <c r="C17" s="84">
        <f t="shared" si="14"/>
        <v>3002.6722150827154</v>
      </c>
      <c r="D17" s="84">
        <f t="shared" ref="D17:D18" si="25">(C17-B17)/B17*100</f>
        <v>0.58770381498947966</v>
      </c>
      <c r="E17" s="84">
        <f>[5]NG!$AP$19</f>
        <v>11962.471871000016</v>
      </c>
      <c r="F17" s="84">
        <f t="shared" si="15"/>
        <v>11643.358090692122</v>
      </c>
      <c r="G17" s="84">
        <f t="shared" ref="G17:G18" si="26">(F17-E17)/E17*100</f>
        <v>-2.667624080951907</v>
      </c>
      <c r="H17" s="84">
        <f>[5]NG_CT!$AP$19</f>
        <v>3527.2494709999883</v>
      </c>
      <c r="I17" s="88">
        <f t="shared" si="17"/>
        <v>3660.7529239999999</v>
      </c>
      <c r="J17" s="84">
        <f t="shared" ref="J17:J18" si="27">(I17-H17)/H17*100</f>
        <v>3.7849166637528167</v>
      </c>
      <c r="K17" s="84">
        <f>_RES_COAL_NG!G21</f>
        <v>1.3501146791287537</v>
      </c>
      <c r="L17" s="84">
        <f t="shared" si="19"/>
        <v>2.183129642004773</v>
      </c>
      <c r="M17" s="88">
        <f t="shared" ref="M17:M18" si="28">(L17-K17)/K17*100</f>
        <v>61.699570840424791</v>
      </c>
      <c r="N17" s="84">
        <f>_RES_COAL_NG!F21</f>
        <v>0.66135418770874366</v>
      </c>
      <c r="O17" s="84">
        <f t="shared" si="21"/>
        <v>0.68639117324999999</v>
      </c>
      <c r="P17" s="84">
        <f t="shared" ref="P17:P18" si="29">(O17-N17)/N17*100</f>
        <v>3.7857151291347786</v>
      </c>
      <c r="Q17" t="s">
        <v>92</v>
      </c>
      <c r="R17">
        <f t="shared" si="24"/>
        <v>2.955E-2</v>
      </c>
      <c r="S17">
        <v>13</v>
      </c>
    </row>
    <row r="18" spans="1:54" x14ac:dyDescent="0.2">
      <c r="A18" s="87" t="s">
        <v>88</v>
      </c>
      <c r="B18" s="84">
        <f>[6]NG!$K$6</f>
        <v>2599.5386899999999</v>
      </c>
      <c r="C18" s="84">
        <f t="shared" si="14"/>
        <v>2602.3159197383529</v>
      </c>
      <c r="D18" s="84">
        <f t="shared" si="25"/>
        <v>0.10683548388937698</v>
      </c>
      <c r="E18" s="84">
        <f>[6]NG!$AP$21</f>
        <v>13385.672196999949</v>
      </c>
      <c r="F18" s="84">
        <f t="shared" si="15"/>
        <v>13053.105489260139</v>
      </c>
      <c r="G18" s="84">
        <f t="shared" si="26"/>
        <v>-2.4844976243654497</v>
      </c>
      <c r="H18" s="84">
        <f>[6]NG_CT!$AP$21</f>
        <v>3849.8334020000184</v>
      </c>
      <c r="I18" s="88">
        <f t="shared" si="17"/>
        <v>3997.6391000000008</v>
      </c>
      <c r="J18" s="84">
        <f t="shared" si="27"/>
        <v>3.8392751728736152</v>
      </c>
      <c r="K18" s="84"/>
      <c r="L18" s="84">
        <f t="shared" si="19"/>
        <v>2.4474572792362759</v>
      </c>
      <c r="M18" s="88" t="e">
        <f t="shared" si="28"/>
        <v>#DIV/0!</v>
      </c>
      <c r="N18" s="84"/>
      <c r="O18" s="84"/>
      <c r="P18" s="84" t="e">
        <f t="shared" si="29"/>
        <v>#DIV/0!</v>
      </c>
      <c r="S18">
        <v>15</v>
      </c>
    </row>
    <row r="19" spans="1:54" x14ac:dyDescent="0.2">
      <c r="A19" s="89" t="s">
        <v>64</v>
      </c>
      <c r="B19" s="89"/>
      <c r="C19" s="89"/>
      <c r="D19" s="89"/>
      <c r="E19" s="89"/>
      <c r="F19" s="89"/>
      <c r="G19" s="89"/>
      <c r="H19" s="89"/>
      <c r="I19" s="90"/>
      <c r="J19" s="89"/>
      <c r="K19" s="89"/>
      <c r="L19" s="89"/>
      <c r="M19" s="90"/>
      <c r="N19" s="89"/>
      <c r="O19" s="89"/>
      <c r="P19" s="89"/>
      <c r="Q19" t="s">
        <v>71</v>
      </c>
      <c r="R19">
        <f>0.00135*7+0.012</f>
        <v>2.145E-2</v>
      </c>
      <c r="U19">
        <v>1.5252157521218455</v>
      </c>
      <c r="V19">
        <v>1.4772827391304351</v>
      </c>
      <c r="W19">
        <v>-3.1427037732023861</v>
      </c>
      <c r="X19">
        <v>0.48650061168463676</v>
      </c>
      <c r="Y19">
        <v>0.50082522467365909</v>
      </c>
      <c r="Z19">
        <v>2.9444182895103808</v>
      </c>
      <c r="AB19">
        <v>1.7158677211370763</v>
      </c>
      <c r="AC19">
        <v>1.6619430815217395</v>
      </c>
      <c r="AD19">
        <v>-3.142703773202391</v>
      </c>
      <c r="AE19">
        <v>0.54731318814521634</v>
      </c>
      <c r="AF19">
        <v>0.56342837775786658</v>
      </c>
      <c r="AG19">
        <v>2.9444182895104039</v>
      </c>
      <c r="AI19">
        <v>1.9065196901523069</v>
      </c>
      <c r="AJ19">
        <v>1.8466034239130438</v>
      </c>
      <c r="AK19">
        <v>-3.1427037732023955</v>
      </c>
      <c r="AL19">
        <v>0.60812576460579604</v>
      </c>
      <c r="AM19">
        <v>0.62603153084207386</v>
      </c>
      <c r="AN19">
        <v>2.944418289510367</v>
      </c>
      <c r="AP19">
        <v>2.0971716591675378</v>
      </c>
      <c r="AQ19">
        <v>2.0312637663043485</v>
      </c>
      <c r="AR19">
        <v>-3.1427037732023875</v>
      </c>
      <c r="AS19">
        <v>0.66893834106637562</v>
      </c>
      <c r="AT19">
        <v>0.68863468392628135</v>
      </c>
      <c r="AU19">
        <v>2.944418289510387</v>
      </c>
      <c r="AW19">
        <v>2.2878236281827684</v>
      </c>
      <c r="AX19">
        <v>2.2159241086956527</v>
      </c>
      <c r="AY19">
        <v>-3.142703773202391</v>
      </c>
      <c r="AZ19">
        <v>0.7297509175269552</v>
      </c>
      <c r="BA19">
        <v>0.75123783701048874</v>
      </c>
      <c r="BB19">
        <v>2.9444182895103883</v>
      </c>
    </row>
    <row r="20" spans="1:54" x14ac:dyDescent="0.2">
      <c r="A20" s="84"/>
      <c r="B20" s="129"/>
      <c r="C20" s="129"/>
      <c r="D20" s="129"/>
      <c r="E20" s="129"/>
      <c r="F20" s="129"/>
      <c r="G20" s="129"/>
      <c r="H20" s="129"/>
      <c r="I20" s="129"/>
      <c r="J20" s="129"/>
      <c r="K20" s="129" t="s">
        <v>62</v>
      </c>
      <c r="L20" s="129"/>
      <c r="M20" s="129"/>
      <c r="N20" s="129" t="s">
        <v>61</v>
      </c>
      <c r="O20" s="129"/>
      <c r="P20" s="129"/>
      <c r="Q20" t="s">
        <v>72</v>
      </c>
      <c r="R20">
        <v>0.36</v>
      </c>
    </row>
    <row r="21" spans="1:54" x14ac:dyDescent="0.2">
      <c r="A21" s="85" t="s">
        <v>57</v>
      </c>
      <c r="B21" s="85" t="s">
        <v>58</v>
      </c>
      <c r="C21" s="85" t="s">
        <v>60</v>
      </c>
      <c r="D21" s="85" t="s">
        <v>59</v>
      </c>
      <c r="E21" s="85" t="s">
        <v>58</v>
      </c>
      <c r="F21" s="85" t="s">
        <v>60</v>
      </c>
      <c r="G21" s="85" t="s">
        <v>59</v>
      </c>
      <c r="H21" s="85" t="s">
        <v>58</v>
      </c>
      <c r="I21" s="86" t="s">
        <v>60</v>
      </c>
      <c r="J21" s="85" t="s">
        <v>59</v>
      </c>
      <c r="K21" s="85" t="s">
        <v>58</v>
      </c>
      <c r="L21" s="85" t="s">
        <v>60</v>
      </c>
      <c r="M21" s="86" t="s">
        <v>59</v>
      </c>
      <c r="N21" s="85" t="s">
        <v>58</v>
      </c>
      <c r="O21" s="85" t="s">
        <v>60</v>
      </c>
      <c r="P21" s="85" t="s">
        <v>59</v>
      </c>
      <c r="Q21" t="s">
        <v>73</v>
      </c>
      <c r="R21">
        <v>0.54</v>
      </c>
      <c r="S21">
        <v>3</v>
      </c>
      <c r="U21" t="s">
        <v>62</v>
      </c>
      <c r="X21" t="s">
        <v>61</v>
      </c>
      <c r="AB21" t="s">
        <v>62</v>
      </c>
      <c r="AE21" t="s">
        <v>61</v>
      </c>
      <c r="AI21" t="s">
        <v>62</v>
      </c>
      <c r="AL21" t="s">
        <v>61</v>
      </c>
      <c r="AP21" t="s">
        <v>62</v>
      </c>
      <c r="AS21" t="s">
        <v>61</v>
      </c>
      <c r="AW21" t="s">
        <v>62</v>
      </c>
      <c r="AZ21" t="s">
        <v>61</v>
      </c>
    </row>
    <row r="22" spans="1:54" x14ac:dyDescent="0.2">
      <c r="A22" s="87" t="s">
        <v>47</v>
      </c>
      <c r="B22" s="84" t="e">
        <f>Results_DT3!#REF!</f>
        <v>#REF!</v>
      </c>
      <c r="C22" s="84">
        <f t="shared" ref="C22:C27" si="30">((1-0.16)*(1-$R$20)*$R$7)/($R$20*4.19*S21)</f>
        <v>47520.551577830804</v>
      </c>
      <c r="D22" s="84" t="e">
        <f>(C22-B22)/B22*100</f>
        <v>#REF!</v>
      </c>
      <c r="E22" s="84" t="e">
        <f>Results_DT3!#REF!</f>
        <v>#REF!</v>
      </c>
      <c r="F22" s="84">
        <f t="shared" ref="F22:F27" si="31">0.0076*S3^2*C22*(2-$R$6)+$R$7*$R$6</f>
        <v>14435.803341288782</v>
      </c>
      <c r="G22" s="84" t="e">
        <f>(F22-E22)/E22*100</f>
        <v>#REF!</v>
      </c>
      <c r="H22" s="84" t="e">
        <f>#REF!</f>
        <v>#REF!</v>
      </c>
      <c r="I22" s="88">
        <f>$R$7*(0.000001729*S3^2+0.00131*S3+0.0122)</f>
        <v>6458.2244000000001</v>
      </c>
      <c r="J22" s="84" t="e">
        <f>(I22-H22)/H22*100</f>
        <v>#REF!</v>
      </c>
      <c r="K22" s="84">
        <f>_RES_COAL_NG!I7</f>
        <v>2.1012858908962588</v>
      </c>
      <c r="L22" s="84">
        <f>$R$3*F22/$R$7</f>
        <v>2.7067131264916462</v>
      </c>
      <c r="M22" s="88">
        <f>(L22-K22)/K22*100</f>
        <v>28.812225800324352</v>
      </c>
      <c r="N22" s="84">
        <f>_RES_COAL_NG!H7</f>
        <v>1.215246960151926</v>
      </c>
      <c r="O22" s="84">
        <f>$R$3*I22/$R$7</f>
        <v>1.210917075</v>
      </c>
      <c r="P22" s="84">
        <f>(O22-N22)/N22*100</f>
        <v>-0.35629672765317572</v>
      </c>
      <c r="S22">
        <v>5</v>
      </c>
      <c r="U22" t="s">
        <v>58</v>
      </c>
      <c r="V22" t="s">
        <v>60</v>
      </c>
      <c r="W22" t="s">
        <v>59</v>
      </c>
      <c r="X22" t="s">
        <v>58</v>
      </c>
      <c r="Y22" t="s">
        <v>60</v>
      </c>
      <c r="Z22" t="s">
        <v>59</v>
      </c>
      <c r="AB22" t="s">
        <v>58</v>
      </c>
      <c r="AC22" t="s">
        <v>60</v>
      </c>
      <c r="AD22" t="s">
        <v>59</v>
      </c>
      <c r="AE22" t="s">
        <v>58</v>
      </c>
      <c r="AF22" t="s">
        <v>60</v>
      </c>
      <c r="AG22" t="s">
        <v>59</v>
      </c>
      <c r="AI22" t="s">
        <v>58</v>
      </c>
      <c r="AJ22" t="s">
        <v>60</v>
      </c>
      <c r="AK22" t="s">
        <v>59</v>
      </c>
      <c r="AL22" t="s">
        <v>58</v>
      </c>
      <c r="AM22" t="s">
        <v>60</v>
      </c>
      <c r="AN22" t="s">
        <v>59</v>
      </c>
      <c r="AP22" t="s">
        <v>58</v>
      </c>
      <c r="AQ22" t="s">
        <v>60</v>
      </c>
      <c r="AR22" t="s">
        <v>59</v>
      </c>
      <c r="AS22" t="s">
        <v>58</v>
      </c>
      <c r="AT22" t="s">
        <v>60</v>
      </c>
      <c r="AU22" t="s">
        <v>59</v>
      </c>
      <c r="AW22" t="s">
        <v>58</v>
      </c>
      <c r="AX22" t="s">
        <v>60</v>
      </c>
      <c r="AY22" t="s">
        <v>59</v>
      </c>
      <c r="AZ22" t="s">
        <v>58</v>
      </c>
      <c r="BA22" t="s">
        <v>60</v>
      </c>
      <c r="BB22" t="s">
        <v>59</v>
      </c>
    </row>
    <row r="23" spans="1:54" x14ac:dyDescent="0.2">
      <c r="A23" s="87" t="s">
        <v>51</v>
      </c>
      <c r="B23" s="84">
        <f>[2]COAL!$K$20</f>
        <v>0</v>
      </c>
      <c r="C23" s="84">
        <f t="shared" si="30"/>
        <v>28512.330946698487</v>
      </c>
      <c r="D23" s="84" t="e">
        <f>(C23-B23)/B23*100</f>
        <v>#DIV/0!</v>
      </c>
      <c r="E23" s="84">
        <f>[2]COAL!$AP$25</f>
        <v>8044.8041089400076</v>
      </c>
      <c r="F23" s="84">
        <f t="shared" si="31"/>
        <v>18726.338902147971</v>
      </c>
      <c r="G23" s="84">
        <f t="shared" ref="G23:G26" si="32">(F23-E23)/E23*100</f>
        <v>132.77557350759875</v>
      </c>
      <c r="H23" s="84">
        <f>[2]COAL_CT!$AP$25</f>
        <v>7502.7238854097268</v>
      </c>
      <c r="I23" s="88">
        <f t="shared" ref="I23:I28" si="33">$R$7*(0.000001729*S4^2+0.00131*S4+0.0122)</f>
        <v>7517.29</v>
      </c>
      <c r="J23" s="84">
        <f t="shared" ref="J23:J26" si="34">(I23-H23)/H23*100</f>
        <v>0.19414435094165419</v>
      </c>
      <c r="K23" s="84" t="e">
        <f>_RES_COAL_NG!#REF!</f>
        <v>#REF!</v>
      </c>
      <c r="L23" s="84">
        <f t="shared" ref="L23:L28" si="35">$R$3*F23/$R$7</f>
        <v>3.5111885441527444</v>
      </c>
      <c r="M23" s="88" t="e">
        <f t="shared" ref="M23:M26" si="36">(L23-K23)/K23*100</f>
        <v>#REF!</v>
      </c>
      <c r="N23" s="84" t="e">
        <f>_RES_COAL_NG!#REF!</f>
        <v>#REF!</v>
      </c>
      <c r="O23" s="84">
        <f t="shared" ref="O23:O27" si="37">$R$3*I23/$R$7</f>
        <v>1.4094918750000001</v>
      </c>
      <c r="P23" s="84" t="e">
        <f t="shared" ref="P23:P26" si="38">(O23-N23)/N23*100</f>
        <v>#REF!</v>
      </c>
      <c r="S23">
        <v>7</v>
      </c>
    </row>
    <row r="24" spans="1:54" x14ac:dyDescent="0.2">
      <c r="A24" s="87" t="s">
        <v>48</v>
      </c>
      <c r="B24" s="84">
        <f>[1]COAL!$K$20</f>
        <v>0</v>
      </c>
      <c r="C24" s="84">
        <f t="shared" si="30"/>
        <v>20365.950676213204</v>
      </c>
      <c r="D24" s="84" t="e">
        <f>(C24-B24)/B24*100</f>
        <v>#DIV/0!</v>
      </c>
      <c r="E24" s="84">
        <f>[1]COAL!$AP$27</f>
        <v>12307.537893860632</v>
      </c>
      <c r="F24" s="84">
        <f t="shared" si="31"/>
        <v>23016.87446300716</v>
      </c>
      <c r="G24" s="84">
        <f t="shared" si="32"/>
        <v>87.014451318396226</v>
      </c>
      <c r="H24" s="84">
        <f>[1]COAL_CT!$AP$27</f>
        <v>8592.4335594599324</v>
      </c>
      <c r="I24" s="88">
        <f t="shared" si="33"/>
        <v>8581.8883999999998</v>
      </c>
      <c r="J24" s="84">
        <f t="shared" si="34"/>
        <v>-0.12272610997757223</v>
      </c>
      <c r="K24" s="84">
        <f>_RES_COAL_NG!I13</f>
        <v>2.9611226551350009</v>
      </c>
      <c r="L24" s="84">
        <f t="shared" si="35"/>
        <v>4.3156639618138426</v>
      </c>
      <c r="M24" s="88">
        <f t="shared" si="36"/>
        <v>45.744180989256812</v>
      </c>
      <c r="N24" s="84">
        <f>_RES_COAL_NG!H13</f>
        <v>1.6350415890648511</v>
      </c>
      <c r="O24" s="84">
        <f t="shared" si="37"/>
        <v>1.6091040750000001</v>
      </c>
      <c r="P24" s="84">
        <f t="shared" si="38"/>
        <v>-1.5863519459273057</v>
      </c>
      <c r="S24">
        <v>9</v>
      </c>
      <c r="U24">
        <v>0.34156805159298897</v>
      </c>
      <c r="V24">
        <v>0.33753357142857149</v>
      </c>
      <c r="W24">
        <v>-1.1811643816222472</v>
      </c>
      <c r="X24">
        <v>0.18839984445039162</v>
      </c>
      <c r="Y24">
        <v>0.18855263044084827</v>
      </c>
      <c r="Z24">
        <v>8.1096664863160486E-2</v>
      </c>
      <c r="AB24">
        <v>0.38426405804211256</v>
      </c>
      <c r="AC24">
        <v>0.37972526785714289</v>
      </c>
      <c r="AD24">
        <v>-1.1811643816222457</v>
      </c>
      <c r="AE24">
        <v>0.2119498250066906</v>
      </c>
      <c r="AF24">
        <v>0.2121217092459543</v>
      </c>
      <c r="AG24">
        <v>8.1096664863147386E-2</v>
      </c>
      <c r="AI24">
        <v>0.42696006449123619</v>
      </c>
      <c r="AJ24">
        <v>0.42191696428571435</v>
      </c>
      <c r="AK24">
        <v>-1.1811643816222441</v>
      </c>
      <c r="AL24">
        <v>0.23549980556298952</v>
      </c>
      <c r="AM24">
        <v>0.23569078805106033</v>
      </c>
      <c r="AN24">
        <v>8.1096664863160486E-2</v>
      </c>
      <c r="AP24">
        <v>0.46965607094035977</v>
      </c>
      <c r="AQ24">
        <v>0.4641086607142858</v>
      </c>
      <c r="AR24">
        <v>-1.1811643816222313</v>
      </c>
      <c r="AS24">
        <v>0.25904978611928853</v>
      </c>
      <c r="AT24">
        <v>0.25925986685616637</v>
      </c>
      <c r="AU24">
        <v>8.1096664863139045E-2</v>
      </c>
      <c r="AW24">
        <v>0.51235207738948341</v>
      </c>
      <c r="AX24">
        <v>0.50630035714285715</v>
      </c>
      <c r="AY24">
        <v>-1.1811643816222528</v>
      </c>
      <c r="AZ24">
        <v>0.28259976667558745</v>
      </c>
      <c r="BA24">
        <v>0.28282894566127242</v>
      </c>
      <c r="BB24">
        <v>8.1096664863160473E-2</v>
      </c>
    </row>
    <row r="25" spans="1:54" x14ac:dyDescent="0.2">
      <c r="A25" s="87" t="s">
        <v>85</v>
      </c>
      <c r="B25" s="84">
        <f>[3]COAL!$K$20</f>
        <v>0</v>
      </c>
      <c r="C25" s="84">
        <f t="shared" si="30"/>
        <v>15840.183859276936</v>
      </c>
      <c r="D25" s="84" t="e">
        <f t="shared" ref="D25:D26" si="39">(C25-B25)/B25*100</f>
        <v>#DIV/0!</v>
      </c>
      <c r="E25" s="84">
        <f>[3]COAL!$AP$29</f>
        <v>17024.306818172023</v>
      </c>
      <c r="F25" s="84">
        <f t="shared" si="31"/>
        <v>27307.410023866349</v>
      </c>
      <c r="G25" s="84">
        <f t="shared" si="32"/>
        <v>60.402478147997044</v>
      </c>
      <c r="H25" s="84">
        <f>[3]COAL_CT!$AP$29</f>
        <v>9680.0466484990702</v>
      </c>
      <c r="I25" s="88">
        <f t="shared" si="33"/>
        <v>9652.0195999999996</v>
      </c>
      <c r="J25" s="84">
        <f t="shared" si="34"/>
        <v>-0.28953422970762538</v>
      </c>
      <c r="K25" s="84">
        <f>_RES_COAL_NG!I16</f>
        <v>3.3581789149087631</v>
      </c>
      <c r="L25" s="84">
        <f t="shared" si="35"/>
        <v>5.1201393794749404</v>
      </c>
      <c r="M25" s="88">
        <f t="shared" si="36"/>
        <v>52.467736508733552</v>
      </c>
      <c r="N25" s="84">
        <f>_RES_COAL_NG!H16</f>
        <v>1.8412226252927868</v>
      </c>
      <c r="O25" s="84">
        <f t="shared" si="37"/>
        <v>1.8097536749999998</v>
      </c>
      <c r="P25" s="84">
        <f t="shared" si="38"/>
        <v>-1.7091333693437987</v>
      </c>
      <c r="S25">
        <v>11</v>
      </c>
    </row>
    <row r="26" spans="1:54" x14ac:dyDescent="0.2">
      <c r="A26" s="87" t="s">
        <v>86</v>
      </c>
      <c r="B26" s="84">
        <f>[4]COAL!$K$20</f>
        <v>0</v>
      </c>
      <c r="C26" s="84">
        <f t="shared" si="30"/>
        <v>12960.150430317493</v>
      </c>
      <c r="D26" s="84" t="e">
        <f t="shared" si="39"/>
        <v>#DIV/0!</v>
      </c>
      <c r="E26" s="84">
        <f>[4]COAL!$AP$31</f>
        <v>21360.914251713177</v>
      </c>
      <c r="F26" s="84">
        <f t="shared" si="31"/>
        <v>31597.945584725534</v>
      </c>
      <c r="G26" s="84">
        <f t="shared" si="32"/>
        <v>47.924125402035791</v>
      </c>
      <c r="H26" s="84">
        <f>[4]COAL_CT!$AP$31</f>
        <v>10781.779960075297</v>
      </c>
      <c r="I26" s="88">
        <f t="shared" si="33"/>
        <v>10727.6836</v>
      </c>
      <c r="J26" s="84">
        <f t="shared" si="34"/>
        <v>-0.5017386765043832</v>
      </c>
      <c r="K26" s="84">
        <f>_RES_COAL_NG!I19</f>
        <v>3.9026160998887645</v>
      </c>
      <c r="L26" s="84">
        <f t="shared" si="35"/>
        <v>5.9246147971360372</v>
      </c>
      <c r="M26" s="88">
        <f t="shared" si="36"/>
        <v>51.811365645339933</v>
      </c>
      <c r="N26" s="84">
        <f>_RES_COAL_NG!H19</f>
        <v>2.0502473220842257</v>
      </c>
      <c r="O26" s="84">
        <f t="shared" si="37"/>
        <v>2.0114406750000002</v>
      </c>
      <c r="P26" s="84">
        <f t="shared" si="38"/>
        <v>-1.8927788206925029</v>
      </c>
      <c r="S26">
        <v>13</v>
      </c>
    </row>
    <row r="27" spans="1:54" x14ac:dyDescent="0.2">
      <c r="A27" s="87" t="s">
        <v>87</v>
      </c>
      <c r="B27" s="84">
        <f>[5]COAL!$K$22</f>
        <v>0</v>
      </c>
      <c r="C27" s="84">
        <f t="shared" si="30"/>
        <v>10966.281133345572</v>
      </c>
      <c r="D27" s="84" t="e">
        <f t="shared" ref="D27:D28" si="40">(C27-B27)/B27*100</f>
        <v>#DIV/0!</v>
      </c>
      <c r="E27" s="84">
        <f>[5]COAL!$AP$35</f>
        <v>29935.508418307949</v>
      </c>
      <c r="F27" s="84">
        <f t="shared" si="31"/>
        <v>35888.481145584723</v>
      </c>
      <c r="G27" s="88">
        <f>(F27-E27)/E27*100</f>
        <v>19.885991726253952</v>
      </c>
      <c r="H27" s="84">
        <f>[5]COAL_CT!$AP$35</f>
        <v>11972.780691051576</v>
      </c>
      <c r="I27" s="88">
        <f t="shared" si="33"/>
        <v>11808.8804</v>
      </c>
      <c r="J27" s="84">
        <f t="shared" ref="J27:J28" si="41">(I27-H27)/H27*100</f>
        <v>-1.3689408941907222</v>
      </c>
      <c r="K27" s="84">
        <f>_RES_COAL_NG!I22</f>
        <v>5.0736987138075023</v>
      </c>
      <c r="L27" s="84">
        <f t="shared" si="35"/>
        <v>6.729090214797135</v>
      </c>
      <c r="M27" s="88">
        <f t="shared" ref="M27:M28" si="42">(L27-K27)/K27*100</f>
        <v>32.626917646581383</v>
      </c>
      <c r="N27" s="84">
        <f>_RES_COAL_NG!H22</f>
        <v>2.2637352362022649</v>
      </c>
      <c r="O27" s="84">
        <f t="shared" si="37"/>
        <v>2.2141650749999999</v>
      </c>
      <c r="P27" s="84">
        <f t="shared" ref="P27:P28" si="43">(O27-N27)/N27*100</f>
        <v>-2.189750833468755</v>
      </c>
      <c r="S27">
        <v>15</v>
      </c>
    </row>
    <row r="28" spans="1:54" x14ac:dyDescent="0.2">
      <c r="A28" s="87" t="s">
        <v>88</v>
      </c>
      <c r="B28" s="84">
        <f>[6]COAL!$K$25</f>
        <v>9834.3072080000002</v>
      </c>
      <c r="C28" s="84">
        <f>((1-0.16)*(1-$R$20)*$R$7)/($R$20*4.19*S27)</f>
        <v>9504.1103155661622</v>
      </c>
      <c r="D28" s="84">
        <f t="shared" si="40"/>
        <v>-3.3576019688019287</v>
      </c>
      <c r="E28" s="84">
        <f>[6]COAL!$AP$40</f>
        <v>55406.083326099892</v>
      </c>
      <c r="F28" s="84">
        <f>0.0076*S9^2*C28*(2-$R$6)+$R$7*$R$6</f>
        <v>40179.016706443908</v>
      </c>
      <c r="G28" s="95">
        <f t="shared" ref="G28" si="44">(F28-E28)/E28*100</f>
        <v>-27.482662021126909</v>
      </c>
      <c r="H28" s="84">
        <f>[6]COAL_CT!$AP$40</f>
        <v>13240.471674718607</v>
      </c>
      <c r="I28" s="88">
        <f t="shared" si="33"/>
        <v>12895.610000000002</v>
      </c>
      <c r="J28" s="84">
        <f t="shared" si="41"/>
        <v>-2.6046026394745745</v>
      </c>
      <c r="K28" s="84"/>
      <c r="L28" s="84">
        <f t="shared" si="35"/>
        <v>7.5335656324582327</v>
      </c>
      <c r="M28" s="88" t="e">
        <f t="shared" si="42"/>
        <v>#DIV/0!</v>
      </c>
      <c r="N28" s="84"/>
      <c r="O28" s="84"/>
      <c r="P28" s="84" t="e">
        <f t="shared" si="43"/>
        <v>#DIV/0!</v>
      </c>
    </row>
    <row r="29" spans="1:54" x14ac:dyDescent="0.2">
      <c r="A29" s="85" t="s">
        <v>20</v>
      </c>
      <c r="B29" s="84"/>
      <c r="C29" s="84"/>
      <c r="D29" s="84"/>
      <c r="E29" s="84"/>
      <c r="F29" s="84"/>
      <c r="G29" s="84"/>
      <c r="H29" s="84"/>
      <c r="I29" s="88"/>
      <c r="J29" s="84"/>
      <c r="K29" s="84"/>
      <c r="L29" s="84"/>
      <c r="M29" s="88"/>
      <c r="N29" s="84"/>
      <c r="O29" s="84"/>
      <c r="P29" s="84"/>
      <c r="U29">
        <v>1.277296354087549</v>
      </c>
      <c r="V29">
        <v>1.2557383333333334</v>
      </c>
      <c r="W29">
        <v>-1.6877853510836847</v>
      </c>
      <c r="X29">
        <v>0.43386931747622282</v>
      </c>
      <c r="Y29">
        <v>0.44235714928933029</v>
      </c>
      <c r="Z29">
        <v>1.9563106841664661</v>
      </c>
      <c r="AB29">
        <v>1.4369583983484926</v>
      </c>
      <c r="AC29">
        <v>1.4127056249999999</v>
      </c>
      <c r="AD29">
        <v>-1.6877853510836944</v>
      </c>
      <c r="AE29">
        <v>0.48810298216075065</v>
      </c>
      <c r="AF29">
        <v>0.49765179295049661</v>
      </c>
      <c r="AG29">
        <v>1.9563106841664761</v>
      </c>
      <c r="AI29">
        <v>1.5966204426094361</v>
      </c>
      <c r="AJ29">
        <v>1.5696729166666668</v>
      </c>
      <c r="AK29">
        <v>-1.6877853510836747</v>
      </c>
      <c r="AL29">
        <v>0.54233664684527849</v>
      </c>
      <c r="AM29">
        <v>0.55294643661166276</v>
      </c>
      <c r="AN29">
        <v>1.9563106841664533</v>
      </c>
      <c r="AP29">
        <v>1.7562824868703797</v>
      </c>
      <c r="AQ29">
        <v>1.7266402083333332</v>
      </c>
      <c r="AR29">
        <v>-1.6877853510836835</v>
      </c>
      <c r="AS29">
        <v>0.59657031152980633</v>
      </c>
      <c r="AT29">
        <v>0.60824108027282908</v>
      </c>
      <c r="AU29">
        <v>1.9563106841664628</v>
      </c>
      <c r="AW29">
        <v>1.9159445311313235</v>
      </c>
      <c r="AX29">
        <v>1.8836075000000001</v>
      </c>
      <c r="AY29">
        <v>-1.6877853510836791</v>
      </c>
      <c r="AZ29">
        <v>0.65080397621433417</v>
      </c>
      <c r="BA29">
        <v>0.6635357239339954</v>
      </c>
      <c r="BB29">
        <v>1.9563106841664708</v>
      </c>
    </row>
    <row r="30" spans="1:54" x14ac:dyDescent="0.2">
      <c r="A30" s="87" t="s">
        <v>47</v>
      </c>
      <c r="B30" s="84" t="e">
        <f>#REF!</f>
        <v>#REF!</v>
      </c>
      <c r="C30" s="84">
        <f t="shared" ref="C30:C36" si="45">((1-0.52)*(1-$R$21)*$R$7)/($R$21*4.19*S30)</f>
        <v>13011.579598691767</v>
      </c>
      <c r="D30" s="84" t="e">
        <f>(C30-B30)/B30*100</f>
        <v>#REF!</v>
      </c>
      <c r="E30" s="84" t="e">
        <f>#REF!</f>
        <v>#REF!</v>
      </c>
      <c r="F30" s="84">
        <f t="shared" ref="F30:F36" si="46">0.00912*S3^2*C30*(2-$R$6)+$R$7*$R$6*$R$8</f>
        <v>4594.6210978520285</v>
      </c>
      <c r="G30" s="84" t="e">
        <f>(F30-E30)/E30*100</f>
        <v>#REF!</v>
      </c>
      <c r="H30" s="84" t="e">
        <f>#REF!</f>
        <v>#REF!</v>
      </c>
      <c r="I30" s="88">
        <f>($R$7*$R$8)*(0.000001729*S3^2+0.00131*S3+0.0122)</f>
        <v>2002.0495639999999</v>
      </c>
      <c r="J30" s="84" t="e">
        <f>(I30-H30)/H30*100</f>
        <v>#REF!</v>
      </c>
      <c r="K30" s="84">
        <f>_RES_COAL_NG!G7</f>
        <v>0.67307062929375117</v>
      </c>
      <c r="L30" s="84">
        <f>$R$3*F30/$R$7</f>
        <v>0.86149145584725528</v>
      </c>
      <c r="M30" s="88">
        <f>(L30-K30)/K30*100</f>
        <v>27.994213140931869</v>
      </c>
      <c r="N30" s="84">
        <f>_RES_COAL_NG!F7</f>
        <v>0.38188378920591276</v>
      </c>
      <c r="O30" s="84">
        <f>$R$3*I30/$R$7</f>
        <v>0.37538429325</v>
      </c>
      <c r="P30" s="84">
        <f>(O30-N30)/N30*100</f>
        <v>-1.7019564955683977</v>
      </c>
      <c r="S30">
        <v>3</v>
      </c>
    </row>
    <row r="31" spans="1:54" x14ac:dyDescent="0.2">
      <c r="A31" s="87" t="s">
        <v>51</v>
      </c>
      <c r="B31" s="84">
        <f>[2]NG!$K$20</f>
        <v>0</v>
      </c>
      <c r="C31" s="84">
        <f t="shared" si="45"/>
        <v>7806.9477592150597</v>
      </c>
      <c r="D31" s="84" t="e">
        <f>(C31-B31)/B31*100</f>
        <v>#DIV/0!</v>
      </c>
      <c r="E31" s="84">
        <f>[2]NG!$AP$25</f>
        <v>2504.090009711847</v>
      </c>
      <c r="F31" s="84">
        <f t="shared" si="46"/>
        <v>6004.3684964200465</v>
      </c>
      <c r="G31" s="84">
        <f t="shared" ref="G31:G34" si="47">(F31-E31)/E31*100</f>
        <v>139.78245482920909</v>
      </c>
      <c r="H31" s="84">
        <f>[2]NG_CT!$AP$25</f>
        <v>2350.0980016441431</v>
      </c>
      <c r="I31" s="88">
        <f t="shared" ref="I31:I36" si="48">($R$7*$R$8)*(0.000001729*S4^2+0.00131*S4+0.0122)</f>
        <v>2330.3598999999999</v>
      </c>
      <c r="J31" s="84">
        <f t="shared" ref="J31:J34" si="49">(I31-H31)/H31*100</f>
        <v>-0.83988419335424624</v>
      </c>
      <c r="K31" s="84" t="e">
        <f>_RES_COAL_NG!#REF!</f>
        <v>#REF!</v>
      </c>
      <c r="L31" s="84">
        <f t="shared" ref="L31:L36" si="50">$R$3*F31/$R$7</f>
        <v>1.1258190930787588</v>
      </c>
      <c r="M31" s="88" t="e">
        <f t="shared" ref="M31:M35" si="51">(L31-K31)/K31*100</f>
        <v>#REF!</v>
      </c>
      <c r="N31" s="84" t="e">
        <f>_RES_COAL_NG!#REF!</f>
        <v>#REF!</v>
      </c>
      <c r="O31" s="84">
        <f t="shared" ref="O31:O35" si="52">$R$3*I31/$R$7</f>
        <v>0.43694248124999996</v>
      </c>
      <c r="P31" s="84" t="e">
        <f t="shared" ref="P31:P34" si="53">(O31-N31)/N31*100</f>
        <v>#REF!</v>
      </c>
      <c r="S31">
        <v>5</v>
      </c>
    </row>
    <row r="32" spans="1:54" x14ac:dyDescent="0.2">
      <c r="A32" s="87" t="s">
        <v>48</v>
      </c>
      <c r="B32" s="84">
        <f>[1]NG!$K$20</f>
        <v>0</v>
      </c>
      <c r="C32" s="84">
        <f t="shared" si="45"/>
        <v>5576.3912565821856</v>
      </c>
      <c r="D32" s="84" t="e">
        <f>(C32-B32)/B32*100</f>
        <v>#DIV/0!</v>
      </c>
      <c r="E32" s="84">
        <f>[1]NG!$AP$27</f>
        <v>3944.1565994960774</v>
      </c>
      <c r="F32" s="84">
        <f t="shared" si="46"/>
        <v>7414.1158949880655</v>
      </c>
      <c r="G32" s="84">
        <f t="shared" si="47"/>
        <v>87.977219158471669</v>
      </c>
      <c r="H32" s="84">
        <f>[1]NG_CT!$AP$27</f>
        <v>2655.5820595765358</v>
      </c>
      <c r="I32" s="88">
        <f t="shared" si="48"/>
        <v>2660.3854040000001</v>
      </c>
      <c r="J32" s="84">
        <f t="shared" si="49"/>
        <v>0.18087727344528928</v>
      </c>
      <c r="K32" s="84">
        <f>_RES_COAL_NG!G13</f>
        <v>0.96208570255874937</v>
      </c>
      <c r="L32" s="84">
        <f t="shared" si="50"/>
        <v>1.3901467303102624</v>
      </c>
      <c r="M32" s="88">
        <f t="shared" si="51"/>
        <v>44.493024541685635</v>
      </c>
      <c r="N32" s="84">
        <f>_RES_COAL_NG!F13</f>
        <v>0.51047676699143718</v>
      </c>
      <c r="O32" s="84">
        <f t="shared" si="52"/>
        <v>0.49882226325000001</v>
      </c>
      <c r="P32" s="84">
        <f t="shared" si="53"/>
        <v>-2.2830625201856964</v>
      </c>
      <c r="S32">
        <v>7</v>
      </c>
      <c r="U32">
        <v>0.39453328797945658</v>
      </c>
      <c r="V32">
        <v>0.39235317391304358</v>
      </c>
      <c r="W32">
        <v>-0.55258051293418764</v>
      </c>
      <c r="X32">
        <v>0.20954662471082586</v>
      </c>
      <c r="Y32">
        <v>0.21347436942085604</v>
      </c>
      <c r="Z32">
        <v>1.8744013249798075</v>
      </c>
      <c r="AB32">
        <v>0.44384994897688862</v>
      </c>
      <c r="AC32">
        <v>0.44139732065217402</v>
      </c>
      <c r="AD32">
        <v>-0.55258051293418309</v>
      </c>
      <c r="AE32">
        <v>0.2357399527996791</v>
      </c>
      <c r="AF32">
        <v>0.24015866559846302</v>
      </c>
      <c r="AG32">
        <v>1.8744013249797913</v>
      </c>
      <c r="AI32">
        <v>0.49316660997432066</v>
      </c>
      <c r="AJ32">
        <v>0.49044146739130445</v>
      </c>
      <c r="AK32">
        <v>-0.55258051293417931</v>
      </c>
      <c r="AL32">
        <v>0.26193328088853235</v>
      </c>
      <c r="AM32">
        <v>0.26684296177607003</v>
      </c>
      <c r="AN32">
        <v>1.8744013249797888</v>
      </c>
      <c r="AP32">
        <v>0.54248327097175275</v>
      </c>
      <c r="AQ32">
        <v>0.53948561413043483</v>
      </c>
      <c r="AR32">
        <v>-0.55258051293419663</v>
      </c>
      <c r="AS32">
        <v>0.28812660897738557</v>
      </c>
      <c r="AT32">
        <v>0.29352725795367707</v>
      </c>
      <c r="AU32">
        <v>1.8744013249798062</v>
      </c>
      <c r="AW32">
        <v>0.59179993196918479</v>
      </c>
      <c r="AX32">
        <v>0.58852976086956543</v>
      </c>
      <c r="AY32">
        <v>-0.55258051293416433</v>
      </c>
      <c r="AZ32">
        <v>0.31431993706623879</v>
      </c>
      <c r="BA32">
        <v>0.32021155413128405</v>
      </c>
      <c r="BB32">
        <v>1.8744013249798031</v>
      </c>
    </row>
    <row r="33" spans="1:54" x14ac:dyDescent="0.2">
      <c r="A33" s="87" t="s">
        <v>85</v>
      </c>
      <c r="B33" s="84">
        <f>[3]NG!$K$20</f>
        <v>0</v>
      </c>
      <c r="C33" s="84">
        <f t="shared" si="45"/>
        <v>4337.1931995639225</v>
      </c>
      <c r="D33" s="84" t="e">
        <f t="shared" ref="D33:D34" si="54">(C33-B33)/B33*100</f>
        <v>#DIV/0!</v>
      </c>
      <c r="E33" s="84">
        <f>[3]NG!$AP$29</f>
        <v>5550.601901431035</v>
      </c>
      <c r="F33" s="84">
        <f t="shared" si="46"/>
        <v>8823.8632935560836</v>
      </c>
      <c r="G33" s="84">
        <f t="shared" si="47"/>
        <v>58.97128726311913</v>
      </c>
      <c r="H33" s="84">
        <f>[3]NG_CT!$AP$29</f>
        <v>3012.1368701497745</v>
      </c>
      <c r="I33" s="88">
        <f t="shared" si="48"/>
        <v>2992.126076</v>
      </c>
      <c r="J33" s="84">
        <f t="shared" si="49"/>
        <v>-0.66433880704695447</v>
      </c>
      <c r="K33" s="84">
        <f>_RES_COAL_NG!G16</f>
        <v>1.0960553085037519</v>
      </c>
      <c r="L33" s="84">
        <f t="shared" si="50"/>
        <v>1.6544743675417657</v>
      </c>
      <c r="M33" s="88">
        <f t="shared" si="51"/>
        <v>50.948073031124984</v>
      </c>
      <c r="N33" s="84">
        <f>_RES_COAL_NG!F16</f>
        <v>0.57293409320954103</v>
      </c>
      <c r="O33" s="84">
        <f t="shared" si="52"/>
        <v>0.56102363924999998</v>
      </c>
      <c r="P33" s="84">
        <f t="shared" si="53"/>
        <v>-2.078852367262598</v>
      </c>
      <c r="S33">
        <v>9</v>
      </c>
    </row>
    <row r="34" spans="1:54" x14ac:dyDescent="0.2">
      <c r="A34" s="87" t="s">
        <v>86</v>
      </c>
      <c r="B34" s="84">
        <f>[4]NG!$K$20</f>
        <v>0</v>
      </c>
      <c r="C34" s="84">
        <f t="shared" si="45"/>
        <v>3548.612617825027</v>
      </c>
      <c r="D34" s="84" t="e">
        <f t="shared" si="54"/>
        <v>#DIV/0!</v>
      </c>
      <c r="E34" s="84">
        <f>[4]NG!$AP$31</f>
        <v>7041.2260578427849</v>
      </c>
      <c r="F34" s="84">
        <f t="shared" si="46"/>
        <v>10233.610692124103</v>
      </c>
      <c r="G34" s="84">
        <f t="shared" si="47"/>
        <v>45.338476680854725</v>
      </c>
      <c r="H34" s="84">
        <f>[4]NG_CT!$AP$31</f>
        <v>3344.053975180685</v>
      </c>
      <c r="I34" s="88">
        <f t="shared" si="48"/>
        <v>3325.5819160000001</v>
      </c>
      <c r="J34" s="84">
        <f t="shared" si="49"/>
        <v>-0.55238519825885468</v>
      </c>
      <c r="K34" s="84">
        <f>_RES_COAL_NG!G19</f>
        <v>1.2401992187775022</v>
      </c>
      <c r="L34" s="84">
        <f t="shared" si="50"/>
        <v>1.9188020047732692</v>
      </c>
      <c r="M34" s="88">
        <f t="shared" si="51"/>
        <v>54.717240240215936</v>
      </c>
      <c r="N34" s="84">
        <f>_RES_COAL_NG!F19</f>
        <v>0.6359030875443068</v>
      </c>
      <c r="O34" s="84">
        <f t="shared" si="52"/>
        <v>0.62354660925000005</v>
      </c>
      <c r="P34" s="84">
        <f t="shared" si="53"/>
        <v>-1.9431385908227419</v>
      </c>
      <c r="S34">
        <v>11</v>
      </c>
    </row>
    <row r="35" spans="1:54" x14ac:dyDescent="0.2">
      <c r="A35" s="87" t="s">
        <v>87</v>
      </c>
      <c r="B35" s="84">
        <f>[5]NG!$K$22</f>
        <v>0</v>
      </c>
      <c r="C35" s="84">
        <f t="shared" si="45"/>
        <v>3002.6722150827154</v>
      </c>
      <c r="D35" s="84" t="e">
        <f t="shared" ref="D35:D36" si="55">(C35-B35)/B35*100</f>
        <v>#DIV/0!</v>
      </c>
      <c r="E35" s="84">
        <f>[5]NG!$AP$35</f>
        <v>10006.819643926812</v>
      </c>
      <c r="F35" s="84">
        <f t="shared" si="46"/>
        <v>11643.358090692122</v>
      </c>
      <c r="G35" s="84">
        <f t="shared" ref="G35:G36" si="56">(F35-E35)/E35*100</f>
        <v>16.354231464124894</v>
      </c>
      <c r="H35" s="84">
        <f>[5]NG_CT!$AP$35</f>
        <v>3700.434422167566</v>
      </c>
      <c r="I35" s="88">
        <f t="shared" si="48"/>
        <v>3660.7529239999999</v>
      </c>
      <c r="J35" s="84">
        <f t="shared" ref="J35:J36" si="57">(I35-H35)/H35*100</f>
        <v>-1.0723470176867045</v>
      </c>
      <c r="K35" s="84">
        <f>_RES_COAL_NG!G22</f>
        <v>1.3793429643712498</v>
      </c>
      <c r="L35" s="84">
        <f t="shared" si="50"/>
        <v>2.183129642004773</v>
      </c>
      <c r="M35" s="88">
        <f t="shared" si="51"/>
        <v>58.27315601670653</v>
      </c>
      <c r="N35" s="84">
        <f>_RES_COAL_NG!F22</f>
        <v>0.69964866220931987</v>
      </c>
      <c r="O35" s="84">
        <f t="shared" si="52"/>
        <v>0.68639117324999999</v>
      </c>
      <c r="P35" s="84">
        <f t="shared" ref="P35:P36" si="58">(O35-N35)/N35*100</f>
        <v>-1.8948780545732722</v>
      </c>
      <c r="S35">
        <v>13</v>
      </c>
    </row>
    <row r="36" spans="1:54" x14ac:dyDescent="0.2">
      <c r="A36" s="87" t="s">
        <v>88</v>
      </c>
      <c r="B36" s="84">
        <f>[6]NG!$K$25</f>
        <v>2704.2806820000001</v>
      </c>
      <c r="C36" s="84">
        <f t="shared" si="45"/>
        <v>2602.3159197383529</v>
      </c>
      <c r="D36" s="84">
        <f t="shared" si="55"/>
        <v>-3.7704947914739844</v>
      </c>
      <c r="E36" s="84">
        <f>[6]NG!$AP$40</f>
        <v>13795.941698384151</v>
      </c>
      <c r="F36" s="84">
        <f t="shared" si="46"/>
        <v>13053.105489260139</v>
      </c>
      <c r="G36" s="84">
        <f t="shared" si="56"/>
        <v>-5.3844545400696857</v>
      </c>
      <c r="H36" s="84">
        <f>[6]NG_CT!$AP$40</f>
        <v>4078.9664095369526</v>
      </c>
      <c r="I36" s="88">
        <f t="shared" si="48"/>
        <v>3997.6391000000008</v>
      </c>
      <c r="J36" s="84">
        <f t="shared" si="57"/>
        <v>-1.9938215070073144</v>
      </c>
      <c r="K36" s="84"/>
      <c r="L36" s="84">
        <f t="shared" si="50"/>
        <v>2.4474572792362759</v>
      </c>
      <c r="M36" s="88"/>
      <c r="N36" s="84"/>
      <c r="O36" s="84"/>
      <c r="P36" s="84" t="e">
        <f t="shared" si="58"/>
        <v>#DIV/0!</v>
      </c>
      <c r="S36">
        <v>15</v>
      </c>
      <c r="U36">
        <v>1.5031399987717637</v>
      </c>
      <c r="V36">
        <v>1.4772827391304351</v>
      </c>
      <c r="W36">
        <v>-1.7202163246575171</v>
      </c>
      <c r="X36">
        <v>0.48107887577669706</v>
      </c>
      <c r="Y36">
        <v>0.50082522467365909</v>
      </c>
      <c r="Z36">
        <v>4.1045969572207355</v>
      </c>
      <c r="AB36">
        <v>1.6910324986182343</v>
      </c>
      <c r="AC36">
        <v>1.6619430815217395</v>
      </c>
      <c r="AD36">
        <v>-1.7202163246575202</v>
      </c>
      <c r="AE36">
        <v>0.54121373524878424</v>
      </c>
      <c r="AF36">
        <v>0.56342837775786658</v>
      </c>
      <c r="AG36">
        <v>4.1045969572207452</v>
      </c>
      <c r="AI36">
        <v>1.8789249984647047</v>
      </c>
      <c r="AJ36">
        <v>1.8466034239130438</v>
      </c>
      <c r="AK36">
        <v>-1.7202163246575228</v>
      </c>
      <c r="AL36">
        <v>0.60134859472087132</v>
      </c>
      <c r="AM36">
        <v>0.62603153084207386</v>
      </c>
      <c r="AN36">
        <v>4.1045969572207355</v>
      </c>
      <c r="AP36">
        <v>2.0668174983111753</v>
      </c>
      <c r="AQ36">
        <v>2.0312637663043485</v>
      </c>
      <c r="AR36">
        <v>-1.7202163246575142</v>
      </c>
      <c r="AS36">
        <v>0.6614834541929584</v>
      </c>
      <c r="AT36">
        <v>0.68863468392628135</v>
      </c>
      <c r="AU36">
        <v>4.1045969572207612</v>
      </c>
      <c r="AW36">
        <v>2.2547099981576455</v>
      </c>
      <c r="AX36">
        <v>2.2159241086956527</v>
      </c>
      <c r="AY36">
        <v>-1.7202163246575073</v>
      </c>
      <c r="AZ36">
        <v>0.72161831366504559</v>
      </c>
      <c r="BA36">
        <v>0.75123783701048874</v>
      </c>
      <c r="BB36">
        <v>4.1045969572207515</v>
      </c>
    </row>
    <row r="37" spans="1:54" x14ac:dyDescent="0.2">
      <c r="A37" s="89" t="s">
        <v>74</v>
      </c>
      <c r="B37" s="89"/>
      <c r="C37" s="89"/>
      <c r="D37" s="89"/>
      <c r="E37" s="89"/>
      <c r="F37" s="89"/>
      <c r="G37" s="89"/>
      <c r="H37" s="89"/>
      <c r="I37" s="90"/>
      <c r="J37" s="89"/>
      <c r="K37" s="89"/>
      <c r="L37" s="89"/>
      <c r="M37" s="90"/>
      <c r="N37" s="89"/>
      <c r="O37" s="89"/>
      <c r="P37" s="89"/>
    </row>
    <row r="38" spans="1:54" x14ac:dyDescent="0.2">
      <c r="A38" s="84"/>
      <c r="B38" s="129"/>
      <c r="C38" s="129"/>
      <c r="D38" s="129"/>
      <c r="E38" s="129"/>
      <c r="F38" s="129"/>
      <c r="G38" s="129"/>
      <c r="H38" s="129"/>
      <c r="I38" s="129"/>
      <c r="J38" s="129"/>
      <c r="K38" s="129" t="s">
        <v>62</v>
      </c>
      <c r="L38" s="129"/>
      <c r="M38" s="129"/>
      <c r="N38" s="129" t="s">
        <v>61</v>
      </c>
      <c r="O38" s="129"/>
      <c r="P38" s="129"/>
    </row>
    <row r="39" spans="1:54" x14ac:dyDescent="0.2">
      <c r="A39" s="85" t="s">
        <v>57</v>
      </c>
      <c r="B39" s="85" t="s">
        <v>58</v>
      </c>
      <c r="C39" s="85" t="s">
        <v>60</v>
      </c>
      <c r="D39" s="85" t="s">
        <v>59</v>
      </c>
      <c r="E39" s="85" t="s">
        <v>58</v>
      </c>
      <c r="F39" s="85" t="s">
        <v>60</v>
      </c>
      <c r="G39" s="85" t="s">
        <v>59</v>
      </c>
      <c r="H39" s="85" t="s">
        <v>58</v>
      </c>
      <c r="I39" s="86" t="s">
        <v>60</v>
      </c>
      <c r="J39" s="85" t="s">
        <v>59</v>
      </c>
      <c r="K39" s="85" t="s">
        <v>58</v>
      </c>
      <c r="L39" s="85" t="s">
        <v>60</v>
      </c>
      <c r="M39" s="86" t="s">
        <v>59</v>
      </c>
      <c r="N39" s="85" t="s">
        <v>58</v>
      </c>
      <c r="O39" s="85" t="s">
        <v>60</v>
      </c>
      <c r="P39" s="85" t="s">
        <v>59</v>
      </c>
      <c r="S39">
        <v>3</v>
      </c>
      <c r="U39" t="s">
        <v>62</v>
      </c>
      <c r="X39" t="s">
        <v>61</v>
      </c>
      <c r="AB39" t="s">
        <v>62</v>
      </c>
      <c r="AE39" t="s">
        <v>61</v>
      </c>
      <c r="AI39" t="s">
        <v>62</v>
      </c>
      <c r="AL39" t="s">
        <v>61</v>
      </c>
      <c r="AP39" t="s">
        <v>62</v>
      </c>
      <c r="AS39" t="s">
        <v>61</v>
      </c>
      <c r="AW39" t="s">
        <v>62</v>
      </c>
      <c r="AZ39" t="s">
        <v>61</v>
      </c>
    </row>
    <row r="40" spans="1:54" x14ac:dyDescent="0.2">
      <c r="A40" s="87" t="s">
        <v>47</v>
      </c>
      <c r="B40" s="84" t="e">
        <f>Results_DT3!#REF!</f>
        <v>#REF!</v>
      </c>
      <c r="C40" s="84">
        <f t="shared" ref="C40:C46" si="59">((1-0.16)*(1-$R$20)*$R$7)/($R$20*4.19*S39)</f>
        <v>47520.551577830804</v>
      </c>
      <c r="D40" s="84" t="e">
        <f>(C40-B40)/B40*100</f>
        <v>#REF!</v>
      </c>
      <c r="E40" s="84" t="e">
        <f>Results_DT3!#REF!</f>
        <v>#REF!</v>
      </c>
      <c r="F40" s="84">
        <f t="shared" ref="F40:F46" si="60">0.0076*S3^2*C40*(2-$R$6)+$R$7*$R$6</f>
        <v>14435.803341288782</v>
      </c>
      <c r="G40" s="84" t="e">
        <f>(F40-E40)/E40*100</f>
        <v>#REF!</v>
      </c>
      <c r="H40" s="84" t="e">
        <f>#REF!</f>
        <v>#REF!</v>
      </c>
      <c r="I40" s="88">
        <f>$R$7*(0.000001729*S3^2+0.00131*S3+0.0122)</f>
        <v>6458.2244000000001</v>
      </c>
      <c r="J40" s="84" t="e">
        <f>(I40-H40)/H40*100</f>
        <v>#REF!</v>
      </c>
      <c r="K40" s="84">
        <f>_RES_COAL_NG!I8</f>
        <v>2.1377381939437545</v>
      </c>
      <c r="L40" s="84">
        <f>$R$3*F40/$R$7</f>
        <v>2.7067131264916462</v>
      </c>
      <c r="M40" s="88">
        <f>(L40-K40)/K40*100</f>
        <v>26.615744348854619</v>
      </c>
      <c r="N40" s="84">
        <f>_RES_COAL_NG!H8</f>
        <v>1.2344492548702219</v>
      </c>
      <c r="O40" s="84">
        <f>$R$3*I40/$R$7</f>
        <v>1.210917075</v>
      </c>
      <c r="P40" s="84">
        <f>(O40-N40)/N40*100</f>
        <v>-1.9062897707120317</v>
      </c>
      <c r="S40">
        <v>5</v>
      </c>
      <c r="U40" t="s">
        <v>58</v>
      </c>
      <c r="V40" t="s">
        <v>60</v>
      </c>
      <c r="W40" t="s">
        <v>59</v>
      </c>
      <c r="X40" t="s">
        <v>58</v>
      </c>
      <c r="Y40" t="s">
        <v>60</v>
      </c>
      <c r="Z40" t="s">
        <v>59</v>
      </c>
      <c r="AB40" t="s">
        <v>58</v>
      </c>
      <c r="AC40" t="s">
        <v>60</v>
      </c>
      <c r="AD40" t="s">
        <v>59</v>
      </c>
      <c r="AE40" t="s">
        <v>58</v>
      </c>
      <c r="AF40" t="s">
        <v>60</v>
      </c>
      <c r="AG40" t="s">
        <v>59</v>
      </c>
      <c r="AI40" t="s">
        <v>58</v>
      </c>
      <c r="AJ40" t="s">
        <v>60</v>
      </c>
      <c r="AK40" t="s">
        <v>59</v>
      </c>
      <c r="AL40" t="s">
        <v>58</v>
      </c>
      <c r="AM40" t="s">
        <v>60</v>
      </c>
      <c r="AN40" t="s">
        <v>59</v>
      </c>
      <c r="AP40" t="s">
        <v>58</v>
      </c>
      <c r="AQ40" t="s">
        <v>60</v>
      </c>
      <c r="AR40" t="s">
        <v>59</v>
      </c>
      <c r="AS40" t="s">
        <v>58</v>
      </c>
      <c r="AT40" t="s">
        <v>60</v>
      </c>
      <c r="AU40" t="s">
        <v>59</v>
      </c>
      <c r="AW40" t="s">
        <v>58</v>
      </c>
      <c r="AX40" t="s">
        <v>60</v>
      </c>
      <c r="AY40" t="s">
        <v>59</v>
      </c>
      <c r="AZ40" t="s">
        <v>58</v>
      </c>
      <c r="BA40" t="s">
        <v>60</v>
      </c>
      <c r="BB40" t="s">
        <v>59</v>
      </c>
    </row>
    <row r="41" spans="1:54" x14ac:dyDescent="0.2">
      <c r="A41" s="87" t="s">
        <v>51</v>
      </c>
      <c r="B41" s="84">
        <f>[2]COAL!$K$34</f>
        <v>28913.165316999999</v>
      </c>
      <c r="C41" s="84">
        <f t="shared" si="59"/>
        <v>28512.330946698487</v>
      </c>
      <c r="D41" s="84">
        <f t="shared" ref="D41:D44" si="61">(C41-B41)/B41*100</f>
        <v>-1.3863385966455737</v>
      </c>
      <c r="E41" s="84">
        <f>[2]COAL!$AP$39</f>
        <v>0</v>
      </c>
      <c r="F41" s="84">
        <f t="shared" si="60"/>
        <v>18726.338902147971</v>
      </c>
      <c r="G41" s="84" t="e">
        <f t="shared" ref="G41:G44" si="62">(F41-E41)/E41*100</f>
        <v>#DIV/0!</v>
      </c>
      <c r="H41" s="84">
        <f>[2]COAL_CT!$AP$39</f>
        <v>0</v>
      </c>
      <c r="I41" s="88">
        <f t="shared" ref="I41:I46" si="63">$R$7*(0.000001729*S4^2+0.00131*S4+0.0122)</f>
        <v>7517.29</v>
      </c>
      <c r="J41" s="84" t="e">
        <f t="shared" ref="J41:J44" si="64">(I41-H41)/H41*100</f>
        <v>#DIV/0!</v>
      </c>
      <c r="K41" s="84" t="e">
        <f>_RES_COAL_NG!#REF!</f>
        <v>#REF!</v>
      </c>
      <c r="L41" s="84">
        <f t="shared" ref="L41:L46" si="65">$R$3*F41/$R$7</f>
        <v>3.5111885441527444</v>
      </c>
      <c r="M41" s="88" t="e">
        <f t="shared" ref="M41:M44" si="66">(L41-K41)/K41*100</f>
        <v>#REF!</v>
      </c>
      <c r="N41" s="84" t="e">
        <f>_RES_COAL_NG!#REF!</f>
        <v>#REF!</v>
      </c>
      <c r="O41" s="84">
        <f t="shared" ref="O41:O45" si="67">$R$3*I41/$R$7</f>
        <v>1.4094918750000001</v>
      </c>
      <c r="P41" s="84" t="e">
        <f t="shared" ref="P41:P44" si="68">(O41-N41)/N41*100</f>
        <v>#REF!</v>
      </c>
      <c r="S41">
        <v>7</v>
      </c>
    </row>
    <row r="42" spans="1:54" x14ac:dyDescent="0.2">
      <c r="A42" s="87" t="s">
        <v>48</v>
      </c>
      <c r="B42" s="84">
        <f>[1]COAL!$K$34</f>
        <v>20727.362949999999</v>
      </c>
      <c r="C42" s="84">
        <f t="shared" si="59"/>
        <v>20365.950676213204</v>
      </c>
      <c r="D42" s="84">
        <f t="shared" si="61"/>
        <v>-1.7436481170258791</v>
      </c>
      <c r="E42" s="84">
        <f>[1]COAL!$AP$41</f>
        <v>0</v>
      </c>
      <c r="F42" s="84">
        <f t="shared" si="60"/>
        <v>23016.87446300716</v>
      </c>
      <c r="G42" s="84" t="e">
        <f t="shared" si="62"/>
        <v>#DIV/0!</v>
      </c>
      <c r="H42" s="84">
        <f>[1]COAL_CT!$AP$41</f>
        <v>0</v>
      </c>
      <c r="I42" s="88">
        <f t="shared" si="63"/>
        <v>8581.8883999999998</v>
      </c>
      <c r="J42" s="84" t="e">
        <f t="shared" si="64"/>
        <v>#DIV/0!</v>
      </c>
      <c r="K42" s="84">
        <f>_RES_COAL_NG!I14</f>
        <v>3.005686023735008</v>
      </c>
      <c r="L42" s="84">
        <f t="shared" si="65"/>
        <v>4.3156639618138426</v>
      </c>
      <c r="M42" s="88">
        <f t="shared" si="66"/>
        <v>43.583325993943767</v>
      </c>
      <c r="N42" s="84">
        <f>_RES_COAL_NG!H14</f>
        <v>1.6797537675019776</v>
      </c>
      <c r="O42" s="84">
        <f t="shared" si="67"/>
        <v>1.6091040750000001</v>
      </c>
      <c r="P42" s="84">
        <f t="shared" si="68"/>
        <v>-4.2059552934977606</v>
      </c>
      <c r="S42">
        <v>9</v>
      </c>
      <c r="U42">
        <v>0.33060369514453225</v>
      </c>
      <c r="V42">
        <v>0.33753357142857149</v>
      </c>
      <c r="W42">
        <v>2.0961278974845268</v>
      </c>
      <c r="X42">
        <v>0.18453170169581698</v>
      </c>
      <c r="Y42">
        <v>0.18855263044084827</v>
      </c>
      <c r="Z42">
        <v>2.178990768566917</v>
      </c>
      <c r="AB42">
        <v>0.37192915703759882</v>
      </c>
      <c r="AC42">
        <v>0.37972526785714289</v>
      </c>
      <c r="AD42">
        <v>2.0961278974845059</v>
      </c>
      <c r="AE42">
        <v>0.20759816440779413</v>
      </c>
      <c r="AF42">
        <v>0.2121217092459543</v>
      </c>
      <c r="AG42">
        <v>2.1789907685669001</v>
      </c>
      <c r="AI42">
        <v>0.41325461893066534</v>
      </c>
      <c r="AJ42">
        <v>0.42191696428571435</v>
      </c>
      <c r="AK42">
        <v>2.0961278974845166</v>
      </c>
      <c r="AL42">
        <v>0.23066462711977123</v>
      </c>
      <c r="AM42">
        <v>0.23569078805106033</v>
      </c>
      <c r="AN42">
        <v>2.1789907685669112</v>
      </c>
      <c r="AP42">
        <v>0.45458008082373191</v>
      </c>
      <c r="AQ42">
        <v>0.4641086607142858</v>
      </c>
      <c r="AR42">
        <v>2.0961278974845126</v>
      </c>
      <c r="AS42">
        <v>0.25373108983174841</v>
      </c>
      <c r="AT42">
        <v>0.25925986685616637</v>
      </c>
      <c r="AU42">
        <v>2.1789907685668868</v>
      </c>
      <c r="AW42">
        <v>0.49590554271679843</v>
      </c>
      <c r="AX42">
        <v>0.50630035714285715</v>
      </c>
      <c r="AY42">
        <v>2.0961278974844988</v>
      </c>
      <c r="AZ42">
        <v>0.27679755254372551</v>
      </c>
      <c r="BA42">
        <v>0.28282894566127242</v>
      </c>
      <c r="BB42">
        <v>2.1789907685669072</v>
      </c>
    </row>
    <row r="43" spans="1:54" x14ac:dyDescent="0.2">
      <c r="A43" s="87" t="s">
        <v>85</v>
      </c>
      <c r="B43" s="84">
        <f>[3]COAL!$K$34</f>
        <v>16183.014137</v>
      </c>
      <c r="C43" s="84">
        <f t="shared" si="59"/>
        <v>15840.183859276936</v>
      </c>
      <c r="D43" s="84">
        <f t="shared" si="61"/>
        <v>-2.1184575062517834</v>
      </c>
      <c r="E43" s="84">
        <f>[3]COAL!$AP$43</f>
        <v>0</v>
      </c>
      <c r="F43" s="84">
        <f>0.0076*S6^2*C43*(2-$R$6)+$R$7*$R$6</f>
        <v>27307.410023866349</v>
      </c>
      <c r="G43" s="95" t="e">
        <f t="shared" si="62"/>
        <v>#DIV/0!</v>
      </c>
      <c r="H43" s="84">
        <f>[3]COAL_CT!$AP$43</f>
        <v>0</v>
      </c>
      <c r="I43" s="88">
        <f t="shared" si="63"/>
        <v>9652.0195999999996</v>
      </c>
      <c r="J43" s="84" t="e">
        <f t="shared" si="64"/>
        <v>#DIV/0!</v>
      </c>
      <c r="K43" s="84">
        <f>_RES_COAL_NG!I17</f>
        <v>4.1871564010649998</v>
      </c>
      <c r="L43" s="84">
        <f t="shared" si="65"/>
        <v>5.1201393794749404</v>
      </c>
      <c r="M43" s="95">
        <f t="shared" si="66"/>
        <v>22.282018846313864</v>
      </c>
      <c r="N43" s="84">
        <f>_RES_COAL_NG!H17</f>
        <v>1.8984863780745436</v>
      </c>
      <c r="O43" s="84">
        <f t="shared" si="67"/>
        <v>1.8097536749999998</v>
      </c>
      <c r="P43" s="84">
        <f t="shared" si="68"/>
        <v>-4.6738656700048047</v>
      </c>
      <c r="S43">
        <v>11</v>
      </c>
    </row>
    <row r="44" spans="1:54" x14ac:dyDescent="0.2">
      <c r="A44" s="87" t="s">
        <v>86</v>
      </c>
      <c r="B44" s="84">
        <f>[4]COAL!$K$34</f>
        <v>13290.922651000001</v>
      </c>
      <c r="C44" s="84">
        <f t="shared" si="59"/>
        <v>12960.150430317493</v>
      </c>
      <c r="D44" s="84">
        <f t="shared" si="61"/>
        <v>-2.488707739621224</v>
      </c>
      <c r="E44" s="84">
        <f>[4]COAL!$AP$45</f>
        <v>10443.444096963658</v>
      </c>
      <c r="F44" s="84">
        <f>0.0076*S7^2*C44*(2-$R$6)+$R$7*$R$6</f>
        <v>31597.945584725534</v>
      </c>
      <c r="G44" s="95">
        <f t="shared" si="62"/>
        <v>202.5625003720024</v>
      </c>
      <c r="H44" s="84">
        <f>[4]COAL_CT!$AP$45</f>
        <v>10974.693027396015</v>
      </c>
      <c r="I44" s="88">
        <f t="shared" si="63"/>
        <v>10727.6836</v>
      </c>
      <c r="J44" s="84">
        <f t="shared" si="64"/>
        <v>-2.2507183278785812</v>
      </c>
      <c r="K44" s="84">
        <f>_RES_COAL_NG!I20</f>
        <v>4.7744543652712492</v>
      </c>
      <c r="L44" s="84">
        <f t="shared" si="65"/>
        <v>5.9246147971360372</v>
      </c>
      <c r="M44" s="95">
        <f t="shared" si="66"/>
        <v>24.089882191165195</v>
      </c>
      <c r="N44" s="84">
        <f>_RES_COAL_NG!H20</f>
        <v>2.1197961111935473</v>
      </c>
      <c r="O44" s="84">
        <f t="shared" si="67"/>
        <v>2.0114406750000002</v>
      </c>
      <c r="P44" s="84">
        <f t="shared" si="68"/>
        <v>-5.111597083388256</v>
      </c>
      <c r="S44">
        <v>13</v>
      </c>
    </row>
    <row r="45" spans="1:54" s="83" customFormat="1" x14ac:dyDescent="0.2">
      <c r="A45" s="91" t="s">
        <v>87</v>
      </c>
      <c r="B45" s="92">
        <f>[5]COAL!$K$38</f>
        <v>11370.330999</v>
      </c>
      <c r="C45" s="92">
        <f t="shared" si="59"/>
        <v>10966.281133345572</v>
      </c>
      <c r="D45" s="92">
        <f t="shared" ref="D45:D46" si="69">(C45-B45)/B45*100</f>
        <v>-3.5535453250214371</v>
      </c>
      <c r="E45" s="84" t="e">
        <f>[5]COAL!$AP$51</f>
        <v>#DIV/0!</v>
      </c>
      <c r="F45" s="92">
        <f t="shared" si="60"/>
        <v>35888.481145584723</v>
      </c>
      <c r="G45" s="92" t="e">
        <f t="shared" ref="G45:G46" si="70">(F45-E45)/E45*100</f>
        <v>#DIV/0!</v>
      </c>
      <c r="H45" s="84">
        <f>[5]COAL_CT!$AP$51</f>
        <v>12289.241320348619</v>
      </c>
      <c r="I45" s="88">
        <f t="shared" si="63"/>
        <v>11808.8804</v>
      </c>
      <c r="J45" s="92">
        <f t="shared" ref="J45:J46" si="71">(I45-H45)/H45*100</f>
        <v>-3.9087923153826769</v>
      </c>
      <c r="K45" s="84">
        <f>_RES_COAL_NG!I23</f>
        <v>3.723502048574999</v>
      </c>
      <c r="L45" s="84">
        <f t="shared" si="65"/>
        <v>6.729090214797135</v>
      </c>
      <c r="M45" s="96">
        <f t="shared" ref="M45:M46" si="72">(L45-K45)/K45*100</f>
        <v>80.719390697593099</v>
      </c>
      <c r="N45" s="84">
        <f>_RES_COAL_NG!H23</f>
        <v>2.3451943723408801</v>
      </c>
      <c r="O45" s="84">
        <f t="shared" si="67"/>
        <v>2.2141650749999999</v>
      </c>
      <c r="P45" s="92">
        <f t="shared" ref="P45:P46" si="73">(O45-N45)/N45*100</f>
        <v>-5.5871401912879382</v>
      </c>
      <c r="S45" s="83">
        <v>15</v>
      </c>
    </row>
    <row r="46" spans="1:54" x14ac:dyDescent="0.2">
      <c r="A46" s="87" t="s">
        <v>88</v>
      </c>
      <c r="B46" s="84">
        <f>[6]COAL!$K$44</f>
        <v>9864.7095019999997</v>
      </c>
      <c r="C46" s="84">
        <f t="shared" si="59"/>
        <v>9504.1103155661622</v>
      </c>
      <c r="D46" s="84">
        <f t="shared" si="69"/>
        <v>-3.6554465832037795</v>
      </c>
      <c r="E46" s="84">
        <f>[6]COAL!$AP$59</f>
        <v>55641.106615880846</v>
      </c>
      <c r="F46" s="84">
        <f t="shared" si="60"/>
        <v>40179.016706443908</v>
      </c>
      <c r="G46" s="84">
        <f t="shared" si="70"/>
        <v>-27.788969073134528</v>
      </c>
      <c r="H46" s="84">
        <f>[6]COAL_CT!$AP$59</f>
        <v>13736.45377989923</v>
      </c>
      <c r="I46" s="88">
        <f t="shared" si="63"/>
        <v>12895.610000000002</v>
      </c>
      <c r="J46" s="84">
        <f t="shared" si="71"/>
        <v>-6.1212580289801384</v>
      </c>
      <c r="K46" s="84"/>
      <c r="L46" s="84">
        <f t="shared" si="65"/>
        <v>7.5335656324582327</v>
      </c>
      <c r="M46" s="88" t="e">
        <f t="shared" si="72"/>
        <v>#DIV/0!</v>
      </c>
      <c r="N46" s="84"/>
      <c r="O46" s="84"/>
      <c r="P46" s="84" t="e">
        <f t="shared" si="73"/>
        <v>#DIV/0!</v>
      </c>
    </row>
    <row r="47" spans="1:54" x14ac:dyDescent="0.2">
      <c r="A47" s="85" t="s">
        <v>20</v>
      </c>
      <c r="B47" s="84"/>
      <c r="C47" s="84"/>
      <c r="D47" s="84"/>
      <c r="E47" s="84"/>
      <c r="F47" s="84"/>
      <c r="G47" s="84"/>
      <c r="H47" s="84"/>
      <c r="I47" s="88"/>
      <c r="J47" s="84"/>
      <c r="K47" s="84"/>
      <c r="L47" s="84"/>
      <c r="M47" s="88"/>
      <c r="N47" s="84"/>
      <c r="O47" s="84"/>
      <c r="P47" s="84"/>
      <c r="U47">
        <v>1.2738450118587206</v>
      </c>
      <c r="V47">
        <v>1.2557383333333334</v>
      </c>
      <c r="W47">
        <v>-1.4214192744662832</v>
      </c>
      <c r="X47">
        <v>0.42513193494950319</v>
      </c>
      <c r="Y47">
        <v>0.44235714928933029</v>
      </c>
      <c r="Z47">
        <v>4.0517338086759107</v>
      </c>
      <c r="AB47">
        <v>1.4330756383410606</v>
      </c>
      <c r="AC47">
        <v>1.4127056249999999</v>
      </c>
      <c r="AD47">
        <v>-1.421419274466293</v>
      </c>
      <c r="AE47">
        <v>0.47827342681819113</v>
      </c>
      <c r="AF47">
        <v>0.49765179295049661</v>
      </c>
      <c r="AG47">
        <v>4.0517338086759089</v>
      </c>
      <c r="AI47">
        <v>1.5923062648234008</v>
      </c>
      <c r="AJ47">
        <v>1.5696729166666668</v>
      </c>
      <c r="AK47">
        <v>-1.4214192744662866</v>
      </c>
      <c r="AL47">
        <v>0.53141491868687907</v>
      </c>
      <c r="AM47">
        <v>0.55294643661166276</v>
      </c>
      <c r="AN47">
        <v>4.0517338086758761</v>
      </c>
      <c r="AP47">
        <v>1.7515368913057408</v>
      </c>
      <c r="AQ47">
        <v>1.7266402083333332</v>
      </c>
      <c r="AR47">
        <v>-1.4214192744662943</v>
      </c>
      <c r="AS47">
        <v>0.58455641055556684</v>
      </c>
      <c r="AT47">
        <v>0.60824108027282908</v>
      </c>
      <c r="AU47">
        <v>4.0517338086759072</v>
      </c>
      <c r="AW47">
        <v>1.9107675177880807</v>
      </c>
      <c r="AX47">
        <v>1.8836075000000001</v>
      </c>
      <c r="AY47">
        <v>-1.4214192744662775</v>
      </c>
      <c r="AZ47">
        <v>0.63769790242425484</v>
      </c>
      <c r="BA47">
        <v>0.6635357239339954</v>
      </c>
      <c r="BB47">
        <v>4.0517338086758965</v>
      </c>
    </row>
    <row r="48" spans="1:54" x14ac:dyDescent="0.2">
      <c r="A48" s="87" t="s">
        <v>47</v>
      </c>
      <c r="B48" s="84" t="e">
        <f>#REF!</f>
        <v>#REF!</v>
      </c>
      <c r="C48" s="84">
        <f t="shared" ref="C48:C54" si="74">((1-0.52)*(1-$R$21)*$R$7)/($R$21*4.19*S48)</f>
        <v>13011.579598691767</v>
      </c>
      <c r="D48" s="84" t="e">
        <f>(C48-B48)/B48*100</f>
        <v>#REF!</v>
      </c>
      <c r="E48" s="84" t="e">
        <f>#REF!</f>
        <v>#REF!</v>
      </c>
      <c r="F48" s="84">
        <f t="shared" ref="F48:F54" si="75">0.00912*S3^2*C48*(2-$R$6)+$R$7*$R$6*$R$8</f>
        <v>4594.6210978520285</v>
      </c>
      <c r="G48" s="84" t="e">
        <f>(F48-E48)/E48*100</f>
        <v>#REF!</v>
      </c>
      <c r="H48" s="84" t="e">
        <f>#REF!</f>
        <v>#REF!</v>
      </c>
      <c r="I48" s="88">
        <f>($R$7*$R$8)*(0.000001729*S3^2+0.00131*S3+0.0122)</f>
        <v>2002.0495639999999</v>
      </c>
      <c r="J48" s="84" t="e">
        <f>(I48-H48)/H48*100</f>
        <v>#REF!</v>
      </c>
      <c r="K48" s="84">
        <f>_RES_COAL_NG!G8</f>
        <v>0.6928960796062501</v>
      </c>
      <c r="L48" s="84">
        <f>$R$3*F48/$R$7</f>
        <v>0.86149145584725528</v>
      </c>
      <c r="M48" s="88">
        <f>(L48-K48)/K48*100</f>
        <v>24.331985878288176</v>
      </c>
      <c r="N48" s="84">
        <f>_RES_COAL_NG!F8</f>
        <v>0.39161289590984683</v>
      </c>
      <c r="O48" s="84">
        <f>$R$3*I48/$R$7</f>
        <v>0.37538429325</v>
      </c>
      <c r="P48" s="84">
        <f>(O48-N48)/N48*100</f>
        <v>-4.1440419427818869</v>
      </c>
      <c r="S48">
        <v>3</v>
      </c>
    </row>
    <row r="49" spans="1:54" x14ac:dyDescent="0.2">
      <c r="A49" s="87" t="s">
        <v>51</v>
      </c>
      <c r="B49" s="84">
        <f>[2]NG!$K$34</f>
        <v>8098.5093390000002</v>
      </c>
      <c r="C49" s="84">
        <f t="shared" si="74"/>
        <v>7806.9477592150597</v>
      </c>
      <c r="D49" s="84">
        <f t="shared" ref="D49:D52" si="76">(C49-B49)/B49*100</f>
        <v>-3.6001882269971226</v>
      </c>
      <c r="E49" s="84">
        <f>[2]NG!$AP$39</f>
        <v>0</v>
      </c>
      <c r="F49" s="84">
        <f t="shared" si="75"/>
        <v>6004.3684964200465</v>
      </c>
      <c r="G49" s="84" t="e">
        <f t="shared" ref="G49:G52" si="77">(F49-E49)/E49*100</f>
        <v>#DIV/0!</v>
      </c>
      <c r="H49" s="84">
        <f>[2]NG_CT!$AP$39</f>
        <v>0</v>
      </c>
      <c r="I49" s="88">
        <f t="shared" ref="I49:I54" si="78">($R$7*$R$8)*(0.000001729*S4^2+0.00131*S4+0.0122)</f>
        <v>2330.3598999999999</v>
      </c>
      <c r="J49" s="84" t="e">
        <f t="shared" ref="J49:J52" si="79">(I49-H49)/H49*100</f>
        <v>#DIV/0!</v>
      </c>
      <c r="K49" s="84" t="e">
        <f>_RES_COAL_NG!#REF!</f>
        <v>#REF!</v>
      </c>
      <c r="L49" s="84">
        <f t="shared" ref="L49:L54" si="80">$R$3*F49/$R$7</f>
        <v>1.1258190930787588</v>
      </c>
      <c r="M49" s="88" t="e">
        <f t="shared" ref="M49:M52" si="81">(L49-K49)/K49*100</f>
        <v>#REF!</v>
      </c>
      <c r="N49" s="84" t="e">
        <f>_RES_COAL_NG!#REF!</f>
        <v>#REF!</v>
      </c>
      <c r="O49" s="84">
        <f t="shared" ref="O49:O53" si="82">$R$3*I49/$R$7</f>
        <v>0.43694248124999996</v>
      </c>
      <c r="P49" s="84" t="e">
        <f t="shared" ref="P49:P52" si="83">(O49-N49)/N49*100</f>
        <v>#REF!</v>
      </c>
      <c r="S49">
        <v>5</v>
      </c>
    </row>
    <row r="50" spans="1:54" x14ac:dyDescent="0.2">
      <c r="A50" s="87" t="s">
        <v>48</v>
      </c>
      <c r="B50" s="84">
        <f>[1]NG!$K$34</f>
        <v>5810.4630289999996</v>
      </c>
      <c r="C50" s="84">
        <f t="shared" si="74"/>
        <v>5576.3912565821856</v>
      </c>
      <c r="D50" s="84">
        <f t="shared" si="76"/>
        <v>-4.0284530036515598</v>
      </c>
      <c r="E50" s="84">
        <f>[1]NG!$AP$41</f>
        <v>0</v>
      </c>
      <c r="F50" s="84">
        <f t="shared" si="75"/>
        <v>7414.1158949880655</v>
      </c>
      <c r="G50" s="84" t="e">
        <f t="shared" si="77"/>
        <v>#DIV/0!</v>
      </c>
      <c r="H50" s="84">
        <f>[1]NG_CT!$AP$41</f>
        <v>0</v>
      </c>
      <c r="I50" s="88">
        <f t="shared" si="78"/>
        <v>2660.3854040000001</v>
      </c>
      <c r="J50" s="84" t="e">
        <f t="shared" si="79"/>
        <v>#DIV/0!</v>
      </c>
      <c r="K50" s="84">
        <f>_RES_COAL_NG!G14</f>
        <v>0.97619760756749918</v>
      </c>
      <c r="L50" s="84">
        <f t="shared" si="80"/>
        <v>1.3901467303102624</v>
      </c>
      <c r="M50" s="88">
        <f t="shared" si="81"/>
        <v>42.404234504758371</v>
      </c>
      <c r="N50" s="84">
        <f>_RES_COAL_NG!F14</f>
        <v>0.52926621420553965</v>
      </c>
      <c r="O50" s="84">
        <f t="shared" si="82"/>
        <v>0.49882226325000001</v>
      </c>
      <c r="P50" s="84">
        <f t="shared" si="83"/>
        <v>-5.7521054883954461</v>
      </c>
      <c r="S50">
        <v>7</v>
      </c>
      <c r="U50">
        <v>0.38193253335216981</v>
      </c>
      <c r="V50">
        <v>0.39235317391304358</v>
      </c>
      <c r="W50">
        <v>2.728398251233858</v>
      </c>
      <c r="X50">
        <v>0.20721107333447283</v>
      </c>
      <c r="Y50">
        <v>0.21347436942085604</v>
      </c>
      <c r="Z50">
        <v>3.0226647570485845</v>
      </c>
      <c r="AB50">
        <v>0.42967410002119105</v>
      </c>
      <c r="AC50">
        <v>0.44139732065217402</v>
      </c>
      <c r="AD50">
        <v>2.7283982512338514</v>
      </c>
      <c r="AE50">
        <v>0.23311245750128193</v>
      </c>
      <c r="AF50">
        <v>0.24015866559846302</v>
      </c>
      <c r="AG50">
        <v>3.0226647570485787</v>
      </c>
      <c r="AI50">
        <v>0.47741566669021229</v>
      </c>
      <c r="AJ50">
        <v>0.49044146739130445</v>
      </c>
      <c r="AK50">
        <v>2.7283982512338461</v>
      </c>
      <c r="AL50">
        <v>0.25901384166809105</v>
      </c>
      <c r="AM50">
        <v>0.26684296177607003</v>
      </c>
      <c r="AN50">
        <v>3.0226647570485738</v>
      </c>
      <c r="AP50">
        <v>0.52515723335923348</v>
      </c>
      <c r="AQ50">
        <v>0.53948561413043483</v>
      </c>
      <c r="AR50">
        <v>2.7283982512338425</v>
      </c>
      <c r="AS50">
        <v>0.28491522583490009</v>
      </c>
      <c r="AT50">
        <v>0.29352725795367707</v>
      </c>
      <c r="AU50">
        <v>3.0226647570486094</v>
      </c>
      <c r="AW50">
        <v>0.57289880002825477</v>
      </c>
      <c r="AX50">
        <v>0.58852976086956543</v>
      </c>
      <c r="AY50">
        <v>2.728398251233858</v>
      </c>
      <c r="AZ50">
        <v>0.31081661000170924</v>
      </c>
      <c r="BA50">
        <v>0.32021155413128405</v>
      </c>
      <c r="BB50">
        <v>3.0226647570485849</v>
      </c>
    </row>
    <row r="51" spans="1:54" x14ac:dyDescent="0.2">
      <c r="A51" s="87" t="s">
        <v>85</v>
      </c>
      <c r="B51" s="84">
        <f>[3]NG!$K$34</f>
        <v>4540.5404900000003</v>
      </c>
      <c r="C51" s="84">
        <f t="shared" si="74"/>
        <v>4337.1931995639225</v>
      </c>
      <c r="D51" s="84">
        <f t="shared" si="76"/>
        <v>-4.478482041596723</v>
      </c>
      <c r="E51" s="84">
        <f>[3]NG!$AP$43</f>
        <v>0</v>
      </c>
      <c r="F51" s="84">
        <f t="shared" si="75"/>
        <v>8823.8632935560836</v>
      </c>
      <c r="G51" s="84" t="e">
        <f t="shared" si="77"/>
        <v>#DIV/0!</v>
      </c>
      <c r="H51" s="84">
        <f>[3]NG_CT!$AP$43</f>
        <v>0</v>
      </c>
      <c r="I51" s="88">
        <f t="shared" si="78"/>
        <v>2992.126076</v>
      </c>
      <c r="J51" s="84" t="e">
        <f t="shared" si="79"/>
        <v>#DIV/0!</v>
      </c>
      <c r="K51" s="84">
        <f>_RES_COAL_NG!G17</f>
        <v>1.1120086854337496</v>
      </c>
      <c r="L51" s="84">
        <f t="shared" si="80"/>
        <v>1.6544743675417657</v>
      </c>
      <c r="M51" s="88">
        <f t="shared" si="81"/>
        <v>48.782504058987826</v>
      </c>
      <c r="N51" s="84">
        <f>_RES_COAL_NG!F17</f>
        <v>0.59623125771585728</v>
      </c>
      <c r="O51" s="84">
        <f t="shared" si="82"/>
        <v>0.56102363924999998</v>
      </c>
      <c r="P51" s="84">
        <f t="shared" si="83"/>
        <v>-5.9050272876897711</v>
      </c>
      <c r="S51">
        <v>9</v>
      </c>
    </row>
    <row r="52" spans="1:54" x14ac:dyDescent="0.2">
      <c r="A52" s="87" t="s">
        <v>86</v>
      </c>
      <c r="B52" s="84">
        <f>[4]NG!$K$34</f>
        <v>3732.3866760000001</v>
      </c>
      <c r="C52" s="84">
        <f t="shared" si="74"/>
        <v>3548.612617825027</v>
      </c>
      <c r="D52" s="84">
        <f t="shared" si="76"/>
        <v>-4.9237679299595989</v>
      </c>
      <c r="E52" s="84">
        <f>[4]NG!$AP$45</f>
        <v>3351.8027311042392</v>
      </c>
      <c r="F52" s="84">
        <f t="shared" si="75"/>
        <v>10233.610692124103</v>
      </c>
      <c r="G52" s="84">
        <f t="shared" si="77"/>
        <v>205.31661655257011</v>
      </c>
      <c r="H52" s="84">
        <f>[4]NG_CT!$AP$45</f>
        <v>3433.6898022259638</v>
      </c>
      <c r="I52" s="88">
        <f t="shared" si="78"/>
        <v>3325.5819160000001</v>
      </c>
      <c r="J52" s="84">
        <f t="shared" si="79"/>
        <v>-3.1484464949594586</v>
      </c>
      <c r="K52" s="84">
        <f>_RES_COAL_NG!G20</f>
        <v>1.2650317410900007</v>
      </c>
      <c r="L52" s="84">
        <f t="shared" si="80"/>
        <v>1.9188020047732692</v>
      </c>
      <c r="M52" s="88">
        <f t="shared" si="81"/>
        <v>51.680147023026834</v>
      </c>
      <c r="N52" s="84">
        <f>_RES_COAL_NG!F20</f>
        <v>0.66322222313311519</v>
      </c>
      <c r="O52" s="84">
        <f t="shared" si="82"/>
        <v>0.62354660925000005</v>
      </c>
      <c r="P52" s="84">
        <f t="shared" si="83"/>
        <v>-5.9822503678607664</v>
      </c>
      <c r="S52">
        <v>11</v>
      </c>
    </row>
    <row r="53" spans="1:54" s="73" customFormat="1" x14ac:dyDescent="0.2">
      <c r="A53" s="93" t="s">
        <v>87</v>
      </c>
      <c r="B53" s="94">
        <f>[5]NG!$K$38</f>
        <v>3201.3919919999998</v>
      </c>
      <c r="C53" s="94">
        <f t="shared" si="74"/>
        <v>3002.6722150827154</v>
      </c>
      <c r="D53" s="94">
        <f t="shared" ref="D53:D54" si="84">(C53-B53)/B53*100</f>
        <v>-6.2072928717841451</v>
      </c>
      <c r="E53" s="84">
        <f>[5]NG!$AP$51</f>
        <v>7877.5006629193031</v>
      </c>
      <c r="F53" s="94">
        <f t="shared" si="75"/>
        <v>11643.358090692122</v>
      </c>
      <c r="G53" s="94">
        <f t="shared" ref="G53:G54" si="85">(F53-E53)/E53*100</f>
        <v>47.80523149302077</v>
      </c>
      <c r="H53" s="84">
        <f>[5]NG_CT!$AP$51</f>
        <v>3831.7858626493789</v>
      </c>
      <c r="I53" s="88">
        <f t="shared" si="78"/>
        <v>3660.7529239999999</v>
      </c>
      <c r="J53" s="94">
        <f t="shared" ref="J53:J54" si="86">(I53-H53)/H53*100</f>
        <v>-4.463530708136263</v>
      </c>
      <c r="K53" s="84">
        <f>_RES_COAL_NG!G23</f>
        <v>1.4046156310837514</v>
      </c>
      <c r="L53" s="84">
        <f t="shared" si="80"/>
        <v>2.183129642004773</v>
      </c>
      <c r="M53" s="97">
        <f t="shared" ref="M53:M54" si="87">(L53-K53)/K53*100</f>
        <v>55.425412738739631</v>
      </c>
      <c r="N53" s="84">
        <f>_RES_COAL_NG!F23</f>
        <v>0.73122726596181575</v>
      </c>
      <c r="O53" s="84">
        <f t="shared" si="82"/>
        <v>0.68639117324999999</v>
      </c>
      <c r="P53" s="94">
        <f t="shared" ref="P53:P54" si="88">(O53-N53)/N53*100</f>
        <v>-6.1316221096926489</v>
      </c>
      <c r="S53" s="73">
        <v>13</v>
      </c>
    </row>
    <row r="54" spans="1:54" x14ac:dyDescent="0.2">
      <c r="A54" s="87" t="s">
        <v>88</v>
      </c>
      <c r="B54" s="84">
        <f>[6]NG!$K$44</f>
        <v>2800.6675770000002</v>
      </c>
      <c r="C54" s="84">
        <f t="shared" si="74"/>
        <v>2602.3159197383529</v>
      </c>
      <c r="D54" s="84">
        <f t="shared" si="84"/>
        <v>-7.0822991950410694</v>
      </c>
      <c r="E54" s="84">
        <f>[6]NG!$AP$59</f>
        <v>14074.722638155547</v>
      </c>
      <c r="F54" s="84">
        <f t="shared" si="75"/>
        <v>13053.105489260139</v>
      </c>
      <c r="G54" s="84">
        <f t="shared" si="85"/>
        <v>-7.2585242008668658</v>
      </c>
      <c r="H54" s="84">
        <f>[6]NG_CT!$AP$59</f>
        <v>4267.4667826477889</v>
      </c>
      <c r="I54" s="88">
        <f t="shared" si="78"/>
        <v>3997.6391000000008</v>
      </c>
      <c r="J54" s="84">
        <f t="shared" si="86"/>
        <v>-6.3229005963198404</v>
      </c>
      <c r="K54" s="84"/>
      <c r="L54" s="84">
        <f t="shared" si="80"/>
        <v>2.4474572792362759</v>
      </c>
      <c r="M54" s="88" t="e">
        <f t="shared" si="87"/>
        <v>#DIV/0!</v>
      </c>
      <c r="N54" s="84"/>
      <c r="O54" s="84"/>
      <c r="P54" s="84" t="e">
        <f t="shared" si="88"/>
        <v>#DIV/0!</v>
      </c>
      <c r="S54">
        <v>15</v>
      </c>
      <c r="U54">
        <v>1.4765131841640107</v>
      </c>
      <c r="V54">
        <v>1.4772827391304351</v>
      </c>
      <c r="W54">
        <v>5.2119749060019809E-2</v>
      </c>
      <c r="X54">
        <v>0.47615412242019683</v>
      </c>
      <c r="Y54">
        <v>0.50082522467365909</v>
      </c>
      <c r="Z54">
        <v>5.1813270308495785</v>
      </c>
      <c r="AB54">
        <v>1.6610773321845118</v>
      </c>
      <c r="AC54">
        <v>1.6619430815217395</v>
      </c>
      <c r="AD54">
        <v>5.2119749060036531E-2</v>
      </c>
      <c r="AE54">
        <v>0.53567338772272144</v>
      </c>
      <c r="AF54">
        <v>0.56342837775786658</v>
      </c>
      <c r="AG54">
        <v>5.1813270308495998</v>
      </c>
      <c r="AI54">
        <v>1.8456414802050134</v>
      </c>
      <c r="AJ54">
        <v>1.8466034239130438</v>
      </c>
      <c r="AK54">
        <v>5.2119749060013792E-2</v>
      </c>
      <c r="AL54">
        <v>0.59519265302524604</v>
      </c>
      <c r="AM54">
        <v>0.62603153084207386</v>
      </c>
      <c r="AN54">
        <v>5.1813270308495785</v>
      </c>
      <c r="AP54">
        <v>2.0302056282255148</v>
      </c>
      <c r="AQ54">
        <v>2.0312637663043485</v>
      </c>
      <c r="AR54">
        <v>5.2119749060028017E-2</v>
      </c>
      <c r="AS54">
        <v>0.65471191832777065</v>
      </c>
      <c r="AT54">
        <v>0.68863468392628135</v>
      </c>
      <c r="AU54">
        <v>5.1813270308495953</v>
      </c>
      <c r="AW54">
        <v>2.2147697762460159</v>
      </c>
      <c r="AX54">
        <v>2.2159241086956527</v>
      </c>
      <c r="AY54">
        <v>5.2119749060029835E-2</v>
      </c>
      <c r="AZ54">
        <v>0.71423118363029514</v>
      </c>
      <c r="BA54">
        <v>0.75123783701048874</v>
      </c>
      <c r="BB54">
        <v>5.1813270308496104</v>
      </c>
    </row>
    <row r="56" spans="1:54" x14ac:dyDescent="0.2">
      <c r="B56" t="s">
        <v>63</v>
      </c>
      <c r="C56" t="s">
        <v>64</v>
      </c>
      <c r="D56" t="s">
        <v>74</v>
      </c>
      <c r="E56" t="s">
        <v>63</v>
      </c>
      <c r="F56" t="s">
        <v>64</v>
      </c>
      <c r="G56" t="s">
        <v>74</v>
      </c>
      <c r="H56" t="s">
        <v>63</v>
      </c>
      <c r="I56" s="49" t="s">
        <v>64</v>
      </c>
      <c r="J56" t="s">
        <v>74</v>
      </c>
      <c r="K56" s="78" t="s">
        <v>63</v>
      </c>
      <c r="L56" s="78" t="s">
        <v>64</v>
      </c>
      <c r="M56" s="98" t="s">
        <v>74</v>
      </c>
      <c r="N56" s="78" t="s">
        <v>63</v>
      </c>
      <c r="O56" s="78" t="s">
        <v>64</v>
      </c>
      <c r="P56" s="78" t="s">
        <v>74</v>
      </c>
    </row>
    <row r="57" spans="1:54" x14ac:dyDescent="0.2">
      <c r="A57" t="s">
        <v>75</v>
      </c>
      <c r="B57" t="s">
        <v>76</v>
      </c>
      <c r="C57" t="s">
        <v>76</v>
      </c>
      <c r="D57" t="s">
        <v>76</v>
      </c>
      <c r="E57" t="s">
        <v>77</v>
      </c>
      <c r="F57" t="s">
        <v>77</v>
      </c>
      <c r="G57" t="s">
        <v>77</v>
      </c>
      <c r="H57" t="s">
        <v>78</v>
      </c>
      <c r="I57" s="49" t="s">
        <v>78</v>
      </c>
      <c r="J57" t="s">
        <v>78</v>
      </c>
      <c r="K57" s="78" t="s">
        <v>62</v>
      </c>
      <c r="L57" s="78" t="s">
        <v>62</v>
      </c>
      <c r="M57" s="98" t="s">
        <v>62</v>
      </c>
      <c r="N57" s="78" t="s">
        <v>79</v>
      </c>
      <c r="O57" s="78" t="s">
        <v>79</v>
      </c>
      <c r="P57" s="78" t="s">
        <v>79</v>
      </c>
    </row>
    <row r="58" spans="1:54" ht="16" thickBot="1" x14ac:dyDescent="0.25">
      <c r="A58" s="75" t="s">
        <v>57</v>
      </c>
      <c r="K58" s="78"/>
      <c r="L58" s="78"/>
      <c r="M58" s="98"/>
      <c r="N58" s="78"/>
      <c r="O58" s="78"/>
      <c r="P58" s="78"/>
    </row>
    <row r="59" spans="1:54" ht="16" thickBot="1" x14ac:dyDescent="0.25">
      <c r="A59" s="76"/>
      <c r="B59">
        <f>D4</f>
        <v>280.32163280880991</v>
      </c>
      <c r="C59" t="e">
        <f>D22</f>
        <v>#REF!</v>
      </c>
      <c r="D59" t="e">
        <f>D40</f>
        <v>#REF!</v>
      </c>
      <c r="E59">
        <f>G4</f>
        <v>608.77926834589266</v>
      </c>
      <c r="F59" t="e">
        <f>G22</f>
        <v>#REF!</v>
      </c>
      <c r="G59" t="e">
        <f>G40</f>
        <v>#REF!</v>
      </c>
      <c r="H59" t="e">
        <f>J4</f>
        <v>#REF!</v>
      </c>
      <c r="I59" s="49" t="e">
        <f>J22</f>
        <v>#REF!</v>
      </c>
      <c r="J59" t="e">
        <f>J40</f>
        <v>#REF!</v>
      </c>
      <c r="K59" s="78">
        <f>M4</f>
        <v>29.421878558850505</v>
      </c>
      <c r="L59" s="78">
        <f>M22</f>
        <v>28.812225800324352</v>
      </c>
      <c r="M59" s="98">
        <f>M40</f>
        <v>26.615744348854619</v>
      </c>
      <c r="N59" s="78">
        <f>P4</f>
        <v>1.7056139332824078</v>
      </c>
      <c r="O59" s="78">
        <f>P22</f>
        <v>-0.35629672765317572</v>
      </c>
      <c r="P59" s="78">
        <f>P40</f>
        <v>-1.9062897707120317</v>
      </c>
    </row>
    <row r="60" spans="1:54" ht="16" thickBot="1" x14ac:dyDescent="0.25">
      <c r="A60" s="76"/>
      <c r="K60" s="78"/>
      <c r="L60" s="78"/>
      <c r="M60" s="98"/>
      <c r="N60" s="78"/>
      <c r="O60" s="78"/>
      <c r="P60" s="78"/>
    </row>
    <row r="61" spans="1:54" ht="16" thickBot="1" x14ac:dyDescent="0.25">
      <c r="A61" s="76"/>
      <c r="B61">
        <f>D6</f>
        <v>2.4486402742662703</v>
      </c>
      <c r="C61" t="e">
        <f>D24</f>
        <v>#DIV/0!</v>
      </c>
      <c r="D61">
        <f>D42</f>
        <v>-1.7436481170258791</v>
      </c>
      <c r="E61">
        <f>G6</f>
        <v>-2.4307814184702923</v>
      </c>
      <c r="F61">
        <f>G24</f>
        <v>87.014451318396226</v>
      </c>
      <c r="G61" t="e">
        <f>G42</f>
        <v>#DIV/0!</v>
      </c>
      <c r="H61">
        <f>J6</f>
        <v>1.7867007414003748</v>
      </c>
      <c r="I61" s="49">
        <f>J24</f>
        <v>-0.12272610997757223</v>
      </c>
      <c r="J61" t="e">
        <f>J42</f>
        <v>#DIV/0!</v>
      </c>
      <c r="K61" s="78">
        <f>M6</f>
        <v>46.246073151017249</v>
      </c>
      <c r="L61" s="78">
        <f>M24</f>
        <v>45.744180989256812</v>
      </c>
      <c r="M61" s="98">
        <f>M42</f>
        <v>43.583325993943767</v>
      </c>
      <c r="N61" s="78">
        <f>P6</f>
        <v>1.7865952701790837</v>
      </c>
      <c r="O61" s="78">
        <f>P24</f>
        <v>-1.5863519459273057</v>
      </c>
      <c r="P61" s="78">
        <f>P42</f>
        <v>-4.2059552934977606</v>
      </c>
    </row>
    <row r="62" spans="1:54" ht="16" thickBot="1" x14ac:dyDescent="0.25">
      <c r="A62" s="75" t="s">
        <v>20</v>
      </c>
      <c r="K62" s="78"/>
      <c r="L62" s="78"/>
      <c r="M62" s="98"/>
      <c r="N62" s="78"/>
      <c r="O62" s="78"/>
      <c r="P62" s="78"/>
    </row>
    <row r="63" spans="1:54" ht="16" thickBot="1" x14ac:dyDescent="0.25">
      <c r="A63" s="76"/>
      <c r="B63" t="e">
        <f>D12</f>
        <v>#REF!</v>
      </c>
      <c r="C63" t="e">
        <f>D30</f>
        <v>#REF!</v>
      </c>
      <c r="D63" t="e">
        <f>D48</f>
        <v>#REF!</v>
      </c>
      <c r="E63" t="e">
        <f>G12</f>
        <v>#REF!</v>
      </c>
      <c r="F63" t="e">
        <f>G30</f>
        <v>#REF!</v>
      </c>
      <c r="G63" t="e">
        <f>G48</f>
        <v>#REF!</v>
      </c>
      <c r="H63" t="e">
        <f>J12</f>
        <v>#REF!</v>
      </c>
      <c r="I63" s="49" t="e">
        <f>J30</f>
        <v>#REF!</v>
      </c>
      <c r="J63" t="e">
        <f>J48</f>
        <v>#REF!</v>
      </c>
      <c r="K63" s="78">
        <f>M12</f>
        <v>30.617331118787689</v>
      </c>
      <c r="L63" s="78">
        <f>M30</f>
        <v>27.994213140931869</v>
      </c>
      <c r="M63" s="98">
        <f>M48</f>
        <v>24.331985878288176</v>
      </c>
      <c r="N63" s="78">
        <f>P12</f>
        <v>1.7860604974429155</v>
      </c>
      <c r="O63" s="78">
        <f>P30</f>
        <v>-1.7019564955683977</v>
      </c>
      <c r="P63" s="78">
        <f>P48</f>
        <v>-4.1440419427818869</v>
      </c>
    </row>
    <row r="64" spans="1:54" ht="16" thickBot="1" x14ac:dyDescent="0.25">
      <c r="A64" s="76"/>
      <c r="K64" s="78"/>
      <c r="L64" s="78"/>
      <c r="M64" s="98"/>
      <c r="N64" s="78"/>
      <c r="O64" s="78"/>
      <c r="P64" s="78"/>
    </row>
    <row r="65" spans="1:16" ht="16" thickBot="1" x14ac:dyDescent="0.25">
      <c r="A65" s="76"/>
      <c r="B65">
        <f>D14</f>
        <v>2.0361005248895778</v>
      </c>
      <c r="C65" t="e">
        <f>D32</f>
        <v>#DIV/0!</v>
      </c>
      <c r="D65">
        <f>D50</f>
        <v>-4.0284530036515598</v>
      </c>
      <c r="E65">
        <f>G14</f>
        <v>-2.8977796053333633</v>
      </c>
      <c r="F65">
        <f>G32</f>
        <v>87.977219158471669</v>
      </c>
      <c r="G65" t="e">
        <f>G50</f>
        <v>#DIV/0!</v>
      </c>
      <c r="H65">
        <f>J14</f>
        <v>3.8287928215349147</v>
      </c>
      <c r="I65" s="49">
        <f>J32</f>
        <v>0.18087727344528928</v>
      </c>
      <c r="J65" t="e">
        <f>J50</f>
        <v>#DIV/0!</v>
      </c>
      <c r="K65" s="78">
        <f>M14</f>
        <v>47.449766189352701</v>
      </c>
      <c r="L65" s="78">
        <f>M32</f>
        <v>44.493024541685635</v>
      </c>
      <c r="M65" s="98">
        <f>M50</f>
        <v>42.404234504758371</v>
      </c>
      <c r="N65" s="78">
        <f>P14</f>
        <v>2.471244120335867</v>
      </c>
      <c r="O65" s="78">
        <f>P32</f>
        <v>-2.2830625201856964</v>
      </c>
      <c r="P65" s="78">
        <f>P50</f>
        <v>-5.7521054883954461</v>
      </c>
    </row>
    <row r="69" spans="1:16" x14ac:dyDescent="0.2">
      <c r="A69" s="55" t="str">
        <f t="shared" ref="A69" si="89">A57</f>
        <v>Errors</v>
      </c>
      <c r="B69" s="79" t="str">
        <f>K56</f>
        <v>Tin=15</v>
      </c>
      <c r="C69" s="79" t="str">
        <f t="shared" ref="C69:G69" si="90">L56</f>
        <v>Tin=20</v>
      </c>
      <c r="D69" s="79" t="str">
        <f t="shared" si="90"/>
        <v>Tin=25</v>
      </c>
      <c r="E69" s="79" t="str">
        <f t="shared" si="90"/>
        <v>Tin=15</v>
      </c>
      <c r="F69" s="79" t="str">
        <f t="shared" si="90"/>
        <v>Tin=20</v>
      </c>
      <c r="G69" s="79" t="str">
        <f t="shared" si="90"/>
        <v>Tin=25</v>
      </c>
    </row>
    <row r="70" spans="1:16" x14ac:dyDescent="0.2">
      <c r="A70" s="55"/>
      <c r="B70" s="79" t="str">
        <f>K57</f>
        <v>COW_once</v>
      </c>
      <c r="C70" s="79" t="str">
        <f>L57</f>
        <v>COW_once</v>
      </c>
      <c r="D70" s="79" t="str">
        <f>M57</f>
        <v>COW_once</v>
      </c>
      <c r="E70" s="79" t="str">
        <f>N57</f>
        <v>COW_ct</v>
      </c>
      <c r="F70" s="79" t="str">
        <f>O57</f>
        <v>COW_ct</v>
      </c>
      <c r="G70" s="79" t="str">
        <f>P57</f>
        <v>COW_ct</v>
      </c>
    </row>
    <row r="71" spans="1:16" x14ac:dyDescent="0.2">
      <c r="A71" s="55" t="str">
        <f>A58</f>
        <v>Coal</v>
      </c>
      <c r="B71" s="79"/>
      <c r="C71" s="79"/>
      <c r="D71" s="79"/>
      <c r="E71" s="79"/>
      <c r="F71" s="79"/>
      <c r="G71" s="79"/>
    </row>
    <row r="72" spans="1:16" x14ac:dyDescent="0.2">
      <c r="A72" s="80" t="s">
        <v>47</v>
      </c>
      <c r="B72" s="81">
        <f t="shared" ref="B72:G72" si="91">K59</f>
        <v>29.421878558850505</v>
      </c>
      <c r="C72" s="81">
        <f t="shared" si="91"/>
        <v>28.812225800324352</v>
      </c>
      <c r="D72" s="81">
        <f t="shared" si="91"/>
        <v>26.615744348854619</v>
      </c>
      <c r="E72" s="81">
        <f t="shared" si="91"/>
        <v>1.7056139332824078</v>
      </c>
      <c r="F72" s="81">
        <f t="shared" si="91"/>
        <v>-0.35629672765317572</v>
      </c>
      <c r="G72" s="81">
        <f t="shared" si="91"/>
        <v>-1.9062897707120317</v>
      </c>
    </row>
    <row r="73" spans="1:16" x14ac:dyDescent="0.2">
      <c r="A73" s="80" t="s">
        <v>48</v>
      </c>
      <c r="B73" s="81">
        <f t="shared" ref="B73:G73" si="92">K61</f>
        <v>46.246073151017249</v>
      </c>
      <c r="C73" s="81">
        <f t="shared" si="92"/>
        <v>45.744180989256812</v>
      </c>
      <c r="D73" s="81">
        <f t="shared" si="92"/>
        <v>43.583325993943767</v>
      </c>
      <c r="E73" s="81">
        <f t="shared" si="92"/>
        <v>1.7865952701790837</v>
      </c>
      <c r="F73" s="81">
        <f t="shared" si="92"/>
        <v>-1.5863519459273057</v>
      </c>
      <c r="G73" s="81">
        <f t="shared" si="92"/>
        <v>-4.2059552934977606</v>
      </c>
    </row>
    <row r="74" spans="1:16" x14ac:dyDescent="0.2">
      <c r="A74" s="55" t="str">
        <f>A62</f>
        <v>NG</v>
      </c>
      <c r="B74" s="81"/>
      <c r="C74" s="81"/>
      <c r="D74" s="81"/>
      <c r="E74" s="81"/>
      <c r="F74" s="81"/>
      <c r="G74" s="81"/>
    </row>
    <row r="75" spans="1:16" x14ac:dyDescent="0.2">
      <c r="A75" s="80" t="s">
        <v>47</v>
      </c>
      <c r="B75" s="81">
        <f t="shared" ref="B75:G75" si="93">K63</f>
        <v>30.617331118787689</v>
      </c>
      <c r="C75" s="81">
        <f t="shared" si="93"/>
        <v>27.994213140931869</v>
      </c>
      <c r="D75" s="81">
        <f t="shared" si="93"/>
        <v>24.331985878288176</v>
      </c>
      <c r="E75" s="81">
        <f t="shared" si="93"/>
        <v>1.7860604974429155</v>
      </c>
      <c r="F75" s="81">
        <f t="shared" si="93"/>
        <v>-1.7019564955683977</v>
      </c>
      <c r="G75" s="81">
        <f t="shared" si="93"/>
        <v>-4.1440419427818869</v>
      </c>
    </row>
    <row r="76" spans="1:16" x14ac:dyDescent="0.2">
      <c r="A76" s="80" t="s">
        <v>48</v>
      </c>
      <c r="B76" s="81">
        <f t="shared" ref="B76" si="94">K65</f>
        <v>47.449766189352701</v>
      </c>
      <c r="C76" s="81">
        <f t="shared" ref="C76" si="95">L65</f>
        <v>44.493024541685635</v>
      </c>
      <c r="D76" s="81">
        <f t="shared" ref="D76" si="96">M65</f>
        <v>42.404234504758371</v>
      </c>
      <c r="E76" s="81">
        <f t="shared" ref="E76" si="97">N65</f>
        <v>2.471244120335867</v>
      </c>
      <c r="F76" s="81">
        <f t="shared" ref="F76" si="98">O65</f>
        <v>-2.2830625201856964</v>
      </c>
      <c r="G76" s="81">
        <f t="shared" ref="G76" si="99">P65</f>
        <v>-5.7521054883954461</v>
      </c>
    </row>
  </sheetData>
  <mergeCells count="15">
    <mergeCell ref="B38:D38"/>
    <mergeCell ref="E38:G38"/>
    <mergeCell ref="H38:J38"/>
    <mergeCell ref="K38:M38"/>
    <mergeCell ref="N38:P38"/>
    <mergeCell ref="B2:D2"/>
    <mergeCell ref="K2:M2"/>
    <mergeCell ref="H2:J2"/>
    <mergeCell ref="E2:G2"/>
    <mergeCell ref="N2:P2"/>
    <mergeCell ref="B20:D20"/>
    <mergeCell ref="E20:G20"/>
    <mergeCell ref="H20:J20"/>
    <mergeCell ref="K20:M20"/>
    <mergeCell ref="N20:P2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zoomScale="174" zoomScaleNormal="200" zoomScalePageLayoutView="200" workbookViewId="0">
      <selection activeCell="G9" sqref="G9"/>
    </sheetView>
  </sheetViews>
  <sheetFormatPr baseColWidth="10" defaultRowHeight="15" x14ac:dyDescent="0.2"/>
  <cols>
    <col min="1" max="1" width="6" bestFit="1" customWidth="1"/>
    <col min="2" max="2" width="9.1640625" bestFit="1" customWidth="1"/>
    <col min="3" max="3" width="9" hidden="1" customWidth="1"/>
    <col min="4" max="4" width="7.1640625" style="7" hidden="1" customWidth="1"/>
    <col min="5" max="5" width="9" style="63" hidden="1" customWidth="1"/>
    <col min="6" max="6" width="16.83203125" style="7" customWidth="1"/>
    <col min="7" max="7" width="8.6640625" style="20" bestFit="1" customWidth="1"/>
    <col min="8" max="8" width="8.6640625" style="7" bestFit="1" customWidth="1"/>
    <col min="9" max="9" width="9.1640625" style="57" bestFit="1" customWidth="1"/>
    <col min="10" max="12" width="11" bestFit="1" customWidth="1"/>
    <col min="16" max="16" width="18.33203125" customWidth="1"/>
  </cols>
  <sheetData>
    <row r="1" spans="1:9" x14ac:dyDescent="0.2">
      <c r="B1" s="28"/>
    </row>
    <row r="2" spans="1:9" x14ac:dyDescent="0.2">
      <c r="B2" s="28"/>
      <c r="C2" s="128" t="s">
        <v>49</v>
      </c>
      <c r="D2" s="128"/>
      <c r="E2" s="64" t="s">
        <v>52</v>
      </c>
      <c r="F2" s="74" t="s">
        <v>118</v>
      </c>
      <c r="G2" s="61"/>
      <c r="H2" s="74"/>
      <c r="I2" s="61"/>
    </row>
    <row r="3" spans="1:9" s="15" customFormat="1" x14ac:dyDescent="0.2">
      <c r="B3" s="9" t="str">
        <f>Results_DT3!B3</f>
        <v>Dtamb_air</v>
      </c>
      <c r="C3" s="29" t="s">
        <v>116</v>
      </c>
      <c r="D3" s="30" t="s">
        <v>53</v>
      </c>
      <c r="E3" s="65"/>
      <c r="F3" s="62" t="s">
        <v>49</v>
      </c>
      <c r="G3" s="62" t="s">
        <v>50</v>
      </c>
      <c r="H3" s="62" t="s">
        <v>93</v>
      </c>
      <c r="I3" s="62" t="s">
        <v>56</v>
      </c>
    </row>
    <row r="4" spans="1:9" s="15" customFormat="1" x14ac:dyDescent="0.2">
      <c r="C4" s="29"/>
      <c r="D4" s="30"/>
      <c r="E4" s="68"/>
      <c r="F4" s="62" t="s">
        <v>117</v>
      </c>
      <c r="G4" s="62" t="s">
        <v>117</v>
      </c>
      <c r="H4" s="62" t="s">
        <v>117</v>
      </c>
      <c r="I4" s="62" t="s">
        <v>117</v>
      </c>
    </row>
    <row r="5" spans="1:9" x14ac:dyDescent="0.2">
      <c r="C5" s="3"/>
      <c r="F5" s="67"/>
      <c r="G5" s="27"/>
      <c r="H5" s="67"/>
      <c r="I5" s="27"/>
    </row>
    <row r="6" spans="1:9" x14ac:dyDescent="0.2">
      <c r="A6" t="s">
        <v>47</v>
      </c>
      <c r="B6">
        <v>15</v>
      </c>
      <c r="C6" s="3">
        <f>Results_DT3!AR7/1000*24*365*0.85</f>
        <v>14645.680342367217</v>
      </c>
      <c r="D6" s="3">
        <f>C6/3</f>
        <v>4881.8934474557391</v>
      </c>
      <c r="E6" s="63">
        <f>$G$29*C6</f>
        <v>1098426.0256775413</v>
      </c>
      <c r="F6" s="27">
        <f>$G$31*Results_DT3!AR7*$G$29/400000</f>
        <v>0.36879734947540332</v>
      </c>
      <c r="G6" s="27">
        <f>$G$31*Results_DT3!AR13*$G$29/400000</f>
        <v>0.65955371195250245</v>
      </c>
      <c r="H6" s="27">
        <f>$G$31*Results_DT3!AR19*$G$28/400000</f>
        <v>1.1906098672137668</v>
      </c>
      <c r="I6" s="27">
        <f>$G$31*Results_DT3!AR25*$G$28/400000</f>
        <v>2.0913876051187543</v>
      </c>
    </row>
    <row r="7" spans="1:9" x14ac:dyDescent="0.2">
      <c r="B7">
        <v>20</v>
      </c>
      <c r="C7" s="3">
        <f>Results_DT3!AR9/1000*24*365*0.85</f>
        <v>15165.369036945205</v>
      </c>
      <c r="D7" s="3">
        <f>C7/3</f>
        <v>5055.1230123150681</v>
      </c>
      <c r="E7" s="63">
        <f>$G$29*C7</f>
        <v>1137402.6777708903</v>
      </c>
      <c r="F7" s="27">
        <f>$G$31*Results_DT3!AR9*$G$29/400000</f>
        <v>0.38188378920591276</v>
      </c>
      <c r="G7" s="27">
        <f>$G$31*Results_DT3!AR15*$G$29/400000</f>
        <v>0.67307062929375117</v>
      </c>
      <c r="H7" s="27">
        <f>$G$31*Results_DT3!AR21*$G$28/400000</f>
        <v>1.215246960151926</v>
      </c>
      <c r="I7" s="27">
        <f>$G$31*Results_DT3!AR27*$G$28/400000</f>
        <v>2.1012858908962588</v>
      </c>
    </row>
    <row r="8" spans="1:9" x14ac:dyDescent="0.2">
      <c r="A8" s="55"/>
      <c r="B8" s="55">
        <v>25</v>
      </c>
      <c r="C8" s="3">
        <f>Results_DT3!AR11/1000*24*365*0.85</f>
        <v>15551.731322371841</v>
      </c>
      <c r="D8" s="56">
        <f t="shared" ref="D8" si="0">C8/3</f>
        <v>5183.9104407906134</v>
      </c>
      <c r="E8" s="63">
        <f>$G$29*C8</f>
        <v>1166379.8491778881</v>
      </c>
      <c r="F8" s="27">
        <f>$G$31*Results_DT3!AR11*$G$29/400000</f>
        <v>0.39161289590984683</v>
      </c>
      <c r="G8" s="27">
        <f>$G$31*Results_DT3!AR17*$G$29/400000</f>
        <v>0.6928960796062501</v>
      </c>
      <c r="H8" s="27">
        <f>$G$31*Results_DT3!AR23*$G$28/400000</f>
        <v>1.2344492548702219</v>
      </c>
      <c r="I8" s="27">
        <f>$G$31*Results_DT3!AR29*$G$28/400000</f>
        <v>2.1377381939437545</v>
      </c>
    </row>
    <row r="9" spans="1:9" x14ac:dyDescent="0.2">
      <c r="A9" t="s">
        <v>51</v>
      </c>
      <c r="B9">
        <v>15</v>
      </c>
      <c r="C9">
        <f>Results_DT5!AR7/1000*24*365*0.85</f>
        <v>17040.528792563437</v>
      </c>
      <c r="D9" s="3">
        <f>C9/5</f>
        <v>3408.1057585126873</v>
      </c>
      <c r="E9" s="63">
        <f>$G$29*C9</f>
        <v>1278039.6594422578</v>
      </c>
      <c r="F9" s="27">
        <f>$G$31*Results_DT5!AR7*$G$29/400000</f>
        <v>0.4291027596838094</v>
      </c>
      <c r="G9" s="27">
        <f>$G$31*Results_DT5!AR13*$G$29/400000</f>
        <v>0.80047380055499806</v>
      </c>
      <c r="H9" s="27">
        <f>$G$31*Results_DT5!AR19*$G$28/400000</f>
        <v>1.3890884270286261</v>
      </c>
      <c r="I9" s="27">
        <f>$G$31*Results_DT5!AR25*$G$28/400000</f>
        <v>2.5197926634300059</v>
      </c>
    </row>
    <row r="10" spans="1:9" x14ac:dyDescent="0.2">
      <c r="B10">
        <v>20</v>
      </c>
      <c r="C10">
        <f>Results_DT5!AR9/1000*24*365*0.85</f>
        <v>17771.416136184343</v>
      </c>
      <c r="D10" s="3">
        <f t="shared" ref="D10:D11" si="1">C10/5</f>
        <v>3554.2832272368687</v>
      </c>
      <c r="E10" s="63">
        <f>$G$29*C10</f>
        <v>1332856.2102138258</v>
      </c>
      <c r="F10" s="27">
        <f>$G$31*Results_DT5!AR9*$G$29/400000</f>
        <v>0.44750745709569761</v>
      </c>
      <c r="G10" s="27">
        <f>$G$31*Results_DT5!AR15*$G$29/400000</f>
        <v>0.82054949569499969</v>
      </c>
      <c r="H10" s="27">
        <f>$G$31*Results_DT5!AR21*$G$28/400000</f>
        <v>1.4286680686906947</v>
      </c>
      <c r="I10" s="27">
        <f>$G$31*Results_DT5!AR27*$G$28/400000</f>
        <v>2.5406362119149999</v>
      </c>
    </row>
    <row r="11" spans="1:9" x14ac:dyDescent="0.2">
      <c r="A11" s="55"/>
      <c r="B11" s="55">
        <v>25</v>
      </c>
      <c r="C11">
        <f>Results_DT5!AR11/1000*24*365*0.85</f>
        <v>18338.469651386004</v>
      </c>
      <c r="D11" s="3">
        <f t="shared" si="1"/>
        <v>3667.6939302772007</v>
      </c>
      <c r="E11" s="63">
        <f>$G$29*C11</f>
        <v>1375385.2238539502</v>
      </c>
      <c r="F11" s="27">
        <f>$G$31*Results_DT5!AR11*$G$29/400000</f>
        <v>0.46178660483949441</v>
      </c>
      <c r="G11" s="27">
        <f>$G$31*Results_DT5!AR17*$G$29/400000</f>
        <v>0.82495557824250054</v>
      </c>
      <c r="H11" s="27">
        <f>$G$31*Results_DT5!AR23*$G$28/400000</f>
        <v>1.460623258487318</v>
      </c>
      <c r="I11" s="27">
        <f>$G$31*Results_DT5!AR29*$G$28/400000</f>
        <v>2.5255513802587521</v>
      </c>
    </row>
    <row r="12" spans="1:9" x14ac:dyDescent="0.2">
      <c r="A12" t="s">
        <v>48</v>
      </c>
      <c r="B12">
        <v>15</v>
      </c>
      <c r="C12">
        <f>Results_DT7!AR7/1000*24*365*0.85</f>
        <v>19331.501133060578</v>
      </c>
      <c r="D12" s="3">
        <f>C12/7</f>
        <v>2761.6430190086539</v>
      </c>
      <c r="E12" s="63">
        <f>$G$29*C12</f>
        <v>1449862.5849795432</v>
      </c>
      <c r="F12" s="27">
        <f>$G$31*Results_DT7!AR7*$G$29/400000</f>
        <v>0.48679243385023618</v>
      </c>
      <c r="G12" s="27">
        <f>$G$31*Results_DT7!AR13*$G$29/400000</f>
        <v>0.94279344500625217</v>
      </c>
      <c r="H12" s="27">
        <f>$G$31*Results_DT7!AR19*$G$28/400000</f>
        <v>1.5808604961476957</v>
      </c>
      <c r="I12" s="27">
        <f>$G$31*Results_DT7!AR25*$G$28/400000</f>
        <v>2.950960575438756</v>
      </c>
    </row>
    <row r="13" spans="1:9" x14ac:dyDescent="0.2">
      <c r="B13">
        <v>20</v>
      </c>
      <c r="C13">
        <f>Results_DT7!AR9/1000*24*365*0.85</f>
        <v>20272.053370763952</v>
      </c>
      <c r="D13" s="3">
        <f t="shared" ref="D13:D14" si="2">C13/7</f>
        <v>2896.0076243948502</v>
      </c>
      <c r="E13" s="63">
        <f>$G$29*C13</f>
        <v>1520404.0028072963</v>
      </c>
      <c r="F13" s="27">
        <f>$G$31*Results_DT7!AR9*$G$29/400000</f>
        <v>0.51047676699143718</v>
      </c>
      <c r="G13" s="27">
        <f>$G$31*Results_DT7!AR15*$G$29/400000</f>
        <v>0.96208570255874937</v>
      </c>
      <c r="H13" s="27">
        <f>$G$31*Results_DT7!AR21*$G$28/400000</f>
        <v>1.6350415890648511</v>
      </c>
      <c r="I13" s="27">
        <f>$G$31*Results_DT7!AR27*$G$28/400000</f>
        <v>2.9611226551350009</v>
      </c>
    </row>
    <row r="14" spans="1:9" x14ac:dyDescent="0.2">
      <c r="B14">
        <v>25</v>
      </c>
      <c r="C14">
        <f>Results_DT7!AR11/1000*24*365*0.85</f>
        <v>21018.219898530388</v>
      </c>
      <c r="D14" s="3">
        <f t="shared" si="2"/>
        <v>3002.602842647198</v>
      </c>
      <c r="E14" s="63">
        <f>$G$29*C14</f>
        <v>1576366.4923897791</v>
      </c>
      <c r="F14" s="27">
        <f>$G$31*Results_DT7!AR11*$G$29/400000</f>
        <v>0.52926621420553965</v>
      </c>
      <c r="G14" s="27">
        <f>$G$31*Results_DT7!AR17*$G$29/400000</f>
        <v>0.97619760756749918</v>
      </c>
      <c r="H14" s="27">
        <f>$G$31*Results_DT7!AR23*$G$28/400000</f>
        <v>1.6797537675019776</v>
      </c>
      <c r="I14" s="27">
        <f>$G$31*Results_DT7!AR29*$G$28/400000</f>
        <v>3.005686023735008</v>
      </c>
    </row>
    <row r="15" spans="1:9" x14ac:dyDescent="0.2">
      <c r="A15" t="s">
        <v>85</v>
      </c>
      <c r="B15">
        <v>15</v>
      </c>
      <c r="C15">
        <f>Results_DT9!AR7/1000*24*365*0.85</f>
        <v>21611.419879404821</v>
      </c>
      <c r="D15" s="3">
        <f>C15/9</f>
        <v>2401.2688754894243</v>
      </c>
      <c r="E15" s="63">
        <f>$G$29*C15</f>
        <v>1620856.4909553616</v>
      </c>
      <c r="F15" s="27">
        <f>$G$31*Results_DT9!AR7*$G$29/400000</f>
        <v>0.5442037640865437</v>
      </c>
      <c r="G15" s="27">
        <f>$G$31*Results_DT9!AR13*$G$29/400000</f>
        <v>1.0790718824099985</v>
      </c>
      <c r="H15" s="27">
        <f>$G$31*Results_DT9!AR19*$G$28/400000</f>
        <v>1.7728187132996938</v>
      </c>
      <c r="I15" s="27">
        <f>$G$31*Results_DT9!AR25*$G$28/400000</f>
        <v>3.3628706344424972</v>
      </c>
    </row>
    <row r="16" spans="1:9" x14ac:dyDescent="0.2">
      <c r="B16">
        <v>20</v>
      </c>
      <c r="C16">
        <f>Results_DT9!AR9/1000*24*365*0.85</f>
        <v>22752.358709537293</v>
      </c>
      <c r="D16" s="3">
        <f t="shared" ref="D16:D17" si="3">C16/9</f>
        <v>2528.0398566152548</v>
      </c>
      <c r="E16" s="63">
        <f>$G$29*C16</f>
        <v>1706426.903215297</v>
      </c>
      <c r="F16" s="27">
        <f>$G$31*Results_DT9!AR9*$G$29/400000</f>
        <v>0.57293409320954103</v>
      </c>
      <c r="G16" s="27">
        <f>$G$31*Results_DT9!AR15*$G$29/400000</f>
        <v>1.0960553085037519</v>
      </c>
      <c r="H16" s="27">
        <f>$G$31*Results_DT9!AR21*$G$28/400000</f>
        <v>1.8412226252927868</v>
      </c>
      <c r="I16" s="27">
        <f>$G$31*Results_DT9!AR27*$G$28/400000</f>
        <v>3.3581789149087631</v>
      </c>
    </row>
    <row r="17" spans="1:9" x14ac:dyDescent="0.2">
      <c r="B17">
        <v>25</v>
      </c>
      <c r="C17">
        <f>Results_DT9!AR11/1000*24*365*0.85</f>
        <v>23677.535706412124</v>
      </c>
      <c r="D17" s="3">
        <f t="shared" si="3"/>
        <v>2630.8373007124583</v>
      </c>
      <c r="E17" s="63">
        <f>$G$29*C17</f>
        <v>1775815.1779809094</v>
      </c>
      <c r="F17" s="27">
        <f>$G$31*Results_DT9!AR11*$G$29/400000</f>
        <v>0.59623125771585728</v>
      </c>
      <c r="G17" s="27">
        <f>$G$31*Results_DT9!AR17*$G$29/400000</f>
        <v>1.1120086854337496</v>
      </c>
      <c r="H17" s="27">
        <f>$G$31*Results_DT9!AR23*$G$28/400000</f>
        <v>1.8984863780745436</v>
      </c>
      <c r="I17" s="27">
        <f>$G$31*Results_DT9!AR29*$G$28/400000</f>
        <v>4.1871564010649998</v>
      </c>
    </row>
    <row r="18" spans="1:9" x14ac:dyDescent="0.2">
      <c r="A18" t="s">
        <v>86</v>
      </c>
      <c r="B18">
        <v>15</v>
      </c>
      <c r="C18">
        <f>Results_DT11!AR7/1000*24*365*0.85</f>
        <v>23917.297377664061</v>
      </c>
      <c r="D18" s="3">
        <f>C18/11</f>
        <v>2174.2997616058237</v>
      </c>
      <c r="E18" s="63">
        <f>$G$29*C18</f>
        <v>1793797.3033248046</v>
      </c>
      <c r="F18" s="27">
        <f>$G$31*Results_DT11!AR7*$G$29/400000</f>
        <v>0.60226876958259612</v>
      </c>
      <c r="G18" s="27">
        <f>$G$31*Results_DT11!AR13*$G$29/400000</f>
        <v>1.2083969897099995</v>
      </c>
      <c r="H18" s="27">
        <f>$G$31*Results_DT11!AR19*$G$28/400000</f>
        <v>1.9680100820750304</v>
      </c>
      <c r="I18" s="27">
        <f>$G$31*Results_DT11!AR25*$G$28/400000</f>
        <v>3.7527286569487512</v>
      </c>
    </row>
    <row r="19" spans="1:9" x14ac:dyDescent="0.2">
      <c r="B19">
        <v>20</v>
      </c>
      <c r="C19">
        <f>Results_DT11!AR9/1000*24*365*0.85</f>
        <v>25252.983412559512</v>
      </c>
      <c r="D19" s="3">
        <f t="shared" ref="D19:D20" si="4">C19/11</f>
        <v>2295.7257647781375</v>
      </c>
      <c r="E19" s="63">
        <f>$G$29*C19</f>
        <v>1893973.7559419633</v>
      </c>
      <c r="F19" s="27">
        <f>$G$31*Results_DT11!AR9*$G$29/400000</f>
        <v>0.6359030875443068</v>
      </c>
      <c r="G19" s="27">
        <f>$G$31*Results_DT11!AR15*$G$29/400000</f>
        <v>1.2401992187775022</v>
      </c>
      <c r="H19" s="27">
        <f>$G$31*Results_DT11!AR21*$G$28/400000</f>
        <v>2.0502473220842257</v>
      </c>
      <c r="I19" s="27">
        <f>$G$31*Results_DT11!AR27*$G$28/400000</f>
        <v>3.9026160998887645</v>
      </c>
    </row>
    <row r="20" spans="1:9" x14ac:dyDescent="0.2">
      <c r="B20">
        <v>25</v>
      </c>
      <c r="C20">
        <f>Results_DT11!AR11/1000*24*365*0.85</f>
        <v>26337.880925062269</v>
      </c>
      <c r="D20" s="3">
        <f t="shared" si="4"/>
        <v>2394.3528113692973</v>
      </c>
      <c r="E20" s="63">
        <f>$G$29*C20</f>
        <v>1975341.0693796701</v>
      </c>
      <c r="F20" s="27">
        <f>$G$31*Results_DT11!AR11*$G$29/400000</f>
        <v>0.66322222313311519</v>
      </c>
      <c r="G20" s="27">
        <f>$G$31*Results_DT11!AR17*$G$29/400000</f>
        <v>1.2650317410900007</v>
      </c>
      <c r="H20" s="27">
        <f>$G$31*Results_DT11!AR23*$G$28/400000</f>
        <v>2.1197961111935473</v>
      </c>
      <c r="I20" s="27">
        <f>$G$31*Results_DT11!AR29*$G$28/400000</f>
        <v>4.7744543652712492</v>
      </c>
    </row>
    <row r="21" spans="1:9" x14ac:dyDescent="0.2">
      <c r="A21" t="s">
        <v>87</v>
      </c>
      <c r="B21">
        <v>15</v>
      </c>
      <c r="C21">
        <f>Results_DT13!AR7/1000*24*365*0.85</f>
        <v>26263.697502289626</v>
      </c>
      <c r="D21" s="3">
        <f>C21/13</f>
        <v>2020.2844232530481</v>
      </c>
      <c r="E21" s="63">
        <f>$G$29*C21</f>
        <v>1969777.3126717219</v>
      </c>
      <c r="F21" s="27">
        <f>$G$31*Results_DT13!AR7*$G$29/400000</f>
        <v>0.66135418770874366</v>
      </c>
      <c r="G21" s="27">
        <f>$G$31*Results_DT13!AR13*$G$29/400000</f>
        <v>1.3501146791287537</v>
      </c>
      <c r="H21" s="27">
        <f>$G$31*Results_DT13!AR19*$G$28/400000</f>
        <v>2.1680602986997219</v>
      </c>
      <c r="I21" s="27">
        <f>$G$31*Results_DT13!AR25*$G$28/400000</f>
        <v>4.1782468763662619</v>
      </c>
    </row>
    <row r="22" spans="1:9" x14ac:dyDescent="0.2">
      <c r="B22">
        <v>20</v>
      </c>
      <c r="C22">
        <f>Results_DT13!AR9/1000*24*365*0.85</f>
        <v>27784.447673656508</v>
      </c>
      <c r="D22" s="3">
        <f t="shared" ref="D22:D26" si="5">C22/13</f>
        <v>2137.2652056658853</v>
      </c>
      <c r="E22" s="63">
        <f>$G$29*C22</f>
        <v>2083833.5755242382</v>
      </c>
      <c r="F22" s="27">
        <f>$G$31*Results_DT13!AR9*$G$29/400000</f>
        <v>0.69964866220931987</v>
      </c>
      <c r="G22" s="27">
        <f>$G$31*Results_DT13!AR15*$G$29/400000</f>
        <v>1.3793429643712498</v>
      </c>
      <c r="H22" s="27">
        <f>$G$31*Results_DT13!AR21*$G$28/400000</f>
        <v>2.2637352362022649</v>
      </c>
      <c r="I22" s="27">
        <f>$G$31*Results_DT13!AR27*$G$28/400000</f>
        <v>5.0736987138075023</v>
      </c>
    </row>
    <row r="23" spans="1:9" x14ac:dyDescent="0.2">
      <c r="B23">
        <v>25</v>
      </c>
      <c r="C23">
        <f>Results_DT13!AR11/1000*24*365*0.85</f>
        <v>29038.497185875622</v>
      </c>
      <c r="D23" s="3">
        <f t="shared" si="5"/>
        <v>2233.7305527596632</v>
      </c>
      <c r="E23" s="63">
        <f>$G$29*C23</f>
        <v>2177887.2889406718</v>
      </c>
      <c r="F23" s="27">
        <f>$G$31*Results_DT13!AR11*$G$29/400000</f>
        <v>0.73122726596181575</v>
      </c>
      <c r="G23" s="27">
        <f>$G$31*Results_DT13!AR17*$G$29/400000</f>
        <v>1.4046156310837514</v>
      </c>
      <c r="H23" s="27">
        <f>$G$31*Results_DT13!AR23*$G$28/400000</f>
        <v>2.3451943723408801</v>
      </c>
      <c r="I23" s="27">
        <f>$G$31*Results_DT13!AR29*$G$28/400000</f>
        <v>3.723502048574999</v>
      </c>
    </row>
    <row r="24" spans="1:9" x14ac:dyDescent="0.2">
      <c r="A24" t="s">
        <v>88</v>
      </c>
      <c r="B24">
        <v>15</v>
      </c>
      <c r="C24">
        <f>Results_DT15!AR7/1000*24*365*0.85</f>
        <v>28665.63887431303</v>
      </c>
      <c r="D24" s="3">
        <f>C24/15</f>
        <v>1911.0425916208687</v>
      </c>
      <c r="E24" s="63">
        <f>$G$29*C24</f>
        <v>2149922.9155734773</v>
      </c>
      <c r="F24" s="27">
        <f>$G$31*Results_DT15!AR7*$G$29/400000</f>
        <v>0.72183820694785028</v>
      </c>
      <c r="G24" s="27">
        <f>$G$31*Results_DT15!AR13*$G$29/400000</f>
        <v>1.486160191083749</v>
      </c>
      <c r="H24" s="27">
        <f>$G$31*Results_DT15!AR19*$G$28/400000</f>
        <v>2.3739158014591486</v>
      </c>
      <c r="I24" s="27">
        <f>$G$31*Results_DT15!AR25*$G$28/400000</f>
        <v>4.7815285363799997</v>
      </c>
    </row>
    <row r="25" spans="1:9" x14ac:dyDescent="0.2">
      <c r="B25">
        <v>20</v>
      </c>
      <c r="C25">
        <f>Results_DT15!AR9/1000*24*365*0.85</f>
        <v>30371.782113180314</v>
      </c>
      <c r="D25" s="3">
        <f t="shared" ref="D25:D26" si="6">C25/15</f>
        <v>2024.785474212021</v>
      </c>
      <c r="E25" s="63">
        <f>$G$29*C25</f>
        <v>2277883.6584885237</v>
      </c>
      <c r="F25" s="27">
        <f>$G$31*Results_DT15!AR9*$G$29/400000</f>
        <v>0.76480112089998786</v>
      </c>
      <c r="G25" s="27">
        <f>$G$31*Results_DT15!AR15*$G$29/400000</f>
        <v>1.5266242022624994</v>
      </c>
      <c r="H25" s="27">
        <f>$G$31*Results_DT15!AR21*$G$28/400000</f>
        <v>2.4825868596664078</v>
      </c>
      <c r="I25" s="27">
        <f>$G$31*Results_DT15!AS27*$G$28/400000</f>
        <v>3.3538331831137511</v>
      </c>
    </row>
    <row r="26" spans="1:9" x14ac:dyDescent="0.2">
      <c r="B26">
        <v>25</v>
      </c>
      <c r="C26">
        <f>Results_DT15!AR11/1000*24*365*0.85</f>
        <v>31775.430847310548</v>
      </c>
      <c r="D26" s="3">
        <f t="shared" si="6"/>
        <v>2118.36205648737</v>
      </c>
      <c r="E26" s="63">
        <f>$G$29*C26</f>
        <v>2383157.3135482911</v>
      </c>
      <c r="F26" s="27">
        <f>$G$31*Results_DT15!AR11*$G$29/400000</f>
        <v>0.80014682834686113</v>
      </c>
      <c r="G26" s="27">
        <f>$G$31*Results_DT15!AR17*$G$29/400000</f>
        <v>1.5536327465062514</v>
      </c>
      <c r="H26" s="27">
        <f>$G$31*Results_DT15!AR23*$G$28/400000</f>
        <v>2.5755809068488706</v>
      </c>
      <c r="I26" s="27" t="e">
        <f>$G$31*Results_DT15!AR29*$G$28/400000</f>
        <v>#DIV/0!</v>
      </c>
    </row>
    <row r="27" spans="1:9" x14ac:dyDescent="0.2">
      <c r="B27" s="28"/>
    </row>
    <row r="28" spans="1:9" x14ac:dyDescent="0.2">
      <c r="F28" s="69" t="s">
        <v>55</v>
      </c>
      <c r="G28" s="70">
        <v>75</v>
      </c>
      <c r="I28" s="57">
        <f>G15/75*100</f>
        <v>1.4387625098799979</v>
      </c>
    </row>
    <row r="29" spans="1:9" s="15" customFormat="1" x14ac:dyDescent="0.2">
      <c r="C29" s="29"/>
      <c r="D29" s="30"/>
      <c r="E29" s="65"/>
      <c r="F29" s="71" t="s">
        <v>54</v>
      </c>
      <c r="G29" s="70">
        <v>75</v>
      </c>
      <c r="I29" s="58">
        <f>I15/75*100</f>
        <v>4.483827512589996</v>
      </c>
    </row>
    <row r="30" spans="1:9" s="15" customFormat="1" x14ac:dyDescent="0.2">
      <c r="C30" s="29"/>
      <c r="D30" s="30"/>
      <c r="E30" s="65"/>
      <c r="F30" s="30"/>
      <c r="G30" s="30"/>
      <c r="I30" s="58"/>
    </row>
    <row r="31" spans="1:9" x14ac:dyDescent="0.2">
      <c r="C31" s="3"/>
      <c r="F31" s="145" t="s">
        <v>119</v>
      </c>
      <c r="G31" s="146">
        <v>1</v>
      </c>
      <c r="H31" s="30"/>
    </row>
    <row r="32" spans="1:9" x14ac:dyDescent="0.2">
      <c r="C32" s="3"/>
    </row>
    <row r="33" spans="3:33" x14ac:dyDescent="0.2">
      <c r="C33" s="3"/>
    </row>
    <row r="34" spans="3:33" x14ac:dyDescent="0.2">
      <c r="C34" s="3"/>
      <c r="G34" s="7"/>
      <c r="I34" s="7"/>
    </row>
    <row r="35" spans="3:33" x14ac:dyDescent="0.2">
      <c r="C35" s="3"/>
      <c r="G35" s="7"/>
      <c r="I35" s="7"/>
    </row>
    <row r="36" spans="3:33" x14ac:dyDescent="0.2">
      <c r="C36" s="3"/>
      <c r="G36" s="7"/>
      <c r="I36" s="7"/>
    </row>
    <row r="37" spans="3:33" x14ac:dyDescent="0.2">
      <c r="C37" s="3"/>
      <c r="G37" s="7"/>
      <c r="I37" s="7"/>
    </row>
    <row r="38" spans="3:33" x14ac:dyDescent="0.2">
      <c r="D38" s="32"/>
      <c r="E38" s="66"/>
      <c r="G38" s="7"/>
      <c r="I38" s="7"/>
    </row>
    <row r="39" spans="3:33" x14ac:dyDescent="0.2">
      <c r="D39" s="32"/>
      <c r="E39" s="66"/>
      <c r="F39" s="32"/>
      <c r="G39" s="60"/>
      <c r="H39" s="32"/>
      <c r="I39" s="59"/>
      <c r="AG39">
        <f>37.3/74.11</f>
        <v>0.50330589664012948</v>
      </c>
    </row>
    <row r="40" spans="3:33" x14ac:dyDescent="0.2">
      <c r="D40" s="32"/>
      <c r="E40" s="66"/>
      <c r="F40" s="32"/>
      <c r="G40" s="60"/>
      <c r="H40" s="32"/>
      <c r="I40" s="59"/>
      <c r="X40">
        <f>11/13</f>
        <v>0.84615384615384615</v>
      </c>
      <c r="AG40">
        <f>25.4/48</f>
        <v>0.52916666666666667</v>
      </c>
    </row>
    <row r="41" spans="3:33" x14ac:dyDescent="0.2">
      <c r="X41">
        <f>17.7/22</f>
        <v>0.80454545454545456</v>
      </c>
      <c r="AG41">
        <f>13.6/22</f>
        <v>0.61818181818181817</v>
      </c>
    </row>
    <row r="42" spans="3:33" x14ac:dyDescent="0.2">
      <c r="X42">
        <f>23/29</f>
        <v>0.7931034482758621</v>
      </c>
    </row>
    <row r="43" spans="3:33" x14ac:dyDescent="0.2">
      <c r="AG43">
        <f>2.7/14.3</f>
        <v>0.1888111888111888</v>
      </c>
    </row>
    <row r="44" spans="3:33" x14ac:dyDescent="0.2">
      <c r="X44">
        <f>4.7/14</f>
        <v>0.33571428571428574</v>
      </c>
      <c r="AG44">
        <f>3.2/16.4</f>
        <v>0.19512195121951223</v>
      </c>
    </row>
    <row r="45" spans="3:33" x14ac:dyDescent="0.2">
      <c r="X45">
        <f>3.9/12.5</f>
        <v>0.312</v>
      </c>
      <c r="AG45">
        <f>4/19</f>
        <v>0.21052631578947367</v>
      </c>
    </row>
  </sheetData>
  <mergeCells count="1">
    <mergeCell ref="C2:D2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31"/>
  <sheetViews>
    <sheetView showRuler="0" zoomScale="150" zoomScaleNormal="150" zoomScalePageLayoutView="150" workbookViewId="0">
      <pane xSplit="2" topLeftCell="C1" activePane="topRight" state="frozen"/>
      <selection activeCell="AS27" sqref="AS27"/>
      <selection pane="topRight" activeCell="AP14" sqref="AP14"/>
    </sheetView>
  </sheetViews>
  <sheetFormatPr baseColWidth="10" defaultColWidth="8.83203125" defaultRowHeight="15" x14ac:dyDescent="0.2"/>
  <cols>
    <col min="2" max="2" width="9.1640625" style="10" customWidth="1"/>
    <col min="3" max="3" width="10.5" customWidth="1"/>
    <col min="4" max="4" width="11.83203125" style="3" hidden="1" customWidth="1"/>
    <col min="5" max="6" width="10.83203125" style="3" hidden="1" customWidth="1"/>
    <col min="7" max="7" width="10" style="34" hidden="1" customWidth="1"/>
    <col min="8" max="8" width="8.5" style="3" hidden="1" customWidth="1"/>
    <col min="9" max="9" width="8.5" style="34" hidden="1" customWidth="1"/>
    <col min="10" max="10" width="16.33203125" style="34" hidden="1" customWidth="1"/>
    <col min="11" max="11" width="10" style="34" customWidth="1"/>
    <col min="12" max="12" width="16.33203125" style="34" customWidth="1"/>
    <col min="13" max="13" width="9.1640625" style="3" customWidth="1"/>
    <col min="14" max="14" width="12" style="3" hidden="1" customWidth="1"/>
    <col min="15" max="15" width="16.33203125" style="42" customWidth="1"/>
    <col min="16" max="16" width="14.83203125" style="34" hidden="1" customWidth="1"/>
    <col min="17" max="17" width="21.1640625" style="39" hidden="1" customWidth="1"/>
    <col min="18" max="18" width="15.6640625" style="34" hidden="1" customWidth="1"/>
    <col min="19" max="19" width="20.33203125" style="3" hidden="1" customWidth="1"/>
    <col min="20" max="20" width="14.1640625" style="17" hidden="1" customWidth="1"/>
    <col min="21" max="21" width="21" style="3" hidden="1" customWidth="1"/>
    <col min="22" max="22" width="11.33203125" style="20" hidden="1" customWidth="1"/>
    <col min="23" max="23" width="18" style="23" hidden="1" customWidth="1"/>
    <col min="24" max="24" width="12.33203125" style="72" hidden="1" customWidth="1"/>
    <col min="25" max="25" width="19" style="20" hidden="1" customWidth="1"/>
    <col min="26" max="26" width="11.6640625" style="20" customWidth="1"/>
    <col min="27" max="28" width="20" style="3" customWidth="1"/>
    <col min="29" max="29" width="12.6640625" style="20" hidden="1" customWidth="1"/>
    <col min="30" max="30" width="10.83203125" style="20" hidden="1" customWidth="1"/>
    <col min="31" max="31" width="10.83203125" hidden="1" customWidth="1"/>
    <col min="32" max="32" width="8.6640625" style="31" hidden="1" customWidth="1"/>
    <col min="33" max="34" width="18.1640625" style="102" hidden="1" customWidth="1"/>
    <col min="35" max="35" width="18" style="32" hidden="1" customWidth="1"/>
    <col min="36" max="37" width="18" style="31" customWidth="1"/>
    <col min="39" max="39" width="12" hidden="1" customWidth="1"/>
    <col min="40" max="40" width="8.6640625" style="31" hidden="1" customWidth="1"/>
  </cols>
  <sheetData>
    <row r="1" spans="1:45" ht="16" x14ac:dyDescent="0.2">
      <c r="B1" s="8"/>
      <c r="C1" s="19" t="s">
        <v>19</v>
      </c>
      <c r="D1" s="33">
        <v>30</v>
      </c>
      <c r="F1" s="11"/>
      <c r="G1" s="38"/>
      <c r="I1" s="37" t="s">
        <v>21</v>
      </c>
      <c r="J1" s="37">
        <v>3</v>
      </c>
      <c r="L1" s="34" t="s">
        <v>96</v>
      </c>
      <c r="O1" s="34" t="s">
        <v>97</v>
      </c>
      <c r="AA1" s="3">
        <f>Z12-Z13</f>
        <v>1065.4255090000079</v>
      </c>
      <c r="AC1" s="46"/>
      <c r="AD1" s="26"/>
      <c r="AE1" t="s">
        <v>39</v>
      </c>
      <c r="AG1" s="102">
        <f>365*24*0.85</f>
        <v>7446</v>
      </c>
      <c r="AQ1">
        <v>0.02</v>
      </c>
    </row>
    <row r="2" spans="1:45" x14ac:dyDescent="0.2">
      <c r="B2" s="9"/>
      <c r="L2" s="34" t="s">
        <v>99</v>
      </c>
      <c r="O2" s="42" t="s">
        <v>98</v>
      </c>
      <c r="P2" s="34" t="s">
        <v>22</v>
      </c>
      <c r="AC2" s="47"/>
      <c r="AD2" s="27"/>
      <c r="AG2" s="103"/>
    </row>
    <row r="3" spans="1:45" s="1" customFormat="1" ht="16" x14ac:dyDescent="0.2">
      <c r="B3" s="12" t="s">
        <v>9</v>
      </c>
      <c r="C3" s="2" t="s">
        <v>0</v>
      </c>
      <c r="D3" s="4" t="s">
        <v>1</v>
      </c>
      <c r="E3" s="4" t="s">
        <v>2</v>
      </c>
      <c r="F3" s="4" t="s">
        <v>3</v>
      </c>
      <c r="G3" s="35" t="s">
        <v>18</v>
      </c>
      <c r="H3" s="16" t="s">
        <v>16</v>
      </c>
      <c r="I3" s="35" t="s">
        <v>17</v>
      </c>
      <c r="J3" s="35" t="s">
        <v>23</v>
      </c>
      <c r="K3" s="35" t="s">
        <v>24</v>
      </c>
      <c r="L3" s="125" t="s">
        <v>25</v>
      </c>
      <c r="M3" s="16" t="s">
        <v>34</v>
      </c>
      <c r="N3" s="16" t="s">
        <v>35</v>
      </c>
      <c r="O3" s="122" t="s">
        <v>36</v>
      </c>
      <c r="P3" s="4" t="s">
        <v>11</v>
      </c>
      <c r="Q3" s="4" t="s">
        <v>26</v>
      </c>
      <c r="R3" s="126" t="s">
        <v>12</v>
      </c>
      <c r="S3" s="40" t="s">
        <v>27</v>
      </c>
      <c r="T3" s="40" t="s">
        <v>13</v>
      </c>
      <c r="U3" s="40" t="s">
        <v>28</v>
      </c>
      <c r="V3" s="22" t="s">
        <v>14</v>
      </c>
      <c r="W3" s="22" t="s">
        <v>29</v>
      </c>
      <c r="X3" s="99" t="s">
        <v>15</v>
      </c>
      <c r="Y3" s="22" t="s">
        <v>30</v>
      </c>
      <c r="Z3" s="119" t="s">
        <v>31</v>
      </c>
      <c r="AA3" s="5" t="s">
        <v>32</v>
      </c>
      <c r="AB3" s="5" t="s">
        <v>33</v>
      </c>
      <c r="AC3" s="24" t="s">
        <v>43</v>
      </c>
      <c r="AD3" s="24" t="s">
        <v>44</v>
      </c>
      <c r="AE3" s="24" t="s">
        <v>37</v>
      </c>
      <c r="AF3" s="51"/>
      <c r="AG3" s="50" t="s">
        <v>41</v>
      </c>
      <c r="AH3" s="50" t="s">
        <v>41</v>
      </c>
      <c r="AI3" s="106" t="s">
        <v>41</v>
      </c>
      <c r="AJ3" s="51" t="s">
        <v>94</v>
      </c>
      <c r="AK3" s="51" t="s">
        <v>95</v>
      </c>
      <c r="AL3" s="14" t="s">
        <v>45</v>
      </c>
      <c r="AM3" s="14" t="s">
        <v>42</v>
      </c>
      <c r="AN3" s="51"/>
      <c r="AP3" s="51" t="s">
        <v>94</v>
      </c>
      <c r="AQ3" s="51" t="s">
        <v>95</v>
      </c>
      <c r="AR3" s="14" t="s">
        <v>45</v>
      </c>
      <c r="AS3" s="14" t="s">
        <v>103</v>
      </c>
    </row>
    <row r="4" spans="1:45" s="1" customFormat="1" ht="16" x14ac:dyDescent="0.2">
      <c r="B4" s="13" t="s">
        <v>4</v>
      </c>
      <c r="C4" s="2" t="s">
        <v>4</v>
      </c>
      <c r="D4" s="4" t="s">
        <v>4</v>
      </c>
      <c r="E4" s="4" t="s">
        <v>4</v>
      </c>
      <c r="F4" s="4" t="s">
        <v>5</v>
      </c>
      <c r="G4" s="36" t="s">
        <v>6</v>
      </c>
      <c r="H4" s="16" t="s">
        <v>7</v>
      </c>
      <c r="I4" s="36" t="s">
        <v>6</v>
      </c>
      <c r="J4" s="36" t="s">
        <v>6</v>
      </c>
      <c r="K4" s="35" t="s">
        <v>10</v>
      </c>
      <c r="L4" s="123" t="s">
        <v>6</v>
      </c>
      <c r="M4" s="35" t="s">
        <v>10</v>
      </c>
      <c r="N4" s="36" t="s">
        <v>6</v>
      </c>
      <c r="O4" s="123" t="s">
        <v>6</v>
      </c>
      <c r="P4" s="4" t="s">
        <v>7</v>
      </c>
      <c r="Q4" s="4" t="s">
        <v>7</v>
      </c>
      <c r="R4" s="126" t="s">
        <v>6</v>
      </c>
      <c r="S4" s="40" t="s">
        <v>6</v>
      </c>
      <c r="T4" s="36" t="s">
        <v>6</v>
      </c>
      <c r="U4" s="36" t="s">
        <v>6</v>
      </c>
      <c r="V4" s="21" t="s">
        <v>6</v>
      </c>
      <c r="W4" s="22" t="s">
        <v>6</v>
      </c>
      <c r="X4" s="100" t="s">
        <v>6</v>
      </c>
      <c r="Y4" s="22" t="s">
        <v>6</v>
      </c>
      <c r="Z4" s="120" t="s">
        <v>10</v>
      </c>
      <c r="AA4" s="4" t="s">
        <v>10</v>
      </c>
      <c r="AB4" s="4" t="s">
        <v>10</v>
      </c>
      <c r="AC4" s="21" t="s">
        <v>40</v>
      </c>
      <c r="AD4" s="21" t="s">
        <v>38</v>
      </c>
      <c r="AE4" s="21" t="s">
        <v>40</v>
      </c>
      <c r="AF4" s="52"/>
      <c r="AG4" s="104" t="s">
        <v>38</v>
      </c>
      <c r="AH4" s="104" t="s">
        <v>40</v>
      </c>
      <c r="AI4" s="107" t="s">
        <v>46</v>
      </c>
      <c r="AJ4" s="52" t="s">
        <v>100</v>
      </c>
      <c r="AK4" s="52" t="s">
        <v>100</v>
      </c>
      <c r="AL4" s="14" t="s">
        <v>10</v>
      </c>
      <c r="AM4" s="48" t="s">
        <v>8</v>
      </c>
      <c r="AN4" s="52" t="s">
        <v>46</v>
      </c>
      <c r="AP4" s="52" t="s">
        <v>101</v>
      </c>
      <c r="AQ4" s="52" t="s">
        <v>101</v>
      </c>
      <c r="AR4" s="14" t="s">
        <v>10</v>
      </c>
    </row>
    <row r="5" spans="1:45" s="1" customFormat="1" ht="16" x14ac:dyDescent="0.2">
      <c r="C5" s="2"/>
      <c r="D5" s="4"/>
      <c r="E5" s="4"/>
      <c r="F5" s="4"/>
      <c r="G5" s="36"/>
      <c r="H5" s="4"/>
      <c r="I5" s="36"/>
      <c r="J5" s="36"/>
      <c r="K5" s="36"/>
      <c r="L5" s="123"/>
      <c r="M5" s="4"/>
      <c r="N5" s="4"/>
      <c r="O5" s="124"/>
      <c r="P5" s="36"/>
      <c r="Q5" s="41"/>
      <c r="R5" s="40"/>
      <c r="S5" s="127"/>
      <c r="T5" s="18"/>
      <c r="U5" s="6"/>
      <c r="V5" s="45"/>
      <c r="W5" s="44"/>
      <c r="X5" s="101"/>
      <c r="Y5" s="25"/>
      <c r="Z5" s="121"/>
      <c r="AA5" s="43"/>
      <c r="AB5" s="43"/>
      <c r="AD5" s="24"/>
      <c r="AF5" s="53"/>
      <c r="AG5" s="105"/>
      <c r="AH5" s="105"/>
      <c r="AI5" s="108"/>
      <c r="AJ5" s="53"/>
      <c r="AK5" s="53"/>
      <c r="AN5" s="53"/>
    </row>
    <row r="6" spans="1:45" s="109" customFormat="1" x14ac:dyDescent="0.2">
      <c r="A6" s="109" t="s">
        <v>49</v>
      </c>
      <c r="B6" s="109">
        <v>15</v>
      </c>
      <c r="C6" s="109">
        <v>15</v>
      </c>
      <c r="D6" s="110"/>
      <c r="E6" s="110">
        <f>[7]noerr!C2</f>
        <v>26.673193000000001</v>
      </c>
      <c r="F6" s="110">
        <f>[7]noerr!D2</f>
        <v>3.5000000000000003E-2</v>
      </c>
      <c r="G6" s="110">
        <f>[7]noerr!E2</f>
        <v>14.806514999999999</v>
      </c>
      <c r="H6" s="110">
        <f>[7]noerr!F2</f>
        <v>6.3698000000000005E-2</v>
      </c>
      <c r="I6" s="110">
        <f>[7]noerr!G2</f>
        <v>642.60203200000001</v>
      </c>
      <c r="J6" s="110">
        <f>[7]noerr!H2</f>
        <v>72.651043000000001</v>
      </c>
      <c r="K6" s="110">
        <f>[7]noerr!I2</f>
        <v>400005.40853999997</v>
      </c>
      <c r="L6" s="33">
        <f>[7]noerr!J2</f>
        <v>12494.832657000001</v>
      </c>
      <c r="M6" s="110">
        <f>[7]noerr!K2</f>
        <v>400004.05063900002</v>
      </c>
      <c r="N6" s="110">
        <f>[7]noerr!L2</f>
        <v>14.806479</v>
      </c>
      <c r="O6" s="33">
        <f>[7]noerr!M2</f>
        <v>196.493503</v>
      </c>
      <c r="P6" s="110">
        <f>[7]noerr!N2</f>
        <v>54.014795999999997</v>
      </c>
      <c r="Q6" s="110">
        <f>[7]noerr!O2</f>
        <v>53.751680999999998</v>
      </c>
      <c r="R6" s="11">
        <f>[7]noerr!P2</f>
        <v>12494.831630999999</v>
      </c>
      <c r="S6" s="11">
        <f>[7]noerr!Q2</f>
        <v>12298.339153999999</v>
      </c>
      <c r="T6" s="110">
        <f>[7]noerr!R2</f>
        <v>40.932595999999997</v>
      </c>
      <c r="U6" s="110">
        <f>[7]noerr!S2</f>
        <v>41.132961999999999</v>
      </c>
      <c r="V6" s="110">
        <f>[7]noerr!T2</f>
        <v>14.806464999999999</v>
      </c>
      <c r="W6" s="110">
        <f>[7]noerr!U2</f>
        <v>14.878942</v>
      </c>
      <c r="X6" s="111">
        <f>[7]noerr!V2</f>
        <v>-1.5E-5</v>
      </c>
      <c r="Y6" s="110">
        <f>[7]noerr!W2</f>
        <v>7.2463E-2</v>
      </c>
      <c r="Z6" s="33">
        <f>[7]noerr!X2</f>
        <v>123903.448586</v>
      </c>
      <c r="AA6" s="110">
        <f>[7]noerr!Y2</f>
        <v>400005.39836699999</v>
      </c>
      <c r="AB6" s="110">
        <f>[7]noerr!Z2</f>
        <v>398056.90524300002</v>
      </c>
      <c r="AC6" s="109">
        <f>X6*3600*$AG$1/1000</f>
        <v>-0.402084</v>
      </c>
      <c r="AD6" s="112">
        <f>X6+Y6</f>
        <v>7.2447999999999999E-2</v>
      </c>
      <c r="AE6" s="109">
        <f>AD6*3600*$AG$1/1000</f>
        <v>1942.0121087999999</v>
      </c>
      <c r="AF6" s="113">
        <f>100</f>
        <v>100</v>
      </c>
      <c r="AG6" s="114">
        <f t="shared" ref="AG6:AG29" si="0">(H6*I6*(AD6+N6)/N6)-(H6*I6)</f>
        <v>0.20028226621934664</v>
      </c>
      <c r="AH6" s="114">
        <f>AG6*3600*$AG$1/1000</f>
        <v>5368.6863153693184</v>
      </c>
      <c r="AI6" s="115">
        <f>100</f>
        <v>100</v>
      </c>
      <c r="AJ6" s="113">
        <f>(K6-AA6)</f>
        <v>1.0172999987844378E-2</v>
      </c>
      <c r="AK6" s="113">
        <f>(K6-AB6)</f>
        <v>1948.5032969999593</v>
      </c>
      <c r="AL6" s="116">
        <f>AK6+AJ6</f>
        <v>1948.5134699999471</v>
      </c>
      <c r="AM6" s="117">
        <f>AL6/1000*24*365*0.85</f>
        <v>14508.631297619606</v>
      </c>
      <c r="AN6" s="113">
        <f>100</f>
        <v>100</v>
      </c>
      <c r="AP6" s="110"/>
    </row>
    <row r="7" spans="1:45" x14ac:dyDescent="0.2">
      <c r="C7">
        <v>18</v>
      </c>
      <c r="E7" s="3">
        <f>[7]noerr!C3</f>
        <v>26.673193000000001</v>
      </c>
      <c r="F7" s="3">
        <f>[7]noerr!D3</f>
        <v>3.5000000000000003E-2</v>
      </c>
      <c r="G7" s="3">
        <f>[7]noerr!E3</f>
        <v>14.806514999999999</v>
      </c>
      <c r="H7" s="3">
        <f>[7]noerr!F3</f>
        <v>6.3698000000000005E-2</v>
      </c>
      <c r="I7" s="3">
        <f>[7]noerr!G3</f>
        <v>642.60203200000001</v>
      </c>
      <c r="J7" s="3">
        <f>[7]noerr!H3</f>
        <v>72.651043000000001</v>
      </c>
      <c r="K7" s="3">
        <f>[7]noerr!I3</f>
        <v>400005.40853999997</v>
      </c>
      <c r="L7" s="33">
        <f>[7]noerr!J3</f>
        <v>12494.832657000001</v>
      </c>
      <c r="M7" s="3">
        <f>[7]noerr!K3</f>
        <v>400004.05063900002</v>
      </c>
      <c r="N7" s="3">
        <f>[7]noerr!L3</f>
        <v>14.806479</v>
      </c>
      <c r="O7" s="33">
        <f>[7]noerr!M3</f>
        <v>197.42206300000001</v>
      </c>
      <c r="P7" s="3">
        <f>[7]noerr!N3</f>
        <v>54.013553000000002</v>
      </c>
      <c r="Q7" s="3">
        <f>[7]noerr!O3</f>
        <v>53.750438000000003</v>
      </c>
      <c r="R7" s="11">
        <f>[7]noerr!P3</f>
        <v>12493.903071000001</v>
      </c>
      <c r="S7" s="11">
        <f>[7]noerr!Q3</f>
        <v>12297.410594000001</v>
      </c>
      <c r="T7" s="3">
        <f>[7]noerr!R3</f>
        <v>40.933537999999999</v>
      </c>
      <c r="U7" s="3">
        <f>[7]noerr!S3</f>
        <v>41.133913</v>
      </c>
      <c r="V7" s="3">
        <f>[7]noerr!T3</f>
        <v>14.806805000000001</v>
      </c>
      <c r="W7" s="3">
        <f>[7]noerr!U3</f>
        <v>14.879287</v>
      </c>
      <c r="X7" s="72">
        <f>[7]noerr!V3</f>
        <v>3.2600000000000001E-4</v>
      </c>
      <c r="Y7" s="3">
        <f>[7]noerr!W3</f>
        <v>7.2806999999999997E-2</v>
      </c>
      <c r="Z7" s="33">
        <f>[7]noerr!X3</f>
        <v>123903.448586</v>
      </c>
      <c r="AA7" s="3">
        <f>[7]noerr!Y3</f>
        <v>399996.19041600003</v>
      </c>
      <c r="AB7" s="3">
        <f>[7]noerr!Z3</f>
        <v>398047.697292</v>
      </c>
      <c r="AC7">
        <f t="shared" ref="AC7:AC29" si="1">X7*3600*$AG$1/1000</f>
        <v>8.7386255999999989</v>
      </c>
      <c r="AD7" s="20">
        <f t="shared" ref="AD7:AD29" si="2">X7+Y7</f>
        <v>7.3133000000000004E-2</v>
      </c>
      <c r="AE7">
        <f t="shared" ref="AE7:AE28" si="3">AD7*3600*$AG$1/1000</f>
        <v>1960.3739447999999</v>
      </c>
      <c r="AF7" s="31">
        <f>AE7*$AF$6/$AE$6</f>
        <v>100.94550574204948</v>
      </c>
      <c r="AG7" s="102">
        <f t="shared" si="0"/>
        <v>0.20217594654675963</v>
      </c>
      <c r="AH7" s="102">
        <f t="shared" ref="AH7:AH29" si="4">AG7*3600*$AG$1/1000</f>
        <v>5419.4475527538198</v>
      </c>
      <c r="AI7" s="32">
        <f>AH7*$AI$6/$AH$6</f>
        <v>100.94550574205059</v>
      </c>
      <c r="AJ7" s="31">
        <f>(K6-AA7)</f>
        <v>9.2181239999481477</v>
      </c>
      <c r="AK7" s="54">
        <f t="shared" ref="AK7:AK29" si="5">(K7-AB7)</f>
        <v>1957.7112479999778</v>
      </c>
      <c r="AL7" s="38">
        <f t="shared" ref="AL7:AL29" si="6">AK7+AJ7</f>
        <v>1966.9293719999259</v>
      </c>
      <c r="AM7" s="26">
        <f t="shared" ref="AM7:AM13" si="7">AL7/1000*24*365*0.85</f>
        <v>14645.756103911448</v>
      </c>
      <c r="AN7" s="31">
        <f>AM7*$AN$6/$AM$6</f>
        <v>100.94512572191658</v>
      </c>
      <c r="AP7" s="11">
        <f>Z6-((L7-(O7-O6))*Z6/L7)</f>
        <v>9.20794934812875</v>
      </c>
      <c r="AQ7">
        <f>Z7-((L7-O7)*Z7/L7)</f>
        <v>1957.7112478540221</v>
      </c>
      <c r="AR7" s="3">
        <f>AP7+AQ7</f>
        <v>1966.9191972021508</v>
      </c>
    </row>
    <row r="8" spans="1:45" s="109" customFormat="1" x14ac:dyDescent="0.2">
      <c r="B8" s="109">
        <v>20</v>
      </c>
      <c r="C8" s="109">
        <v>20</v>
      </c>
      <c r="D8" s="110"/>
      <c r="E8" s="110">
        <f>[7]noerr!C4</f>
        <v>30.817177000000001</v>
      </c>
      <c r="F8" s="110">
        <f>[7]noerr!D4</f>
        <v>4.4499999999999998E-2</v>
      </c>
      <c r="G8" s="110">
        <f>[7]noerr!E4</f>
        <v>14.79848</v>
      </c>
      <c r="H8" s="110">
        <f>[7]noerr!F4</f>
        <v>6.4484E-2</v>
      </c>
      <c r="I8" s="110">
        <f>[7]noerr!G4</f>
        <v>634.36440200000004</v>
      </c>
      <c r="J8" s="110">
        <f>[7]noerr!H4</f>
        <v>75.070238000000003</v>
      </c>
      <c r="K8" s="110">
        <f>[7]noerr!I4</f>
        <v>400004.35967799998</v>
      </c>
      <c r="L8" s="33">
        <f>[7]noerr!J4</f>
        <v>12968.942437</v>
      </c>
      <c r="M8" s="110">
        <f>[7]noerr!K4</f>
        <v>400004.358679</v>
      </c>
      <c r="N8" s="110">
        <f>[7]noerr!L4</f>
        <v>14.79848</v>
      </c>
      <c r="O8" s="33">
        <f>[7]noerr!M4</f>
        <v>208.04259200000001</v>
      </c>
      <c r="P8" s="110">
        <f>[7]noerr!N4</f>
        <v>54.043982999999997</v>
      </c>
      <c r="Q8" s="110">
        <f>[7]noerr!O4</f>
        <v>53.771546999999998</v>
      </c>
      <c r="R8" s="11">
        <f>[7]noerr!P4</f>
        <v>12968.942435999999</v>
      </c>
      <c r="S8" s="11">
        <f>[7]noerr!Q4</f>
        <v>12760.899845</v>
      </c>
      <c r="T8" s="110">
        <f>[7]noerr!R4</f>
        <v>40.906576999999999</v>
      </c>
      <c r="U8" s="110">
        <f>[7]noerr!S4</f>
        <v>41.113832000000002</v>
      </c>
      <c r="V8" s="110">
        <f>[7]noerr!T4</f>
        <v>14.79848</v>
      </c>
      <c r="W8" s="110">
        <f>[7]noerr!U4</f>
        <v>14.873457</v>
      </c>
      <c r="X8" s="111">
        <f>[7]noerr!V4</f>
        <v>0</v>
      </c>
      <c r="Y8" s="110">
        <f>[7]noerr!W4</f>
        <v>7.4977000000000002E-2</v>
      </c>
      <c r="Z8" s="33">
        <f>[7]noerr!X4</f>
        <v>125699.451621</v>
      </c>
      <c r="AA8" s="110">
        <f>[7]noerr!Y4</f>
        <v>400004.35967099998</v>
      </c>
      <c r="AB8" s="110">
        <f>[7]noerr!Z4</f>
        <v>397987.93930899998</v>
      </c>
      <c r="AC8" s="109">
        <f t="shared" si="1"/>
        <v>0</v>
      </c>
      <c r="AD8" s="112">
        <f t="shared" si="2"/>
        <v>7.4977000000000002E-2</v>
      </c>
      <c r="AE8" s="109">
        <f t="shared" si="3"/>
        <v>2009.8034711999999</v>
      </c>
      <c r="AF8" s="113">
        <f t="shared" ref="AF8:AF29" si="8">AE8*$AF$6/$AE$6</f>
        <v>103.49077959363957</v>
      </c>
      <c r="AG8" s="114">
        <f t="shared" si="0"/>
        <v>0.20725342813912562</v>
      </c>
      <c r="AH8" s="114">
        <f t="shared" si="4"/>
        <v>5555.5524933261449</v>
      </c>
      <c r="AI8" s="115">
        <f t="shared" ref="AI8:AI29" si="9">AH8*$AI$6/$AH$6</f>
        <v>103.48066858407934</v>
      </c>
      <c r="AJ8" s="113">
        <f>(K8-AA8)</f>
        <v>6.9999950937926769E-6</v>
      </c>
      <c r="AK8" s="113">
        <f t="shared" si="5"/>
        <v>2016.4203689999995</v>
      </c>
      <c r="AL8" s="116">
        <f t="shared" si="6"/>
        <v>2016.4203759999946</v>
      </c>
      <c r="AM8" s="117">
        <f t="shared" si="7"/>
        <v>15014.266119695962</v>
      </c>
      <c r="AN8" s="113">
        <f t="shared" ref="AN8:AN29" si="10">AM8*$AN$6/$AM$6</f>
        <v>103.48506217922372</v>
      </c>
      <c r="AP8" s="110"/>
    </row>
    <row r="9" spans="1:45" s="73" customFormat="1" x14ac:dyDescent="0.2">
      <c r="A9"/>
      <c r="B9"/>
      <c r="C9">
        <v>23</v>
      </c>
      <c r="D9" s="11"/>
      <c r="E9" s="3">
        <f>[7]noerr!C5</f>
        <v>30.817177000000001</v>
      </c>
      <c r="F9" s="3">
        <f>[7]noerr!D5</f>
        <v>4.4499999999999998E-2</v>
      </c>
      <c r="G9" s="3">
        <f>[7]noerr!E5</f>
        <v>14.79848</v>
      </c>
      <c r="H9" s="3">
        <f>[7]noerr!F5</f>
        <v>6.4484E-2</v>
      </c>
      <c r="I9" s="3">
        <f>[7]noerr!G5</f>
        <v>634.36440200000004</v>
      </c>
      <c r="J9" s="3">
        <f>[7]noerr!H5</f>
        <v>75.070238000000003</v>
      </c>
      <c r="K9" s="3">
        <f>[7]noerr!I5</f>
        <v>400004.35967799998</v>
      </c>
      <c r="L9" s="33">
        <f>[7]noerr!J5</f>
        <v>12968.942437</v>
      </c>
      <c r="M9" s="3">
        <f>[7]noerr!K5</f>
        <v>400004.358679</v>
      </c>
      <c r="N9" s="3">
        <f>[7]noerr!L5</f>
        <v>14.79848</v>
      </c>
      <c r="O9" s="33">
        <f>[7]noerr!M5</f>
        <v>209.08945800000001</v>
      </c>
      <c r="P9" s="3">
        <f>[7]noerr!N5</f>
        <v>54.042611999999998</v>
      </c>
      <c r="Q9" s="3">
        <f>[7]noerr!O5</f>
        <v>53.770175999999999</v>
      </c>
      <c r="R9" s="11">
        <f>[7]noerr!P5</f>
        <v>12967.895570000001</v>
      </c>
      <c r="S9" s="11">
        <f>[7]noerr!Q5</f>
        <v>12759.852978999999</v>
      </c>
      <c r="T9" s="3">
        <f>[7]noerr!R5</f>
        <v>40.907615</v>
      </c>
      <c r="U9" s="3">
        <f>[7]noerr!S5</f>
        <v>41.114879999999999</v>
      </c>
      <c r="V9" s="3">
        <f>[7]noerr!T5</f>
        <v>14.798855</v>
      </c>
      <c r="W9" s="3">
        <f>[7]noerr!U5</f>
        <v>14.873836000000001</v>
      </c>
      <c r="X9" s="72">
        <f>[7]noerr!V5</f>
        <v>3.7500000000000001E-4</v>
      </c>
      <c r="Y9" s="3">
        <f>[7]noerr!W5</f>
        <v>7.5356000000000006E-2</v>
      </c>
      <c r="Z9" s="33">
        <f>[7]noerr!X5</f>
        <v>125699.451621</v>
      </c>
      <c r="AA9" s="3">
        <f>[7]noerr!Y5</f>
        <v>399994.21308800002</v>
      </c>
      <c r="AB9" s="3">
        <f>[7]noerr!Z5</f>
        <v>397977.79272600001</v>
      </c>
      <c r="AC9">
        <f t="shared" si="1"/>
        <v>10.052100000000001</v>
      </c>
      <c r="AD9" s="20">
        <f t="shared" si="2"/>
        <v>7.5731000000000007E-2</v>
      </c>
      <c r="AE9">
        <f t="shared" si="3"/>
        <v>2030.0148936000003</v>
      </c>
      <c r="AF9" s="54">
        <f t="shared" si="8"/>
        <v>104.5315260600707</v>
      </c>
      <c r="AG9" s="102">
        <f t="shared" si="0"/>
        <v>0.20933765509961688</v>
      </c>
      <c r="AH9" s="102">
        <f t="shared" si="4"/>
        <v>5611.4214475382905</v>
      </c>
      <c r="AI9" s="32">
        <f t="shared" si="9"/>
        <v>104.521313369978</v>
      </c>
      <c r="AJ9" s="31">
        <f>(K8-AA9)</f>
        <v>10.14658999996027</v>
      </c>
      <c r="AK9" s="54">
        <f t="shared" si="5"/>
        <v>2026.5669519999647</v>
      </c>
      <c r="AL9" s="38">
        <f t="shared" si="6"/>
        <v>2036.7135419999249</v>
      </c>
      <c r="AM9" s="26">
        <f>AL9/1000*24*365*0.85</f>
        <v>15165.36903373144</v>
      </c>
      <c r="AN9" s="31">
        <f t="shared" si="10"/>
        <v>104.52653129464792</v>
      </c>
      <c r="AP9" s="11">
        <f>Z8-((L9-(O9-O8))*Z8/L9)</f>
        <v>10.146585410489934</v>
      </c>
      <c r="AQ9">
        <f>Z9-((L9-O9)*Z9/L9)</f>
        <v>2026.5669570210448</v>
      </c>
      <c r="AR9" s="3">
        <f>AP9+AQ9</f>
        <v>2036.7135424315347</v>
      </c>
      <c r="AS9"/>
    </row>
    <row r="10" spans="1:45" s="109" customFormat="1" x14ac:dyDescent="0.2">
      <c r="B10" s="118">
        <v>25</v>
      </c>
      <c r="C10" s="109">
        <v>25</v>
      </c>
      <c r="D10" s="110"/>
      <c r="E10" s="110">
        <f>[7]noerr!C6</f>
        <v>35.228050000000003</v>
      </c>
      <c r="F10" s="110">
        <f>[7]noerr!D6</f>
        <v>5.7000000000000002E-2</v>
      </c>
      <c r="G10" s="110">
        <f>[7]noerr!E6</f>
        <v>14.827389999999999</v>
      </c>
      <c r="H10" s="110">
        <f>[7]noerr!F6</f>
        <v>6.5114000000000005E-2</v>
      </c>
      <c r="I10" s="110">
        <f>[7]noerr!G6</f>
        <v>629.40580299999999</v>
      </c>
      <c r="J10" s="110">
        <f>[7]noerr!H6</f>
        <v>77.299356000000003</v>
      </c>
      <c r="K10" s="110">
        <f>[7]noerr!I6</f>
        <v>400004.67745900003</v>
      </c>
      <c r="L10" s="33">
        <f>[7]noerr!J6</f>
        <v>13412.141039</v>
      </c>
      <c r="M10" s="110">
        <f>[7]noerr!K6</f>
        <v>400004.66140699998</v>
      </c>
      <c r="N10" s="110">
        <f>[7]noerr!L6</f>
        <v>14.827389</v>
      </c>
      <c r="O10" s="33">
        <f>[7]noerr!M6</f>
        <v>218.45176699999999</v>
      </c>
      <c r="P10" s="110">
        <f>[7]noerr!N6</f>
        <v>53.938653000000002</v>
      </c>
      <c r="Q10" s="110">
        <f>[7]noerr!O6</f>
        <v>53.659951999999997</v>
      </c>
      <c r="R10" s="11">
        <f>[7]noerr!P6</f>
        <v>13412.141027</v>
      </c>
      <c r="S10" s="11">
        <f>[7]noerr!Q6</f>
        <v>13193.689272</v>
      </c>
      <c r="T10" s="110">
        <f>[7]noerr!R6</f>
        <v>40.98339</v>
      </c>
      <c r="U10" s="110">
        <f>[7]noerr!S6</f>
        <v>41.196252000000001</v>
      </c>
      <c r="V10" s="110">
        <f>[7]noerr!T6</f>
        <v>14.827389</v>
      </c>
      <c r="W10" s="110">
        <f>[7]noerr!U6</f>
        <v>14.904400000000001</v>
      </c>
      <c r="X10" s="111">
        <f>[7]noerr!V6</f>
        <v>0</v>
      </c>
      <c r="Y10" s="110">
        <f>[7]noerr!W6</f>
        <v>7.7010999999999996E-2</v>
      </c>
      <c r="Z10" s="33">
        <f>[7]noerr!X6</f>
        <v>126895.760765</v>
      </c>
      <c r="AA10" s="110">
        <f>[7]noerr!Y6</f>
        <v>400004.67734599998</v>
      </c>
      <c r="AB10" s="110">
        <f>[7]noerr!Z6</f>
        <v>397937.84837600001</v>
      </c>
      <c r="AC10" s="109">
        <f t="shared" si="1"/>
        <v>0</v>
      </c>
      <c r="AD10" s="112">
        <f t="shared" si="2"/>
        <v>7.7010999999999996E-2</v>
      </c>
      <c r="AE10" s="109">
        <f t="shared" si="3"/>
        <v>2064.3260615999998</v>
      </c>
      <c r="AF10" s="113">
        <f t="shared" si="8"/>
        <v>106.29831051236748</v>
      </c>
      <c r="AG10" s="114">
        <f t="shared" si="0"/>
        <v>0.21285957915974762</v>
      </c>
      <c r="AH10" s="114">
        <f t="shared" si="4"/>
        <v>5705.8287351245308</v>
      </c>
      <c r="AI10" s="115">
        <f t="shared" si="9"/>
        <v>106.27979360220861</v>
      </c>
      <c r="AJ10" s="113">
        <f>(K10-AA10)</f>
        <v>1.1300004553049803E-4</v>
      </c>
      <c r="AK10" s="113">
        <f t="shared" si="5"/>
        <v>2066.8290830000187</v>
      </c>
      <c r="AL10" s="116">
        <f t="shared" si="6"/>
        <v>2066.8291960000643</v>
      </c>
      <c r="AM10" s="117">
        <f t="shared" si="7"/>
        <v>15389.61019341648</v>
      </c>
      <c r="AN10" s="113">
        <f t="shared" si="10"/>
        <v>106.07210203171553</v>
      </c>
      <c r="AP10" s="110"/>
    </row>
    <row r="11" spans="1:45" x14ac:dyDescent="0.2">
      <c r="C11">
        <v>28</v>
      </c>
      <c r="E11" s="3">
        <f>[7]noerr!C7</f>
        <v>35.228050000000003</v>
      </c>
      <c r="F11" s="3">
        <f>[7]noerr!D7</f>
        <v>5.7000000000000002E-2</v>
      </c>
      <c r="G11" s="3">
        <f>[7]noerr!E7</f>
        <v>14.827389999999999</v>
      </c>
      <c r="H11" s="3">
        <f>[7]noerr!F7</f>
        <v>6.5114000000000005E-2</v>
      </c>
      <c r="I11" s="3">
        <f>[7]noerr!G7</f>
        <v>629.40580299999999</v>
      </c>
      <c r="J11" s="3">
        <f>[7]noerr!H7</f>
        <v>77.299356000000003</v>
      </c>
      <c r="K11" s="3">
        <f>[7]noerr!I7</f>
        <v>400004.67745900003</v>
      </c>
      <c r="L11" s="33">
        <f>[7]noerr!J7</f>
        <v>13412.141039</v>
      </c>
      <c r="M11" s="3">
        <f>[7]noerr!K7</f>
        <v>400004.66140699998</v>
      </c>
      <c r="N11" s="3">
        <f>[7]noerr!L7</f>
        <v>14.827389</v>
      </c>
      <c r="O11" s="33">
        <f>[7]noerr!M7</f>
        <v>219.602408</v>
      </c>
      <c r="P11" s="3">
        <f>[7]noerr!N7</f>
        <v>53.937184999999999</v>
      </c>
      <c r="Q11" s="3">
        <f>[7]noerr!O7</f>
        <v>53.658484000000001</v>
      </c>
      <c r="R11" s="11">
        <f>[7]noerr!P7</f>
        <v>13410.990385999999</v>
      </c>
      <c r="S11" s="11">
        <f>[7]noerr!Q7</f>
        <v>13192.538630999999</v>
      </c>
      <c r="T11" s="3">
        <f>[7]noerr!R7</f>
        <v>40.984506000000003</v>
      </c>
      <c r="U11" s="3">
        <f>[7]noerr!S7</f>
        <v>41.197378999999998</v>
      </c>
      <c r="V11" s="3">
        <f>[7]noerr!T7</f>
        <v>14.827793</v>
      </c>
      <c r="W11" s="3">
        <f>[7]noerr!U7</f>
        <v>14.904807999999999</v>
      </c>
      <c r="X11" s="72">
        <f>[7]noerr!V7</f>
        <v>4.0299999999999998E-4</v>
      </c>
      <c r="Y11" s="3">
        <f>[7]noerr!W7</f>
        <v>7.7419000000000002E-2</v>
      </c>
      <c r="Z11" s="33">
        <f>[7]noerr!X7</f>
        <v>126895.760765</v>
      </c>
      <c r="AA11" s="3">
        <f>[7]noerr!Y7</f>
        <v>399993.79083499999</v>
      </c>
      <c r="AB11" s="3">
        <f>[7]noerr!Z7</f>
        <v>397926.96186500002</v>
      </c>
      <c r="AC11">
        <f t="shared" si="1"/>
        <v>10.802656799999999</v>
      </c>
      <c r="AD11" s="20">
        <f t="shared" si="2"/>
        <v>7.7822000000000002E-2</v>
      </c>
      <c r="AE11">
        <f t="shared" si="3"/>
        <v>2086.0654032000002</v>
      </c>
      <c r="AF11" s="31">
        <f t="shared" si="8"/>
        <v>107.41773409893996</v>
      </c>
      <c r="AG11" s="102">
        <f t="shared" si="0"/>
        <v>0.21510119553529705</v>
      </c>
      <c r="AH11" s="102">
        <f t="shared" si="4"/>
        <v>5765.9166070409583</v>
      </c>
      <c r="AI11" s="32">
        <f t="shared" si="9"/>
        <v>107.39902218787603</v>
      </c>
      <c r="AJ11" s="31">
        <f>(K10-AA11)</f>
        <v>10.886624000035226</v>
      </c>
      <c r="AK11" s="54">
        <f t="shared" si="5"/>
        <v>2077.7155940000084</v>
      </c>
      <c r="AL11" s="38">
        <f t="shared" si="6"/>
        <v>2088.6022180000436</v>
      </c>
      <c r="AM11" s="26">
        <f t="shared" si="7"/>
        <v>15551.732115228324</v>
      </c>
      <c r="AN11" s="31">
        <f t="shared" si="10"/>
        <v>107.18951909529781</v>
      </c>
      <c r="AP11" s="11">
        <f>Z10-((L11-(O11-O10))*Z10/L11)</f>
        <v>10.886514288649778</v>
      </c>
      <c r="AQ11">
        <f>Z11-((L11-O11)*Z11/L11)</f>
        <v>2077.7155972305336</v>
      </c>
      <c r="AR11" s="3">
        <f>AP11+AQ11</f>
        <v>2088.6021115191834</v>
      </c>
    </row>
    <row r="12" spans="1:45" s="109" customFormat="1" x14ac:dyDescent="0.2">
      <c r="A12" s="109" t="s">
        <v>50</v>
      </c>
      <c r="B12" s="109">
        <v>15</v>
      </c>
      <c r="C12" s="109">
        <v>15</v>
      </c>
      <c r="D12" s="110"/>
      <c r="E12" s="110">
        <f>[7]noerr!C8</f>
        <v>28.077817</v>
      </c>
      <c r="F12" s="110">
        <f>[7]noerr!D8</f>
        <v>3.7999999999999999E-2</v>
      </c>
      <c r="G12" s="110">
        <f>[7]noerr!E8</f>
        <v>14.817731</v>
      </c>
      <c r="H12" s="110">
        <f>[7]noerr!F8</f>
        <v>6.3742999999999994E-2</v>
      </c>
      <c r="I12" s="110">
        <f>[7]noerr!G8</f>
        <v>642.63501399999996</v>
      </c>
      <c r="J12" s="110">
        <f>[7]noerr!H8</f>
        <v>72.924261000000001</v>
      </c>
      <c r="K12" s="110">
        <f>[7]noerr!I8</f>
        <v>400004.28387799999</v>
      </c>
      <c r="L12" s="33">
        <f>[7]noerr!J8</f>
        <v>12557.36587</v>
      </c>
      <c r="M12" s="110">
        <f>[7]noerr!K8</f>
        <v>400004.28387799999</v>
      </c>
      <c r="N12" s="110">
        <f>[7]noerr!L8</f>
        <v>14.817731</v>
      </c>
      <c r="O12" s="33">
        <f>[7]noerr!M8</f>
        <v>12557.36587</v>
      </c>
      <c r="P12" s="110">
        <f>[7]noerr!N8</f>
        <v>53.973757999999997</v>
      </c>
      <c r="Q12" s="110">
        <f>[7]noerr!O8</f>
        <v>53.640000999999998</v>
      </c>
      <c r="R12" s="11">
        <f>[7]noerr!P8</f>
        <v>12557.36587</v>
      </c>
      <c r="S12" s="11">
        <f>[7]noerr!Q8</f>
        <v>12306.218553000001</v>
      </c>
      <c r="T12" s="110">
        <f>[7]noerr!R8</f>
        <v>40.963515000000001</v>
      </c>
      <c r="U12" s="110">
        <f>[7]noerr!S8</f>
        <v>41.218397000000003</v>
      </c>
      <c r="V12" s="110">
        <f>[7]noerr!T8</f>
        <v>14.817731</v>
      </c>
      <c r="W12" s="110">
        <f>[7]noerr!U8</f>
        <v>14.909929999999999</v>
      </c>
      <c r="X12" s="111">
        <f>[7]noerr!V8</f>
        <v>0</v>
      </c>
      <c r="Y12" s="110">
        <f>[7]noerr!W8</f>
        <v>9.2198000000000002E-2</v>
      </c>
      <c r="Z12" s="33">
        <f>[7]noerr!X8</f>
        <v>123675.13991300001</v>
      </c>
      <c r="AA12" s="110">
        <f>[7]noerr!Y8</f>
        <v>400004.28387799999</v>
      </c>
      <c r="AB12" s="110">
        <f>[7]noerr!Z8</f>
        <v>397530.78107999999</v>
      </c>
      <c r="AC12" s="109">
        <f t="shared" si="1"/>
        <v>0</v>
      </c>
      <c r="AD12" s="112">
        <f t="shared" si="2"/>
        <v>9.2198000000000002E-2</v>
      </c>
      <c r="AE12" s="109">
        <f t="shared" si="3"/>
        <v>2471.4227088000002</v>
      </c>
      <c r="AF12" s="113">
        <f t="shared" si="8"/>
        <v>127.26093197879861</v>
      </c>
      <c r="AG12" s="114">
        <f t="shared" si="0"/>
        <v>0.25488053939790944</v>
      </c>
      <c r="AH12" s="114">
        <f t="shared" si="4"/>
        <v>6832.2257868846009</v>
      </c>
      <c r="AI12" s="115">
        <f t="shared" si="9"/>
        <v>127.26066276819907</v>
      </c>
      <c r="AJ12" s="31">
        <f>(Z12-Z12)</f>
        <v>0</v>
      </c>
      <c r="AK12" s="113">
        <f t="shared" si="5"/>
        <v>2473.5027980000013</v>
      </c>
      <c r="AL12" s="116">
        <f t="shared" si="6"/>
        <v>2473.5027980000013</v>
      </c>
      <c r="AM12" s="117">
        <f t="shared" si="7"/>
        <v>18417.70183390801</v>
      </c>
      <c r="AN12" s="113">
        <f t="shared" si="10"/>
        <v>126.94306896426373</v>
      </c>
      <c r="AP12" s="110"/>
    </row>
    <row r="13" spans="1:45" s="73" customFormat="1" x14ac:dyDescent="0.2">
      <c r="B13" s="10"/>
      <c r="C13">
        <v>18</v>
      </c>
      <c r="D13" s="11"/>
      <c r="E13" s="3">
        <f>[7]noerr!C9</f>
        <v>31.013164</v>
      </c>
      <c r="F13" s="3">
        <f>[7]noerr!D9</f>
        <v>4.4999999999999998E-2</v>
      </c>
      <c r="G13" s="3">
        <f>[7]noerr!E9</f>
        <v>14.817731</v>
      </c>
      <c r="H13" s="3">
        <f>[7]noerr!F9</f>
        <v>6.3742999999999994E-2</v>
      </c>
      <c r="I13" s="3">
        <f>[7]noerr!G9</f>
        <v>642.63501399999996</v>
      </c>
      <c r="J13" s="3">
        <f>[7]noerr!H9</f>
        <v>73.244088000000005</v>
      </c>
      <c r="K13" s="3">
        <f>[7]noerr!I9</f>
        <v>398938.85836900002</v>
      </c>
      <c r="L13" s="33">
        <f>[7]noerr!J9</f>
        <v>12651.817623000001</v>
      </c>
      <c r="M13" s="3">
        <f>[7]noerr!K9</f>
        <v>400004.28387799999</v>
      </c>
      <c r="N13" s="3">
        <f>[7]noerr!L9</f>
        <v>14.817731</v>
      </c>
      <c r="O13" s="33">
        <f>[7]noerr!M9</f>
        <v>12557.36587</v>
      </c>
      <c r="P13" s="3">
        <f>[7]noerr!N9</f>
        <v>53.829996999999999</v>
      </c>
      <c r="Q13" s="3">
        <f>[7]noerr!O9</f>
        <v>53.499115000000003</v>
      </c>
      <c r="R13" s="11">
        <f>[7]noerr!P9</f>
        <v>12651.817623000001</v>
      </c>
      <c r="S13" s="11">
        <f>[7]noerr!Q9</f>
        <v>12398.781269999999</v>
      </c>
      <c r="T13" s="3">
        <f>[7]noerr!R9</f>
        <v>41.072915000000002</v>
      </c>
      <c r="U13" s="3">
        <f>[7]noerr!S9</f>
        <v>41.326943</v>
      </c>
      <c r="V13" s="3">
        <f>[7]noerr!T9</f>
        <v>14.857303999999999</v>
      </c>
      <c r="W13" s="3">
        <f>[7]noerr!U9</f>
        <v>14.949194</v>
      </c>
      <c r="X13" s="72">
        <f>[7]noerr!V9</f>
        <v>3.9572999999999997E-2</v>
      </c>
      <c r="Y13" s="3">
        <f>[7]noerr!W9</f>
        <v>0.131463</v>
      </c>
      <c r="Z13" s="33">
        <f>[7]noerr!X9</f>
        <v>122609.714404</v>
      </c>
      <c r="AA13" s="3">
        <f>[7]noerr!Y9</f>
        <v>398938.85836900002</v>
      </c>
      <c r="AB13" s="3">
        <f>[7]noerr!Z9</f>
        <v>396486.66408100002</v>
      </c>
      <c r="AC13">
        <f t="shared" si="1"/>
        <v>1060.7780088</v>
      </c>
      <c r="AD13" s="20">
        <f t="shared" si="2"/>
        <v>0.17103599999999999</v>
      </c>
      <c r="AE13">
        <f t="shared" si="3"/>
        <v>4584.7226015999995</v>
      </c>
      <c r="AF13" s="54">
        <f t="shared" si="8"/>
        <v>236.08105123674912</v>
      </c>
      <c r="AG13" s="102">
        <f t="shared" si="0"/>
        <v>0.47282747929955349</v>
      </c>
      <c r="AH13" s="102">
        <f t="shared" si="4"/>
        <v>12674.424279112112</v>
      </c>
      <c r="AI13" s="32">
        <f t="shared" si="9"/>
        <v>236.0805518256513</v>
      </c>
      <c r="AJ13" s="31">
        <f>Z12-Z13</f>
        <v>1065.4255090000079</v>
      </c>
      <c r="AK13" s="54">
        <f t="shared" si="5"/>
        <v>2452.1942879999988</v>
      </c>
      <c r="AL13" s="38">
        <f t="shared" si="6"/>
        <v>3517.6197970000067</v>
      </c>
      <c r="AM13" s="26">
        <f t="shared" si="7"/>
        <v>26192.197008462048</v>
      </c>
      <c r="AN13" s="31">
        <f t="shared" si="10"/>
        <v>180.52837977045661</v>
      </c>
      <c r="AP13" s="131">
        <f>Z12-Z13</f>
        <v>1065.4255090000079</v>
      </c>
      <c r="AQ13">
        <f>Z13-((L13-L13*$AQ$1)*Z13/L13)</f>
        <v>2452.1942880800052</v>
      </c>
      <c r="AR13" s="3">
        <f>AP13+AQ13</f>
        <v>3517.6197970800131</v>
      </c>
    </row>
    <row r="14" spans="1:45" s="109" customFormat="1" x14ac:dyDescent="0.2">
      <c r="B14" s="109">
        <v>20</v>
      </c>
      <c r="C14" s="109">
        <v>20</v>
      </c>
      <c r="D14" s="110"/>
      <c r="E14" s="110">
        <f>[7]noerr!C10</f>
        <v>33.052711000000002</v>
      </c>
      <c r="F14" s="110">
        <f>[7]noerr!D10</f>
        <v>5.0500000000000003E-2</v>
      </c>
      <c r="G14" s="110">
        <f>[7]noerr!E10</f>
        <v>14.819461</v>
      </c>
      <c r="H14" s="110">
        <f>[7]noerr!F10</f>
        <v>6.4559000000000005E-2</v>
      </c>
      <c r="I14" s="110">
        <f>[7]noerr!G10</f>
        <v>634.524629</v>
      </c>
      <c r="J14" s="110">
        <f>[7]noerr!H10</f>
        <v>75.527722999999995</v>
      </c>
      <c r="K14" s="110">
        <f>[7]noerr!I10</f>
        <v>400004.49379199999</v>
      </c>
      <c r="L14" s="33">
        <f>[7]noerr!J10</f>
        <v>13073.023998999999</v>
      </c>
      <c r="M14" s="110">
        <f>[7]noerr!K10</f>
        <v>400004.49130400002</v>
      </c>
      <c r="N14" s="110">
        <f>[7]noerr!L10</f>
        <v>14.819461</v>
      </c>
      <c r="O14" s="33">
        <f>[7]noerr!M10</f>
        <v>13073.022825</v>
      </c>
      <c r="P14" s="110">
        <f>[7]noerr!N10</f>
        <v>53.967485000000003</v>
      </c>
      <c r="Q14" s="110">
        <f>[7]noerr!O10</f>
        <v>53.629423000000003</v>
      </c>
      <c r="R14" s="11">
        <f>[7]noerr!P10</f>
        <v>13073.023998999999</v>
      </c>
      <c r="S14" s="11">
        <f>[7]noerr!Q10</f>
        <v>12811.563518999999</v>
      </c>
      <c r="T14" s="110">
        <f>[7]noerr!R10</f>
        <v>40.964205</v>
      </c>
      <c r="U14" s="110">
        <f>[7]noerr!S10</f>
        <v>41.222430000000003</v>
      </c>
      <c r="V14" s="110">
        <f>[7]noerr!T10</f>
        <v>14.819461</v>
      </c>
      <c r="W14" s="110">
        <f>[7]noerr!U10</f>
        <v>14.912877999999999</v>
      </c>
      <c r="X14" s="111">
        <f>[7]noerr!V10</f>
        <v>0</v>
      </c>
      <c r="Y14" s="110">
        <f>[7]noerr!W10</f>
        <v>9.3417E-2</v>
      </c>
      <c r="Z14" s="33">
        <f>[7]noerr!X10</f>
        <v>125285.05779200001</v>
      </c>
      <c r="AA14" s="110">
        <f>[7]noerr!Y10</f>
        <v>400004.49379199999</v>
      </c>
      <c r="AB14" s="110">
        <f>[7]noerr!Z10</f>
        <v>397498.79263600003</v>
      </c>
      <c r="AC14" s="109">
        <f t="shared" si="1"/>
        <v>0</v>
      </c>
      <c r="AD14" s="112">
        <f t="shared" si="2"/>
        <v>9.3417E-2</v>
      </c>
      <c r="AE14" s="109">
        <f t="shared" si="3"/>
        <v>2504.0987352000002</v>
      </c>
      <c r="AF14" s="113">
        <f t="shared" si="8"/>
        <v>128.94351810954066</v>
      </c>
      <c r="AG14" s="114">
        <f t="shared" si="0"/>
        <v>0.25822529757250834</v>
      </c>
      <c r="AH14" s="114">
        <f t="shared" si="4"/>
        <v>6921.8840366096292</v>
      </c>
      <c r="AI14" s="115">
        <f t="shared" si="9"/>
        <v>128.93068490132981</v>
      </c>
      <c r="AJ14" s="31">
        <f>(Z14-Z14)</f>
        <v>0</v>
      </c>
      <c r="AK14" s="113">
        <f t="shared" si="5"/>
        <v>2505.7011559999664</v>
      </c>
      <c r="AL14" s="116">
        <f t="shared" si="6"/>
        <v>2505.7011559999664</v>
      </c>
      <c r="AM14" s="117">
        <f t="shared" ref="AM14:AM29" si="11">AL14/1000*24*365*0.85</f>
        <v>18657.450807575748</v>
      </c>
      <c r="AN14" s="113">
        <f t="shared" si="10"/>
        <v>128.59552651694187</v>
      </c>
      <c r="AP14" s="110"/>
    </row>
    <row r="15" spans="1:45" x14ac:dyDescent="0.2">
      <c r="B15"/>
      <c r="C15">
        <v>23</v>
      </c>
      <c r="E15" s="3">
        <f>[7]noerr!C11</f>
        <v>36.007736000000001</v>
      </c>
      <c r="F15" s="3">
        <f>[7]noerr!D11</f>
        <v>5.9499999999999997E-2</v>
      </c>
      <c r="G15" s="3">
        <f>[7]noerr!E11</f>
        <v>14.819461</v>
      </c>
      <c r="H15" s="3">
        <f>[7]noerr!F11</f>
        <v>6.4559000000000005E-2</v>
      </c>
      <c r="I15" s="3">
        <f>[7]noerr!G11</f>
        <v>634.524629</v>
      </c>
      <c r="J15" s="3">
        <f>[7]noerr!H11</f>
        <v>75.863602999999998</v>
      </c>
      <c r="K15" s="3">
        <f>[7]noerr!I11</f>
        <v>398898.362295</v>
      </c>
      <c r="L15" s="33">
        <f>[7]noerr!J11</f>
        <v>13168.642551999999</v>
      </c>
      <c r="M15" s="3">
        <f>[7]noerr!K11</f>
        <v>400004.49130400002</v>
      </c>
      <c r="N15" s="3">
        <f>[7]noerr!L11</f>
        <v>14.819461</v>
      </c>
      <c r="O15" s="33">
        <f>[7]noerr!M11</f>
        <v>13073.022825</v>
      </c>
      <c r="P15" s="3">
        <f>[7]noerr!N11</f>
        <v>53.818249000000002</v>
      </c>
      <c r="Q15" s="3">
        <f>[7]noerr!O11</f>
        <v>53.483172000000003</v>
      </c>
      <c r="R15" s="11">
        <f>[7]noerr!P11</f>
        <v>13168.642551999999</v>
      </c>
      <c r="S15" s="11">
        <f>[7]noerr!Q11</f>
        <v>12905.269700999999</v>
      </c>
      <c r="T15" s="3">
        <f>[7]noerr!R11</f>
        <v>41.077798000000001</v>
      </c>
      <c r="U15" s="3">
        <f>[7]noerr!S11</f>
        <v>41.335154000000003</v>
      </c>
      <c r="V15" s="3">
        <f>[7]noerr!T11</f>
        <v>14.860555</v>
      </c>
      <c r="W15" s="3">
        <f>[7]noerr!U11</f>
        <v>14.953658000000001</v>
      </c>
      <c r="X15" s="72">
        <f>[7]noerr!V11</f>
        <v>4.1093999999999999E-2</v>
      </c>
      <c r="Y15" s="3">
        <f>[7]noerr!W11</f>
        <v>0.13419700000000001</v>
      </c>
      <c r="Z15" s="33">
        <f>[7]noerr!X11</f>
        <v>124178.926295</v>
      </c>
      <c r="AA15" s="3">
        <f>[7]noerr!Y11</f>
        <v>398898.362295</v>
      </c>
      <c r="AB15" s="3">
        <f>[7]noerr!Z11</f>
        <v>396414.78376899997</v>
      </c>
      <c r="AC15">
        <f t="shared" si="1"/>
        <v>1101.5493263999999</v>
      </c>
      <c r="AD15" s="20">
        <f t="shared" si="2"/>
        <v>0.175291</v>
      </c>
      <c r="AE15">
        <f t="shared" si="3"/>
        <v>4698.7804295999995</v>
      </c>
      <c r="AF15" s="31">
        <f t="shared" si="8"/>
        <v>241.95422924028267</v>
      </c>
      <c r="AG15" s="102">
        <f t="shared" si="0"/>
        <v>0.48454318418256292</v>
      </c>
      <c r="AH15" s="102">
        <f t="shared" si="4"/>
        <v>12988.470777924109</v>
      </c>
      <c r="AI15" s="32">
        <f t="shared" si="9"/>
        <v>241.93014854939642</v>
      </c>
      <c r="AJ15" s="31">
        <f>Z14-Z15</f>
        <v>1106.1314970000094</v>
      </c>
      <c r="AK15" s="54">
        <f t="shared" si="5"/>
        <v>2483.5785260000266</v>
      </c>
      <c r="AL15" s="38">
        <f t="shared" si="6"/>
        <v>3589.710023000036</v>
      </c>
      <c r="AM15" s="26">
        <f t="shared" si="11"/>
        <v>26728.980831258265</v>
      </c>
      <c r="AN15" s="31">
        <f t="shared" si="10"/>
        <v>184.22813484579777</v>
      </c>
      <c r="AP15" s="131">
        <f>Z14-Z15</f>
        <v>1106.1314970000094</v>
      </c>
      <c r="AQ15">
        <f>Z15-((L15-L15*$AQ$1)*Z15/L15)</f>
        <v>2483.5785258999967</v>
      </c>
      <c r="AR15" s="3">
        <f>AP15+AQ15</f>
        <v>3589.7100229000062</v>
      </c>
    </row>
    <row r="16" spans="1:45" s="109" customFormat="1" x14ac:dyDescent="0.2">
      <c r="B16" s="118">
        <v>25</v>
      </c>
      <c r="C16" s="109">
        <v>25</v>
      </c>
      <c r="D16" s="110"/>
      <c r="E16" s="110">
        <f>[7]noerr!C12</f>
        <v>38.049079999999996</v>
      </c>
      <c r="F16" s="110">
        <f>[7]noerr!D12</f>
        <v>6.6500000000000004E-2</v>
      </c>
      <c r="G16" s="110">
        <f>[7]noerr!E12</f>
        <v>14.857093000000001</v>
      </c>
      <c r="H16" s="110">
        <f>[7]noerr!F12</f>
        <v>6.5207000000000001E-2</v>
      </c>
      <c r="I16" s="110">
        <f>[7]noerr!G12</f>
        <v>629.76788299999998</v>
      </c>
      <c r="J16" s="110">
        <f>[7]noerr!H12</f>
        <v>77.891968000000006</v>
      </c>
      <c r="K16" s="110">
        <f>[7]noerr!I12</f>
        <v>400004.89408599999</v>
      </c>
      <c r="L16" s="33">
        <f>[7]noerr!J12</f>
        <v>13546.143335999999</v>
      </c>
      <c r="M16" s="110">
        <f>[7]noerr!K12</f>
        <v>400004.89408599999</v>
      </c>
      <c r="N16" s="110">
        <f>[7]noerr!L12</f>
        <v>14.857093000000001</v>
      </c>
      <c r="O16" s="33">
        <f>[7]noerr!M12</f>
        <v>13546.143335999999</v>
      </c>
      <c r="P16" s="110">
        <f>[7]noerr!N12</f>
        <v>53.830844999999997</v>
      </c>
      <c r="Q16" s="110">
        <f>[7]noerr!O12</f>
        <v>53.490842999999998</v>
      </c>
      <c r="R16" s="11">
        <f>[7]noerr!P12</f>
        <v>13546.143335999999</v>
      </c>
      <c r="S16" s="11">
        <f>[7]noerr!Q12</f>
        <v>13275.220469</v>
      </c>
      <c r="T16" s="110">
        <f>[7]noerr!R12</f>
        <v>41.065043000000003</v>
      </c>
      <c r="U16" s="110">
        <f>[7]noerr!S12</f>
        <v>41.326064000000002</v>
      </c>
      <c r="V16" s="110">
        <f>[7]noerr!T12</f>
        <v>14.857093000000001</v>
      </c>
      <c r="W16" s="110">
        <f>[7]noerr!U12</f>
        <v>14.951528</v>
      </c>
      <c r="X16" s="111">
        <f>[7]noerr!V12</f>
        <v>0</v>
      </c>
      <c r="Y16" s="110">
        <f>[7]noerr!W12</f>
        <v>9.4436000000000006E-2</v>
      </c>
      <c r="Z16" s="33">
        <f>[7]noerr!X12</f>
        <v>126323.99808600001</v>
      </c>
      <c r="AA16" s="110">
        <f>[7]noerr!Y12</f>
        <v>400004.89408599999</v>
      </c>
      <c r="AB16" s="110">
        <f>[7]noerr!Z12</f>
        <v>397478.414124</v>
      </c>
      <c r="AC16" s="109">
        <f t="shared" si="1"/>
        <v>0</v>
      </c>
      <c r="AD16" s="112">
        <f t="shared" si="2"/>
        <v>9.4436000000000006E-2</v>
      </c>
      <c r="AE16" s="109">
        <f t="shared" si="3"/>
        <v>2531.4136416000001</v>
      </c>
      <c r="AF16" s="113">
        <f t="shared" si="8"/>
        <v>130.35004416961132</v>
      </c>
      <c r="AG16" s="114">
        <f t="shared" si="0"/>
        <v>0.26102281571587582</v>
      </c>
      <c r="AH16" s="114">
        <f t="shared" si="4"/>
        <v>6996.8731889534811</v>
      </c>
      <c r="AI16" s="115">
        <f t="shared" si="9"/>
        <v>130.32747264303813</v>
      </c>
      <c r="AJ16" s="31">
        <f>(Z16-Z16)</f>
        <v>0</v>
      </c>
      <c r="AK16" s="113">
        <f t="shared" si="5"/>
        <v>2526.4799619999831</v>
      </c>
      <c r="AL16" s="116">
        <f t="shared" si="6"/>
        <v>2526.4799619999831</v>
      </c>
      <c r="AM16" s="117">
        <f t="shared" si="11"/>
        <v>18812.169797051873</v>
      </c>
      <c r="AN16" s="113">
        <f t="shared" si="10"/>
        <v>129.66191924760221</v>
      </c>
      <c r="AP16" s="110"/>
    </row>
    <row r="17" spans="1:45" x14ac:dyDescent="0.2">
      <c r="C17">
        <v>28</v>
      </c>
      <c r="E17" s="3">
        <f>[7]noerr!C13</f>
        <v>41.151581</v>
      </c>
      <c r="F17" s="3">
        <f>[7]noerr!D13</f>
        <v>7.85E-2</v>
      </c>
      <c r="G17" s="3">
        <f>[7]noerr!E13</f>
        <v>14.857093000000001</v>
      </c>
      <c r="H17" s="3">
        <f>[7]noerr!F13</f>
        <v>6.5207000000000001E-2</v>
      </c>
      <c r="I17" s="3">
        <f>[7]noerr!G13</f>
        <v>629.76788299999998</v>
      </c>
      <c r="J17" s="3">
        <f>[7]noerr!H13</f>
        <v>78.258443999999997</v>
      </c>
      <c r="K17" s="3">
        <f>[7]noerr!I13</f>
        <v>398812.07184500003</v>
      </c>
      <c r="L17" s="33">
        <f>[7]noerr!J13</f>
        <v>13647.15538</v>
      </c>
      <c r="M17" s="3">
        <f>[7]noerr!K13</f>
        <v>400004.89408599999</v>
      </c>
      <c r="N17" s="3">
        <f>[7]noerr!L13</f>
        <v>14.857093000000001</v>
      </c>
      <c r="O17" s="33">
        <f>[7]noerr!M13</f>
        <v>13546.143335999999</v>
      </c>
      <c r="P17" s="3">
        <f>[7]noerr!N13</f>
        <v>53.670319999999997</v>
      </c>
      <c r="Q17" s="3">
        <f>[7]noerr!O13</f>
        <v>53.333528999999999</v>
      </c>
      <c r="R17" s="11">
        <f>[7]noerr!P13</f>
        <v>13647.15538</v>
      </c>
      <c r="S17" s="11">
        <f>[7]noerr!Q13</f>
        <v>13374.212272000001</v>
      </c>
      <c r="T17" s="3">
        <f>[7]noerr!R13</f>
        <v>41.187866</v>
      </c>
      <c r="U17" s="3">
        <f>[7]noerr!S13</f>
        <v>41.447960000000002</v>
      </c>
      <c r="V17" s="3">
        <f>[7]noerr!T13</f>
        <v>14.901529</v>
      </c>
      <c r="W17" s="3">
        <f>[7]noerr!U13</f>
        <v>14.99563</v>
      </c>
      <c r="X17" s="72">
        <f>[7]noerr!V13</f>
        <v>4.4436999999999997E-2</v>
      </c>
      <c r="Y17" s="3">
        <f>[7]noerr!W13</f>
        <v>0.13853699999999999</v>
      </c>
      <c r="Z17" s="33">
        <f>[7]noerr!X13</f>
        <v>125131.17584500001</v>
      </c>
      <c r="AA17" s="3">
        <f>[7]noerr!Y13</f>
        <v>398812.07184500003</v>
      </c>
      <c r="AB17" s="3">
        <f>[7]noerr!Z13</f>
        <v>396309.44832800003</v>
      </c>
      <c r="AC17">
        <f t="shared" si="1"/>
        <v>1191.1604471999999</v>
      </c>
      <c r="AD17" s="20">
        <f t="shared" si="2"/>
        <v>0.182974</v>
      </c>
      <c r="AE17">
        <f t="shared" si="3"/>
        <v>4904.727854400001</v>
      </c>
      <c r="AF17" s="31">
        <f t="shared" si="8"/>
        <v>252.55907685512375</v>
      </c>
      <c r="AG17" s="102">
        <f t="shared" si="0"/>
        <v>0.50574345252653785</v>
      </c>
      <c r="AH17" s="102">
        <f t="shared" si="4"/>
        <v>13556.756691045362</v>
      </c>
      <c r="AI17" s="32">
        <f t="shared" si="9"/>
        <v>252.51534350657582</v>
      </c>
      <c r="AJ17" s="31">
        <f>Z16-Z17</f>
        <v>1192.8222410000017</v>
      </c>
      <c r="AK17" s="54">
        <f t="shared" si="5"/>
        <v>2502.623517</v>
      </c>
      <c r="AL17" s="38">
        <f t="shared" si="6"/>
        <v>3695.4457580000017</v>
      </c>
      <c r="AM17" s="26">
        <f t="shared" si="11"/>
        <v>27516.289114068011</v>
      </c>
      <c r="AN17" s="31">
        <f t="shared" si="10"/>
        <v>189.65461696295597</v>
      </c>
      <c r="AP17" s="131">
        <f>Z16-Z17</f>
        <v>1192.8222410000017</v>
      </c>
      <c r="AQ17">
        <f>Z17-((L17-L17*$AQ$1)*Z17/L17)</f>
        <v>2502.6235168999992</v>
      </c>
      <c r="AR17" s="3">
        <f>AP17+AQ17</f>
        <v>3695.4457579000009</v>
      </c>
    </row>
    <row r="18" spans="1:45" s="109" customFormat="1" x14ac:dyDescent="0.2">
      <c r="A18" s="109" t="s">
        <v>93</v>
      </c>
      <c r="B18" s="109">
        <v>15</v>
      </c>
      <c r="C18" s="109">
        <v>15</v>
      </c>
      <c r="D18" s="110"/>
      <c r="E18" s="110">
        <f>[7]noerr!C14</f>
        <v>26.673193000000001</v>
      </c>
      <c r="F18" s="110">
        <f>[7]noerr!D14</f>
        <v>3.5000000000000003E-2</v>
      </c>
      <c r="G18" s="110">
        <f>[7]noerr!E14</f>
        <v>36.096905</v>
      </c>
      <c r="H18" s="110">
        <f>[7]noerr!F14</f>
        <v>0.23863200000000001</v>
      </c>
      <c r="I18" s="110">
        <f>[7]noerr!G14</f>
        <v>555.28375400000004</v>
      </c>
      <c r="J18" s="110">
        <f>[7]noerr!H14</f>
        <v>298.23788100000002</v>
      </c>
      <c r="K18" s="110">
        <f>[7]noerr!I14</f>
        <v>400002.51038400002</v>
      </c>
      <c r="L18" s="33">
        <f>[7]noerr!J14</f>
        <v>45245.486360000003</v>
      </c>
      <c r="M18" s="110">
        <f>[7]noerr!K14</f>
        <v>400002.51038400002</v>
      </c>
      <c r="N18" s="110">
        <f>[7]noerr!L14</f>
        <v>36.096905</v>
      </c>
      <c r="O18" s="33">
        <f>[7]noerr!M14</f>
        <v>711.53356299999996</v>
      </c>
      <c r="P18" s="110">
        <f>[7]noerr!N14</f>
        <v>36.927864</v>
      </c>
      <c r="Q18" s="110">
        <f>[7]noerr!O14</f>
        <v>36.347133999999997</v>
      </c>
      <c r="R18" s="11">
        <f>[7]noerr!P14</f>
        <v>45245.486360000003</v>
      </c>
      <c r="S18" s="11">
        <f>[7]noerr!Q14</f>
        <v>44533.952795999998</v>
      </c>
      <c r="T18" s="110">
        <f>[7]noerr!R14</f>
        <v>132.508274</v>
      </c>
      <c r="U18" s="110">
        <f>[7]noerr!S14</f>
        <v>134.62540200000001</v>
      </c>
      <c r="V18" s="110">
        <f>[7]noerr!T14</f>
        <v>36.096905</v>
      </c>
      <c r="W18" s="110">
        <f>[7]noerr!U14</f>
        <v>36.673636999999999</v>
      </c>
      <c r="X18" s="111">
        <f>[7]noerr!V14</f>
        <v>0</v>
      </c>
      <c r="Y18" s="110">
        <f>[7]noerr!W14</f>
        <v>0.57673200000000002</v>
      </c>
      <c r="Z18" s="33">
        <f>[7]noerr!X14</f>
        <v>400002.51038400002</v>
      </c>
      <c r="AA18" s="110">
        <f>[7]noerr!Y14</f>
        <v>400002.51038400002</v>
      </c>
      <c r="AB18" s="110">
        <f>[7]noerr!Z14</f>
        <v>393712.043986</v>
      </c>
      <c r="AC18" s="109">
        <f t="shared" si="1"/>
        <v>0</v>
      </c>
      <c r="AD18" s="112">
        <f t="shared" si="2"/>
        <v>0.57673200000000002</v>
      </c>
      <c r="AE18" s="109">
        <f t="shared" si="3"/>
        <v>15459.6472992</v>
      </c>
      <c r="AF18" s="113">
        <f t="shared" si="8"/>
        <v>796.06338339222623</v>
      </c>
      <c r="AG18" s="114">
        <f t="shared" si="0"/>
        <v>2.117130998515421</v>
      </c>
      <c r="AH18" s="114">
        <f t="shared" si="4"/>
        <v>56750.96669380497</v>
      </c>
      <c r="AI18" s="115">
        <f t="shared" si="9"/>
        <v>1057.0736183885424</v>
      </c>
      <c r="AJ18" s="31">
        <f>(K18-AA18)</f>
        <v>0</v>
      </c>
      <c r="AK18" s="113">
        <f t="shared" si="5"/>
        <v>6290.4663980000187</v>
      </c>
      <c r="AL18" s="116">
        <f t="shared" si="6"/>
        <v>6290.4663980000187</v>
      </c>
      <c r="AM18" s="117">
        <f t="shared" si="11"/>
        <v>46838.812799508138</v>
      </c>
      <c r="AN18" s="113">
        <f t="shared" si="10"/>
        <v>322.83412431324831</v>
      </c>
      <c r="AP18" s="110"/>
    </row>
    <row r="19" spans="1:45" x14ac:dyDescent="0.2">
      <c r="C19">
        <v>18</v>
      </c>
      <c r="E19" s="3">
        <f>[7]noerr!C15</f>
        <v>26.673193000000001</v>
      </c>
      <c r="F19" s="3">
        <f>[7]noerr!D15</f>
        <v>3.5000000000000003E-2</v>
      </c>
      <c r="G19" s="3">
        <f>[7]noerr!E15</f>
        <v>36.096905</v>
      </c>
      <c r="H19" s="3">
        <f>[7]noerr!F15</f>
        <v>0.23863200000000001</v>
      </c>
      <c r="I19" s="3">
        <f>[7]noerr!G15</f>
        <v>555.28375400000004</v>
      </c>
      <c r="J19" s="3">
        <f>[7]noerr!H15</f>
        <v>298.23788100000002</v>
      </c>
      <c r="K19" s="3">
        <f>[7]noerr!I15</f>
        <v>400002.51038400002</v>
      </c>
      <c r="L19" s="33">
        <f>[7]noerr!J15</f>
        <v>45245.486360000003</v>
      </c>
      <c r="M19" s="3">
        <f>[7]noerr!K15</f>
        <v>400002.51038400002</v>
      </c>
      <c r="N19" s="3">
        <f>[7]noerr!L15</f>
        <v>36.096905</v>
      </c>
      <c r="O19" s="33">
        <f>[7]noerr!M15</f>
        <v>714.89601100000004</v>
      </c>
      <c r="P19" s="3">
        <f>[7]noerr!N15</f>
        <v>36.92512</v>
      </c>
      <c r="Q19" s="3">
        <f>[7]noerr!O15</f>
        <v>36.344389999999997</v>
      </c>
      <c r="R19" s="11">
        <f>[7]noerr!P15</f>
        <v>45242.123912000003</v>
      </c>
      <c r="S19" s="11">
        <f>[7]noerr!Q15</f>
        <v>44530.590348999998</v>
      </c>
      <c r="T19" s="3">
        <f>[7]noerr!R15</f>
        <v>132.51812200000001</v>
      </c>
      <c r="U19" s="3">
        <f>[7]noerr!S15</f>
        <v>134.63556700000001</v>
      </c>
      <c r="V19" s="3">
        <f>[7]noerr!T15</f>
        <v>36.099587999999997</v>
      </c>
      <c r="W19" s="3">
        <f>[7]noerr!U15</f>
        <v>36.676406</v>
      </c>
      <c r="X19" s="72">
        <f>[7]noerr!V15</f>
        <v>2.6830000000000001E-3</v>
      </c>
      <c r="Y19" s="3">
        <f>[7]noerr!W15</f>
        <v>0.57950100000000004</v>
      </c>
      <c r="Z19" s="33">
        <f>[7]noerr!X15</f>
        <v>400002.51038400002</v>
      </c>
      <c r="AA19" s="3">
        <f>[7]noerr!Y15</f>
        <v>399972.78393699997</v>
      </c>
      <c r="AB19" s="3">
        <f>[7]noerr!Z15</f>
        <v>393682.31753900001</v>
      </c>
      <c r="AC19">
        <f t="shared" si="1"/>
        <v>71.919424799999987</v>
      </c>
      <c r="AD19" s="20">
        <f t="shared" si="2"/>
        <v>0.58218400000000003</v>
      </c>
      <c r="AE19">
        <f t="shared" si="3"/>
        <v>15605.791430399999</v>
      </c>
      <c r="AF19" s="31">
        <f t="shared" si="8"/>
        <v>803.58878091872782</v>
      </c>
      <c r="AG19" s="102">
        <f t="shared" si="0"/>
        <v>2.1371447973056661</v>
      </c>
      <c r="AH19" s="102">
        <f t="shared" si="4"/>
        <v>57287.44857865676</v>
      </c>
      <c r="AI19" s="32">
        <f t="shared" si="9"/>
        <v>1067.0664146395725</v>
      </c>
      <c r="AJ19" s="31">
        <f>K18-AA19</f>
        <v>29.726447000051849</v>
      </c>
      <c r="AK19" s="54">
        <f t="shared" si="5"/>
        <v>6320.1928450000123</v>
      </c>
      <c r="AL19" s="38">
        <f t="shared" si="6"/>
        <v>6349.9192920000642</v>
      </c>
      <c r="AM19" s="26">
        <f t="shared" si="11"/>
        <v>47281.499048232479</v>
      </c>
      <c r="AN19" s="31">
        <f t="shared" si="10"/>
        <v>325.88531666656826</v>
      </c>
      <c r="AP19" s="11">
        <f>Z18-((L19-(O19-O18))*Z18/L19)</f>
        <v>29.726448961882852</v>
      </c>
      <c r="AQ19">
        <f>Z19-((L19-O19)*Z19/L19)</f>
        <v>6320.1928428448737</v>
      </c>
      <c r="AR19" s="3">
        <f>AP19+AQ19</f>
        <v>6349.9192918067565</v>
      </c>
    </row>
    <row r="20" spans="1:45" s="109" customFormat="1" x14ac:dyDescent="0.2">
      <c r="B20" s="109">
        <v>20</v>
      </c>
      <c r="C20" s="109">
        <v>20</v>
      </c>
      <c r="D20" s="110"/>
      <c r="E20" s="110">
        <f>[7]noerr!C16</f>
        <v>30.817177000000001</v>
      </c>
      <c r="F20" s="110">
        <f>[7]noerr!D16</f>
        <v>4.4499999999999998E-2</v>
      </c>
      <c r="G20" s="110">
        <f>[7]noerr!E16</f>
        <v>36.325899</v>
      </c>
      <c r="H20" s="110">
        <f>[7]noerr!F16</f>
        <v>0.24424699999999999</v>
      </c>
      <c r="I20" s="110">
        <f>[7]noerr!G16</f>
        <v>545.93024400000002</v>
      </c>
      <c r="J20" s="110">
        <f>[7]noerr!H16</f>
        <v>303.26535899999999</v>
      </c>
      <c r="K20" s="110">
        <f>[7]noerr!I16</f>
        <v>400003.71109400003</v>
      </c>
      <c r="L20" s="33">
        <f>[7]noerr!J16</f>
        <v>46176.528794999998</v>
      </c>
      <c r="M20" s="110">
        <f>[7]noerr!K16</f>
        <v>400003.71109400003</v>
      </c>
      <c r="N20" s="110">
        <f>[7]noerr!L16</f>
        <v>36.325899</v>
      </c>
      <c r="O20" s="33">
        <f>[7]noerr!M16</f>
        <v>740.75002700000005</v>
      </c>
      <c r="P20" s="110">
        <f>[7]noerr!N16</f>
        <v>36.695186</v>
      </c>
      <c r="Q20" s="110">
        <f>[7]noerr!O16</f>
        <v>36.106532999999999</v>
      </c>
      <c r="R20" s="11">
        <f>[7]noerr!P16</f>
        <v>46176.528794999998</v>
      </c>
      <c r="S20" s="11">
        <f>[7]noerr!Q16</f>
        <v>45435.778767999996</v>
      </c>
      <c r="T20" s="110">
        <f>[7]noerr!R16</f>
        <v>133.34189000000001</v>
      </c>
      <c r="U20" s="110">
        <f>[7]noerr!S16</f>
        <v>135.515794</v>
      </c>
      <c r="V20" s="110">
        <f>[7]noerr!T16</f>
        <v>36.325899</v>
      </c>
      <c r="W20" s="110">
        <f>[7]noerr!U16</f>
        <v>36.918128000000003</v>
      </c>
      <c r="X20" s="111">
        <f>[7]noerr!V16</f>
        <v>0</v>
      </c>
      <c r="Y20" s="110">
        <f>[7]noerr!W16</f>
        <v>0.59223000000000003</v>
      </c>
      <c r="Z20" s="33">
        <f>[7]noerr!X16</f>
        <v>400003.71109400003</v>
      </c>
      <c r="AA20" s="110">
        <f>[7]noerr!Y16</f>
        <v>400003.71109400003</v>
      </c>
      <c r="AB20" s="110">
        <f>[7]noerr!Z16</f>
        <v>393586.97152100003</v>
      </c>
      <c r="AC20" s="109">
        <f t="shared" si="1"/>
        <v>0</v>
      </c>
      <c r="AD20" s="112">
        <f t="shared" si="2"/>
        <v>0.59223000000000003</v>
      </c>
      <c r="AE20" s="109">
        <f t="shared" si="3"/>
        <v>15875.080488000001</v>
      </c>
      <c r="AF20" s="113">
        <f t="shared" si="8"/>
        <v>817.45527826855141</v>
      </c>
      <c r="AG20" s="114">
        <f t="shared" si="0"/>
        <v>2.1739043157307947</v>
      </c>
      <c r="AH20" s="114">
        <f t="shared" si="4"/>
        <v>58272.809525753386</v>
      </c>
      <c r="AI20" s="115">
        <f t="shared" si="9"/>
        <v>1085.4202704846377</v>
      </c>
      <c r="AJ20" s="31">
        <f>(K20-AA20)</f>
        <v>0</v>
      </c>
      <c r="AK20" s="113">
        <f t="shared" si="5"/>
        <v>6416.7395729999989</v>
      </c>
      <c r="AL20" s="116">
        <f t="shared" si="6"/>
        <v>6416.7395729999989</v>
      </c>
      <c r="AM20" s="117">
        <f t="shared" si="11"/>
        <v>47779.042860557987</v>
      </c>
      <c r="AN20" s="113">
        <f t="shared" si="10"/>
        <v>329.31461197443878</v>
      </c>
      <c r="AP20" s="110"/>
    </row>
    <row r="21" spans="1:45" x14ac:dyDescent="0.2">
      <c r="B21"/>
      <c r="C21">
        <v>23</v>
      </c>
      <c r="E21" s="3">
        <f>[7]noerr!C17</f>
        <v>30.817177000000001</v>
      </c>
      <c r="F21" s="3">
        <f>[7]noerr!D17</f>
        <v>4.4499999999999998E-2</v>
      </c>
      <c r="G21" s="3">
        <f>[7]noerr!E17</f>
        <v>36.325899</v>
      </c>
      <c r="H21" s="3">
        <f>[7]noerr!F17</f>
        <v>0.24424699999999999</v>
      </c>
      <c r="I21" s="3">
        <f>[7]noerr!G17</f>
        <v>545.93024400000002</v>
      </c>
      <c r="J21" s="3">
        <f>[7]noerr!H17</f>
        <v>303.26535899999999</v>
      </c>
      <c r="K21" s="3">
        <f>[7]noerr!I17</f>
        <v>400003.71109400003</v>
      </c>
      <c r="L21" s="33">
        <f>[7]noerr!J17</f>
        <v>46176.528794999998</v>
      </c>
      <c r="M21" s="3">
        <f>[7]noerr!K17</f>
        <v>400003.71109400003</v>
      </c>
      <c r="N21" s="3">
        <f>[7]noerr!L17</f>
        <v>36.325899</v>
      </c>
      <c r="O21" s="33">
        <f>[7]noerr!M17</f>
        <v>744.47745099999997</v>
      </c>
      <c r="P21" s="3">
        <f>[7]noerr!N17</f>
        <v>36.692224000000003</v>
      </c>
      <c r="Q21" s="3">
        <f>[7]noerr!O17</f>
        <v>36.103571000000002</v>
      </c>
      <c r="R21" s="11">
        <f>[7]noerr!P17</f>
        <v>46172.801370000001</v>
      </c>
      <c r="S21" s="11">
        <f>[7]noerr!Q17</f>
        <v>45432.051344</v>
      </c>
      <c r="T21" s="3">
        <f>[7]noerr!R17</f>
        <v>133.352655</v>
      </c>
      <c r="U21" s="3">
        <f>[7]noerr!S17</f>
        <v>135.52691200000001</v>
      </c>
      <c r="V21" s="3">
        <f>[7]noerr!T17</f>
        <v>36.328831000000001</v>
      </c>
      <c r="W21" s="3">
        <f>[7]noerr!U17</f>
        <v>36.921157000000001</v>
      </c>
      <c r="X21" s="72">
        <f>[7]noerr!V17</f>
        <v>2.9329999999999998E-3</v>
      </c>
      <c r="Y21" s="3">
        <f>[7]noerr!W17</f>
        <v>0.59525799999999995</v>
      </c>
      <c r="Z21" s="33">
        <f>[7]noerr!X17</f>
        <v>400003.71109400003</v>
      </c>
      <c r="AA21" s="3">
        <f>[7]noerr!Y17</f>
        <v>399971.42231599998</v>
      </c>
      <c r="AB21" s="3">
        <f>[7]noerr!Z17</f>
        <v>393554.68274299998</v>
      </c>
      <c r="AC21">
        <f t="shared" si="1"/>
        <v>78.620824800000008</v>
      </c>
      <c r="AD21" s="20">
        <f t="shared" si="2"/>
        <v>0.59819099999999992</v>
      </c>
      <c r="AE21">
        <f t="shared" si="3"/>
        <v>16034.868669599997</v>
      </c>
      <c r="AF21" s="31">
        <f t="shared" si="8"/>
        <v>825.68324867491162</v>
      </c>
      <c r="AG21" s="102">
        <f t="shared" si="0"/>
        <v>2.1957854153476148</v>
      </c>
      <c r="AH21" s="102">
        <f t="shared" si="4"/>
        <v>58859.345529642022</v>
      </c>
      <c r="AI21" s="32">
        <f t="shared" si="9"/>
        <v>1096.3454013161693</v>
      </c>
      <c r="AJ21" s="31">
        <f>K20-AA21</f>
        <v>32.288778000045568</v>
      </c>
      <c r="AK21" s="54">
        <f t="shared" si="5"/>
        <v>6449.0283510000445</v>
      </c>
      <c r="AL21" s="38">
        <f t="shared" si="6"/>
        <v>6481.3171290000901</v>
      </c>
      <c r="AM21" s="26">
        <f t="shared" si="11"/>
        <v>48259.887342534676</v>
      </c>
      <c r="AN21" s="31">
        <f t="shared" si="10"/>
        <v>332.62880800101766</v>
      </c>
      <c r="AP21" s="11">
        <f>Z20-((L21-(O21-O20))*Z20/L21)</f>
        <v>32.288772493891884</v>
      </c>
      <c r="AQ21">
        <f>Z21-((L21-O21)*Z21/L21)</f>
        <v>6449.0283483163803</v>
      </c>
      <c r="AR21" s="3">
        <f>AP21+AQ21</f>
        <v>6481.3171208102722</v>
      </c>
    </row>
    <row r="22" spans="1:45" s="109" customFormat="1" x14ac:dyDescent="0.2">
      <c r="B22" s="118">
        <v>25</v>
      </c>
      <c r="C22" s="109">
        <v>25</v>
      </c>
      <c r="D22" s="110"/>
      <c r="E22" s="110">
        <f>[7]noerr!C18</f>
        <v>35.228050000000003</v>
      </c>
      <c r="F22" s="110">
        <f>[7]noerr!D18</f>
        <v>5.7000000000000002E-2</v>
      </c>
      <c r="G22" s="110">
        <f>[7]noerr!E18</f>
        <v>36.591968999999999</v>
      </c>
      <c r="H22" s="110">
        <f>[7]noerr!F18</f>
        <v>0.25024800000000003</v>
      </c>
      <c r="I22" s="110">
        <f>[7]noerr!G18</f>
        <v>536.712762</v>
      </c>
      <c r="J22" s="110">
        <f>[7]noerr!H18</f>
        <v>308.74794600000001</v>
      </c>
      <c r="K22" s="110">
        <f>[7]noerr!I18</f>
        <v>400000.45151799999</v>
      </c>
      <c r="L22" s="33">
        <f>[7]noerr!J18</f>
        <v>47173.34994</v>
      </c>
      <c r="M22" s="110">
        <f>[7]noerr!K18</f>
        <v>400000.45151799999</v>
      </c>
      <c r="N22" s="110">
        <f>[7]noerr!L18</f>
        <v>36.591968999999999</v>
      </c>
      <c r="O22" s="33">
        <f>[7]noerr!M18</f>
        <v>768.34642599999995</v>
      </c>
      <c r="P22" s="110">
        <f>[7]noerr!N18</f>
        <v>36.428068000000003</v>
      </c>
      <c r="Q22" s="110">
        <f>[7]noerr!O18</f>
        <v>35.834738000000002</v>
      </c>
      <c r="R22" s="11">
        <f>[7]noerr!P18</f>
        <v>47173.34994</v>
      </c>
      <c r="S22" s="11">
        <f>[7]noerr!Q18</f>
        <v>46405.003514000004</v>
      </c>
      <c r="T22" s="110">
        <f>[7]noerr!R18</f>
        <v>134.311241</v>
      </c>
      <c r="U22" s="110">
        <f>[7]noerr!S18</f>
        <v>136.535087</v>
      </c>
      <c r="V22" s="110">
        <f>[7]noerr!T18</f>
        <v>36.591968999999999</v>
      </c>
      <c r="W22" s="110">
        <f>[7]noerr!U18</f>
        <v>37.197837</v>
      </c>
      <c r="X22" s="111">
        <f>[7]noerr!V18</f>
        <v>0</v>
      </c>
      <c r="Y22" s="110">
        <f>[7]noerr!W18</f>
        <v>0.60586799999999996</v>
      </c>
      <c r="Z22" s="33">
        <f>[7]noerr!X18</f>
        <v>400000.45151799999</v>
      </c>
      <c r="AA22" s="110">
        <f>[7]noerr!Y18</f>
        <v>400000.45151799999</v>
      </c>
      <c r="AB22" s="110">
        <f>[7]noerr!Z18</f>
        <v>393485.35522199998</v>
      </c>
      <c r="AC22" s="109">
        <f t="shared" si="1"/>
        <v>0</v>
      </c>
      <c r="AD22" s="112">
        <f t="shared" si="2"/>
        <v>0.60586799999999996</v>
      </c>
      <c r="AE22" s="109">
        <f t="shared" si="3"/>
        <v>16240.6552608</v>
      </c>
      <c r="AF22" s="113">
        <f t="shared" si="8"/>
        <v>836.27981448763251</v>
      </c>
      <c r="AG22" s="114">
        <f t="shared" si="0"/>
        <v>2.2238463264876884</v>
      </c>
      <c r="AH22" s="114">
        <f t="shared" si="4"/>
        <v>59611.535089298377</v>
      </c>
      <c r="AI22" s="115">
        <f t="shared" si="9"/>
        <v>1110.356083175212</v>
      </c>
      <c r="AJ22" s="31">
        <f>(K22-AA22)</f>
        <v>0</v>
      </c>
      <c r="AK22" s="113">
        <f t="shared" si="5"/>
        <v>6515.0962960000033</v>
      </c>
      <c r="AL22" s="116">
        <f t="shared" si="6"/>
        <v>6515.0962960000033</v>
      </c>
      <c r="AM22" s="117">
        <f t="shared" si="11"/>
        <v>48511.40702001602</v>
      </c>
      <c r="AN22" s="113">
        <f t="shared" si="10"/>
        <v>334.36239452838782</v>
      </c>
      <c r="AP22" s="110"/>
    </row>
    <row r="23" spans="1:45" x14ac:dyDescent="0.2">
      <c r="C23">
        <v>28</v>
      </c>
      <c r="E23" s="3">
        <f>[7]noerr!C19</f>
        <v>35.228050000000003</v>
      </c>
      <c r="F23" s="3">
        <f>[7]noerr!D19</f>
        <v>5.7000000000000002E-2</v>
      </c>
      <c r="G23" s="3">
        <f>[7]noerr!E19</f>
        <v>36.591968999999999</v>
      </c>
      <c r="H23" s="3">
        <f>[7]noerr!F19</f>
        <v>0.25024800000000003</v>
      </c>
      <c r="I23" s="3">
        <f>[7]noerr!G19</f>
        <v>536.712762</v>
      </c>
      <c r="J23" s="3">
        <f>[7]noerr!H19</f>
        <v>308.74794600000001</v>
      </c>
      <c r="K23" s="3">
        <f>[7]noerr!I19</f>
        <v>400000.45151799999</v>
      </c>
      <c r="L23" s="33">
        <f>[7]noerr!J19</f>
        <v>47173.34994</v>
      </c>
      <c r="M23" s="3">
        <f>[7]noerr!K19</f>
        <v>400000.45151799999</v>
      </c>
      <c r="N23" s="3">
        <f>[7]noerr!L19</f>
        <v>36.591968999999999</v>
      </c>
      <c r="O23" s="33">
        <f>[7]noerr!M19</f>
        <v>772.39348600000005</v>
      </c>
      <c r="P23" s="3">
        <f>[7]noerr!N19</f>
        <v>36.424942999999999</v>
      </c>
      <c r="Q23" s="3">
        <f>[7]noerr!O19</f>
        <v>35.831612999999997</v>
      </c>
      <c r="R23" s="11">
        <f>[7]noerr!P19</f>
        <v>47169.302880000003</v>
      </c>
      <c r="S23" s="11">
        <f>[7]noerr!Q19</f>
        <v>46400.956453999999</v>
      </c>
      <c r="T23" s="3">
        <f>[7]noerr!R19</f>
        <v>134.322765</v>
      </c>
      <c r="U23" s="3">
        <f>[7]noerr!S19</f>
        <v>136.54699500000001</v>
      </c>
      <c r="V23" s="3">
        <f>[7]noerr!T19</f>
        <v>36.595109000000001</v>
      </c>
      <c r="W23" s="3">
        <f>[7]noerr!U19</f>
        <v>37.201082</v>
      </c>
      <c r="X23" s="72">
        <f>[7]noerr!V19</f>
        <v>3.14E-3</v>
      </c>
      <c r="Y23" s="3">
        <f>[7]noerr!W19</f>
        <v>0.60911199999999999</v>
      </c>
      <c r="Z23" s="33">
        <f>[7]noerr!X19</f>
        <v>400000.45151799999</v>
      </c>
      <c r="AA23" s="3">
        <f>[7]noerr!Y19</f>
        <v>399966.13498500001</v>
      </c>
      <c r="AB23" s="3">
        <f>[7]noerr!Z19</f>
        <v>393451.03868900001</v>
      </c>
      <c r="AC23">
        <f t="shared" si="1"/>
        <v>84.169584</v>
      </c>
      <c r="AD23" s="20">
        <f t="shared" si="2"/>
        <v>0.61225200000000002</v>
      </c>
      <c r="AE23">
        <f t="shared" si="3"/>
        <v>16411.782211199999</v>
      </c>
      <c r="AF23" s="31">
        <f t="shared" si="8"/>
        <v>845.09165194346292</v>
      </c>
      <c r="AG23" s="102">
        <f t="shared" si="0"/>
        <v>2.2472788810181612</v>
      </c>
      <c r="AH23" s="102">
        <f t="shared" si="4"/>
        <v>60239.658773020419</v>
      </c>
      <c r="AI23" s="32">
        <f t="shared" si="9"/>
        <v>1122.0558481982471</v>
      </c>
      <c r="AJ23" s="31">
        <f>K22-AA23</f>
        <v>34.316532999975607</v>
      </c>
      <c r="AK23" s="54">
        <f t="shared" si="5"/>
        <v>6549.412828999979</v>
      </c>
      <c r="AL23" s="38">
        <f t="shared" si="6"/>
        <v>6583.7293619999546</v>
      </c>
      <c r="AM23" s="26">
        <f t="shared" si="11"/>
        <v>49022.448829451663</v>
      </c>
      <c r="AN23" s="31">
        <f t="shared" si="10"/>
        <v>337.8847240917525</v>
      </c>
      <c r="AP23" s="11">
        <f>Z22-((L23-(O23-O22))*Z22/L23)</f>
        <v>34.316533156496007</v>
      </c>
      <c r="AQ23">
        <f>Z23-((L23-O23)*Z23/L23)</f>
        <v>6549.4128261513542</v>
      </c>
      <c r="AR23" s="3">
        <f>AP23+AQ23</f>
        <v>6583.7293593078502</v>
      </c>
    </row>
    <row r="24" spans="1:45" s="109" customFormat="1" x14ac:dyDescent="0.2">
      <c r="A24" s="109" t="s">
        <v>56</v>
      </c>
      <c r="B24" s="109">
        <v>15</v>
      </c>
      <c r="C24" s="109">
        <v>15</v>
      </c>
      <c r="D24" s="110"/>
      <c r="E24" s="110">
        <f>[7]noerr!C20</f>
        <v>28.077817</v>
      </c>
      <c r="F24" s="110">
        <f>[7]noerr!D20</f>
        <v>3.7999999999999999E-2</v>
      </c>
      <c r="G24" s="110">
        <f>[7]noerr!E20</f>
        <v>36.196192000000003</v>
      </c>
      <c r="H24" s="110">
        <f>[7]noerr!F20</f>
        <v>0.23924400000000001</v>
      </c>
      <c r="I24" s="110">
        <f>[7]noerr!G20</f>
        <v>555.38304200000005</v>
      </c>
      <c r="J24" s="110">
        <f>[7]noerr!H20</f>
        <v>299.68091099999998</v>
      </c>
      <c r="K24" s="110">
        <f>[7]noerr!I20</f>
        <v>400002.05747200001</v>
      </c>
      <c r="L24" s="33">
        <f>[7]noerr!J20</f>
        <v>45504.828942</v>
      </c>
      <c r="M24" s="110">
        <f>[7]noerr!K20</f>
        <v>400002.05747200001</v>
      </c>
      <c r="N24" s="110">
        <f>[7]noerr!L20</f>
        <v>36.196192000000003</v>
      </c>
      <c r="O24" s="33">
        <f>[7]noerr!M20</f>
        <v>0</v>
      </c>
      <c r="P24" s="110">
        <f>[7]noerr!N20</f>
        <v>36.826528000000003</v>
      </c>
      <c r="Q24" s="110">
        <f>[7]noerr!O20</f>
        <v>36.089996999999997</v>
      </c>
      <c r="R24" s="11">
        <f>[7]noerr!P20</f>
        <v>45504.828942</v>
      </c>
      <c r="S24" s="11">
        <f>[7]noerr!Q20</f>
        <v>44594.732363000003</v>
      </c>
      <c r="T24" s="110">
        <f>[7]noerr!R20</f>
        <v>132.872049</v>
      </c>
      <c r="U24" s="110">
        <f>[7]noerr!S20</f>
        <v>135.58372399999999</v>
      </c>
      <c r="V24" s="110">
        <f>[7]noerr!T20</f>
        <v>36.196192000000003</v>
      </c>
      <c r="W24" s="110">
        <f>[7]noerr!U20</f>
        <v>36.934890000000003</v>
      </c>
      <c r="X24" s="111">
        <f>[7]noerr!V20</f>
        <v>0</v>
      </c>
      <c r="Y24" s="110">
        <f>[7]noerr!W20</f>
        <v>0.73869799999999997</v>
      </c>
      <c r="Z24" s="33">
        <f>[7]noerr!X20</f>
        <v>400002.05747200001</v>
      </c>
      <c r="AA24" s="110">
        <f>[7]noerr!Y20</f>
        <v>400002.05747200001</v>
      </c>
      <c r="AB24" s="110">
        <f>[7]noerr!Z20</f>
        <v>392002.01632300002</v>
      </c>
      <c r="AC24" s="109">
        <f t="shared" si="1"/>
        <v>0</v>
      </c>
      <c r="AD24" s="112">
        <f t="shared" si="2"/>
        <v>0.73869799999999997</v>
      </c>
      <c r="AE24" s="109">
        <f t="shared" si="3"/>
        <v>19801.243108799998</v>
      </c>
      <c r="AF24" s="113">
        <f>AE24*$AF$6/$AE$6</f>
        <v>1019.6251104240282</v>
      </c>
      <c r="AG24" s="114">
        <f t="shared" si="0"/>
        <v>2.7116754532468974</v>
      </c>
      <c r="AH24" s="114">
        <f t="shared" si="4"/>
        <v>72688.087529555036</v>
      </c>
      <c r="AI24" s="115">
        <f t="shared" si="9"/>
        <v>1353.9268875044106</v>
      </c>
      <c r="AJ24" s="31">
        <f>(K24-AA24)</f>
        <v>0</v>
      </c>
      <c r="AK24" s="113">
        <f t="shared" si="5"/>
        <v>8000.0411489999969</v>
      </c>
      <c r="AL24" s="116">
        <f t="shared" si="6"/>
        <v>8000.0411489999969</v>
      </c>
      <c r="AM24" s="117">
        <f t="shared" si="11"/>
        <v>59568.306395453983</v>
      </c>
      <c r="AN24" s="113">
        <f t="shared" si="10"/>
        <v>410.57150859728029</v>
      </c>
      <c r="AP24" s="110"/>
    </row>
    <row r="25" spans="1:45" x14ac:dyDescent="0.2">
      <c r="C25">
        <v>18</v>
      </c>
      <c r="E25" s="3">
        <f>[7]noerr!C21</f>
        <v>31.013164</v>
      </c>
      <c r="F25" s="3">
        <f>[7]noerr!D21</f>
        <v>4.4999999999999998E-2</v>
      </c>
      <c r="G25" s="3">
        <f>[7]noerr!E21</f>
        <v>36.196192000000003</v>
      </c>
      <c r="H25" s="3">
        <f>[7]noerr!F21</f>
        <v>0.23924400000000001</v>
      </c>
      <c r="I25" s="3">
        <f>[7]noerr!G21</f>
        <v>555.38304200000005</v>
      </c>
      <c r="J25" s="3">
        <f>[7]noerr!H21</f>
        <v>300.81218899999999</v>
      </c>
      <c r="K25" s="3">
        <f>[7]noerr!I21</f>
        <v>396783.66351500002</v>
      </c>
      <c r="L25" s="33">
        <f>[7]noerr!J21</f>
        <v>45792.116162999999</v>
      </c>
      <c r="M25" s="3">
        <f>[7]noerr!K21</f>
        <v>400002.05747200001</v>
      </c>
      <c r="N25" s="3">
        <f>[7]noerr!L21</f>
        <v>36.196192000000003</v>
      </c>
      <c r="O25" s="33">
        <f>[7]noerr!M21</f>
        <v>0</v>
      </c>
      <c r="P25" s="3">
        <f>[7]noerr!N21</f>
        <v>36.530223999999997</v>
      </c>
      <c r="Q25" s="3">
        <f>[7]noerr!O21</f>
        <v>35.799619</v>
      </c>
      <c r="R25" s="11">
        <f>[7]noerr!P21</f>
        <v>45792.116162999999</v>
      </c>
      <c r="S25" s="11">
        <f>[7]noerr!Q21</f>
        <v>44876.273840000002</v>
      </c>
      <c r="T25" s="3">
        <f>[7]noerr!R21</f>
        <v>133.94980200000001</v>
      </c>
      <c r="U25" s="3">
        <f>[7]noerr!S21</f>
        <v>136.683471</v>
      </c>
      <c r="V25" s="3">
        <f>[7]noerr!T21</f>
        <v>36.489787</v>
      </c>
      <c r="W25" s="3">
        <f>[7]noerr!U21</f>
        <v>37.234476999999998</v>
      </c>
      <c r="X25" s="72">
        <f>[7]noerr!V21</f>
        <v>0.29359499999999999</v>
      </c>
      <c r="Y25" s="3">
        <f>[7]noerr!W21</f>
        <v>1.038284</v>
      </c>
      <c r="Z25" s="130">
        <f>[7]noerr!X21</f>
        <v>396783.66351500002</v>
      </c>
      <c r="AA25" s="3">
        <f>[7]noerr!Y21</f>
        <v>396783.66351500002</v>
      </c>
      <c r="AB25" s="3">
        <f>[7]noerr!Z21</f>
        <v>388847.99024399999</v>
      </c>
      <c r="AC25">
        <f t="shared" si="1"/>
        <v>7869.9901319999999</v>
      </c>
      <c r="AD25" s="20">
        <f t="shared" si="2"/>
        <v>1.331879</v>
      </c>
      <c r="AE25">
        <f t="shared" si="3"/>
        <v>35701.815722400002</v>
      </c>
      <c r="AF25" s="31">
        <f t="shared" si="8"/>
        <v>1838.3930543286222</v>
      </c>
      <c r="AG25" s="102">
        <f t="shared" si="0"/>
        <v>4.8891747249824107</v>
      </c>
      <c r="AH25" s="102">
        <f t="shared" si="4"/>
        <v>131057.26200798851</v>
      </c>
      <c r="AI25" s="32">
        <f t="shared" si="9"/>
        <v>2441.1421027300776</v>
      </c>
      <c r="AJ25" s="31">
        <f>K24-AA25</f>
        <v>3218.393956999993</v>
      </c>
      <c r="AK25" s="54">
        <f t="shared" si="5"/>
        <v>7935.673271000036</v>
      </c>
      <c r="AL25" s="38">
        <f t="shared" si="6"/>
        <v>11154.067228000029</v>
      </c>
      <c r="AM25" s="26">
        <f t="shared" si="11"/>
        <v>83053.184579688212</v>
      </c>
      <c r="AN25" s="31">
        <f t="shared" si="10"/>
        <v>572.43983168360296</v>
      </c>
      <c r="AP25" s="131">
        <f>Z24-Z25</f>
        <v>3218.393956999993</v>
      </c>
      <c r="AQ25">
        <f>Z25-((L25-L25*$AQ$1)*Z25/L25)</f>
        <v>7935.6732703000307</v>
      </c>
      <c r="AR25" s="3">
        <f>AP25+AQ25</f>
        <v>11154.067227300024</v>
      </c>
      <c r="AS25" s="3"/>
    </row>
    <row r="26" spans="1:45" s="109" customFormat="1" x14ac:dyDescent="0.2">
      <c r="B26" s="109">
        <v>20</v>
      </c>
      <c r="C26" s="109">
        <v>20</v>
      </c>
      <c r="D26" s="110"/>
      <c r="E26" s="110">
        <f>[7]noerr!C22</f>
        <v>33.052711000000002</v>
      </c>
      <c r="F26" s="110">
        <f>[7]noerr!D22</f>
        <v>5.0500000000000003E-2</v>
      </c>
      <c r="G26" s="110">
        <f>[7]noerr!E22</f>
        <v>36.503100000000003</v>
      </c>
      <c r="H26" s="110">
        <f>[7]noerr!F22</f>
        <v>0.24535699999999999</v>
      </c>
      <c r="I26" s="110">
        <f>[7]noerr!G22</f>
        <v>546.10744499999998</v>
      </c>
      <c r="J26" s="110">
        <f>[7]noerr!H22</f>
        <v>305.76754599999998</v>
      </c>
      <c r="K26" s="110">
        <f>[7]noerr!I22</f>
        <v>400001.47745499999</v>
      </c>
      <c r="L26" s="33">
        <f>[7]noerr!J22</f>
        <v>46622.531884000004</v>
      </c>
      <c r="M26" s="110">
        <f>[7]noerr!K22</f>
        <v>400001.47745499999</v>
      </c>
      <c r="N26" s="110">
        <f>[7]noerr!L22</f>
        <v>36.503100000000003</v>
      </c>
      <c r="O26" s="33">
        <f>[7]noerr!M22</f>
        <v>0</v>
      </c>
      <c r="P26" s="110">
        <f>[7]noerr!N22</f>
        <v>36.516848000000003</v>
      </c>
      <c r="Q26" s="110">
        <f>[7]noerr!O22</f>
        <v>35.786510999999997</v>
      </c>
      <c r="R26" s="11">
        <f>[7]noerr!P22</f>
        <v>46622.531884000004</v>
      </c>
      <c r="S26" s="11">
        <f>[7]noerr!Q22</f>
        <v>45690.081247000002</v>
      </c>
      <c r="T26" s="110">
        <f>[7]noerr!R22</f>
        <v>133.99112299999999</v>
      </c>
      <c r="U26" s="110">
        <f>[7]noerr!S22</f>
        <v>136.72563600000001</v>
      </c>
      <c r="V26" s="110">
        <f>[7]noerr!T22</f>
        <v>36.503100000000003</v>
      </c>
      <c r="W26" s="110">
        <f>[7]noerr!U22</f>
        <v>37.248061</v>
      </c>
      <c r="X26" s="111">
        <f>[7]noerr!V22</f>
        <v>0</v>
      </c>
      <c r="Y26" s="110">
        <f>[7]noerr!W22</f>
        <v>0.74496099999999998</v>
      </c>
      <c r="Z26" s="33">
        <f>[7]noerr!X22</f>
        <v>400001.47745499999</v>
      </c>
      <c r="AA26" s="110">
        <f>[7]noerr!Y22</f>
        <v>400001.47745499999</v>
      </c>
      <c r="AB26" s="110">
        <f>[7]noerr!Z22</f>
        <v>392001.44790600002</v>
      </c>
      <c r="AC26" s="109">
        <f t="shared" si="1"/>
        <v>0</v>
      </c>
      <c r="AD26" s="112">
        <f t="shared" si="2"/>
        <v>0.74496099999999998</v>
      </c>
      <c r="AE26" s="109">
        <f t="shared" si="3"/>
        <v>19969.126581599998</v>
      </c>
      <c r="AF26" s="113">
        <f t="shared" si="8"/>
        <v>1028.2699315371026</v>
      </c>
      <c r="AG26" s="114">
        <f t="shared" si="0"/>
        <v>2.734515183782861</v>
      </c>
      <c r="AH26" s="114">
        <f t="shared" si="4"/>
        <v>73300.320210409845</v>
      </c>
      <c r="AI26" s="115">
        <f t="shared" si="9"/>
        <v>1365.330658276082</v>
      </c>
      <c r="AJ26" s="31">
        <f>(K26-AA26)</f>
        <v>0</v>
      </c>
      <c r="AK26" s="113">
        <f t="shared" si="5"/>
        <v>8000.0295489999698</v>
      </c>
      <c r="AL26" s="116">
        <f t="shared" si="6"/>
        <v>8000.0295489999698</v>
      </c>
      <c r="AM26" s="117">
        <f t="shared" si="11"/>
        <v>59568.220021853784</v>
      </c>
      <c r="AN26" s="113">
        <f t="shared" si="10"/>
        <v>410.57091327165358</v>
      </c>
      <c r="AP26" s="110"/>
    </row>
    <row r="27" spans="1:45" x14ac:dyDescent="0.2">
      <c r="B27"/>
      <c r="C27">
        <v>23</v>
      </c>
      <c r="E27" s="3">
        <f>[7]noerr!C23</f>
        <v>36.007736000000001</v>
      </c>
      <c r="F27" s="3">
        <f>[7]noerr!D23</f>
        <v>5.9499999999999997E-2</v>
      </c>
      <c r="G27" s="3">
        <f>[7]noerr!E23</f>
        <v>36.503100000000003</v>
      </c>
      <c r="H27" s="3">
        <f>[7]noerr!F23</f>
        <v>0.24535699999999999</v>
      </c>
      <c r="I27" s="3">
        <f>[7]noerr!G23</f>
        <v>546.10744499999998</v>
      </c>
      <c r="J27" s="3">
        <f>[7]noerr!H23</f>
        <v>306.93703199999999</v>
      </c>
      <c r="K27" s="3">
        <f>[7]noerr!I23</f>
        <v>396729.203439</v>
      </c>
      <c r="L27" s="33">
        <f>[7]noerr!J23</f>
        <v>46905.995836000002</v>
      </c>
      <c r="M27" s="3">
        <f>[7]noerr!K23</f>
        <v>400001.47745499999</v>
      </c>
      <c r="N27" s="3">
        <f>[7]noerr!L23</f>
        <v>36.503100000000003</v>
      </c>
      <c r="O27" s="33">
        <f>[7]noerr!M23</f>
        <v>0</v>
      </c>
      <c r="P27" s="3">
        <f>[7]noerr!N23</f>
        <v>36.218116999999999</v>
      </c>
      <c r="Q27" s="3">
        <f>[7]noerr!O23</f>
        <v>35.493754000000003</v>
      </c>
      <c r="R27" s="11">
        <f>[7]noerr!P23</f>
        <v>46905.995836000002</v>
      </c>
      <c r="S27" s="11">
        <f>[7]noerr!Q23</f>
        <v>45967.875918999998</v>
      </c>
      <c r="T27" s="3">
        <f>[7]noerr!R23</f>
        <v>135.09629899999999</v>
      </c>
      <c r="U27" s="3">
        <f>[7]noerr!S23</f>
        <v>137.85336599999999</v>
      </c>
      <c r="V27" s="3">
        <f>[7]noerr!T23</f>
        <v>36.804181999999997</v>
      </c>
      <c r="W27" s="3">
        <f>[7]noerr!U23</f>
        <v>37.555287999999997</v>
      </c>
      <c r="X27" s="72">
        <f>[7]noerr!V23</f>
        <v>0.30108200000000002</v>
      </c>
      <c r="Y27" s="3">
        <f>[7]noerr!W23</f>
        <v>1.0521879999999999</v>
      </c>
      <c r="Z27" s="130">
        <f>[7]noerr!X23</f>
        <v>396729.203439</v>
      </c>
      <c r="AA27" s="3">
        <f>[7]noerr!Y23</f>
        <v>396729.203439</v>
      </c>
      <c r="AB27" s="3">
        <f>[7]noerr!Z23</f>
        <v>388794.61936999997</v>
      </c>
      <c r="AC27">
        <f t="shared" si="1"/>
        <v>8070.6836592000018</v>
      </c>
      <c r="AD27" s="20">
        <f t="shared" si="2"/>
        <v>1.35327</v>
      </c>
      <c r="AE27">
        <f t="shared" si="3"/>
        <v>36275.214311999996</v>
      </c>
      <c r="AF27" s="31">
        <f t="shared" si="8"/>
        <v>1867.9190591872791</v>
      </c>
      <c r="AG27" s="102">
        <f t="shared" si="0"/>
        <v>4.967424284973049</v>
      </c>
      <c r="AH27" s="102">
        <f t="shared" si="4"/>
        <v>133154.78841327355</v>
      </c>
      <c r="AI27" s="32">
        <f t="shared" si="9"/>
        <v>2480.2117425278116</v>
      </c>
      <c r="AJ27" s="31">
        <f>K26-AA27</f>
        <v>3272.2740159999812</v>
      </c>
      <c r="AK27" s="54">
        <f t="shared" si="5"/>
        <v>7934.5840690000332</v>
      </c>
      <c r="AL27" s="38">
        <f t="shared" si="6"/>
        <v>11206.858085000014</v>
      </c>
      <c r="AM27" s="26">
        <f t="shared" si="11"/>
        <v>83446.265300910105</v>
      </c>
      <c r="AN27" s="31">
        <f t="shared" si="10"/>
        <v>575.14912047286577</v>
      </c>
      <c r="AP27" s="131">
        <f>Z26-Z27</f>
        <v>3272.2740159999812</v>
      </c>
      <c r="AQ27">
        <f>Z27-((L27-L27*$AQ$1)*Z27/L27)</f>
        <v>7934.5840687800664</v>
      </c>
      <c r="AR27" s="3">
        <f>AP27+AQ27</f>
        <v>11206.858084780048</v>
      </c>
      <c r="AS27" s="3">
        <f>AR27+(Z22-Z26)</f>
        <v>11205.832147780049</v>
      </c>
    </row>
    <row r="28" spans="1:45" s="109" customFormat="1" x14ac:dyDescent="0.2">
      <c r="B28" s="118">
        <v>25</v>
      </c>
      <c r="C28" s="109">
        <v>25</v>
      </c>
      <c r="D28" s="110"/>
      <c r="E28" s="110">
        <f>[7]noerr!C24</f>
        <v>38.049079999999996</v>
      </c>
      <c r="F28" s="110">
        <f>[7]noerr!D24</f>
        <v>6.6500000000000004E-2</v>
      </c>
      <c r="G28" s="110">
        <f>[7]noerr!E24</f>
        <v>36.828099999999999</v>
      </c>
      <c r="H28" s="110">
        <f>[7]noerr!F24</f>
        <v>0.251749</v>
      </c>
      <c r="I28" s="110">
        <f>[7]noerr!G24</f>
        <v>536.948893</v>
      </c>
      <c r="J28" s="110">
        <f>[7]noerr!H24</f>
        <v>312.06205499999999</v>
      </c>
      <c r="K28" s="110">
        <f>[7]noerr!I24</f>
        <v>400001.98031900002</v>
      </c>
      <c r="L28" s="33">
        <f>[7]noerr!J24</f>
        <v>47758.645572000001</v>
      </c>
      <c r="M28" s="110">
        <f>[7]noerr!K24</f>
        <v>400001.98031900002</v>
      </c>
      <c r="N28" s="110">
        <f>[7]noerr!L24</f>
        <v>36.828099999999999</v>
      </c>
      <c r="O28" s="33">
        <f>[7]noerr!M24</f>
        <v>0</v>
      </c>
      <c r="P28" s="110">
        <f>[7]noerr!N24</f>
        <v>36.19464</v>
      </c>
      <c r="Q28" s="110">
        <f>[7]noerr!O24</f>
        <v>35.470748</v>
      </c>
      <c r="R28" s="11">
        <f>[7]noerr!P24</f>
        <v>47758.645572000001</v>
      </c>
      <c r="S28" s="11">
        <f>[7]noerr!Q24</f>
        <v>46803.472661</v>
      </c>
      <c r="T28" s="110">
        <f>[7]noerr!R24</f>
        <v>135.176368</v>
      </c>
      <c r="U28" s="110">
        <f>[7]noerr!S24</f>
        <v>137.93507</v>
      </c>
      <c r="V28" s="110">
        <f>[7]noerr!T24</f>
        <v>36.828099999999999</v>
      </c>
      <c r="W28" s="110">
        <f>[7]noerr!U24</f>
        <v>37.579694000000003</v>
      </c>
      <c r="X28" s="111">
        <f>[7]noerr!V24</f>
        <v>0</v>
      </c>
      <c r="Y28" s="110">
        <f>[7]noerr!W24</f>
        <v>0.75159399999999998</v>
      </c>
      <c r="Z28" s="33">
        <f>[7]noerr!X24</f>
        <v>400001.98031900002</v>
      </c>
      <c r="AA28" s="110">
        <f>[7]noerr!Y24</f>
        <v>400001.98031900002</v>
      </c>
      <c r="AB28" s="110">
        <f>[7]noerr!Z24</f>
        <v>392001.94071200001</v>
      </c>
      <c r="AC28" s="109">
        <f t="shared" si="1"/>
        <v>0</v>
      </c>
      <c r="AD28" s="112">
        <f t="shared" si="2"/>
        <v>0.75159399999999998</v>
      </c>
      <c r="AE28" s="109">
        <f t="shared" si="3"/>
        <v>20146.928126399998</v>
      </c>
      <c r="AF28" s="113">
        <f t="shared" si="8"/>
        <v>1037.4254637809188</v>
      </c>
      <c r="AG28" s="114">
        <f t="shared" si="0"/>
        <v>2.7587014058502461</v>
      </c>
      <c r="AH28" s="114">
        <f t="shared" si="4"/>
        <v>73948.646404659361</v>
      </c>
      <c r="AI28" s="115">
        <f t="shared" si="9"/>
        <v>1377.4067259798981</v>
      </c>
      <c r="AJ28" s="31">
        <f>(K28-AA28)</f>
        <v>0</v>
      </c>
      <c r="AK28" s="113">
        <f t="shared" si="5"/>
        <v>8000.0396070000133</v>
      </c>
      <c r="AL28" s="116">
        <f t="shared" si="6"/>
        <v>8000.0396070000133</v>
      </c>
      <c r="AM28" s="117">
        <f t="shared" si="11"/>
        <v>59568.294913722108</v>
      </c>
      <c r="AN28" s="113">
        <f t="shared" si="10"/>
        <v>410.57142946002995</v>
      </c>
      <c r="AP28" s="110"/>
    </row>
    <row r="29" spans="1:45" x14ac:dyDescent="0.2">
      <c r="C29">
        <v>28</v>
      </c>
      <c r="E29" s="3">
        <f>[7]noerr!C25</f>
        <v>41.151581</v>
      </c>
      <c r="F29" s="3">
        <f>[7]noerr!D25</f>
        <v>7.85E-2</v>
      </c>
      <c r="G29" s="3">
        <f>[7]noerr!E25</f>
        <v>36.828099999999999</v>
      </c>
      <c r="H29" s="3">
        <f>[7]noerr!F25</f>
        <v>0.251749</v>
      </c>
      <c r="I29" s="3">
        <f>[7]noerr!G25</f>
        <v>536.948893</v>
      </c>
      <c r="J29" s="3">
        <f>[7]noerr!H25</f>
        <v>313.32377400000001</v>
      </c>
      <c r="K29" s="3">
        <f>[7]noerr!I25</f>
        <v>396531.33668499999</v>
      </c>
      <c r="L29" s="33">
        <f>[7]noerr!J25</f>
        <v>48051.946951999998</v>
      </c>
      <c r="M29" s="3">
        <f>[7]noerr!K25</f>
        <v>400001.98031900002</v>
      </c>
      <c r="N29" s="3">
        <f>[7]noerr!L25</f>
        <v>36.828099999999999</v>
      </c>
      <c r="O29" s="33">
        <f>[7]noerr!M25</f>
        <v>0</v>
      </c>
      <c r="P29" s="3">
        <f>[7]noerr!N25</f>
        <v>35.880595</v>
      </c>
      <c r="Q29" s="3">
        <f>[7]noerr!O25</f>
        <v>35.162982999999997</v>
      </c>
      <c r="R29" s="11">
        <f>[7]noerr!P25</f>
        <v>48051.946951999998</v>
      </c>
      <c r="S29" s="11">
        <f>[7]noerr!Q25</f>
        <v>47090.908013</v>
      </c>
      <c r="T29" s="3">
        <f>[7]noerr!R25</f>
        <v>136.35950099999999</v>
      </c>
      <c r="U29" s="3">
        <f>[7]noerr!S25</f>
        <v>139.142348</v>
      </c>
      <c r="V29" s="3">
        <f>[7]noerr!T25</f>
        <v>37.150438000000001</v>
      </c>
      <c r="W29" s="3">
        <f>[7]noerr!U25</f>
        <v>37.908610000000003</v>
      </c>
      <c r="X29" s="72">
        <f>[7]noerr!V25</f>
        <v>0.32233800000000001</v>
      </c>
      <c r="Y29" s="3">
        <f>[7]noerr!W25</f>
        <v>1.0805100000000001</v>
      </c>
      <c r="Z29" s="130">
        <f>[7]noerr!X25</f>
        <v>396531.33668499999</v>
      </c>
      <c r="AA29" s="3">
        <f>[7]noerr!Y25</f>
        <v>396531.33668499999</v>
      </c>
      <c r="AB29" s="3">
        <f>[7]noerr!Z25</f>
        <v>388600.709952</v>
      </c>
      <c r="AC29">
        <f t="shared" si="1"/>
        <v>8640.4634927999996</v>
      </c>
      <c r="AD29" s="20">
        <f t="shared" si="2"/>
        <v>1.4028480000000001</v>
      </c>
      <c r="AE29">
        <f>AD29*3600*$AG$1/1000</f>
        <v>37604.182348800001</v>
      </c>
      <c r="AF29" s="31">
        <f t="shared" si="8"/>
        <v>1936.3515901060071</v>
      </c>
      <c r="AG29" s="102">
        <f t="shared" si="0"/>
        <v>5.1491080953203436</v>
      </c>
      <c r="AH29" s="102">
        <f t="shared" si="4"/>
        <v>138024.93195991899</v>
      </c>
      <c r="AI29" s="32">
        <f t="shared" si="9"/>
        <v>2570.9256203847344</v>
      </c>
      <c r="AJ29" s="31">
        <f>K28-AA29</f>
        <v>3470.6436340000364</v>
      </c>
      <c r="AK29" s="54">
        <f t="shared" si="5"/>
        <v>7930.6267329999828</v>
      </c>
      <c r="AL29" s="38">
        <f>AK29+AJ29</f>
        <v>11401.270367000019</v>
      </c>
      <c r="AM29" s="26">
        <f t="shared" si="11"/>
        <v>84893.85915268214</v>
      </c>
      <c r="AN29" s="31">
        <f t="shared" si="10"/>
        <v>585.12658714134159</v>
      </c>
      <c r="AP29" s="131">
        <f>Z28-Z29</f>
        <v>3470.6436340000364</v>
      </c>
      <c r="AQ29">
        <f>Z29-((L29-L29*$AQ$1)*Z29/L29)</f>
        <v>7930.6267336999881</v>
      </c>
      <c r="AR29" s="3">
        <f>AP29+AQ29</f>
        <v>11401.270367700025</v>
      </c>
      <c r="AS29" s="3">
        <f>AR29+(Z24-Z28)</f>
        <v>11401.347520700016</v>
      </c>
    </row>
    <row r="30" spans="1:45" x14ac:dyDescent="0.2">
      <c r="AK30" s="54"/>
      <c r="AS30" s="3">
        <f>AR30+(Z25-Z29)</f>
        <v>252.32683000003453</v>
      </c>
    </row>
    <row r="31" spans="1:45" x14ac:dyDescent="0.2">
      <c r="AP31" s="133" t="s">
        <v>102</v>
      </c>
      <c r="AQ31" s="132"/>
      <c r="AR31" s="132"/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150" zoomScaleNormal="150" workbookViewId="0">
      <pane xSplit="2" topLeftCell="O1" activePane="topRight" state="frozen"/>
      <selection activeCell="AS27" sqref="AS27"/>
      <selection pane="topRight" activeCell="AS27" sqref="AS27"/>
    </sheetView>
  </sheetViews>
  <sheetFormatPr baseColWidth="10" defaultColWidth="8.83203125" defaultRowHeight="15" x14ac:dyDescent="0.2"/>
  <cols>
    <col min="2" max="2" width="9.1640625" style="10" customWidth="1"/>
    <col min="3" max="3" width="10.5" customWidth="1"/>
    <col min="4" max="4" width="11.83203125" style="3" hidden="1" customWidth="1"/>
    <col min="5" max="6" width="10.83203125" style="3" hidden="1" customWidth="1"/>
    <col min="7" max="7" width="10" style="34" hidden="1" customWidth="1"/>
    <col min="8" max="8" width="8.5" style="3" hidden="1" customWidth="1"/>
    <col min="9" max="9" width="8.5" style="34" hidden="1" customWidth="1"/>
    <col min="10" max="10" width="16.33203125" style="34" hidden="1" customWidth="1"/>
    <col min="11" max="11" width="10" style="34" customWidth="1"/>
    <col min="12" max="12" width="16.33203125" style="34" customWidth="1"/>
    <col min="13" max="13" width="9.1640625" style="3" customWidth="1"/>
    <col min="14" max="14" width="12" style="3" hidden="1" customWidth="1"/>
    <col min="15" max="15" width="16.33203125" style="42" customWidth="1"/>
    <col min="16" max="16" width="14.83203125" style="34" hidden="1" customWidth="1"/>
    <col min="17" max="17" width="21.1640625" style="39" hidden="1" customWidth="1"/>
    <col min="18" max="18" width="15.6640625" style="34" hidden="1" customWidth="1"/>
    <col min="19" max="19" width="20.33203125" style="3" hidden="1" customWidth="1"/>
    <col min="20" max="20" width="14.1640625" style="17" hidden="1" customWidth="1"/>
    <col min="21" max="21" width="21" style="3" hidden="1" customWidth="1"/>
    <col min="22" max="22" width="11.33203125" style="20" hidden="1" customWidth="1"/>
    <col min="23" max="23" width="18" style="23" hidden="1" customWidth="1"/>
    <col min="24" max="24" width="12.33203125" style="72" hidden="1" customWidth="1"/>
    <col min="25" max="25" width="19" style="20" hidden="1" customWidth="1"/>
    <col min="26" max="26" width="11.6640625" style="20" customWidth="1"/>
    <col min="27" max="28" width="20" style="3" customWidth="1"/>
    <col min="29" max="29" width="12.6640625" style="20" hidden="1" customWidth="1"/>
    <col min="30" max="30" width="10.83203125" style="20" hidden="1" customWidth="1"/>
    <col min="31" max="31" width="10.83203125" hidden="1" customWidth="1"/>
    <col min="32" max="32" width="8.6640625" style="31" hidden="1" customWidth="1"/>
    <col min="33" max="34" width="18.1640625" style="102" hidden="1" customWidth="1"/>
    <col min="35" max="35" width="18" style="32" hidden="1" customWidth="1"/>
    <col min="36" max="37" width="18" style="31" customWidth="1"/>
    <col min="39" max="39" width="12" hidden="1" customWidth="1"/>
    <col min="40" max="40" width="8.6640625" style="31" hidden="1" customWidth="1"/>
  </cols>
  <sheetData>
    <row r="1" spans="1:45" ht="16" x14ac:dyDescent="0.2">
      <c r="B1" s="8"/>
      <c r="C1" s="19" t="s">
        <v>19</v>
      </c>
      <c r="D1" s="33">
        <v>30</v>
      </c>
      <c r="F1" s="11"/>
      <c r="G1" s="38"/>
      <c r="I1" s="37" t="s">
        <v>21</v>
      </c>
      <c r="J1" s="37">
        <v>5</v>
      </c>
      <c r="L1" s="34" t="s">
        <v>96</v>
      </c>
      <c r="O1" s="34" t="s">
        <v>97</v>
      </c>
      <c r="AC1" s="46"/>
      <c r="AD1" s="26"/>
      <c r="AE1" t="s">
        <v>39</v>
      </c>
      <c r="AG1" s="102">
        <f>365*24*0.85</f>
        <v>7446</v>
      </c>
      <c r="AQ1">
        <v>0.02</v>
      </c>
    </row>
    <row r="2" spans="1:45" x14ac:dyDescent="0.2">
      <c r="B2" s="9"/>
      <c r="L2" s="34" t="s">
        <v>99</v>
      </c>
      <c r="O2" s="42" t="s">
        <v>98</v>
      </c>
      <c r="P2" s="34" t="s">
        <v>22</v>
      </c>
      <c r="AC2" s="47"/>
      <c r="AD2" s="27"/>
      <c r="AG2" s="103"/>
    </row>
    <row r="3" spans="1:45" s="1" customFormat="1" ht="16" x14ac:dyDescent="0.2">
      <c r="B3" s="12" t="s">
        <v>9</v>
      </c>
      <c r="C3" s="2" t="s">
        <v>0</v>
      </c>
      <c r="D3" s="4" t="s">
        <v>1</v>
      </c>
      <c r="E3" s="4" t="s">
        <v>2</v>
      </c>
      <c r="F3" s="4" t="s">
        <v>3</v>
      </c>
      <c r="G3" s="35" t="s">
        <v>18</v>
      </c>
      <c r="H3" s="16" t="s">
        <v>16</v>
      </c>
      <c r="I3" s="35" t="s">
        <v>17</v>
      </c>
      <c r="J3" s="35" t="s">
        <v>23</v>
      </c>
      <c r="K3" s="35" t="s">
        <v>24</v>
      </c>
      <c r="L3" s="125" t="s">
        <v>25</v>
      </c>
      <c r="M3" s="16" t="s">
        <v>34</v>
      </c>
      <c r="N3" s="16" t="s">
        <v>35</v>
      </c>
      <c r="O3" s="122" t="s">
        <v>36</v>
      </c>
      <c r="P3" s="4" t="s">
        <v>11</v>
      </c>
      <c r="Q3" s="4" t="s">
        <v>26</v>
      </c>
      <c r="R3" s="126" t="s">
        <v>12</v>
      </c>
      <c r="S3" s="40" t="s">
        <v>27</v>
      </c>
      <c r="T3" s="40" t="s">
        <v>13</v>
      </c>
      <c r="U3" s="40" t="s">
        <v>28</v>
      </c>
      <c r="V3" s="22" t="s">
        <v>14</v>
      </c>
      <c r="W3" s="22" t="s">
        <v>29</v>
      </c>
      <c r="X3" s="99" t="s">
        <v>15</v>
      </c>
      <c r="Y3" s="22" t="s">
        <v>30</v>
      </c>
      <c r="Z3" s="119" t="s">
        <v>31</v>
      </c>
      <c r="AA3" s="5" t="s">
        <v>32</v>
      </c>
      <c r="AB3" s="5" t="s">
        <v>33</v>
      </c>
      <c r="AC3" s="24" t="s">
        <v>43</v>
      </c>
      <c r="AD3" s="24" t="s">
        <v>44</v>
      </c>
      <c r="AE3" s="24" t="s">
        <v>37</v>
      </c>
      <c r="AF3" s="51"/>
      <c r="AG3" s="50" t="s">
        <v>41</v>
      </c>
      <c r="AH3" s="50" t="s">
        <v>41</v>
      </c>
      <c r="AI3" s="106" t="s">
        <v>41</v>
      </c>
      <c r="AJ3" s="51" t="s">
        <v>94</v>
      </c>
      <c r="AK3" s="51" t="s">
        <v>95</v>
      </c>
      <c r="AL3" s="14" t="s">
        <v>45</v>
      </c>
      <c r="AM3" s="14" t="s">
        <v>42</v>
      </c>
      <c r="AN3" s="51"/>
      <c r="AP3" s="51" t="s">
        <v>94</v>
      </c>
      <c r="AQ3" s="51" t="s">
        <v>95</v>
      </c>
      <c r="AR3" s="14" t="s">
        <v>45</v>
      </c>
      <c r="AS3" s="14" t="s">
        <v>103</v>
      </c>
    </row>
    <row r="4" spans="1:45" s="1" customFormat="1" ht="16" x14ac:dyDescent="0.2">
      <c r="B4" s="13" t="s">
        <v>4</v>
      </c>
      <c r="C4" s="2" t="s">
        <v>4</v>
      </c>
      <c r="D4" s="4" t="s">
        <v>4</v>
      </c>
      <c r="E4" s="4" t="s">
        <v>4</v>
      </c>
      <c r="F4" s="4" t="s">
        <v>5</v>
      </c>
      <c r="G4" s="36" t="s">
        <v>6</v>
      </c>
      <c r="H4" s="16" t="s">
        <v>7</v>
      </c>
      <c r="I4" s="36" t="s">
        <v>6</v>
      </c>
      <c r="J4" s="36" t="s">
        <v>6</v>
      </c>
      <c r="K4" s="35" t="s">
        <v>10</v>
      </c>
      <c r="L4" s="123" t="s">
        <v>6</v>
      </c>
      <c r="M4" s="35" t="s">
        <v>10</v>
      </c>
      <c r="N4" s="36" t="s">
        <v>6</v>
      </c>
      <c r="O4" s="123" t="s">
        <v>6</v>
      </c>
      <c r="P4" s="4" t="s">
        <v>7</v>
      </c>
      <c r="Q4" s="4" t="s">
        <v>7</v>
      </c>
      <c r="R4" s="126" t="s">
        <v>6</v>
      </c>
      <c r="S4" s="40" t="s">
        <v>6</v>
      </c>
      <c r="T4" s="36" t="s">
        <v>6</v>
      </c>
      <c r="U4" s="36" t="s">
        <v>6</v>
      </c>
      <c r="V4" s="21" t="s">
        <v>6</v>
      </c>
      <c r="W4" s="22" t="s">
        <v>6</v>
      </c>
      <c r="X4" s="100" t="s">
        <v>6</v>
      </c>
      <c r="Y4" s="22" t="s">
        <v>6</v>
      </c>
      <c r="Z4" s="120" t="s">
        <v>10</v>
      </c>
      <c r="AA4" s="4" t="s">
        <v>10</v>
      </c>
      <c r="AB4" s="4" t="s">
        <v>10</v>
      </c>
      <c r="AC4" s="21" t="s">
        <v>40</v>
      </c>
      <c r="AD4" s="21" t="s">
        <v>38</v>
      </c>
      <c r="AE4" s="21" t="s">
        <v>40</v>
      </c>
      <c r="AF4" s="52"/>
      <c r="AG4" s="104" t="s">
        <v>38</v>
      </c>
      <c r="AH4" s="104" t="s">
        <v>40</v>
      </c>
      <c r="AI4" s="107" t="s">
        <v>46</v>
      </c>
      <c r="AJ4" s="52" t="s">
        <v>100</v>
      </c>
      <c r="AK4" s="52" t="s">
        <v>100</v>
      </c>
      <c r="AL4" s="14" t="s">
        <v>10</v>
      </c>
      <c r="AM4" s="48" t="s">
        <v>8</v>
      </c>
      <c r="AN4" s="52" t="s">
        <v>46</v>
      </c>
      <c r="AP4" s="52" t="s">
        <v>101</v>
      </c>
      <c r="AQ4" s="52" t="s">
        <v>101</v>
      </c>
      <c r="AR4" s="14" t="s">
        <v>10</v>
      </c>
    </row>
    <row r="5" spans="1:45" s="1" customFormat="1" ht="16" x14ac:dyDescent="0.2">
      <c r="C5" s="2"/>
      <c r="D5" s="4"/>
      <c r="E5" s="4"/>
      <c r="F5" s="4"/>
      <c r="G5" s="36"/>
      <c r="H5" s="4"/>
      <c r="I5" s="36"/>
      <c r="J5" s="36"/>
      <c r="K5" s="36"/>
      <c r="L5" s="123"/>
      <c r="M5" s="4"/>
      <c r="N5" s="4"/>
      <c r="O5" s="124"/>
      <c r="P5" s="36"/>
      <c r="Q5" s="41"/>
      <c r="R5" s="40"/>
      <c r="S5" s="127"/>
      <c r="T5" s="18"/>
      <c r="U5" s="6"/>
      <c r="V5" s="45"/>
      <c r="W5" s="44"/>
      <c r="X5" s="101"/>
      <c r="Y5" s="25"/>
      <c r="Z5" s="121"/>
      <c r="AA5" s="43"/>
      <c r="AB5" s="43"/>
      <c r="AD5" s="24"/>
      <c r="AF5" s="53"/>
      <c r="AG5" s="105"/>
      <c r="AH5" s="105"/>
      <c r="AI5" s="108"/>
      <c r="AJ5" s="53"/>
      <c r="AK5" s="53"/>
      <c r="AN5" s="53"/>
    </row>
    <row r="6" spans="1:45" s="109" customFormat="1" x14ac:dyDescent="0.2">
      <c r="A6" s="109" t="s">
        <v>49</v>
      </c>
      <c r="B6" s="109">
        <v>15</v>
      </c>
      <c r="C6" s="109">
        <v>15</v>
      </c>
      <c r="D6" s="110"/>
      <c r="E6" s="110">
        <f>[8]noerr!C2</f>
        <v>28.524591000000001</v>
      </c>
      <c r="F6" s="110">
        <f>[8]noerr!D2</f>
        <v>3.9E-2</v>
      </c>
      <c r="G6" s="110">
        <f>[8]noerr!E2</f>
        <v>14.823083</v>
      </c>
      <c r="H6" s="110">
        <f>[8]noerr!F2</f>
        <v>6.3764000000000001E-2</v>
      </c>
      <c r="I6" s="110">
        <f>[8]noerr!G2</f>
        <v>642.65075300000001</v>
      </c>
      <c r="J6" s="110">
        <f>[8]noerr!H2</f>
        <v>73.030742000000004</v>
      </c>
      <c r="K6" s="110">
        <f>[8]noerr!I2</f>
        <v>400003.99536300002</v>
      </c>
      <c r="L6" s="33">
        <f>[8]noerr!J2</f>
        <v>7549.0157159999999</v>
      </c>
      <c r="M6" s="110">
        <f>[8]noerr!K2</f>
        <v>400003.99367</v>
      </c>
      <c r="N6" s="110">
        <f>[8]noerr!L2</f>
        <v>14.823083</v>
      </c>
      <c r="O6" s="33">
        <f>[8]noerr!M2</f>
        <v>137.804936</v>
      </c>
      <c r="P6" s="110">
        <f>[8]noerr!N2</f>
        <v>53.954231999999998</v>
      </c>
      <c r="Q6" s="110">
        <f>[8]noerr!O2</f>
        <v>53.649977999999997</v>
      </c>
      <c r="R6" s="11">
        <f>[8]noerr!P2</f>
        <v>7549.0157149999995</v>
      </c>
      <c r="S6" s="11">
        <f>[8]noerr!Q2</f>
        <v>7411.2107800000003</v>
      </c>
      <c r="T6" s="110">
        <f>[8]noerr!R2</f>
        <v>40.978202000000003</v>
      </c>
      <c r="U6" s="110">
        <f>[8]noerr!S2</f>
        <v>41.210594</v>
      </c>
      <c r="V6" s="110">
        <f>[8]noerr!T2</f>
        <v>14.823083</v>
      </c>
      <c r="W6" s="110">
        <f>[8]noerr!U2</f>
        <v>14.907145999999999</v>
      </c>
      <c r="X6" s="111">
        <f>[8]noerr!V2</f>
        <v>0</v>
      </c>
      <c r="Y6" s="110">
        <f>[8]noerr!W2</f>
        <v>8.4062999999999999E-2</v>
      </c>
      <c r="Z6" s="33">
        <f>[8]noerr!X2</f>
        <v>123566.44058900001</v>
      </c>
      <c r="AA6" s="110">
        <f>[8]noerr!Y2</f>
        <v>400003.99534800003</v>
      </c>
      <c r="AB6" s="110">
        <f>[8]noerr!Z2</f>
        <v>397748.328393</v>
      </c>
      <c r="AC6" s="109">
        <f>X6*3600*$AG$1/1000</f>
        <v>0</v>
      </c>
      <c r="AD6" s="112">
        <f>X6+Y6</f>
        <v>8.4062999999999999E-2</v>
      </c>
      <c r="AE6" s="109">
        <f>AD6*3600*$AG$1/1000</f>
        <v>2253.3591527999997</v>
      </c>
      <c r="AF6" s="113">
        <f>100</f>
        <v>100</v>
      </c>
      <c r="AG6" s="114">
        <f t="shared" ref="AG6:AG29" si="0">(H6*I6*(AD6+N6)/N6)-(H6*I6)</f>
        <v>0.23238972300871552</v>
      </c>
      <c r="AH6" s="114">
        <f>AG6*3600*$AG$1/1000</f>
        <v>6229.345959082425</v>
      </c>
      <c r="AI6" s="115">
        <f>100</f>
        <v>100</v>
      </c>
      <c r="AJ6" s="113">
        <f>(K6-AA6)</f>
        <v>1.4999997802078724E-5</v>
      </c>
      <c r="AK6" s="113">
        <f>(K6-AB6)</f>
        <v>2255.6669700000202</v>
      </c>
      <c r="AL6" s="116">
        <f>AK6+AJ6</f>
        <v>2255.666985000018</v>
      </c>
      <c r="AM6" s="117">
        <f>AL6/1000*24*365*0.85</f>
        <v>16795.696370310136</v>
      </c>
      <c r="AN6" s="113">
        <f>100</f>
        <v>100</v>
      </c>
      <c r="AP6" s="110"/>
    </row>
    <row r="7" spans="1:45" x14ac:dyDescent="0.2">
      <c r="C7" s="34">
        <f>C6+$J$1</f>
        <v>20</v>
      </c>
      <c r="E7" s="3">
        <f>[8]noerr!C3</f>
        <v>28.524591000000001</v>
      </c>
      <c r="F7" s="3">
        <f>[8]noerr!D3</f>
        <v>3.9E-2</v>
      </c>
      <c r="G7" s="3">
        <f>[8]noerr!E3</f>
        <v>14.823083</v>
      </c>
      <c r="H7" s="3">
        <f>[8]noerr!F3</f>
        <v>6.3764000000000001E-2</v>
      </c>
      <c r="I7" s="3">
        <f>[8]noerr!G3</f>
        <v>642.65075300000001</v>
      </c>
      <c r="J7" s="3">
        <f>[8]noerr!H3</f>
        <v>73.030742000000004</v>
      </c>
      <c r="K7" s="3">
        <f>[8]noerr!I3</f>
        <v>400003.99536300002</v>
      </c>
      <c r="L7" s="33">
        <f>[8]noerr!J3</f>
        <v>7549.0157159999999</v>
      </c>
      <c r="M7" s="3">
        <f>[8]noerr!K3</f>
        <v>400003.99367</v>
      </c>
      <c r="N7" s="3">
        <f>[8]noerr!L3</f>
        <v>14.823083</v>
      </c>
      <c r="O7" s="33">
        <f>[8]noerr!M3</f>
        <v>138.80933400000001</v>
      </c>
      <c r="P7" s="3">
        <f>[8]noerr!N3</f>
        <v>53.952013999999998</v>
      </c>
      <c r="Q7" s="3">
        <f>[8]noerr!O3</f>
        <v>53.647759999999998</v>
      </c>
      <c r="R7" s="11">
        <f>[8]noerr!P3</f>
        <v>7548.0113170000004</v>
      </c>
      <c r="S7" s="11">
        <f>[8]noerr!Q3</f>
        <v>7410.2063820000003</v>
      </c>
      <c r="T7" s="3">
        <f>[8]noerr!R3</f>
        <v>40.979886999999998</v>
      </c>
      <c r="U7" s="3">
        <f>[8]noerr!S3</f>
        <v>41.212297</v>
      </c>
      <c r="V7" s="3">
        <f>[8]noerr!T3</f>
        <v>14.823691999999999</v>
      </c>
      <c r="W7" s="3">
        <f>[8]noerr!U3</f>
        <v>14.907762</v>
      </c>
      <c r="X7" s="72">
        <f>[8]noerr!V3</f>
        <v>6.0899999999999995E-4</v>
      </c>
      <c r="Y7" s="3">
        <f>[8]noerr!W3</f>
        <v>8.4679000000000004E-2</v>
      </c>
      <c r="Z7" s="33">
        <f>[8]noerr!X3</f>
        <v>123566.44058900001</v>
      </c>
      <c r="AA7" s="3">
        <f>[8]noerr!Y3</f>
        <v>399987.55480699998</v>
      </c>
      <c r="AB7" s="3">
        <f>[8]noerr!Z3</f>
        <v>397731.88785200001</v>
      </c>
      <c r="AC7">
        <f t="shared" ref="AC7:AC29" si="1">X7*3600*$AG$1/1000</f>
        <v>16.324610399999997</v>
      </c>
      <c r="AD7" s="20">
        <f t="shared" ref="AD7:AD29" si="2">X7+Y7</f>
        <v>8.5288000000000003E-2</v>
      </c>
      <c r="AE7">
        <f t="shared" ref="AE7:AE28" si="3">AD7*3600*$AG$1/1000</f>
        <v>2286.1960128000001</v>
      </c>
      <c r="AF7" s="31">
        <f>AE7*$AF$6/$AE$6</f>
        <v>101.45724040303108</v>
      </c>
      <c r="AG7" s="102">
        <f t="shared" si="0"/>
        <v>0.23577619994489396</v>
      </c>
      <c r="AH7" s="102">
        <f t="shared" ref="AH7:AH29" si="4">AG7*3600*$AG$1/1000</f>
        <v>6320.1225052428499</v>
      </c>
      <c r="AI7" s="32">
        <f>AH7*$AI$6/$AH$6</f>
        <v>101.45724040303256</v>
      </c>
      <c r="AJ7" s="31">
        <f>(K6-AA7)</f>
        <v>16.440556000045035</v>
      </c>
      <c r="AK7" s="113">
        <f t="shared" ref="AK7:AK29" si="5">(K7-AB7)</f>
        <v>2272.1075110000093</v>
      </c>
      <c r="AL7" s="38">
        <f t="shared" ref="AL7:AL29" si="6">AK7+AJ7</f>
        <v>2288.5480670000543</v>
      </c>
      <c r="AM7" s="26">
        <f t="shared" ref="AM7:AM29" si="7">AL7/1000*24*365*0.85</f>
        <v>17040.528906882406</v>
      </c>
      <c r="AN7" s="31">
        <f>AM7*$AN$6/$AM$6</f>
        <v>101.45770994649</v>
      </c>
      <c r="AP7" s="11">
        <f>Z6-((L7-(O7-O6))*Z6/L7)</f>
        <v>16.44053880184947</v>
      </c>
      <c r="AQ7">
        <f>Z7-((L7-O7)*Z7/L7)</f>
        <v>2272.1075128451339</v>
      </c>
      <c r="AR7" s="3">
        <f>AP7+AQ7</f>
        <v>2288.5480516469834</v>
      </c>
    </row>
    <row r="8" spans="1:45" s="109" customFormat="1" x14ac:dyDescent="0.2">
      <c r="B8" s="109">
        <v>20</v>
      </c>
      <c r="C8" s="109">
        <v>20</v>
      </c>
      <c r="D8" s="110"/>
      <c r="E8" s="110">
        <f>[8]noerr!C4</f>
        <v>32.875489999999999</v>
      </c>
      <c r="F8" s="110">
        <f>[8]noerr!D4</f>
        <v>0.05</v>
      </c>
      <c r="G8" s="110">
        <f>[8]noerr!E4</f>
        <v>14.818918</v>
      </c>
      <c r="H8" s="110">
        <f>[8]noerr!F4</f>
        <v>6.4557000000000003E-2</v>
      </c>
      <c r="I8" s="110">
        <f>[8]noerr!G4</f>
        <v>634.52048300000001</v>
      </c>
      <c r="J8" s="110">
        <f>[8]noerr!H4</f>
        <v>75.502347999999998</v>
      </c>
      <c r="K8" s="110">
        <f>[8]noerr!I4</f>
        <v>400004.64748799999</v>
      </c>
      <c r="L8" s="33">
        <f>[8]noerr!J4</f>
        <v>7840.0889669999997</v>
      </c>
      <c r="M8" s="110">
        <f>[8]noerr!K4</f>
        <v>400004.637368</v>
      </c>
      <c r="N8" s="110">
        <f>[8]noerr!L4</f>
        <v>14.818918</v>
      </c>
      <c r="O8" s="33">
        <f>[8]noerr!M4</f>
        <v>147.05190999999999</v>
      </c>
      <c r="P8" s="110">
        <f>[8]noerr!N4</f>
        <v>53.969482999999997</v>
      </c>
      <c r="Q8" s="110">
        <f>[8]noerr!O4</f>
        <v>53.652402000000002</v>
      </c>
      <c r="R8" s="11">
        <f>[8]noerr!P4</f>
        <v>7840.0889619999998</v>
      </c>
      <c r="S8" s="11">
        <f>[8]noerr!Q4</f>
        <v>7693.0370569999995</v>
      </c>
      <c r="T8" s="110">
        <f>[8]noerr!R4</f>
        <v>40.962713999999998</v>
      </c>
      <c r="U8" s="110">
        <f>[8]noerr!S4</f>
        <v>41.204799999999999</v>
      </c>
      <c r="V8" s="110">
        <f>[8]noerr!T4</f>
        <v>14.818918</v>
      </c>
      <c r="W8" s="110">
        <f>[8]noerr!U4</f>
        <v>14.906496000000001</v>
      </c>
      <c r="X8" s="111">
        <f>[8]noerr!V4</f>
        <v>0</v>
      </c>
      <c r="Y8" s="110">
        <f>[8]noerr!W4</f>
        <v>8.7578000000000003E-2</v>
      </c>
      <c r="Z8" s="33">
        <f>[8]noerr!X4</f>
        <v>125295.93620700001</v>
      </c>
      <c r="AA8" s="110">
        <f>[8]noerr!Y4</f>
        <v>400004.64740199997</v>
      </c>
      <c r="AB8" s="110">
        <f>[8]noerr!Z4</f>
        <v>397654.54574099998</v>
      </c>
      <c r="AC8" s="109">
        <f t="shared" si="1"/>
        <v>0</v>
      </c>
      <c r="AD8" s="112">
        <f t="shared" si="2"/>
        <v>8.7578000000000003E-2</v>
      </c>
      <c r="AE8" s="109">
        <f t="shared" si="3"/>
        <v>2347.5808368000003</v>
      </c>
      <c r="AF8" s="113">
        <f t="shared" ref="AF8:AF29" si="8">AE8*$AF$6/$AE$6</f>
        <v>104.18138776869732</v>
      </c>
      <c r="AG8" s="114">
        <f t="shared" si="0"/>
        <v>0.24208479596610033</v>
      </c>
      <c r="AH8" s="114">
        <f t="shared" si="4"/>
        <v>6489.2282067488986</v>
      </c>
      <c r="AI8" s="115">
        <f t="shared" ref="AI8:AI29" si="9">AH8*$AI$6/$AH$6</f>
        <v>104.17190262627112</v>
      </c>
      <c r="AJ8" s="113">
        <f>(K8-AA8)</f>
        <v>8.6000014562159777E-5</v>
      </c>
      <c r="AK8" s="113">
        <f t="shared" si="5"/>
        <v>2350.1017470000079</v>
      </c>
      <c r="AL8" s="116">
        <f t="shared" si="6"/>
        <v>2350.1018330000225</v>
      </c>
      <c r="AM8" s="117">
        <f t="shared" si="7"/>
        <v>17498.858248518165</v>
      </c>
      <c r="AN8" s="113">
        <f t="shared" ref="AN8:AN29" si="10">AM8*$AN$6/$AM$6</f>
        <v>104.18655983476228</v>
      </c>
      <c r="AP8" s="110"/>
    </row>
    <row r="9" spans="1:45" s="73" customFormat="1" x14ac:dyDescent="0.2">
      <c r="A9"/>
      <c r="B9"/>
      <c r="C9" s="34">
        <f>C8+$J$1</f>
        <v>25</v>
      </c>
      <c r="D9" s="11"/>
      <c r="E9" s="3">
        <f>[8]noerr!C5</f>
        <v>32.875489999999999</v>
      </c>
      <c r="F9" s="3">
        <f>[8]noerr!D5</f>
        <v>0.05</v>
      </c>
      <c r="G9" s="3">
        <f>[8]noerr!E5</f>
        <v>14.818918</v>
      </c>
      <c r="H9" s="3">
        <f>[8]noerr!F5</f>
        <v>6.4557000000000003E-2</v>
      </c>
      <c r="I9" s="3">
        <f>[8]noerr!G5</f>
        <v>634.52048300000001</v>
      </c>
      <c r="J9" s="3">
        <f>[8]noerr!H5</f>
        <v>75.502347999999998</v>
      </c>
      <c r="K9" s="3">
        <f>[8]noerr!I5</f>
        <v>400004.647513</v>
      </c>
      <c r="L9" s="33">
        <f>[8]noerr!J5</f>
        <v>7840.088968</v>
      </c>
      <c r="M9" s="3">
        <f>[8]noerr!K5</f>
        <v>400004.637368</v>
      </c>
      <c r="N9" s="3">
        <f>[8]noerr!L5</f>
        <v>14.818918</v>
      </c>
      <c r="O9" s="33">
        <f>[8]noerr!M5</f>
        <v>148.197135</v>
      </c>
      <c r="P9" s="3">
        <f>[8]noerr!N5</f>
        <v>53.967013999999999</v>
      </c>
      <c r="Q9" s="3">
        <f>[8]noerr!O5</f>
        <v>53.649932999999997</v>
      </c>
      <c r="R9" s="11">
        <f>[8]noerr!P5</f>
        <v>7838.9437379999999</v>
      </c>
      <c r="S9" s="11">
        <f>[8]noerr!Q5</f>
        <v>7691.8918329999997</v>
      </c>
      <c r="T9" s="3">
        <f>[8]noerr!R5</f>
        <v>40.964587999999999</v>
      </c>
      <c r="U9" s="3">
        <f>[8]noerr!S5</f>
        <v>41.206696000000001</v>
      </c>
      <c r="V9" s="3">
        <f>[8]noerr!T5</f>
        <v>14.819596000000001</v>
      </c>
      <c r="W9" s="3">
        <f>[8]noerr!U5</f>
        <v>14.907183</v>
      </c>
      <c r="X9" s="72">
        <f>[8]noerr!V5</f>
        <v>6.78E-4</v>
      </c>
      <c r="Y9" s="3">
        <f>[8]noerr!W5</f>
        <v>8.8263999999999995E-2</v>
      </c>
      <c r="Z9" s="33">
        <f>[8]noerr!X5</f>
        <v>125295.936218</v>
      </c>
      <c r="AA9" s="3">
        <f>[8]noerr!Y5</f>
        <v>399986.34508</v>
      </c>
      <c r="AB9" s="3">
        <f>[8]noerr!Z5</f>
        <v>397636.24341900001</v>
      </c>
      <c r="AC9">
        <f t="shared" si="1"/>
        <v>18.174196799999997</v>
      </c>
      <c r="AD9" s="20">
        <f t="shared" si="2"/>
        <v>8.8941999999999993E-2</v>
      </c>
      <c r="AE9">
        <f t="shared" si="3"/>
        <v>2384.1436752</v>
      </c>
      <c r="AF9" s="54">
        <f t="shared" si="8"/>
        <v>105.80398034807229</v>
      </c>
      <c r="AG9" s="102">
        <f t="shared" si="0"/>
        <v>0.24585519106186382</v>
      </c>
      <c r="AH9" s="102">
        <f t="shared" si="4"/>
        <v>6590.2959095278966</v>
      </c>
      <c r="AI9" s="32">
        <f t="shared" si="9"/>
        <v>105.79434747751013</v>
      </c>
      <c r="AJ9" s="31">
        <f>(K8-AA9)</f>
        <v>18.302407999988645</v>
      </c>
      <c r="AK9" s="113">
        <f t="shared" si="5"/>
        <v>2368.4040939999977</v>
      </c>
      <c r="AL9" s="38">
        <f t="shared" si="6"/>
        <v>2386.7065019999864</v>
      </c>
      <c r="AM9" s="26">
        <f>AL9/1000*24*365*0.85</f>
        <v>17771.416613891895</v>
      </c>
      <c r="AN9" s="31">
        <f t="shared" si="10"/>
        <v>105.80934676401121</v>
      </c>
      <c r="AP9" s="11">
        <f>Z8-((L9-(O9-O8))*Z8/L9)</f>
        <v>18.302348242272274</v>
      </c>
      <c r="AQ9">
        <f>Z9-((L9-O9)*Z9/L9)</f>
        <v>2368.4040896014485</v>
      </c>
      <c r="AR9" s="3">
        <f>AP9+AQ9</f>
        <v>2386.7064378437208</v>
      </c>
      <c r="AS9"/>
    </row>
    <row r="10" spans="1:45" s="109" customFormat="1" x14ac:dyDescent="0.2">
      <c r="B10" s="118">
        <v>25</v>
      </c>
      <c r="C10" s="109">
        <v>25</v>
      </c>
      <c r="D10" s="110"/>
      <c r="E10" s="110">
        <f>[8]noerr!C6</f>
        <v>37.284782999999997</v>
      </c>
      <c r="F10" s="110">
        <f>[8]noerr!D6</f>
        <v>6.3799999999999996E-2</v>
      </c>
      <c r="G10" s="110">
        <f>[8]noerr!E6</f>
        <v>14.849796</v>
      </c>
      <c r="H10" s="110">
        <f>[8]noerr!F6</f>
        <v>6.5184000000000006E-2</v>
      </c>
      <c r="I10" s="110">
        <f>[8]noerr!G6</f>
        <v>629.67893400000003</v>
      </c>
      <c r="J10" s="110">
        <f>[8]noerr!H6</f>
        <v>77.737531000000004</v>
      </c>
      <c r="K10" s="110">
        <f>[8]noerr!I6</f>
        <v>400004.397864</v>
      </c>
      <c r="L10" s="33">
        <f>[8]noerr!J6</f>
        <v>8106.4743070000004</v>
      </c>
      <c r="M10" s="110">
        <f>[8]noerr!K6</f>
        <v>400004.397864</v>
      </c>
      <c r="N10" s="110">
        <f>[8]noerr!L6</f>
        <v>14.849796</v>
      </c>
      <c r="O10" s="33">
        <f>[8]noerr!M6</f>
        <v>155.328384</v>
      </c>
      <c r="P10" s="110">
        <f>[8]noerr!N6</f>
        <v>53.857227999999999</v>
      </c>
      <c r="Q10" s="110">
        <f>[8]noerr!O6</f>
        <v>53.530966999999997</v>
      </c>
      <c r="R10" s="11">
        <f>[8]noerr!P6</f>
        <v>8106.4743070000004</v>
      </c>
      <c r="S10" s="11">
        <f>[8]noerr!Q6</f>
        <v>7951.145923</v>
      </c>
      <c r="T10" s="110">
        <f>[8]noerr!R6</f>
        <v>41.044986000000002</v>
      </c>
      <c r="U10" s="110">
        <f>[8]noerr!S6</f>
        <v>41.295147</v>
      </c>
      <c r="V10" s="110">
        <f>[8]noerr!T6</f>
        <v>14.849796</v>
      </c>
      <c r="W10" s="110">
        <f>[8]noerr!U6</f>
        <v>14.940303</v>
      </c>
      <c r="X10" s="111">
        <f>[8]noerr!V6</f>
        <v>0</v>
      </c>
      <c r="Y10" s="110">
        <f>[8]noerr!W6</f>
        <v>9.0507000000000004E-2</v>
      </c>
      <c r="Z10" s="33">
        <f>[8]noerr!X6</f>
        <v>126464.01455599999</v>
      </c>
      <c r="AA10" s="110">
        <f>[8]noerr!Y6</f>
        <v>400004.397864</v>
      </c>
      <c r="AB10" s="110">
        <f>[8]noerr!Z6</f>
        <v>397581.21728899999</v>
      </c>
      <c r="AC10" s="109">
        <f t="shared" si="1"/>
        <v>0</v>
      </c>
      <c r="AD10" s="112">
        <f t="shared" si="2"/>
        <v>9.0507000000000004E-2</v>
      </c>
      <c r="AE10" s="109">
        <f t="shared" si="3"/>
        <v>2426.0944392000001</v>
      </c>
      <c r="AF10" s="113">
        <f t="shared" si="8"/>
        <v>107.66567931194463</v>
      </c>
      <c r="AG10" s="114">
        <f t="shared" si="0"/>
        <v>0.25016229568442583</v>
      </c>
      <c r="AH10" s="114">
        <f t="shared" si="4"/>
        <v>6705.7504331984446</v>
      </c>
      <c r="AI10" s="115">
        <f t="shared" si="9"/>
        <v>107.64774467890034</v>
      </c>
      <c r="AJ10" s="113">
        <f>(K10-AA10)</f>
        <v>0</v>
      </c>
      <c r="AK10" s="113">
        <f t="shared" si="5"/>
        <v>2423.1805750000058</v>
      </c>
      <c r="AL10" s="116">
        <f t="shared" si="6"/>
        <v>2423.1805750000058</v>
      </c>
      <c r="AM10" s="117">
        <f t="shared" si="7"/>
        <v>18043.002561450045</v>
      </c>
      <c r="AN10" s="113">
        <f t="shared" si="10"/>
        <v>107.42634400884253</v>
      </c>
      <c r="AP10" s="110"/>
    </row>
    <row r="11" spans="1:45" x14ac:dyDescent="0.2">
      <c r="C11" s="34">
        <f>C10+$J$1</f>
        <v>30</v>
      </c>
      <c r="E11" s="3">
        <f>[8]noerr!C7</f>
        <v>37.284782999999997</v>
      </c>
      <c r="F11" s="3">
        <f>[8]noerr!D7</f>
        <v>6.3799999999999996E-2</v>
      </c>
      <c r="G11" s="3">
        <f>[8]noerr!E7</f>
        <v>14.849796</v>
      </c>
      <c r="H11" s="3">
        <f>[8]noerr!F7</f>
        <v>6.5184000000000006E-2</v>
      </c>
      <c r="I11" s="3">
        <f>[8]noerr!G7</f>
        <v>629.67893400000003</v>
      </c>
      <c r="J11" s="3">
        <f>[8]noerr!H7</f>
        <v>77.737531000000004</v>
      </c>
      <c r="K11" s="3">
        <f>[8]noerr!I7</f>
        <v>400004.397864</v>
      </c>
      <c r="L11" s="33">
        <f>[8]noerr!J7</f>
        <v>8106.4743070000004</v>
      </c>
      <c r="M11" s="3">
        <f>[8]noerr!K7</f>
        <v>400004.397864</v>
      </c>
      <c r="N11" s="3">
        <f>[8]noerr!L7</f>
        <v>14.849796</v>
      </c>
      <c r="O11" s="33">
        <f>[8]noerr!M7</f>
        <v>156.600191</v>
      </c>
      <c r="P11" s="3">
        <f>[8]noerr!N7</f>
        <v>53.854557</v>
      </c>
      <c r="Q11" s="3">
        <f>[8]noerr!O7</f>
        <v>53.528295999999997</v>
      </c>
      <c r="R11" s="11">
        <f>[8]noerr!P7</f>
        <v>8105.2025000000003</v>
      </c>
      <c r="S11" s="11">
        <f>[8]noerr!Q7</f>
        <v>7949.874116</v>
      </c>
      <c r="T11" s="3">
        <f>[8]noerr!R7</f>
        <v>41.047021999999998</v>
      </c>
      <c r="U11" s="3">
        <f>[8]noerr!S7</f>
        <v>41.297207999999998</v>
      </c>
      <c r="V11" s="3">
        <f>[8]noerr!T7</f>
        <v>14.850533</v>
      </c>
      <c r="W11" s="3">
        <f>[8]noerr!U7</f>
        <v>14.941049</v>
      </c>
      <c r="X11" s="72">
        <f>[8]noerr!V7</f>
        <v>7.3700000000000002E-4</v>
      </c>
      <c r="Y11" s="3">
        <f>[8]noerr!W7</f>
        <v>9.1252E-2</v>
      </c>
      <c r="Z11" s="33">
        <f>[8]noerr!X7</f>
        <v>126464.01455599999</v>
      </c>
      <c r="AA11" s="3">
        <f>[8]noerr!Y7</f>
        <v>399984.557202</v>
      </c>
      <c r="AB11" s="3">
        <f>[8]noerr!Z7</f>
        <v>397561.37662699999</v>
      </c>
      <c r="AC11">
        <f t="shared" si="1"/>
        <v>19.755727200000003</v>
      </c>
      <c r="AD11" s="20">
        <f t="shared" si="2"/>
        <v>9.1989000000000001E-2</v>
      </c>
      <c r="AE11">
        <f t="shared" si="3"/>
        <v>2465.8203383999999</v>
      </c>
      <c r="AF11" s="31">
        <f t="shared" si="8"/>
        <v>109.42864280361158</v>
      </c>
      <c r="AG11" s="102">
        <f t="shared" si="0"/>
        <v>0.25425855920221352</v>
      </c>
      <c r="AH11" s="102">
        <f t="shared" si="4"/>
        <v>6815.5532345508554</v>
      </c>
      <c r="AI11" s="32">
        <f t="shared" si="9"/>
        <v>109.41041450128061</v>
      </c>
      <c r="AJ11" s="31">
        <f>(K10-AA11)</f>
        <v>19.840662000002339</v>
      </c>
      <c r="AK11" s="113">
        <f t="shared" si="5"/>
        <v>2443.0212370000081</v>
      </c>
      <c r="AL11" s="38">
        <f t="shared" si="6"/>
        <v>2462.8618990000105</v>
      </c>
      <c r="AM11" s="26">
        <f t="shared" si="7"/>
        <v>18338.469699954079</v>
      </c>
      <c r="AN11" s="31">
        <f t="shared" si="10"/>
        <v>109.18552762343998</v>
      </c>
      <c r="AP11" s="11">
        <f>Z10-((L11-(O11-O10))*Z10/L11)</f>
        <v>19.84066227429139</v>
      </c>
      <c r="AQ11">
        <f>Z11-((L11-O11)*Z11/L11)</f>
        <v>2443.0212302030122</v>
      </c>
      <c r="AR11" s="3">
        <f>AP11+AQ11</f>
        <v>2462.8618924773036</v>
      </c>
    </row>
    <row r="12" spans="1:45" s="109" customFormat="1" x14ac:dyDescent="0.2">
      <c r="A12" s="109" t="s">
        <v>50</v>
      </c>
      <c r="B12" s="109">
        <v>15</v>
      </c>
      <c r="C12" s="109">
        <v>15</v>
      </c>
      <c r="D12" s="110"/>
      <c r="E12" s="110">
        <f>[8]noerr!C8</f>
        <v>30.054532999999999</v>
      </c>
      <c r="F12" s="110">
        <f>[8]noerr!D8</f>
        <v>4.2599999999999999E-2</v>
      </c>
      <c r="G12" s="110">
        <f>[8]noerr!E8</f>
        <v>14.836273</v>
      </c>
      <c r="H12" s="110">
        <f>[8]noerr!F8</f>
        <v>6.3816999999999999E-2</v>
      </c>
      <c r="I12" s="110">
        <f>[8]noerr!G8</f>
        <v>642.68954499999995</v>
      </c>
      <c r="J12" s="110">
        <f>[8]noerr!H8</f>
        <v>73.340659000000002</v>
      </c>
      <c r="K12" s="110">
        <f>[8]noerr!I8</f>
        <v>400001.08074599999</v>
      </c>
      <c r="L12" s="33">
        <f>[8]noerr!J8</f>
        <v>7591.9183650000004</v>
      </c>
      <c r="M12" s="110">
        <f>[8]noerr!K8</f>
        <v>400001.08074599999</v>
      </c>
      <c r="N12" s="110">
        <f>[8]noerr!L8</f>
        <v>14.836273</v>
      </c>
      <c r="O12" s="33">
        <f>[8]noerr!M8</f>
        <v>7591.9183650000004</v>
      </c>
      <c r="P12" s="110">
        <f>[8]noerr!N8</f>
        <v>53.905873</v>
      </c>
      <c r="Q12" s="110">
        <f>[8]noerr!O8</f>
        <v>53.573554999999999</v>
      </c>
      <c r="R12" s="11">
        <f>[8]noerr!P8</f>
        <v>7591.9183650000004</v>
      </c>
      <c r="S12" s="11">
        <f>[8]noerr!Q8</f>
        <v>7440.0799980000002</v>
      </c>
      <c r="T12" s="110">
        <f>[8]noerr!R8</f>
        <v>41.014398</v>
      </c>
      <c r="U12" s="110">
        <f>[8]noerr!S8</f>
        <v>41.268811999999997</v>
      </c>
      <c r="V12" s="110">
        <f>[8]noerr!T8</f>
        <v>14.836273</v>
      </c>
      <c r="W12" s="110">
        <f>[8]noerr!U8</f>
        <v>14.928303</v>
      </c>
      <c r="X12" s="111">
        <f>[8]noerr!V8</f>
        <v>0</v>
      </c>
      <c r="Y12" s="110">
        <f>[8]noerr!W8</f>
        <v>9.2030000000000001E-2</v>
      </c>
      <c r="Z12" s="33">
        <f>[8]noerr!X8</f>
        <v>123296.32374599999</v>
      </c>
      <c r="AA12" s="110">
        <f>[8]noerr!Y8</f>
        <v>400001.08074599999</v>
      </c>
      <c r="AB12" s="110">
        <f>[8]noerr!Z8</f>
        <v>397535.15427100001</v>
      </c>
      <c r="AC12" s="109">
        <f t="shared" si="1"/>
        <v>0</v>
      </c>
      <c r="AD12" s="112">
        <f t="shared" si="2"/>
        <v>9.2030000000000001E-2</v>
      </c>
      <c r="AE12" s="109">
        <f t="shared" si="3"/>
        <v>2466.9193679999998</v>
      </c>
      <c r="AF12" s="113">
        <f t="shared" si="8"/>
        <v>109.47741574771304</v>
      </c>
      <c r="AG12" s="114">
        <f t="shared" si="0"/>
        <v>0.25441471421705586</v>
      </c>
      <c r="AH12" s="114">
        <f t="shared" si="4"/>
        <v>6819.7390634167132</v>
      </c>
      <c r="AI12" s="115">
        <f t="shared" si="9"/>
        <v>109.47760981991202</v>
      </c>
      <c r="AJ12" s="31">
        <f>(Z12-Z12)</f>
        <v>0</v>
      </c>
      <c r="AK12" s="113">
        <f t="shared" si="5"/>
        <v>2465.9264749999857</v>
      </c>
      <c r="AL12" s="116">
        <f t="shared" si="6"/>
        <v>2465.9264749999857</v>
      </c>
      <c r="AM12" s="117">
        <f t="shared" si="7"/>
        <v>18361.288532849892</v>
      </c>
      <c r="AN12" s="113">
        <f t="shared" si="10"/>
        <v>109.32138881307276</v>
      </c>
      <c r="AP12" s="110"/>
    </row>
    <row r="13" spans="1:45" s="73" customFormat="1" x14ac:dyDescent="0.2">
      <c r="B13" s="10"/>
      <c r="C13" s="34">
        <f>C12+$J$1</f>
        <v>20</v>
      </c>
      <c r="D13" s="11"/>
      <c r="E13" s="3">
        <f>[8]noerr!C9</f>
        <v>35.100561999999996</v>
      </c>
      <c r="F13" s="3">
        <f>[8]noerr!D9</f>
        <v>5.6599999999999998E-2</v>
      </c>
      <c r="G13" s="3">
        <f>[8]noerr!E9</f>
        <v>14.836273</v>
      </c>
      <c r="H13" s="3">
        <f>[8]noerr!F9</f>
        <v>6.3816999999999999E-2</v>
      </c>
      <c r="I13" s="3">
        <f>[8]noerr!G9</f>
        <v>642.68954499999995</v>
      </c>
      <c r="J13" s="3">
        <f>[8]noerr!H9</f>
        <v>73.896893000000006</v>
      </c>
      <c r="K13" s="3">
        <f>[8]noerr!I9</f>
        <v>398161.01224800001</v>
      </c>
      <c r="L13" s="33">
        <f>[8]noerr!J9</f>
        <v>7688.5896089999997</v>
      </c>
      <c r="M13" s="3">
        <f>[8]noerr!K9</f>
        <v>400001.08074599999</v>
      </c>
      <c r="N13" s="3">
        <f>[8]noerr!L9</f>
        <v>14.836273</v>
      </c>
      <c r="O13" s="33">
        <f>[8]noerr!M9</f>
        <v>7591.9183650000004</v>
      </c>
      <c r="P13" s="3">
        <f>[8]noerr!N9</f>
        <v>53.657898000000003</v>
      </c>
      <c r="Q13" s="3">
        <f>[8]noerr!O9</f>
        <v>53.330539000000002</v>
      </c>
      <c r="R13" s="11">
        <f>[8]noerr!P9</f>
        <v>7688.5896089999997</v>
      </c>
      <c r="S13" s="11">
        <f>[8]noerr!Q9</f>
        <v>7534.8178170000001</v>
      </c>
      <c r="T13" s="3">
        <f>[8]noerr!R9</f>
        <v>41.203943000000002</v>
      </c>
      <c r="U13" s="3">
        <f>[8]noerr!S9</f>
        <v>41.456865999999998</v>
      </c>
      <c r="V13" s="3">
        <f>[8]noerr!T9</f>
        <v>14.904837000000001</v>
      </c>
      <c r="W13" s="3">
        <f>[8]noerr!U9</f>
        <v>14.996328</v>
      </c>
      <c r="X13" s="72">
        <f>[8]noerr!V9</f>
        <v>6.8565000000000001E-2</v>
      </c>
      <c r="Y13" s="3">
        <f>[8]noerr!W9</f>
        <v>0.160055</v>
      </c>
      <c r="Z13" s="33">
        <f>[8]noerr!X9</f>
        <v>121456.255248</v>
      </c>
      <c r="AA13" s="3">
        <f>[8]noerr!Y9</f>
        <v>398161.01224800001</v>
      </c>
      <c r="AB13" s="3">
        <f>[8]noerr!Z9</f>
        <v>395731.88714300003</v>
      </c>
      <c r="AC13">
        <f t="shared" si="1"/>
        <v>1837.925964</v>
      </c>
      <c r="AD13" s="20">
        <f t="shared" si="2"/>
        <v>0.22861999999999999</v>
      </c>
      <c r="AE13">
        <f t="shared" si="3"/>
        <v>6128.2962719999996</v>
      </c>
      <c r="AF13" s="54">
        <f t="shared" si="8"/>
        <v>271.96269464568246</v>
      </c>
      <c r="AG13" s="102">
        <f t="shared" si="0"/>
        <v>0.63201447315334747</v>
      </c>
      <c r="AH13" s="102">
        <f t="shared" si="4"/>
        <v>16941.52716155937</v>
      </c>
      <c r="AI13" s="32">
        <f t="shared" si="9"/>
        <v>271.96317675788288</v>
      </c>
      <c r="AJ13" s="31">
        <f>Z12-Z13</f>
        <v>1840.0684979999933</v>
      </c>
      <c r="AK13" s="113">
        <f t="shared" si="5"/>
        <v>2429.1251049999846</v>
      </c>
      <c r="AL13" s="38">
        <f t="shared" si="6"/>
        <v>4269.1936029999779</v>
      </c>
      <c r="AM13" s="26">
        <f t="shared" si="7"/>
        <v>31788.415567937835</v>
      </c>
      <c r="AN13" s="31">
        <f t="shared" si="10"/>
        <v>189.26524311388735</v>
      </c>
      <c r="AP13" s="131">
        <f>Z12-Z13</f>
        <v>1840.0684979999933</v>
      </c>
      <c r="AQ13">
        <f>Z13-((L13-L13*$AQ$1)*Z13/L13)</f>
        <v>2429.125104959996</v>
      </c>
      <c r="AR13" s="3">
        <f>AP13+AQ13</f>
        <v>4269.1936029599892</v>
      </c>
    </row>
    <row r="14" spans="1:45" s="109" customFormat="1" x14ac:dyDescent="0.2">
      <c r="B14" s="109">
        <v>20</v>
      </c>
      <c r="C14" s="109">
        <v>20</v>
      </c>
      <c r="D14" s="110"/>
      <c r="E14" s="110">
        <f>[8]noerr!C10</f>
        <v>35.068567999999999</v>
      </c>
      <c r="F14" s="110">
        <f>[8]noerr!D10</f>
        <v>5.6500000000000002E-2</v>
      </c>
      <c r="G14" s="110">
        <f>[8]noerr!E10</f>
        <v>14.840370999999999</v>
      </c>
      <c r="H14" s="110">
        <f>[8]noerr!F10</f>
        <v>6.4632999999999996E-2</v>
      </c>
      <c r="I14" s="110">
        <f>[8]noerr!G10</f>
        <v>634.68433500000003</v>
      </c>
      <c r="J14" s="110">
        <f>[8]noerr!H10</f>
        <v>75.962642000000002</v>
      </c>
      <c r="K14" s="110">
        <f>[8]noerr!I10</f>
        <v>400002.13893000002</v>
      </c>
      <c r="L14" s="33">
        <f>[8]noerr!J10</f>
        <v>7903.3114450000003</v>
      </c>
      <c r="M14" s="110">
        <f>[8]noerr!K10</f>
        <v>400002.13893000002</v>
      </c>
      <c r="N14" s="110">
        <f>[8]noerr!L10</f>
        <v>14.840370999999999</v>
      </c>
      <c r="O14" s="33">
        <f>[8]noerr!M10</f>
        <v>7903.3114450000003</v>
      </c>
      <c r="P14" s="110">
        <f>[8]noerr!N10</f>
        <v>53.891129999999997</v>
      </c>
      <c r="Q14" s="110">
        <f>[8]noerr!O10</f>
        <v>53.554664000000002</v>
      </c>
      <c r="R14" s="11">
        <f>[8]noerr!P10</f>
        <v>7903.3114450000003</v>
      </c>
      <c r="S14" s="11">
        <f>[8]noerr!Q10</f>
        <v>7745.2452160000003</v>
      </c>
      <c r="T14" s="110">
        <f>[8]noerr!R10</f>
        <v>41.021636000000001</v>
      </c>
      <c r="U14" s="110">
        <f>[8]noerr!S10</f>
        <v>41.279361000000002</v>
      </c>
      <c r="V14" s="110">
        <f>[8]noerr!T10</f>
        <v>14.840370999999999</v>
      </c>
      <c r="W14" s="110">
        <f>[8]noerr!U10</f>
        <v>14.933608</v>
      </c>
      <c r="X14" s="111">
        <f>[8]noerr!V10</f>
        <v>0</v>
      </c>
      <c r="Y14" s="110">
        <f>[8]noerr!W10</f>
        <v>9.3237E-2</v>
      </c>
      <c r="Z14" s="33">
        <f>[8]noerr!X10</f>
        <v>124869.51793</v>
      </c>
      <c r="AA14" s="110">
        <f>[8]noerr!Y10</f>
        <v>400002.13893000002</v>
      </c>
      <c r="AB14" s="110">
        <f>[8]noerr!Z10</f>
        <v>397504.74857200001</v>
      </c>
      <c r="AC14" s="109">
        <f t="shared" si="1"/>
        <v>0</v>
      </c>
      <c r="AD14" s="112">
        <f t="shared" si="2"/>
        <v>9.3237E-2</v>
      </c>
      <c r="AE14" s="109">
        <f t="shared" si="3"/>
        <v>2499.2737271999999</v>
      </c>
      <c r="AF14" s="113">
        <f t="shared" si="8"/>
        <v>110.91324363869956</v>
      </c>
      <c r="AG14" s="114">
        <f t="shared" si="0"/>
        <v>0.25772445325046078</v>
      </c>
      <c r="AH14" s="114">
        <f t="shared" si="4"/>
        <v>6908.4586040505519</v>
      </c>
      <c r="AI14" s="115">
        <f t="shared" si="9"/>
        <v>110.90182901108545</v>
      </c>
      <c r="AJ14" s="31">
        <f>(Z14-Z14)</f>
        <v>0</v>
      </c>
      <c r="AK14" s="113">
        <f t="shared" si="5"/>
        <v>2497.3903580000042</v>
      </c>
      <c r="AL14" s="116">
        <f t="shared" si="6"/>
        <v>2497.3903580000042</v>
      </c>
      <c r="AM14" s="117">
        <f t="shared" si="7"/>
        <v>18595.568605668028</v>
      </c>
      <c r="AN14" s="113">
        <f t="shared" si="10"/>
        <v>110.71627038066453</v>
      </c>
      <c r="AP14" s="110"/>
    </row>
    <row r="15" spans="1:45" x14ac:dyDescent="0.2">
      <c r="B15"/>
      <c r="C15" s="34">
        <f>C14+$J$1</f>
        <v>25</v>
      </c>
      <c r="E15" s="3">
        <f>[8]noerr!C11</f>
        <v>40.165919000000002</v>
      </c>
      <c r="F15" s="3">
        <f>[8]noerr!D11</f>
        <v>7.4499999999999997E-2</v>
      </c>
      <c r="G15" s="3">
        <f>[8]noerr!E11</f>
        <v>14.840370999999999</v>
      </c>
      <c r="H15" s="3">
        <f>[8]noerr!F11</f>
        <v>6.4632999999999996E-2</v>
      </c>
      <c r="I15" s="3">
        <f>[8]noerr!G11</f>
        <v>634.68433500000003</v>
      </c>
      <c r="J15" s="3">
        <f>[8]noerr!H11</f>
        <v>76.548983000000007</v>
      </c>
      <c r="K15" s="3">
        <f>[8]noerr!I11</f>
        <v>398084.92095200001</v>
      </c>
      <c r="L15" s="33">
        <f>[8]noerr!J11</f>
        <v>8001.8286090000001</v>
      </c>
      <c r="M15" s="3">
        <f>[8]noerr!K11</f>
        <v>400002.13893000002</v>
      </c>
      <c r="N15" s="3">
        <f>[8]noerr!L11</f>
        <v>14.840370999999999</v>
      </c>
      <c r="O15" s="33">
        <f>[8]noerr!M11</f>
        <v>7903.3114450000003</v>
      </c>
      <c r="P15" s="3">
        <f>[8]noerr!N11</f>
        <v>53.632829000000001</v>
      </c>
      <c r="Q15" s="3">
        <f>[8]noerr!O11</f>
        <v>53.301529000000002</v>
      </c>
      <c r="R15" s="11">
        <f>[8]noerr!P11</f>
        <v>8001.8286090000001</v>
      </c>
      <c r="S15" s="11">
        <f>[8]noerr!Q11</f>
        <v>7841.7920370000002</v>
      </c>
      <c r="T15" s="3">
        <f>[8]noerr!R11</f>
        <v>41.219200999999998</v>
      </c>
      <c r="U15" s="3">
        <f>[8]noerr!S11</f>
        <v>41.475402000000003</v>
      </c>
      <c r="V15" s="3">
        <f>[8]noerr!T11</f>
        <v>14.911842999999999</v>
      </c>
      <c r="W15" s="3">
        <f>[8]noerr!U11</f>
        <v>15.004529</v>
      </c>
      <c r="X15" s="72">
        <f>[8]noerr!V11</f>
        <v>7.1472999999999995E-2</v>
      </c>
      <c r="Y15" s="3">
        <f>[8]noerr!W11</f>
        <v>0.164159</v>
      </c>
      <c r="Z15" s="33">
        <f>[8]noerr!X11</f>
        <v>122952.299952</v>
      </c>
      <c r="AA15" s="3">
        <f>[8]noerr!Y11</f>
        <v>398084.92095200001</v>
      </c>
      <c r="AB15" s="3">
        <f>[8]noerr!Z11</f>
        <v>395625.87495299999</v>
      </c>
      <c r="AC15">
        <f t="shared" si="1"/>
        <v>1915.8766487999999</v>
      </c>
      <c r="AD15" s="20">
        <f t="shared" si="2"/>
        <v>0.23563200000000001</v>
      </c>
      <c r="AE15">
        <f t="shared" si="3"/>
        <v>6316.2571392</v>
      </c>
      <c r="AF15" s="31">
        <f t="shared" si="8"/>
        <v>280.30405767103247</v>
      </c>
      <c r="AG15" s="102">
        <f t="shared" si="0"/>
        <v>0.65133078464894112</v>
      </c>
      <c r="AH15" s="102">
        <f t="shared" si="4"/>
        <v>17459.312480985656</v>
      </c>
      <c r="AI15" s="32">
        <f t="shared" si="9"/>
        <v>280.27521020131934</v>
      </c>
      <c r="AJ15" s="31">
        <f>Z14-Z15</f>
        <v>1917.2179780000006</v>
      </c>
      <c r="AK15" s="113">
        <f t="shared" si="5"/>
        <v>2459.0459990000236</v>
      </c>
      <c r="AL15" s="38">
        <f t="shared" si="6"/>
        <v>4376.2639770000242</v>
      </c>
      <c r="AM15" s="26">
        <f t="shared" si="7"/>
        <v>32585.661572742174</v>
      </c>
      <c r="AN15" s="31">
        <f t="shared" si="10"/>
        <v>194.01197100909769</v>
      </c>
      <c r="AP15" s="131">
        <f>Z14-Z15</f>
        <v>1917.2179780000006</v>
      </c>
      <c r="AQ15">
        <f>Z15-((L15-L15*$AQ$1)*Z15/L15)</f>
        <v>2459.0459990399977</v>
      </c>
      <c r="AR15" s="3">
        <f>AP15+AQ15</f>
        <v>4376.2639770399983</v>
      </c>
    </row>
    <row r="16" spans="1:45" s="109" customFormat="1" x14ac:dyDescent="0.2">
      <c r="B16" s="118">
        <v>25</v>
      </c>
      <c r="C16" s="109">
        <v>25</v>
      </c>
      <c r="D16" s="110"/>
      <c r="E16" s="110">
        <f>[8]noerr!C12</f>
        <v>40.039518000000001</v>
      </c>
      <c r="F16" s="110">
        <f>[8]noerr!D12</f>
        <v>7.3999999999999996E-2</v>
      </c>
      <c r="G16" s="110">
        <f>[8]noerr!E12</f>
        <v>14.879776</v>
      </c>
      <c r="H16" s="110">
        <f>[8]noerr!F12</f>
        <v>6.5277000000000002E-2</v>
      </c>
      <c r="I16" s="110">
        <f>[8]noerr!G12</f>
        <v>630.04442300000005</v>
      </c>
      <c r="J16" s="110">
        <f>[8]noerr!H12</f>
        <v>78.328716</v>
      </c>
      <c r="K16" s="110">
        <f>[8]noerr!I12</f>
        <v>400001.465753</v>
      </c>
      <c r="L16" s="33">
        <f>[8]noerr!J12</f>
        <v>8187.0441730000002</v>
      </c>
      <c r="M16" s="110">
        <f>[8]noerr!K12</f>
        <v>400001.465753</v>
      </c>
      <c r="N16" s="110">
        <f>[8]noerr!L12</f>
        <v>14.879776</v>
      </c>
      <c r="O16" s="33">
        <f>[8]noerr!M12</f>
        <v>8187.0441730000002</v>
      </c>
      <c r="P16" s="110">
        <f>[8]noerr!N12</f>
        <v>53.748323999999997</v>
      </c>
      <c r="Q16" s="110">
        <f>[8]noerr!O12</f>
        <v>53.410024</v>
      </c>
      <c r="R16" s="11">
        <f>[8]noerr!P12</f>
        <v>8187.0441730000002</v>
      </c>
      <c r="S16" s="11">
        <f>[8]noerr!Q12</f>
        <v>8023.3032890000004</v>
      </c>
      <c r="T16" s="110">
        <f>[8]noerr!R12</f>
        <v>41.127395999999997</v>
      </c>
      <c r="U16" s="110">
        <f>[8]noerr!S12</f>
        <v>41.387898</v>
      </c>
      <c r="V16" s="110">
        <f>[8]noerr!T12</f>
        <v>14.879776</v>
      </c>
      <c r="W16" s="110">
        <f>[8]noerr!U12</f>
        <v>14.974024</v>
      </c>
      <c r="X16" s="111">
        <f>[8]noerr!V12</f>
        <v>0</v>
      </c>
      <c r="Y16" s="110">
        <f>[8]noerr!W12</f>
        <v>9.4248999999999999E-2</v>
      </c>
      <c r="Z16" s="33">
        <f>[8]noerr!X12</f>
        <v>125883.712753</v>
      </c>
      <c r="AA16" s="110">
        <f>[8]noerr!Y12</f>
        <v>400001.465753</v>
      </c>
      <c r="AB16" s="110">
        <f>[8]noerr!Z12</f>
        <v>397483.79149799998</v>
      </c>
      <c r="AC16" s="109">
        <f t="shared" si="1"/>
        <v>0</v>
      </c>
      <c r="AD16" s="112">
        <f t="shared" si="2"/>
        <v>9.4248999999999999E-2</v>
      </c>
      <c r="AE16" s="109">
        <f t="shared" si="3"/>
        <v>2526.4009944000004</v>
      </c>
      <c r="AF16" s="113">
        <f t="shared" si="8"/>
        <v>112.11710264920362</v>
      </c>
      <c r="AG16" s="114">
        <f t="shared" si="0"/>
        <v>0.26050239239194894</v>
      </c>
      <c r="AH16" s="114">
        <f t="shared" si="4"/>
        <v>6982.9229295016266</v>
      </c>
      <c r="AI16" s="115">
        <f t="shared" si="9"/>
        <v>112.09720852508572</v>
      </c>
      <c r="AJ16" s="31">
        <f>(Z16-Z16)</f>
        <v>0</v>
      </c>
      <c r="AK16" s="113">
        <f t="shared" si="5"/>
        <v>2517.6742550000199</v>
      </c>
      <c r="AL16" s="116">
        <f t="shared" si="6"/>
        <v>2517.6742550000199</v>
      </c>
      <c r="AM16" s="117">
        <f t="shared" si="7"/>
        <v>18746.602502730148</v>
      </c>
      <c r="AN16" s="113">
        <f t="shared" si="10"/>
        <v>111.61551203002598</v>
      </c>
      <c r="AP16" s="110"/>
    </row>
    <row r="17" spans="1:45" x14ac:dyDescent="0.2">
      <c r="C17" s="34">
        <f>C16+$J$1</f>
        <v>30</v>
      </c>
      <c r="E17" s="3">
        <f>[8]noerr!C13</f>
        <v>45.011369999999999</v>
      </c>
      <c r="F17" s="3">
        <f>[8]noerr!D13</f>
        <v>9.6000000000000002E-2</v>
      </c>
      <c r="G17" s="3">
        <f>[8]noerr!E13</f>
        <v>14.879776</v>
      </c>
      <c r="H17" s="3">
        <f>[8]noerr!F13</f>
        <v>6.5277000000000002E-2</v>
      </c>
      <c r="I17" s="3">
        <f>[8]noerr!G13</f>
        <v>630.04442300000005</v>
      </c>
      <c r="J17" s="3">
        <f>[8]noerr!H13</f>
        <v>78.922777999999994</v>
      </c>
      <c r="K17" s="3">
        <f>[8]noerr!I13</f>
        <v>398080.96694800002</v>
      </c>
      <c r="L17" s="33">
        <f>[8]noerr!J13</f>
        <v>8284.1502220000002</v>
      </c>
      <c r="M17" s="3">
        <f>[8]noerr!K13</f>
        <v>400001.465753</v>
      </c>
      <c r="N17" s="3">
        <f>[8]noerr!L13</f>
        <v>14.879776</v>
      </c>
      <c r="O17" s="33">
        <f>[8]noerr!M13</f>
        <v>8187.0441730000002</v>
      </c>
      <c r="P17" s="3">
        <f>[8]noerr!N13</f>
        <v>53.490265999999998</v>
      </c>
      <c r="Q17" s="3">
        <f>[8]noerr!O13</f>
        <v>53.157127000000003</v>
      </c>
      <c r="R17" s="11">
        <f>[8]noerr!P13</f>
        <v>8284.1502220000002</v>
      </c>
      <c r="S17" s="11">
        <f>[8]noerr!Q13</f>
        <v>8118.4672179999998</v>
      </c>
      <c r="T17" s="3">
        <f>[8]noerr!R13</f>
        <v>41.325811000000002</v>
      </c>
      <c r="U17" s="3">
        <f>[8]noerr!S13</f>
        <v>41.584803000000001</v>
      </c>
      <c r="V17" s="3">
        <f>[8]noerr!T13</f>
        <v>14.951561</v>
      </c>
      <c r="W17" s="3">
        <f>[8]noerr!U13</f>
        <v>15.045264</v>
      </c>
      <c r="X17" s="72">
        <f>[8]noerr!V13</f>
        <v>7.1786000000000003E-2</v>
      </c>
      <c r="Y17" s="3">
        <f>[8]noerr!W13</f>
        <v>0.165488</v>
      </c>
      <c r="Z17" s="33">
        <f>[8]noerr!X13</f>
        <v>123963.213948</v>
      </c>
      <c r="AA17" s="3">
        <f>[8]noerr!Y13</f>
        <v>398080.96694800002</v>
      </c>
      <c r="AB17" s="3">
        <f>[8]noerr!Z13</f>
        <v>395601.70266900002</v>
      </c>
      <c r="AC17">
        <f t="shared" si="1"/>
        <v>1924.2668015999998</v>
      </c>
      <c r="AD17" s="20">
        <f t="shared" si="2"/>
        <v>0.23727399999999998</v>
      </c>
      <c r="AE17">
        <f t="shared" si="3"/>
        <v>6360.2719343999997</v>
      </c>
      <c r="AF17" s="31">
        <f t="shared" si="8"/>
        <v>282.25735460309528</v>
      </c>
      <c r="AG17" s="102">
        <f t="shared" si="0"/>
        <v>0.65582069467482285</v>
      </c>
      <c r="AH17" s="102">
        <f t="shared" si="4"/>
        <v>17579.667213175431</v>
      </c>
      <c r="AI17" s="32">
        <f t="shared" si="9"/>
        <v>282.20727069338903</v>
      </c>
      <c r="AJ17" s="31">
        <f>Z16-Z17</f>
        <v>1920.4988049999956</v>
      </c>
      <c r="AK17" s="113">
        <f t="shared" si="5"/>
        <v>2479.2642789999954</v>
      </c>
      <c r="AL17" s="38">
        <f t="shared" si="6"/>
        <v>4399.7630839999911</v>
      </c>
      <c r="AM17" s="26">
        <f t="shared" si="7"/>
        <v>32760.635923463931</v>
      </c>
      <c r="AN17" s="31">
        <f t="shared" si="10"/>
        <v>195.05375187286145</v>
      </c>
      <c r="AP17" s="131">
        <f>Z16-Z17</f>
        <v>1920.4988049999956</v>
      </c>
      <c r="AQ17">
        <f>Z17-((L17-L17*$AQ$1)*Z17/L17)</f>
        <v>2479.2642789600068</v>
      </c>
      <c r="AR17" s="3">
        <f>AP17+AQ17</f>
        <v>4399.7630839600024</v>
      </c>
    </row>
    <row r="18" spans="1:45" s="109" customFormat="1" x14ac:dyDescent="0.2">
      <c r="A18" s="109" t="s">
        <v>93</v>
      </c>
      <c r="B18" s="109">
        <v>15</v>
      </c>
      <c r="C18" s="109">
        <v>15</v>
      </c>
      <c r="D18" s="110"/>
      <c r="E18" s="110">
        <f>[8]noerr!C14</f>
        <v>28.524591000000001</v>
      </c>
      <c r="F18" s="110">
        <f>[8]noerr!D14</f>
        <v>3.9E-2</v>
      </c>
      <c r="G18" s="110">
        <f>[8]noerr!E14</f>
        <v>36.253123000000002</v>
      </c>
      <c r="H18" s="110">
        <f>[8]noerr!F14</f>
        <v>0.239595</v>
      </c>
      <c r="I18" s="110">
        <f>[8]noerr!G14</f>
        <v>555.43997200000001</v>
      </c>
      <c r="J18" s="110">
        <f>[8]noerr!H14</f>
        <v>300.37245999999999</v>
      </c>
      <c r="K18" s="110">
        <f>[8]noerr!I14</f>
        <v>400006.60116600001</v>
      </c>
      <c r="L18" s="33">
        <f>[8]noerr!J14</f>
        <v>27377.618789</v>
      </c>
      <c r="M18" s="110">
        <f>[8]noerr!K14</f>
        <v>400006.60116600001</v>
      </c>
      <c r="N18" s="110">
        <f>[8]noerr!L14</f>
        <v>36.253123000000002</v>
      </c>
      <c r="O18" s="33">
        <f>[8]noerr!M14</f>
        <v>499.77219700000001</v>
      </c>
      <c r="P18" s="110">
        <f>[8]noerr!N14</f>
        <v>36.769114000000002</v>
      </c>
      <c r="Q18" s="110">
        <f>[8]noerr!O14</f>
        <v>36.097903000000002</v>
      </c>
      <c r="R18" s="11">
        <f>[8]noerr!P14</f>
        <v>27377.618789</v>
      </c>
      <c r="S18" s="11">
        <f>[8]noerr!Q14</f>
        <v>26877.846592000002</v>
      </c>
      <c r="T18" s="110">
        <f>[8]noerr!R14</f>
        <v>133.08062799999999</v>
      </c>
      <c r="U18" s="110">
        <f>[8]noerr!S14</f>
        <v>135.55515700000001</v>
      </c>
      <c r="V18" s="110">
        <f>[8]noerr!T14</f>
        <v>36.253123000000002</v>
      </c>
      <c r="W18" s="110">
        <f>[8]noerr!U14</f>
        <v>36.927221000000003</v>
      </c>
      <c r="X18" s="111">
        <f>[8]noerr!V14</f>
        <v>0</v>
      </c>
      <c r="Y18" s="110">
        <f>[8]noerr!W14</f>
        <v>0.67409799999999997</v>
      </c>
      <c r="Z18" s="33">
        <f>[8]noerr!X14</f>
        <v>400006.60116600001</v>
      </c>
      <c r="AA18" s="110">
        <f>[8]noerr!Y14</f>
        <v>400006.60116600001</v>
      </c>
      <c r="AB18" s="110">
        <f>[8]noerr!Z14</f>
        <v>392704.57175100001</v>
      </c>
      <c r="AC18" s="109">
        <f t="shared" si="1"/>
        <v>0</v>
      </c>
      <c r="AD18" s="112">
        <f t="shared" si="2"/>
        <v>0.67409799999999997</v>
      </c>
      <c r="AE18" s="109">
        <f t="shared" si="3"/>
        <v>18069.601348799999</v>
      </c>
      <c r="AF18" s="113">
        <f t="shared" si="8"/>
        <v>801.89619689994413</v>
      </c>
      <c r="AG18" s="114">
        <f t="shared" si="0"/>
        <v>2.4745286998941367</v>
      </c>
      <c r="AH18" s="114">
        <f t="shared" si="4"/>
        <v>66331.226517882271</v>
      </c>
      <c r="AI18" s="115">
        <f t="shared" si="9"/>
        <v>1064.8184729758175</v>
      </c>
      <c r="AJ18" s="31">
        <f>(K18-AA18)</f>
        <v>0</v>
      </c>
      <c r="AK18" s="113">
        <f t="shared" si="5"/>
        <v>7302.0294149999972</v>
      </c>
      <c r="AL18" s="116">
        <f t="shared" si="6"/>
        <v>7302.0294149999972</v>
      </c>
      <c r="AM18" s="117">
        <f t="shared" si="7"/>
        <v>54370.911024089983</v>
      </c>
      <c r="AN18" s="113">
        <f t="shared" si="10"/>
        <v>323.71930180996725</v>
      </c>
      <c r="AP18" s="110"/>
    </row>
    <row r="19" spans="1:45" x14ac:dyDescent="0.2">
      <c r="C19" s="34">
        <f>C18+$J$1</f>
        <v>20</v>
      </c>
      <c r="E19" s="3">
        <f>[8]noerr!C15</f>
        <v>28.524591000000001</v>
      </c>
      <c r="F19" s="3">
        <f>[8]noerr!D15</f>
        <v>3.9E-2</v>
      </c>
      <c r="G19" s="3">
        <f>[8]noerr!E15</f>
        <v>36.253123000000002</v>
      </c>
      <c r="H19" s="3">
        <f>[8]noerr!F15</f>
        <v>0.239595</v>
      </c>
      <c r="I19" s="3">
        <f>[8]noerr!G15</f>
        <v>555.43997200000001</v>
      </c>
      <c r="J19" s="3">
        <f>[8]noerr!H15</f>
        <v>300.37245999999999</v>
      </c>
      <c r="K19" s="3">
        <f>[8]noerr!I15</f>
        <v>400006.60116600001</v>
      </c>
      <c r="L19" s="33">
        <f>[8]noerr!J15</f>
        <v>27377.618789</v>
      </c>
      <c r="M19" s="3">
        <f>[8]noerr!K15</f>
        <v>400006.60116600001</v>
      </c>
      <c r="N19" s="3">
        <f>[8]noerr!L15</f>
        <v>36.253123000000002</v>
      </c>
      <c r="O19" s="33">
        <f>[8]noerr!M15</f>
        <v>503.414804</v>
      </c>
      <c r="P19" s="3">
        <f>[8]noerr!N15</f>
        <v>36.764221999999997</v>
      </c>
      <c r="Q19" s="3">
        <f>[8]noerr!O15</f>
        <v>36.09301</v>
      </c>
      <c r="R19" s="11">
        <f>[8]noerr!P15</f>
        <v>27373.976181999999</v>
      </c>
      <c r="S19" s="11">
        <f>[8]noerr!Q15</f>
        <v>26874.203985</v>
      </c>
      <c r="T19" s="3">
        <f>[8]noerr!R15</f>
        <v>133.09833699999999</v>
      </c>
      <c r="U19" s="3">
        <f>[8]noerr!S15</f>
        <v>135.57353000000001</v>
      </c>
      <c r="V19" s="3">
        <f>[8]noerr!T15</f>
        <v>36.257947000000001</v>
      </c>
      <c r="W19" s="3">
        <f>[8]noerr!U15</f>
        <v>36.932226</v>
      </c>
      <c r="X19" s="72">
        <f>[8]noerr!V15</f>
        <v>4.8240000000000002E-3</v>
      </c>
      <c r="Y19" s="3">
        <f>[8]noerr!W15</f>
        <v>0.67910300000000001</v>
      </c>
      <c r="Z19" s="33">
        <f>[8]noerr!X15</f>
        <v>400006.60116600001</v>
      </c>
      <c r="AA19" s="3">
        <f>[8]noerr!Y15</f>
        <v>399953.38006599998</v>
      </c>
      <c r="AB19" s="3">
        <f>[8]noerr!Z15</f>
        <v>392651.35065099999</v>
      </c>
      <c r="AC19">
        <f t="shared" si="1"/>
        <v>129.31021440000001</v>
      </c>
      <c r="AD19" s="20">
        <f t="shared" si="2"/>
        <v>0.68392700000000006</v>
      </c>
      <c r="AE19">
        <f t="shared" si="3"/>
        <v>18333.073591200002</v>
      </c>
      <c r="AF19" s="31">
        <f t="shared" si="8"/>
        <v>813.58861806026448</v>
      </c>
      <c r="AG19" s="102">
        <f t="shared" si="0"/>
        <v>2.5106097186647673</v>
      </c>
      <c r="AH19" s="102">
        <f t="shared" si="4"/>
        <v>67298.399874640279</v>
      </c>
      <c r="AI19" s="32">
        <f t="shared" si="9"/>
        <v>1080.3445548969516</v>
      </c>
      <c r="AJ19" s="31">
        <f>K18-AA19</f>
        <v>53.221100000024308</v>
      </c>
      <c r="AK19" s="113">
        <f t="shared" si="5"/>
        <v>7355.2505150000216</v>
      </c>
      <c r="AL19" s="38">
        <f t="shared" si="6"/>
        <v>7408.4716150000459</v>
      </c>
      <c r="AM19" s="26">
        <f t="shared" si="7"/>
        <v>55163.479645290339</v>
      </c>
      <c r="AN19" s="31">
        <f t="shared" si="10"/>
        <v>328.43818100214759</v>
      </c>
      <c r="AP19" s="11">
        <f>Z18-((L19-(O19-O18))*Z18/L19)</f>
        <v>53.221094817738049</v>
      </c>
      <c r="AQ19">
        <f>Z19-((L19-O19)*Z19/L19)</f>
        <v>7355.2505160016008</v>
      </c>
      <c r="AR19" s="3">
        <f>AP19+AQ19</f>
        <v>7408.4716108193388</v>
      </c>
    </row>
    <row r="20" spans="1:45" s="109" customFormat="1" x14ac:dyDescent="0.2">
      <c r="B20" s="109">
        <v>20</v>
      </c>
      <c r="C20" s="109">
        <v>20</v>
      </c>
      <c r="D20" s="110"/>
      <c r="E20" s="110">
        <f>[8]noerr!C16</f>
        <v>32.875489999999999</v>
      </c>
      <c r="F20" s="110">
        <f>[8]noerr!D16</f>
        <v>0.05</v>
      </c>
      <c r="G20" s="110">
        <f>[8]noerr!E16</f>
        <v>36.503937999999998</v>
      </c>
      <c r="H20" s="110">
        <f>[8]noerr!F16</f>
        <v>0.245362</v>
      </c>
      <c r="I20" s="110">
        <f>[8]noerr!G16</f>
        <v>546.10828300000003</v>
      </c>
      <c r="J20" s="110">
        <f>[8]noerr!H16</f>
        <v>305.70534199999997</v>
      </c>
      <c r="K20" s="110">
        <f>[8]noerr!I16</f>
        <v>400005.47470800002</v>
      </c>
      <c r="L20" s="33">
        <f>[8]noerr!J16</f>
        <v>27966.093796000001</v>
      </c>
      <c r="M20" s="110">
        <f>[8]noerr!K16</f>
        <v>400005.47470800002</v>
      </c>
      <c r="N20" s="110">
        <f>[8]noerr!L16</f>
        <v>36.503937999999998</v>
      </c>
      <c r="O20" s="33">
        <f>[8]noerr!M16</f>
        <v>524.54604300000005</v>
      </c>
      <c r="P20" s="110">
        <f>[8]noerr!N16</f>
        <v>36.516374999999996</v>
      </c>
      <c r="Q20" s="110">
        <f>[8]noerr!O16</f>
        <v>35.831456000000003</v>
      </c>
      <c r="R20" s="11">
        <f>[8]noerr!P16</f>
        <v>27966.093796000001</v>
      </c>
      <c r="S20" s="11">
        <f>[8]noerr!Q16</f>
        <v>27441.547752999999</v>
      </c>
      <c r="T20" s="110">
        <f>[8]noerr!R16</f>
        <v>133.994191</v>
      </c>
      <c r="U20" s="110">
        <f>[8]noerr!S16</f>
        <v>136.55549400000001</v>
      </c>
      <c r="V20" s="110">
        <f>[8]noerr!T16</f>
        <v>36.503937999999998</v>
      </c>
      <c r="W20" s="110">
        <f>[8]noerr!U16</f>
        <v>37.201712000000001</v>
      </c>
      <c r="X20" s="111">
        <f>[8]noerr!V16</f>
        <v>0</v>
      </c>
      <c r="Y20" s="110">
        <f>[8]noerr!W16</f>
        <v>0.69777400000000001</v>
      </c>
      <c r="Z20" s="33">
        <f>[8]noerr!X16</f>
        <v>400005.47470800002</v>
      </c>
      <c r="AA20" s="110">
        <f>[8]noerr!Y16</f>
        <v>400005.47470800002</v>
      </c>
      <c r="AB20" s="110">
        <f>[8]noerr!Z16</f>
        <v>392502.77195099997</v>
      </c>
      <c r="AC20" s="109">
        <f t="shared" si="1"/>
        <v>0</v>
      </c>
      <c r="AD20" s="112">
        <f t="shared" si="2"/>
        <v>0.69777400000000001</v>
      </c>
      <c r="AE20" s="109">
        <f t="shared" si="3"/>
        <v>18704.250734400001</v>
      </c>
      <c r="AF20" s="113">
        <f t="shared" si="8"/>
        <v>830.06078774252649</v>
      </c>
      <c r="AG20" s="114">
        <f t="shared" si="0"/>
        <v>2.5613040225551629</v>
      </c>
      <c r="AH20" s="114">
        <f t="shared" si="4"/>
        <v>68657.291107004668</v>
      </c>
      <c r="AI20" s="115">
        <f t="shared" si="9"/>
        <v>1102.1589033259891</v>
      </c>
      <c r="AJ20" s="31">
        <f>(K20-AA20)</f>
        <v>0</v>
      </c>
      <c r="AK20" s="113">
        <f t="shared" si="5"/>
        <v>7502.70275700005</v>
      </c>
      <c r="AL20" s="116">
        <f t="shared" si="6"/>
        <v>7502.70275700005</v>
      </c>
      <c r="AM20" s="117">
        <f t="shared" si="7"/>
        <v>55865.124728622373</v>
      </c>
      <c r="AN20" s="113">
        <f t="shared" si="10"/>
        <v>332.6157099825615</v>
      </c>
      <c r="AP20" s="110"/>
    </row>
    <row r="21" spans="1:45" x14ac:dyDescent="0.2">
      <c r="B21"/>
      <c r="C21" s="34">
        <f>C20+$J$1</f>
        <v>25</v>
      </c>
      <c r="E21" s="3">
        <f>[8]noerr!C17</f>
        <v>32.875489999999999</v>
      </c>
      <c r="F21" s="3">
        <f>[8]noerr!D17</f>
        <v>0.05</v>
      </c>
      <c r="G21" s="3">
        <f>[8]noerr!E17</f>
        <v>36.503937999999998</v>
      </c>
      <c r="H21" s="3">
        <f>[8]noerr!F17</f>
        <v>0.245362</v>
      </c>
      <c r="I21" s="3">
        <f>[8]noerr!G17</f>
        <v>546.10828300000003</v>
      </c>
      <c r="J21" s="3">
        <f>[8]noerr!H17</f>
        <v>305.70534199999997</v>
      </c>
      <c r="K21" s="3">
        <f>[8]noerr!I17</f>
        <v>400005.47470800002</v>
      </c>
      <c r="L21" s="33">
        <f>[8]noerr!J17</f>
        <v>27966.093796000001</v>
      </c>
      <c r="M21" s="3">
        <f>[8]noerr!K17</f>
        <v>400005.47470800002</v>
      </c>
      <c r="N21" s="3">
        <f>[8]noerr!L17</f>
        <v>36.503937999999998</v>
      </c>
      <c r="O21" s="33">
        <f>[8]noerr!M17</f>
        <v>528.63114399999995</v>
      </c>
      <c r="P21" s="3">
        <f>[8]noerr!N17</f>
        <v>36.511040999999999</v>
      </c>
      <c r="Q21" s="3">
        <f>[8]noerr!O17</f>
        <v>35.826121000000001</v>
      </c>
      <c r="R21" s="11">
        <f>[8]noerr!P17</f>
        <v>27962.008695</v>
      </c>
      <c r="S21" s="11">
        <f>[8]noerr!Q17</f>
        <v>27437.462651999998</v>
      </c>
      <c r="T21" s="3">
        <f>[8]noerr!R17</f>
        <v>134.013767</v>
      </c>
      <c r="U21" s="3">
        <f>[8]noerr!S17</f>
        <v>136.57582500000001</v>
      </c>
      <c r="V21" s="3">
        <f>[8]noerr!T17</f>
        <v>36.509270999999998</v>
      </c>
      <c r="W21" s="3">
        <f>[8]noerr!U17</f>
        <v>37.207250999999999</v>
      </c>
      <c r="X21" s="72">
        <f>[8]noerr!V17</f>
        <v>5.3330000000000001E-3</v>
      </c>
      <c r="Y21" s="3">
        <f>[8]noerr!W17</f>
        <v>0.70331299999999997</v>
      </c>
      <c r="Z21" s="33">
        <f>[8]noerr!X17</f>
        <v>400005.47470800002</v>
      </c>
      <c r="AA21" s="3">
        <f>[8]noerr!Y17</f>
        <v>399947.044567</v>
      </c>
      <c r="AB21" s="3">
        <f>[8]noerr!Z17</f>
        <v>392444.34181100002</v>
      </c>
      <c r="AC21">
        <f t="shared" si="1"/>
        <v>142.95426479999998</v>
      </c>
      <c r="AD21" s="20">
        <f t="shared" si="2"/>
        <v>0.708646</v>
      </c>
      <c r="AE21">
        <f t="shared" si="3"/>
        <v>18995.681217599998</v>
      </c>
      <c r="AF21" s="31">
        <f t="shared" si="8"/>
        <v>842.99394501742745</v>
      </c>
      <c r="AG21" s="102">
        <f t="shared" si="0"/>
        <v>2.6012116392523126</v>
      </c>
      <c r="AH21" s="102">
        <f t="shared" si="4"/>
        <v>69727.038717141797</v>
      </c>
      <c r="AI21" s="32">
        <f t="shared" si="9"/>
        <v>1119.3316148299541</v>
      </c>
      <c r="AJ21" s="31">
        <f>K20-AA21</f>
        <v>58.430141000018921</v>
      </c>
      <c r="AK21" s="113">
        <f t="shared" si="5"/>
        <v>7561.1328970000031</v>
      </c>
      <c r="AL21" s="38">
        <f t="shared" si="6"/>
        <v>7619.5630380000221</v>
      </c>
      <c r="AM21" s="26">
        <f t="shared" si="7"/>
        <v>56735.26638094816</v>
      </c>
      <c r="AN21" s="31">
        <f t="shared" si="10"/>
        <v>337.79645172223684</v>
      </c>
      <c r="AP21" s="11">
        <f>Z20-((L21-(O21-O20))*Z20/L21)</f>
        <v>58.430139606061857</v>
      </c>
      <c r="AQ21">
        <f>Z21-((L21-O21)*Z21/L21)</f>
        <v>7561.132893410977</v>
      </c>
      <c r="AR21" s="3">
        <f>AP21+AQ21</f>
        <v>7619.5630330170388</v>
      </c>
    </row>
    <row r="22" spans="1:45" s="109" customFormat="1" x14ac:dyDescent="0.2">
      <c r="B22" s="118">
        <v>25</v>
      </c>
      <c r="C22" s="109">
        <v>25</v>
      </c>
      <c r="D22" s="110"/>
      <c r="E22" s="110">
        <f>[8]noerr!C18</f>
        <v>37.284782999999997</v>
      </c>
      <c r="F22" s="110">
        <f>[8]noerr!D18</f>
        <v>6.3799999999999996E-2</v>
      </c>
      <c r="G22" s="110">
        <f>[8]noerr!E18</f>
        <v>36.773431000000002</v>
      </c>
      <c r="H22" s="110">
        <f>[8]noerr!F18</f>
        <v>0.25140200000000001</v>
      </c>
      <c r="I22" s="110">
        <f>[8]noerr!G18</f>
        <v>536.89422400000001</v>
      </c>
      <c r="J22" s="110">
        <f>[8]noerr!H18</f>
        <v>311.24775699999998</v>
      </c>
      <c r="K22" s="110">
        <f>[8]noerr!I18</f>
        <v>400001.47851599997</v>
      </c>
      <c r="L22" s="33">
        <f>[8]noerr!J18</f>
        <v>28568.135292999999</v>
      </c>
      <c r="M22" s="110">
        <f>[8]noerr!K18</f>
        <v>400001.47851599997</v>
      </c>
      <c r="N22" s="110">
        <f>[8]noerr!L18</f>
        <v>36.773431000000002</v>
      </c>
      <c r="O22" s="33">
        <f>[8]noerr!M18</f>
        <v>547.39770499999997</v>
      </c>
      <c r="P22" s="110">
        <f>[8]noerr!N18</f>
        <v>36.248403000000003</v>
      </c>
      <c r="Q22" s="110">
        <f>[8]noerr!O18</f>
        <v>35.553843000000001</v>
      </c>
      <c r="R22" s="11">
        <f>[8]noerr!P18</f>
        <v>28568.135292999999</v>
      </c>
      <c r="S22" s="11">
        <f>[8]noerr!Q18</f>
        <v>28020.737588</v>
      </c>
      <c r="T22" s="110">
        <f>[8]noerr!R18</f>
        <v>134.97607199999999</v>
      </c>
      <c r="U22" s="110">
        <f>[8]noerr!S18</f>
        <v>137.61288999999999</v>
      </c>
      <c r="V22" s="110">
        <f>[8]noerr!T18</f>
        <v>36.773431000000002</v>
      </c>
      <c r="W22" s="110">
        <f>[8]noerr!U18</f>
        <v>37.491816999999998</v>
      </c>
      <c r="X22" s="111">
        <f>[8]noerr!V18</f>
        <v>0</v>
      </c>
      <c r="Y22" s="110">
        <f>[8]noerr!W18</f>
        <v>0.71838599999999997</v>
      </c>
      <c r="Z22" s="33">
        <f>[8]noerr!X18</f>
        <v>400001.47851599997</v>
      </c>
      <c r="AA22" s="110">
        <f>[8]noerr!Y18</f>
        <v>400001.47851599997</v>
      </c>
      <c r="AB22" s="110">
        <f>[8]noerr!Z18</f>
        <v>392336.99888099998</v>
      </c>
      <c r="AC22" s="109">
        <f t="shared" si="1"/>
        <v>0</v>
      </c>
      <c r="AD22" s="112">
        <f t="shared" si="2"/>
        <v>0.71838599999999997</v>
      </c>
      <c r="AE22" s="109">
        <f t="shared" si="3"/>
        <v>19256.7677616</v>
      </c>
      <c r="AF22" s="113">
        <f t="shared" si="8"/>
        <v>854.58049320152747</v>
      </c>
      <c r="AG22" s="114">
        <f t="shared" si="0"/>
        <v>2.6368241545589797</v>
      </c>
      <c r="AH22" s="114">
        <f t="shared" si="4"/>
        <v>70681.653557446189</v>
      </c>
      <c r="AI22" s="115">
        <f t="shared" si="9"/>
        <v>1134.6560942628639</v>
      </c>
      <c r="AJ22" s="31">
        <f>(K22-AA22)</f>
        <v>0</v>
      </c>
      <c r="AK22" s="113">
        <f t="shared" si="5"/>
        <v>7664.4796349999961</v>
      </c>
      <c r="AL22" s="116">
        <f t="shared" si="6"/>
        <v>7664.4796349999961</v>
      </c>
      <c r="AM22" s="117">
        <f t="shared" si="7"/>
        <v>57069.715362209965</v>
      </c>
      <c r="AN22" s="113">
        <f t="shared" si="10"/>
        <v>339.78772957037069</v>
      </c>
      <c r="AP22" s="110"/>
    </row>
    <row r="23" spans="1:45" x14ac:dyDescent="0.2">
      <c r="C23" s="34">
        <f>C22+$J$1</f>
        <v>30</v>
      </c>
      <c r="E23" s="3">
        <f>[8]noerr!C19</f>
        <v>37.284782999999997</v>
      </c>
      <c r="F23" s="3">
        <f>[8]noerr!D19</f>
        <v>6.3799999999999996E-2</v>
      </c>
      <c r="G23" s="3">
        <f>[8]noerr!E19</f>
        <v>36.773431000000002</v>
      </c>
      <c r="H23" s="3">
        <f>[8]noerr!F19</f>
        <v>0.25140200000000001</v>
      </c>
      <c r="I23" s="3">
        <f>[8]noerr!G19</f>
        <v>536.89422400000001</v>
      </c>
      <c r="J23" s="3">
        <f>[8]noerr!H19</f>
        <v>311.24775699999998</v>
      </c>
      <c r="K23" s="3">
        <f>[8]noerr!I19</f>
        <v>400001.47851599997</v>
      </c>
      <c r="L23" s="33">
        <f>[8]noerr!J19</f>
        <v>28568.135292999999</v>
      </c>
      <c r="M23" s="3">
        <f>[8]noerr!K19</f>
        <v>400001.47851599997</v>
      </c>
      <c r="N23" s="3">
        <f>[8]noerr!L19</f>
        <v>36.773431000000002</v>
      </c>
      <c r="O23" s="33">
        <f>[8]noerr!M19</f>
        <v>551.87971000000005</v>
      </c>
      <c r="P23" s="3">
        <f>[8]noerr!N19</f>
        <v>36.242716000000001</v>
      </c>
      <c r="Q23" s="3">
        <f>[8]noerr!O19</f>
        <v>35.548155999999999</v>
      </c>
      <c r="R23" s="11">
        <f>[8]noerr!P19</f>
        <v>28563.653288000001</v>
      </c>
      <c r="S23" s="11">
        <f>[8]noerr!Q19</f>
        <v>28016.255582999998</v>
      </c>
      <c r="T23" s="3">
        <f>[8]noerr!R19</f>
        <v>134.99725100000001</v>
      </c>
      <c r="U23" s="3">
        <f>[8]noerr!S19</f>
        <v>137.634905</v>
      </c>
      <c r="V23" s="3">
        <f>[8]noerr!T19</f>
        <v>36.779201999999998</v>
      </c>
      <c r="W23" s="3">
        <f>[8]noerr!U19</f>
        <v>37.497815000000003</v>
      </c>
      <c r="X23" s="72">
        <f>[8]noerr!V19</f>
        <v>5.77E-3</v>
      </c>
      <c r="Y23" s="3">
        <f>[8]noerr!W19</f>
        <v>0.724383</v>
      </c>
      <c r="Z23" s="33">
        <f>[8]noerr!X19</f>
        <v>400001.47851599997</v>
      </c>
      <c r="AA23" s="3">
        <f>[8]noerr!Y19</f>
        <v>399938.72297599999</v>
      </c>
      <c r="AB23" s="3">
        <f>[8]noerr!Z19</f>
        <v>392274.24334099999</v>
      </c>
      <c r="AC23">
        <f t="shared" si="1"/>
        <v>154.66831199999999</v>
      </c>
      <c r="AD23" s="20">
        <f t="shared" si="2"/>
        <v>0.73015300000000005</v>
      </c>
      <c r="AE23">
        <f t="shared" si="3"/>
        <v>19572.1892568</v>
      </c>
      <c r="AF23" s="31">
        <f t="shared" si="8"/>
        <v>868.5783281586431</v>
      </c>
      <c r="AG23" s="102">
        <f t="shared" si="0"/>
        <v>2.6800147370963714</v>
      </c>
      <c r="AH23" s="102">
        <f t="shared" si="4"/>
        <v>71839.403036710486</v>
      </c>
      <c r="AI23" s="32">
        <f t="shared" si="9"/>
        <v>1153.2415041416698</v>
      </c>
      <c r="AJ23" s="31">
        <f>K22-AA23</f>
        <v>62.755539999983739</v>
      </c>
      <c r="AK23" s="113">
        <f t="shared" si="5"/>
        <v>7727.2351749999798</v>
      </c>
      <c r="AL23" s="38">
        <f t="shared" si="6"/>
        <v>7789.9907149999635</v>
      </c>
      <c r="AM23" s="26">
        <f t="shared" si="7"/>
        <v>58004.270863889724</v>
      </c>
      <c r="AN23" s="31">
        <f t="shared" si="10"/>
        <v>345.35198532419452</v>
      </c>
      <c r="AP23" s="11">
        <f>Z22-((L23-(O23-O22))*Z22/L23)</f>
        <v>62.755535435862839</v>
      </c>
      <c r="AQ23">
        <f>Z23-((L23-O23)*Z23/L23)</f>
        <v>7727.2351764964988</v>
      </c>
      <c r="AR23" s="3">
        <f>AP23+AQ23</f>
        <v>7789.9907119323616</v>
      </c>
    </row>
    <row r="24" spans="1:45" s="109" customFormat="1" x14ac:dyDescent="0.2">
      <c r="A24" s="109" t="s">
        <v>56</v>
      </c>
      <c r="B24" s="109">
        <v>15</v>
      </c>
      <c r="C24" s="109">
        <v>15</v>
      </c>
      <c r="D24" s="110"/>
      <c r="E24" s="110">
        <f>[8]noerr!C20</f>
        <v>30.054532999999999</v>
      </c>
      <c r="F24" s="110">
        <f>[8]noerr!D20</f>
        <v>4.2599999999999999E-2</v>
      </c>
      <c r="G24" s="110">
        <f>[8]noerr!E20</f>
        <v>36.374986</v>
      </c>
      <c r="H24" s="110">
        <f>[8]noerr!F20</f>
        <v>0.240346</v>
      </c>
      <c r="I24" s="110">
        <f>[8]noerr!G20</f>
        <v>555.56183499999997</v>
      </c>
      <c r="J24" s="110">
        <f>[8]noerr!H20</f>
        <v>302.07787400000001</v>
      </c>
      <c r="K24" s="110">
        <f>[8]noerr!I20</f>
        <v>400001.192507</v>
      </c>
      <c r="L24" s="33">
        <f>[8]noerr!J20</f>
        <v>27562.892220000002</v>
      </c>
      <c r="M24" s="110">
        <f>[8]noerr!K20</f>
        <v>400001.192507</v>
      </c>
      <c r="N24" s="110">
        <f>[8]noerr!L20</f>
        <v>36.374986</v>
      </c>
      <c r="O24" s="33">
        <f>[8]noerr!M20</f>
        <v>0</v>
      </c>
      <c r="P24" s="110">
        <f>[8]noerr!N20</f>
        <v>36.645435999999997</v>
      </c>
      <c r="Q24" s="110">
        <f>[8]noerr!O20</f>
        <v>35.912526999999997</v>
      </c>
      <c r="R24" s="11">
        <f>[8]noerr!P20</f>
        <v>27562.892220000002</v>
      </c>
      <c r="S24" s="11">
        <f>[8]noerr!Q20</f>
        <v>27011.634375000001</v>
      </c>
      <c r="T24" s="110">
        <f>[8]noerr!R20</f>
        <v>133.52710500000001</v>
      </c>
      <c r="U24" s="110">
        <f>[8]noerr!S20</f>
        <v>136.25214800000001</v>
      </c>
      <c r="V24" s="110">
        <f>[8]noerr!T20</f>
        <v>36.374986</v>
      </c>
      <c r="W24" s="110">
        <f>[8]noerr!U20</f>
        <v>37.117331999999998</v>
      </c>
      <c r="X24" s="111">
        <f>[8]noerr!V20</f>
        <v>0</v>
      </c>
      <c r="Y24" s="110">
        <f>[8]noerr!W20</f>
        <v>0.74234699999999998</v>
      </c>
      <c r="Z24" s="33">
        <f>[8]noerr!X20</f>
        <v>400001.192507</v>
      </c>
      <c r="AA24" s="110">
        <f>[8]noerr!Y20</f>
        <v>400001.192507</v>
      </c>
      <c r="AB24" s="110">
        <f>[8]noerr!Z20</f>
        <v>392001.168657</v>
      </c>
      <c r="AC24" s="109">
        <f t="shared" si="1"/>
        <v>0</v>
      </c>
      <c r="AD24" s="112">
        <f t="shared" si="2"/>
        <v>0.74234699999999998</v>
      </c>
      <c r="AE24" s="109">
        <f t="shared" si="3"/>
        <v>19899.056743199999</v>
      </c>
      <c r="AF24" s="113">
        <f>AE24*$AF$6/$AE$6</f>
        <v>883.08411548481502</v>
      </c>
      <c r="AG24" s="114">
        <f t="shared" si="0"/>
        <v>2.7250434122313436</v>
      </c>
      <c r="AH24" s="114">
        <f t="shared" si="4"/>
        <v>73046.423690908501</v>
      </c>
      <c r="AI24" s="115">
        <f t="shared" si="9"/>
        <v>1172.6178666382523</v>
      </c>
      <c r="AJ24" s="31">
        <f>(K24-AA24)</f>
        <v>0</v>
      </c>
      <c r="AK24" s="113">
        <f t="shared" si="5"/>
        <v>8000.0238499999978</v>
      </c>
      <c r="AL24" s="116">
        <f t="shared" si="6"/>
        <v>8000.0238499999978</v>
      </c>
      <c r="AM24" s="117">
        <f t="shared" si="7"/>
        <v>59568.177587099977</v>
      </c>
      <c r="AN24" s="113">
        <f t="shared" si="10"/>
        <v>354.6633391896691</v>
      </c>
      <c r="AP24" s="110"/>
    </row>
    <row r="25" spans="1:45" x14ac:dyDescent="0.2">
      <c r="C25" s="34">
        <f>C24+$J$1</f>
        <v>20</v>
      </c>
      <c r="E25" s="3">
        <f>[8]noerr!C21</f>
        <v>35.100561999999996</v>
      </c>
      <c r="F25" s="3">
        <f>[8]noerr!D21</f>
        <v>5.6599999999999998E-2</v>
      </c>
      <c r="G25" s="3">
        <f>[8]noerr!E21</f>
        <v>36.374986</v>
      </c>
      <c r="H25" s="3">
        <f>[8]noerr!F21</f>
        <v>0.240346</v>
      </c>
      <c r="I25" s="3">
        <f>[8]noerr!G21</f>
        <v>555.56183499999997</v>
      </c>
      <c r="J25" s="3">
        <f>[8]noerr!H21</f>
        <v>304.048473</v>
      </c>
      <c r="K25" s="3">
        <f>[8]noerr!I21</f>
        <v>394451.32479799999</v>
      </c>
      <c r="L25" s="33">
        <f>[8]noerr!J21</f>
        <v>27855.821821000001</v>
      </c>
      <c r="M25" s="3">
        <f>[8]noerr!K21</f>
        <v>400001.192507</v>
      </c>
      <c r="N25" s="3">
        <f>[8]noerr!L21</f>
        <v>36.374986</v>
      </c>
      <c r="O25" s="33">
        <f>[8]noerr!M21</f>
        <v>0</v>
      </c>
      <c r="P25" s="3">
        <f>[8]noerr!N21</f>
        <v>36.136994000000001</v>
      </c>
      <c r="Q25" s="3">
        <f>[8]noerr!O21</f>
        <v>35.414254</v>
      </c>
      <c r="R25" s="11">
        <f>[8]noerr!P21</f>
        <v>27855.821821000001</v>
      </c>
      <c r="S25" s="11">
        <f>[8]noerr!Q21</f>
        <v>27298.705385000001</v>
      </c>
      <c r="T25" s="3">
        <f>[8]noerr!R21</f>
        <v>135.40581</v>
      </c>
      <c r="U25" s="3">
        <f>[8]noerr!S21</f>
        <v>138.169194</v>
      </c>
      <c r="V25" s="3">
        <f>[8]noerr!T21</f>
        <v>36.886775999999998</v>
      </c>
      <c r="W25" s="3">
        <f>[8]noerr!U21</f>
        <v>37.639567</v>
      </c>
      <c r="X25" s="72">
        <f>[8]noerr!V21</f>
        <v>0.51178999999999997</v>
      </c>
      <c r="Y25" s="3">
        <f>[8]noerr!W21</f>
        <v>1.2645820000000001</v>
      </c>
      <c r="Z25" s="33">
        <f>[8]noerr!X21</f>
        <v>394451.32479799999</v>
      </c>
      <c r="AA25" s="3">
        <f>[8]noerr!Y21</f>
        <v>394451.32479799999</v>
      </c>
      <c r="AB25" s="3">
        <f>[8]noerr!Z21</f>
        <v>386562.29830199998</v>
      </c>
      <c r="AC25">
        <f t="shared" si="1"/>
        <v>13718.838024000001</v>
      </c>
      <c r="AD25" s="20">
        <f t="shared" si="2"/>
        <v>1.7763720000000001</v>
      </c>
      <c r="AE25">
        <f t="shared" si="3"/>
        <v>47616.717283199992</v>
      </c>
      <c r="AF25" s="31">
        <f t="shared" si="8"/>
        <v>2113.1437136433387</v>
      </c>
      <c r="AG25" s="102">
        <f t="shared" si="0"/>
        <v>6.5207925892772778</v>
      </c>
      <c r="AH25" s="102">
        <f t="shared" si="4"/>
        <v>174793.75783113102</v>
      </c>
      <c r="AI25" s="32">
        <f t="shared" si="9"/>
        <v>2805.9728738661665</v>
      </c>
      <c r="AJ25" s="31">
        <f>K24-AA25</f>
        <v>5549.8677090000128</v>
      </c>
      <c r="AK25" s="113">
        <f t="shared" si="5"/>
        <v>7889.0264960000059</v>
      </c>
      <c r="AL25" s="38">
        <f t="shared" si="6"/>
        <v>13438.894205000019</v>
      </c>
      <c r="AM25" s="26">
        <f t="shared" si="7"/>
        <v>100066.00625043013</v>
      </c>
      <c r="AN25" s="31">
        <f t="shared" si="10"/>
        <v>595.78361054036122</v>
      </c>
      <c r="AP25" s="131">
        <f>Z24-Z25</f>
        <v>5549.8677090000128</v>
      </c>
      <c r="AQ25">
        <f>Z25-((L25-L25*$AQ$1)*Z25/L25)</f>
        <v>7889.0264959600172</v>
      </c>
      <c r="AR25" s="3">
        <f>AP25+AQ25</f>
        <v>13438.89420496003</v>
      </c>
      <c r="AS25" s="3"/>
    </row>
    <row r="26" spans="1:45" s="109" customFormat="1" x14ac:dyDescent="0.2">
      <c r="B26" s="109">
        <v>20</v>
      </c>
      <c r="C26" s="109">
        <v>20</v>
      </c>
      <c r="D26" s="110"/>
      <c r="E26" s="110">
        <f>[8]noerr!C22</f>
        <v>35.068567999999999</v>
      </c>
      <c r="F26" s="110">
        <f>[8]noerr!D22</f>
        <v>5.6500000000000002E-2</v>
      </c>
      <c r="G26" s="110">
        <f>[8]noerr!E22</f>
        <v>36.689968</v>
      </c>
      <c r="H26" s="110">
        <f>[8]noerr!F22</f>
        <v>0.246526</v>
      </c>
      <c r="I26" s="110">
        <f>[8]noerr!G22</f>
        <v>546.29431299999999</v>
      </c>
      <c r="J26" s="110">
        <f>[8]noerr!H22</f>
        <v>308.28561999999999</v>
      </c>
      <c r="K26" s="110">
        <f>[8]noerr!I22</f>
        <v>400002.59985900001</v>
      </c>
      <c r="L26" s="33">
        <f>[8]noerr!J22</f>
        <v>28243.453119000002</v>
      </c>
      <c r="M26" s="110">
        <f>[8]noerr!K22</f>
        <v>400002.59985900001</v>
      </c>
      <c r="N26" s="110">
        <f>[8]noerr!L22</f>
        <v>36.689968</v>
      </c>
      <c r="O26" s="33">
        <f>[8]noerr!M22</f>
        <v>0</v>
      </c>
      <c r="P26" s="110">
        <f>[8]noerr!N22</f>
        <v>36.330964000000002</v>
      </c>
      <c r="Q26" s="110">
        <f>[8]noerr!O22</f>
        <v>35.604343999999998</v>
      </c>
      <c r="R26" s="11">
        <f>[8]noerr!P22</f>
        <v>28243.453119000002</v>
      </c>
      <c r="S26" s="11">
        <f>[8]noerr!Q22</f>
        <v>27678.584057</v>
      </c>
      <c r="T26" s="110">
        <f>[8]noerr!R22</f>
        <v>134.67576299999999</v>
      </c>
      <c r="U26" s="110">
        <f>[8]noerr!S22</f>
        <v>137.42424800000001</v>
      </c>
      <c r="V26" s="110">
        <f>[8]noerr!T22</f>
        <v>36.689968</v>
      </c>
      <c r="W26" s="110">
        <f>[8]noerr!U22</f>
        <v>37.438743000000002</v>
      </c>
      <c r="X26" s="111">
        <f>[8]noerr!V22</f>
        <v>0</v>
      </c>
      <c r="Y26" s="110">
        <f>[8]noerr!W22</f>
        <v>0.74877499999999997</v>
      </c>
      <c r="Z26" s="33">
        <f>[8]noerr!X22</f>
        <v>400002.59985900001</v>
      </c>
      <c r="AA26" s="110">
        <f>[8]noerr!Y22</f>
        <v>400002.59985900001</v>
      </c>
      <c r="AB26" s="110">
        <f>[8]noerr!Z22</f>
        <v>392002.54786200001</v>
      </c>
      <c r="AC26" s="109">
        <f t="shared" si="1"/>
        <v>0</v>
      </c>
      <c r="AD26" s="112">
        <f t="shared" si="2"/>
        <v>0.74877499999999997</v>
      </c>
      <c r="AE26" s="109">
        <f t="shared" si="3"/>
        <v>20071.363139999998</v>
      </c>
      <c r="AF26" s="113">
        <f t="shared" si="8"/>
        <v>890.73076145272</v>
      </c>
      <c r="AG26" s="114">
        <f t="shared" si="0"/>
        <v>2.7484852551252175</v>
      </c>
      <c r="AH26" s="114">
        <f t="shared" si="4"/>
        <v>73674.796354784514</v>
      </c>
      <c r="AI26" s="115">
        <f t="shared" si="9"/>
        <v>1182.7051642133667</v>
      </c>
      <c r="AJ26" s="31">
        <f>(K26-AA26)</f>
        <v>0</v>
      </c>
      <c r="AK26" s="113">
        <f t="shared" si="5"/>
        <v>8000.0519970000023</v>
      </c>
      <c r="AL26" s="116">
        <f t="shared" si="6"/>
        <v>8000.0519970000023</v>
      </c>
      <c r="AM26" s="117">
        <f t="shared" si="7"/>
        <v>59568.387169662012</v>
      </c>
      <c r="AN26" s="113">
        <f t="shared" si="10"/>
        <v>354.66458702457521</v>
      </c>
      <c r="AP26" s="110"/>
    </row>
    <row r="27" spans="1:45" x14ac:dyDescent="0.2">
      <c r="B27"/>
      <c r="C27" s="34">
        <f>C26+$J$1</f>
        <v>25</v>
      </c>
      <c r="E27" s="3">
        <f>[8]noerr!C23</f>
        <v>40.165919000000002</v>
      </c>
      <c r="F27" s="3">
        <f>[8]noerr!D23</f>
        <v>7.4499999999999997E-2</v>
      </c>
      <c r="G27" s="3">
        <f>[8]noerr!E23</f>
        <v>36.689968</v>
      </c>
      <c r="H27" s="3">
        <f>[8]noerr!F23</f>
        <v>0.246526</v>
      </c>
      <c r="I27" s="3">
        <f>[8]noerr!G23</f>
        <v>546.29431299999999</v>
      </c>
      <c r="J27" s="3">
        <f>[8]noerr!H23</f>
        <v>310.33072700000002</v>
      </c>
      <c r="K27" s="3">
        <f>[8]noerr!I23</f>
        <v>394339.32659399998</v>
      </c>
      <c r="L27" s="33">
        <f>[8]noerr!J23</f>
        <v>28534.549887000001</v>
      </c>
      <c r="M27" s="3">
        <f>[8]noerr!K23</f>
        <v>400002.59985900001</v>
      </c>
      <c r="N27" s="3">
        <f>[8]noerr!L23</f>
        <v>36.689968</v>
      </c>
      <c r="O27" s="33">
        <f>[8]noerr!M23</f>
        <v>0</v>
      </c>
      <c r="P27" s="3">
        <f>[8]noerr!N23</f>
        <v>35.816586000000001</v>
      </c>
      <c r="Q27" s="3">
        <f>[8]noerr!O23</f>
        <v>35.100254999999997</v>
      </c>
      <c r="R27" s="11">
        <f>[8]noerr!P23</f>
        <v>28534.549887000001</v>
      </c>
      <c r="S27" s="11">
        <f>[8]noerr!Q23</f>
        <v>27963.85889</v>
      </c>
      <c r="T27" s="3">
        <f>[8]noerr!R23</f>
        <v>136.60989900000001</v>
      </c>
      <c r="U27" s="3">
        <f>[8]noerr!S23</f>
        <v>139.39785599999999</v>
      </c>
      <c r="V27" s="3">
        <f>[8]noerr!T23</f>
        <v>37.216887999999997</v>
      </c>
      <c r="W27" s="3">
        <f>[8]noerr!U23</f>
        <v>37.976416999999998</v>
      </c>
      <c r="X27" s="72">
        <f>[8]noerr!V23</f>
        <v>0.52692000000000005</v>
      </c>
      <c r="Y27" s="3">
        <f>[8]noerr!W23</f>
        <v>1.286448</v>
      </c>
      <c r="Z27" s="33">
        <f>[8]noerr!X23</f>
        <v>394339.32659399998</v>
      </c>
      <c r="AA27" s="3">
        <f>[8]noerr!Y23</f>
        <v>394339.32659399998</v>
      </c>
      <c r="AB27" s="3">
        <f>[8]noerr!Z23</f>
        <v>386452.54006199999</v>
      </c>
      <c r="AC27">
        <f t="shared" si="1"/>
        <v>14124.406752000003</v>
      </c>
      <c r="AD27" s="20">
        <f t="shared" si="2"/>
        <v>1.8133680000000001</v>
      </c>
      <c r="AE27">
        <f t="shared" si="3"/>
        <v>48608.417260800001</v>
      </c>
      <c r="AF27" s="31">
        <f t="shared" si="8"/>
        <v>2157.1535633988797</v>
      </c>
      <c r="AG27" s="102">
        <f t="shared" si="0"/>
        <v>6.6562254483868344</v>
      </c>
      <c r="AH27" s="102">
        <f t="shared" si="4"/>
        <v>178424.11687927812</v>
      </c>
      <c r="AI27" s="32">
        <f t="shared" si="9"/>
        <v>2864.2512079319445</v>
      </c>
      <c r="AJ27" s="31">
        <f>K26-AA27</f>
        <v>5663.2732650000253</v>
      </c>
      <c r="AK27" s="113">
        <f t="shared" si="5"/>
        <v>7886.7865319999983</v>
      </c>
      <c r="AL27" s="38">
        <f t="shared" si="6"/>
        <v>13550.059797000024</v>
      </c>
      <c r="AM27" s="26">
        <f t="shared" si="7"/>
        <v>100893.74524846218</v>
      </c>
      <c r="AN27" s="31">
        <f t="shared" si="10"/>
        <v>600.71189085564038</v>
      </c>
      <c r="AP27" s="131">
        <f>Z26-Z27</f>
        <v>5663.2732650000253</v>
      </c>
      <c r="AQ27">
        <f>Z27-((L27-L27*$AQ$1)*Z27/L27)</f>
        <v>7886.7865318799741</v>
      </c>
      <c r="AR27" s="3">
        <f>AP27+AQ27</f>
        <v>13550.059796879999</v>
      </c>
      <c r="AS27" s="3">
        <f>AR27+(Z22-Z26)</f>
        <v>13548.938453879964</v>
      </c>
    </row>
    <row r="28" spans="1:45" s="109" customFormat="1" x14ac:dyDescent="0.2">
      <c r="B28" s="118">
        <v>25</v>
      </c>
      <c r="C28" s="109">
        <v>25</v>
      </c>
      <c r="D28" s="110"/>
      <c r="E28" s="110">
        <f>[8]noerr!C24</f>
        <v>40.039518000000001</v>
      </c>
      <c r="F28" s="110">
        <f>[8]noerr!D24</f>
        <v>7.3999999999999996E-2</v>
      </c>
      <c r="G28" s="110">
        <f>[8]noerr!E24</f>
        <v>37.016924000000003</v>
      </c>
      <c r="H28" s="110">
        <f>[8]noerr!F24</f>
        <v>0.25294800000000001</v>
      </c>
      <c r="I28" s="110">
        <f>[8]noerr!G24</f>
        <v>537.13771599999995</v>
      </c>
      <c r="J28" s="110">
        <f>[8]noerr!H24</f>
        <v>314.62108499999999</v>
      </c>
      <c r="K28" s="110">
        <f>[8]noerr!I24</f>
        <v>400001.16744500003</v>
      </c>
      <c r="L28" s="33">
        <f>[8]noerr!J24</f>
        <v>28926.897175999999</v>
      </c>
      <c r="M28" s="110">
        <f>[8]noerr!K24</f>
        <v>400001.16744500003</v>
      </c>
      <c r="N28" s="110">
        <f>[8]noerr!L24</f>
        <v>37.016924000000003</v>
      </c>
      <c r="O28" s="33">
        <f>[8]noerr!M24</f>
        <v>0</v>
      </c>
      <c r="P28" s="110">
        <f>[8]noerr!N24</f>
        <v>36.009937999999998</v>
      </c>
      <c r="Q28" s="110">
        <f>[8]noerr!O24</f>
        <v>35.289738999999997</v>
      </c>
      <c r="R28" s="11">
        <f>[8]noerr!P24</f>
        <v>28926.897175999999</v>
      </c>
      <c r="S28" s="11">
        <f>[8]noerr!Q24</f>
        <v>28348.359232999999</v>
      </c>
      <c r="T28" s="110">
        <f>[8]noerr!R24</f>
        <v>135.86817300000001</v>
      </c>
      <c r="U28" s="110">
        <f>[8]noerr!S24</f>
        <v>138.64099200000001</v>
      </c>
      <c r="V28" s="110">
        <f>[8]noerr!T24</f>
        <v>37.016924000000003</v>
      </c>
      <c r="W28" s="110">
        <f>[8]noerr!U24</f>
        <v>37.772371</v>
      </c>
      <c r="X28" s="111">
        <f>[8]noerr!V24</f>
        <v>0</v>
      </c>
      <c r="Y28" s="110">
        <f>[8]noerr!W24</f>
        <v>0.75544699999999998</v>
      </c>
      <c r="Z28" s="33">
        <f>[8]noerr!X24</f>
        <v>400001.16744500003</v>
      </c>
      <c r="AA28" s="110">
        <f>[8]noerr!Y24</f>
        <v>400001.16744500003</v>
      </c>
      <c r="AB28" s="110">
        <f>[8]noerr!Z24</f>
        <v>392001.144096</v>
      </c>
      <c r="AC28" s="109">
        <f t="shared" si="1"/>
        <v>0</v>
      </c>
      <c r="AD28" s="112">
        <f t="shared" si="2"/>
        <v>0.75544699999999998</v>
      </c>
      <c r="AE28" s="109">
        <f t="shared" si="3"/>
        <v>20250.210103199999</v>
      </c>
      <c r="AF28" s="113">
        <f t="shared" si="8"/>
        <v>898.66766591722876</v>
      </c>
      <c r="AG28" s="114">
        <f t="shared" si="0"/>
        <v>2.7728129368939562</v>
      </c>
      <c r="AH28" s="114">
        <f t="shared" si="4"/>
        <v>74326.914461204637</v>
      </c>
      <c r="AI28" s="115">
        <f t="shared" si="9"/>
        <v>1193.1736485567242</v>
      </c>
      <c r="AJ28" s="31">
        <f>(K28-AA28)</f>
        <v>0</v>
      </c>
      <c r="AK28" s="113">
        <f t="shared" si="5"/>
        <v>8000.0233490000246</v>
      </c>
      <c r="AL28" s="116">
        <f t="shared" si="6"/>
        <v>8000.0233490000246</v>
      </c>
      <c r="AM28" s="117">
        <f t="shared" si="7"/>
        <v>59568.173856654175</v>
      </c>
      <c r="AN28" s="113">
        <f t="shared" si="10"/>
        <v>354.66331697894486</v>
      </c>
      <c r="AP28" s="110"/>
    </row>
    <row r="29" spans="1:45" x14ac:dyDescent="0.2">
      <c r="C29" s="34">
        <f>C28+$J$1</f>
        <v>30</v>
      </c>
      <c r="E29" s="3">
        <f>[8]noerr!C25</f>
        <v>45.011369999999999</v>
      </c>
      <c r="F29" s="3">
        <f>[8]noerr!D25</f>
        <v>9.6000000000000002E-2</v>
      </c>
      <c r="G29" s="3">
        <f>[8]noerr!E25</f>
        <v>37.016924000000003</v>
      </c>
      <c r="H29" s="3">
        <f>[8]noerr!F25</f>
        <v>0.25294800000000001</v>
      </c>
      <c r="I29" s="3">
        <f>[8]noerr!G25</f>
        <v>537.13771599999995</v>
      </c>
      <c r="J29" s="3">
        <f>[8]noerr!H25</f>
        <v>316.67014999999998</v>
      </c>
      <c r="K29" s="3">
        <f>[8]noerr!I25</f>
        <v>394419.95926899998</v>
      </c>
      <c r="L29" s="33">
        <f>[8]noerr!J25</f>
        <v>29208.228358</v>
      </c>
      <c r="M29" s="3">
        <f>[8]noerr!K25</f>
        <v>400001.16744500003</v>
      </c>
      <c r="N29" s="3">
        <f>[8]noerr!L25</f>
        <v>37.016924000000003</v>
      </c>
      <c r="O29" s="33">
        <f>[8]noerr!M25</f>
        <v>0</v>
      </c>
      <c r="P29" s="3">
        <f>[8]noerr!N25</f>
        <v>35.507491999999999</v>
      </c>
      <c r="Q29" s="3">
        <f>[8]noerr!O25</f>
        <v>34.797342</v>
      </c>
      <c r="R29" s="11">
        <f>[8]noerr!P25</f>
        <v>29208.228358</v>
      </c>
      <c r="S29" s="11">
        <f>[8]noerr!Q25</f>
        <v>28624.063791</v>
      </c>
      <c r="T29" s="3">
        <f>[8]noerr!R25</f>
        <v>137.790764</v>
      </c>
      <c r="U29" s="3">
        <f>[8]noerr!S25</f>
        <v>140.60282100000001</v>
      </c>
      <c r="V29" s="3">
        <f>[8]noerr!T25</f>
        <v>37.540728999999999</v>
      </c>
      <c r="W29" s="3">
        <f>[8]noerr!U25</f>
        <v>38.306865999999999</v>
      </c>
      <c r="X29" s="72">
        <f>[8]noerr!V25</f>
        <v>0.52380499999999997</v>
      </c>
      <c r="Y29" s="3">
        <f>[8]noerr!W25</f>
        <v>1.2899419999999999</v>
      </c>
      <c r="Z29" s="33">
        <f>[8]noerr!X25</f>
        <v>394419.95926899998</v>
      </c>
      <c r="AA29" s="3">
        <f>[8]noerr!Y25</f>
        <v>394419.95926899998</v>
      </c>
      <c r="AB29" s="3">
        <f>[8]noerr!Z25</f>
        <v>386531.560084</v>
      </c>
      <c r="AC29">
        <f t="shared" si="1"/>
        <v>14040.907307999998</v>
      </c>
      <c r="AD29" s="20">
        <f t="shared" si="2"/>
        <v>1.8137469999999998</v>
      </c>
      <c r="AE29">
        <f>AD29*3600*$AG$1/1000</f>
        <v>48618.576583199996</v>
      </c>
      <c r="AF29" s="31">
        <f t="shared" si="8"/>
        <v>2157.6044157358174</v>
      </c>
      <c r="AG29" s="102">
        <f t="shared" si="0"/>
        <v>6.6572256503138192</v>
      </c>
      <c r="AH29" s="102">
        <f t="shared" si="4"/>
        <v>178450.9278920521</v>
      </c>
      <c r="AI29" s="32">
        <f t="shared" si="9"/>
        <v>2864.6816064513087</v>
      </c>
      <c r="AJ29" s="31">
        <f>K28-AA29</f>
        <v>5581.2081760000437</v>
      </c>
      <c r="AK29" s="113">
        <f t="shared" si="5"/>
        <v>7888.3991849999875</v>
      </c>
      <c r="AL29" s="38">
        <f>AK29+AJ29</f>
        <v>13469.607361000031</v>
      </c>
      <c r="AM29" s="26">
        <f t="shared" si="7"/>
        <v>100294.69641000623</v>
      </c>
      <c r="AN29" s="31">
        <f t="shared" si="10"/>
        <v>597.14521028909428</v>
      </c>
      <c r="AP29" s="131">
        <f>Z28-Z29</f>
        <v>5581.2081760000437</v>
      </c>
      <c r="AQ29">
        <f>Z29-((L29-L29*$AQ$1)*Z29/L29)</f>
        <v>7888.3991853799671</v>
      </c>
      <c r="AR29" s="3">
        <f>AP29+AQ29</f>
        <v>13469.607361380011</v>
      </c>
      <c r="AS29" s="3">
        <f>AR29+(Z24-Z28)</f>
        <v>13469.632423379982</v>
      </c>
    </row>
    <row r="30" spans="1:45" x14ac:dyDescent="0.2">
      <c r="AS30" s="3">
        <f>AR30+(Z25-Z29)</f>
        <v>31.365529000002425</v>
      </c>
    </row>
    <row r="31" spans="1:45" x14ac:dyDescent="0.2">
      <c r="AP31" s="134" t="s">
        <v>102</v>
      </c>
      <c r="AQ31" s="132"/>
      <c r="AR31" s="1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A2" zoomScale="150" zoomScaleNormal="150" workbookViewId="0">
      <pane xSplit="2" topLeftCell="O1" activePane="topRight" state="frozen"/>
      <selection activeCell="AS27" sqref="AS27"/>
      <selection pane="topRight" activeCell="AS27" sqref="AS27"/>
    </sheetView>
  </sheetViews>
  <sheetFormatPr baseColWidth="10" defaultColWidth="8.83203125" defaultRowHeight="15" x14ac:dyDescent="0.2"/>
  <cols>
    <col min="2" max="2" width="9.1640625" style="10" customWidth="1"/>
    <col min="3" max="3" width="10.5" customWidth="1"/>
    <col min="4" max="4" width="11.83203125" style="3" hidden="1" customWidth="1"/>
    <col min="5" max="6" width="10.83203125" style="3" hidden="1" customWidth="1"/>
    <col min="7" max="7" width="10" style="34" hidden="1" customWidth="1"/>
    <col min="8" max="8" width="8.5" style="3" hidden="1" customWidth="1"/>
    <col min="9" max="9" width="8.5" style="34" hidden="1" customWidth="1"/>
    <col min="10" max="10" width="16.33203125" style="34" hidden="1" customWidth="1"/>
    <col min="11" max="11" width="10" style="34" customWidth="1"/>
    <col min="12" max="12" width="16.33203125" style="34" customWidth="1"/>
    <col min="13" max="13" width="9.1640625" style="3" customWidth="1"/>
    <col min="14" max="14" width="12" style="3" hidden="1" customWidth="1"/>
    <col min="15" max="15" width="16.33203125" style="42" customWidth="1"/>
    <col min="16" max="16" width="14.83203125" style="34" hidden="1" customWidth="1"/>
    <col min="17" max="17" width="21.1640625" style="39" hidden="1" customWidth="1"/>
    <col min="18" max="18" width="15.6640625" style="34" hidden="1" customWidth="1"/>
    <col min="19" max="19" width="20.33203125" style="3" hidden="1" customWidth="1"/>
    <col min="20" max="20" width="14.1640625" style="17" hidden="1" customWidth="1"/>
    <col min="21" max="21" width="21" style="3" hidden="1" customWidth="1"/>
    <col min="22" max="22" width="11.33203125" style="20" hidden="1" customWidth="1"/>
    <col min="23" max="23" width="18" style="23" hidden="1" customWidth="1"/>
    <col min="24" max="24" width="12.33203125" style="72" hidden="1" customWidth="1"/>
    <col min="25" max="25" width="19" style="20" hidden="1" customWidth="1"/>
    <col min="26" max="26" width="11.6640625" style="20" customWidth="1"/>
    <col min="27" max="28" width="20" style="3" customWidth="1"/>
    <col min="29" max="29" width="12.6640625" style="20" hidden="1" customWidth="1"/>
    <col min="30" max="30" width="10.83203125" style="20" hidden="1" customWidth="1"/>
    <col min="31" max="31" width="10.83203125" hidden="1" customWidth="1"/>
    <col min="32" max="32" width="8.6640625" style="31" hidden="1" customWidth="1"/>
    <col min="33" max="34" width="18.1640625" style="102" hidden="1" customWidth="1"/>
    <col min="35" max="35" width="18" style="32" hidden="1" customWidth="1"/>
    <col min="36" max="37" width="18" style="31" customWidth="1"/>
    <col min="39" max="39" width="12" hidden="1" customWidth="1"/>
    <col min="40" max="40" width="8.6640625" style="31" hidden="1" customWidth="1"/>
  </cols>
  <sheetData>
    <row r="1" spans="1:45" ht="16" x14ac:dyDescent="0.2">
      <c r="B1" s="8"/>
      <c r="C1" s="19" t="s">
        <v>19</v>
      </c>
      <c r="D1" s="33">
        <v>30</v>
      </c>
      <c r="F1" s="11"/>
      <c r="G1" s="38"/>
      <c r="I1" s="37" t="s">
        <v>21</v>
      </c>
      <c r="J1" s="37">
        <v>7</v>
      </c>
      <c r="L1" s="34" t="s">
        <v>96</v>
      </c>
      <c r="O1" s="34" t="s">
        <v>97</v>
      </c>
      <c r="AC1" s="46"/>
      <c r="AD1" s="26"/>
      <c r="AE1" t="s">
        <v>39</v>
      </c>
      <c r="AG1" s="102">
        <f>365*24*0.85</f>
        <v>7446</v>
      </c>
      <c r="AQ1">
        <v>0.02</v>
      </c>
    </row>
    <row r="2" spans="1:45" x14ac:dyDescent="0.2">
      <c r="B2" s="9"/>
      <c r="L2" s="34" t="s">
        <v>99</v>
      </c>
      <c r="O2" s="42" t="s">
        <v>98</v>
      </c>
      <c r="P2" s="34" t="s">
        <v>22</v>
      </c>
      <c r="AC2" s="47"/>
      <c r="AD2" s="27"/>
      <c r="AG2" s="103"/>
    </row>
    <row r="3" spans="1:45" s="1" customFormat="1" ht="16" x14ac:dyDescent="0.2">
      <c r="B3" s="12" t="s">
        <v>9</v>
      </c>
      <c r="C3" s="2" t="s">
        <v>0</v>
      </c>
      <c r="D3" s="4" t="s">
        <v>1</v>
      </c>
      <c r="E3" s="4" t="s">
        <v>2</v>
      </c>
      <c r="F3" s="4" t="s">
        <v>3</v>
      </c>
      <c r="G3" s="35" t="s">
        <v>18</v>
      </c>
      <c r="H3" s="16" t="s">
        <v>16</v>
      </c>
      <c r="I3" s="35" t="s">
        <v>17</v>
      </c>
      <c r="J3" s="35" t="s">
        <v>23</v>
      </c>
      <c r="K3" s="35" t="s">
        <v>24</v>
      </c>
      <c r="L3" s="125" t="s">
        <v>25</v>
      </c>
      <c r="M3" s="16" t="s">
        <v>34</v>
      </c>
      <c r="N3" s="16" t="s">
        <v>35</v>
      </c>
      <c r="O3" s="122" t="s">
        <v>36</v>
      </c>
      <c r="P3" s="4" t="s">
        <v>11</v>
      </c>
      <c r="Q3" s="4" t="s">
        <v>26</v>
      </c>
      <c r="R3" s="126" t="s">
        <v>12</v>
      </c>
      <c r="S3" s="40" t="s">
        <v>27</v>
      </c>
      <c r="T3" s="40" t="s">
        <v>13</v>
      </c>
      <c r="U3" s="40" t="s">
        <v>28</v>
      </c>
      <c r="V3" s="22" t="s">
        <v>14</v>
      </c>
      <c r="W3" s="22" t="s">
        <v>29</v>
      </c>
      <c r="X3" s="99" t="s">
        <v>15</v>
      </c>
      <c r="Y3" s="22" t="s">
        <v>30</v>
      </c>
      <c r="Z3" s="119" t="s">
        <v>31</v>
      </c>
      <c r="AA3" s="5" t="s">
        <v>32</v>
      </c>
      <c r="AB3" s="5" t="s">
        <v>33</v>
      </c>
      <c r="AC3" s="24" t="s">
        <v>43</v>
      </c>
      <c r="AD3" s="24" t="s">
        <v>44</v>
      </c>
      <c r="AE3" s="24" t="s">
        <v>37</v>
      </c>
      <c r="AF3" s="51"/>
      <c r="AG3" s="50" t="s">
        <v>41</v>
      </c>
      <c r="AH3" s="50" t="s">
        <v>41</v>
      </c>
      <c r="AI3" s="106" t="s">
        <v>41</v>
      </c>
      <c r="AJ3" s="51" t="s">
        <v>94</v>
      </c>
      <c r="AK3" s="51" t="s">
        <v>95</v>
      </c>
      <c r="AL3" s="14" t="s">
        <v>45</v>
      </c>
      <c r="AM3" s="14" t="s">
        <v>42</v>
      </c>
      <c r="AN3" s="51"/>
      <c r="AP3" s="51" t="s">
        <v>94</v>
      </c>
      <c r="AQ3" s="51" t="s">
        <v>95</v>
      </c>
      <c r="AR3" s="14" t="s">
        <v>45</v>
      </c>
      <c r="AS3" s="14" t="s">
        <v>103</v>
      </c>
    </row>
    <row r="4" spans="1:45" s="1" customFormat="1" ht="16" x14ac:dyDescent="0.2">
      <c r="B4" s="13" t="s">
        <v>4</v>
      </c>
      <c r="C4" s="2" t="s">
        <v>4</v>
      </c>
      <c r="D4" s="4" t="s">
        <v>4</v>
      </c>
      <c r="E4" s="4" t="s">
        <v>4</v>
      </c>
      <c r="F4" s="4" t="s">
        <v>5</v>
      </c>
      <c r="G4" s="36" t="s">
        <v>6</v>
      </c>
      <c r="H4" s="16" t="s">
        <v>7</v>
      </c>
      <c r="I4" s="36" t="s">
        <v>6</v>
      </c>
      <c r="J4" s="36" t="s">
        <v>6</v>
      </c>
      <c r="K4" s="35" t="s">
        <v>10</v>
      </c>
      <c r="L4" s="123" t="s">
        <v>6</v>
      </c>
      <c r="M4" s="35" t="s">
        <v>10</v>
      </c>
      <c r="N4" s="36" t="s">
        <v>6</v>
      </c>
      <c r="O4" s="123" t="s">
        <v>6</v>
      </c>
      <c r="P4" s="4" t="s">
        <v>7</v>
      </c>
      <c r="Q4" s="4" t="s">
        <v>7</v>
      </c>
      <c r="R4" s="126" t="s">
        <v>6</v>
      </c>
      <c r="S4" s="40" t="s">
        <v>6</v>
      </c>
      <c r="T4" s="36" t="s">
        <v>6</v>
      </c>
      <c r="U4" s="36" t="s">
        <v>6</v>
      </c>
      <c r="V4" s="21" t="s">
        <v>6</v>
      </c>
      <c r="W4" s="22" t="s">
        <v>6</v>
      </c>
      <c r="X4" s="100" t="s">
        <v>6</v>
      </c>
      <c r="Y4" s="22" t="s">
        <v>6</v>
      </c>
      <c r="Z4" s="120" t="s">
        <v>10</v>
      </c>
      <c r="AA4" s="4" t="s">
        <v>10</v>
      </c>
      <c r="AB4" s="4" t="s">
        <v>10</v>
      </c>
      <c r="AC4" s="21" t="s">
        <v>40</v>
      </c>
      <c r="AD4" s="21" t="s">
        <v>38</v>
      </c>
      <c r="AE4" s="21" t="s">
        <v>40</v>
      </c>
      <c r="AF4" s="52"/>
      <c r="AG4" s="104" t="s">
        <v>38</v>
      </c>
      <c r="AH4" s="104" t="s">
        <v>40</v>
      </c>
      <c r="AI4" s="107" t="s">
        <v>46</v>
      </c>
      <c r="AJ4" s="52" t="s">
        <v>100</v>
      </c>
      <c r="AK4" s="52" t="s">
        <v>100</v>
      </c>
      <c r="AL4" s="14" t="s">
        <v>10</v>
      </c>
      <c r="AM4" s="48" t="s">
        <v>8</v>
      </c>
      <c r="AN4" s="52" t="s">
        <v>46</v>
      </c>
      <c r="AP4" s="52" t="s">
        <v>101</v>
      </c>
      <c r="AQ4" s="52" t="s">
        <v>101</v>
      </c>
      <c r="AR4" s="14" t="s">
        <v>10</v>
      </c>
    </row>
    <row r="5" spans="1:45" s="1" customFormat="1" ht="16" x14ac:dyDescent="0.2">
      <c r="C5" s="2"/>
      <c r="D5" s="4"/>
      <c r="E5" s="4"/>
      <c r="F5" s="4"/>
      <c r="G5" s="36"/>
      <c r="H5" s="4"/>
      <c r="I5" s="36"/>
      <c r="J5" s="36"/>
      <c r="K5" s="36"/>
      <c r="L5" s="123"/>
      <c r="M5" s="4"/>
      <c r="N5" s="4"/>
      <c r="O5" s="124"/>
      <c r="P5" s="36"/>
      <c r="Q5" s="41"/>
      <c r="R5" s="40"/>
      <c r="S5" s="127"/>
      <c r="T5" s="18"/>
      <c r="U5" s="6"/>
      <c r="V5" s="45"/>
      <c r="W5" s="44"/>
      <c r="X5" s="101"/>
      <c r="Y5" s="25"/>
      <c r="Z5" s="121"/>
      <c r="AA5" s="43"/>
      <c r="AB5" s="43"/>
      <c r="AD5" s="24"/>
      <c r="AF5" s="53"/>
      <c r="AG5" s="105"/>
      <c r="AH5" s="105"/>
      <c r="AI5" s="108"/>
      <c r="AJ5" s="53"/>
      <c r="AK5" s="53"/>
      <c r="AN5" s="53"/>
    </row>
    <row r="6" spans="1:45" s="109" customFormat="1" x14ac:dyDescent="0.2">
      <c r="A6" s="109" t="s">
        <v>49</v>
      </c>
      <c r="B6" s="109">
        <v>15</v>
      </c>
      <c r="C6" s="109">
        <v>15</v>
      </c>
      <c r="D6" s="110"/>
      <c r="E6" s="110">
        <f>[9]noerr!C2</f>
        <v>30.619267000000001</v>
      </c>
      <c r="F6" s="110">
        <f>[9]noerr!D2</f>
        <v>4.3999999999999997E-2</v>
      </c>
      <c r="G6" s="110">
        <f>[9]noerr!E2</f>
        <v>14.842523</v>
      </c>
      <c r="H6" s="110">
        <f>[9]noerr!F2</f>
        <v>6.3841999999999996E-2</v>
      </c>
      <c r="I6" s="110">
        <f>[9]noerr!G2</f>
        <v>642.70793100000003</v>
      </c>
      <c r="J6" s="110">
        <f>[9]noerr!H2</f>
        <v>73.470472000000001</v>
      </c>
      <c r="K6" s="110">
        <f>[9]noerr!I2</f>
        <v>400003.819135</v>
      </c>
      <c r="L6" s="33">
        <f>[9]noerr!J2</f>
        <v>5435.2193049999996</v>
      </c>
      <c r="M6" s="110">
        <f>[9]noerr!K2</f>
        <v>400003.69135899999</v>
      </c>
      <c r="N6" s="110">
        <f>[9]noerr!L2</f>
        <v>14.84252</v>
      </c>
      <c r="O6" s="33">
        <f>[9]noerr!M2</f>
        <v>112.371447</v>
      </c>
      <c r="P6" s="110">
        <f>[9]noerr!N2</f>
        <v>53.883540000000004</v>
      </c>
      <c r="Q6" s="110">
        <f>[9]noerr!O2</f>
        <v>53.540500000000002</v>
      </c>
      <c r="R6" s="11">
        <f>[9]noerr!P2</f>
        <v>5435.2192530000002</v>
      </c>
      <c r="S6" s="11">
        <f>[9]noerr!Q2</f>
        <v>5322.8478580000001</v>
      </c>
      <c r="T6" s="110">
        <f>[9]noerr!R2</f>
        <v>41.03154</v>
      </c>
      <c r="U6" s="110">
        <f>[9]noerr!S2</f>
        <v>41.294432999999998</v>
      </c>
      <c r="V6" s="110">
        <f>[9]noerr!T2</f>
        <v>14.842518999999999</v>
      </c>
      <c r="W6" s="110">
        <f>[9]noerr!U2</f>
        <v>14.937616</v>
      </c>
      <c r="X6" s="111">
        <f>[9]noerr!V2</f>
        <v>-9.9999999999999995E-7</v>
      </c>
      <c r="Y6" s="110">
        <f>[9]noerr!W2</f>
        <v>9.5096E-2</v>
      </c>
      <c r="Z6" s="33">
        <f>[9]noerr!X2</f>
        <v>123172.41274</v>
      </c>
      <c r="AA6" s="110">
        <f>[9]noerr!Y2</f>
        <v>400003.81794699997</v>
      </c>
      <c r="AB6" s="110">
        <f>[9]noerr!Z2</f>
        <v>397457.26830200001</v>
      </c>
      <c r="AC6" s="109">
        <f>X6*3600*$AG$1/1000</f>
        <v>-2.6805599999999999E-2</v>
      </c>
      <c r="AD6" s="112">
        <f>X6+Y6</f>
        <v>9.5094999999999999E-2</v>
      </c>
      <c r="AE6" s="109">
        <f>AD6*3600*$AG$1/1000</f>
        <v>2549.0785319999995</v>
      </c>
      <c r="AF6" s="113">
        <f>100</f>
        <v>100</v>
      </c>
      <c r="AG6" s="114">
        <f t="shared" ref="AG6:AG29" si="0">(H6*I6*(AD6+N6)/N6)-(H6*I6)</f>
        <v>0.26288764924083807</v>
      </c>
      <c r="AH6" s="114">
        <f>AG6*3600*$AG$1/1000</f>
        <v>7046.8611704902087</v>
      </c>
      <c r="AI6" s="115">
        <f>100</f>
        <v>100</v>
      </c>
      <c r="AJ6" s="113">
        <f>(K6-AA6)</f>
        <v>1.188000023830682E-3</v>
      </c>
      <c r="AK6" s="113">
        <f>(K6-AB6)</f>
        <v>2546.5508329999866</v>
      </c>
      <c r="AL6" s="116">
        <f>AK6+AJ6</f>
        <v>2546.5520210000104</v>
      </c>
      <c r="AM6" s="117">
        <f>AL6/1000*24*365*0.85</f>
        <v>18961.626348366073</v>
      </c>
      <c r="AN6" s="113">
        <f>100</f>
        <v>100</v>
      </c>
      <c r="AP6" s="110"/>
    </row>
    <row r="7" spans="1:45" x14ac:dyDescent="0.2">
      <c r="C7" s="34">
        <f>C6+$J$1</f>
        <v>22</v>
      </c>
      <c r="E7" s="3">
        <f>[9]noerr!C3</f>
        <v>30.619267000000001</v>
      </c>
      <c r="F7" s="3">
        <f>[9]noerr!D3</f>
        <v>4.3999999999999997E-2</v>
      </c>
      <c r="G7" s="3">
        <f>[9]noerr!E3</f>
        <v>14.842523</v>
      </c>
      <c r="H7" s="3">
        <f>[9]noerr!F3</f>
        <v>6.3841999999999996E-2</v>
      </c>
      <c r="I7" s="3">
        <f>[9]noerr!G3</f>
        <v>642.70793100000003</v>
      </c>
      <c r="J7" s="3">
        <f>[9]noerr!H3</f>
        <v>73.470472000000001</v>
      </c>
      <c r="K7" s="3">
        <f>[9]noerr!I3</f>
        <v>400003.819135</v>
      </c>
      <c r="L7" s="33">
        <f>[9]noerr!J3</f>
        <v>5435.2193049999996</v>
      </c>
      <c r="M7" s="3">
        <f>[9]noerr!K3</f>
        <v>400003.69135899999</v>
      </c>
      <c r="N7" s="3">
        <f>[9]noerr!L3</f>
        <v>14.84252</v>
      </c>
      <c r="O7" s="33">
        <f>[9]noerr!M3</f>
        <v>113.46746</v>
      </c>
      <c r="P7" s="3">
        <f>[9]noerr!N3</f>
        <v>53.880194000000003</v>
      </c>
      <c r="Q7" s="3">
        <f>[9]noerr!O3</f>
        <v>53.537154999999998</v>
      </c>
      <c r="R7" s="11">
        <f>[9]noerr!P3</f>
        <v>5434.1232399999999</v>
      </c>
      <c r="S7" s="11">
        <f>[9]noerr!Q3</f>
        <v>5321.7518460000001</v>
      </c>
      <c r="T7" s="3">
        <f>[9]noerr!R3</f>
        <v>41.034087999999997</v>
      </c>
      <c r="U7" s="3">
        <f>[9]noerr!S3</f>
        <v>41.297013999999997</v>
      </c>
      <c r="V7" s="3">
        <f>[9]noerr!T3</f>
        <v>14.843439999999999</v>
      </c>
      <c r="W7" s="3">
        <f>[9]noerr!U3</f>
        <v>14.938549999999999</v>
      </c>
      <c r="X7" s="72">
        <f>[9]noerr!V3</f>
        <v>9.2000000000000003E-4</v>
      </c>
      <c r="Y7" s="3">
        <f>[9]noerr!W3</f>
        <v>9.6030000000000004E-2</v>
      </c>
      <c r="Z7" s="33">
        <f>[9]noerr!X3</f>
        <v>123172.41274</v>
      </c>
      <c r="AA7" s="3">
        <f>[9]noerr!Y3</f>
        <v>399978.98021800001</v>
      </c>
      <c r="AB7" s="3">
        <f>[9]noerr!Z3</f>
        <v>397432.43057199998</v>
      </c>
      <c r="AC7">
        <f t="shared" ref="AC7:AC29" si="1">X7*3600*$AG$1/1000</f>
        <v>24.661152000000001</v>
      </c>
      <c r="AD7" s="20">
        <f t="shared" ref="AD7:AD29" si="2">X7+Y7</f>
        <v>9.6950000000000008E-2</v>
      </c>
      <c r="AE7">
        <f t="shared" ref="AE7:AE28" si="3">AD7*3600*$AG$1/1000</f>
        <v>2598.8029200000005</v>
      </c>
      <c r="AF7" s="31">
        <f>AE7*$AF$6/$AE$6</f>
        <v>101.95068089804936</v>
      </c>
      <c r="AG7" s="102">
        <f t="shared" si="0"/>
        <v>0.26801574839790732</v>
      </c>
      <c r="AH7" s="102">
        <f t="shared" ref="AH7:AH29" si="4">AG7*3600*$AG$1/1000</f>
        <v>7184.322945254944</v>
      </c>
      <c r="AI7" s="32">
        <f>AH7*$AI$6/$AH$6</f>
        <v>101.9506808980483</v>
      </c>
      <c r="AJ7" s="31">
        <f>(K6-AA7)</f>
        <v>24.838916999986395</v>
      </c>
      <c r="AK7" s="113">
        <f t="shared" ref="AK7:AK29" si="5">(K7-AB7)</f>
        <v>2571.388563000015</v>
      </c>
      <c r="AL7" s="38">
        <f t="shared" ref="AL7:AL29" si="6">AK7+AJ7</f>
        <v>2596.2274800000014</v>
      </c>
      <c r="AM7" s="26">
        <f t="shared" ref="AM7:AM29" si="7">AL7/1000*24*365*0.85</f>
        <v>19331.509816080012</v>
      </c>
      <c r="AN7" s="31">
        <f>AM7*$AN$6/$AM$6</f>
        <v>101.95069484504324</v>
      </c>
      <c r="AP7" s="11">
        <f>Z6-((L7-(O7-O6))*Z6/L7)</f>
        <v>24.837740306131309</v>
      </c>
      <c r="AQ7">
        <f>Z7-((L7-O7)*Z7/L7)</f>
        <v>2571.3885735617951</v>
      </c>
      <c r="AR7" s="3">
        <f>AP7+AQ7</f>
        <v>2596.2263138679264</v>
      </c>
    </row>
    <row r="8" spans="1:45" s="109" customFormat="1" x14ac:dyDescent="0.2">
      <c r="B8" s="109">
        <v>20</v>
      </c>
      <c r="C8" s="109">
        <v>20</v>
      </c>
      <c r="D8" s="110"/>
      <c r="E8" s="110">
        <f>[9]noerr!C4</f>
        <v>34.907857999999997</v>
      </c>
      <c r="F8" s="110">
        <f>[9]noerr!D4</f>
        <v>5.6000000000000001E-2</v>
      </c>
      <c r="G8" s="110">
        <f>[9]noerr!E4</f>
        <v>14.839696</v>
      </c>
      <c r="H8" s="110">
        <f>[9]noerr!F4</f>
        <v>6.4630999999999994E-2</v>
      </c>
      <c r="I8" s="110">
        <f>[9]noerr!G4</f>
        <v>634.67918099999997</v>
      </c>
      <c r="J8" s="110">
        <f>[9]noerr!H4</f>
        <v>75.937638000000007</v>
      </c>
      <c r="K8" s="110">
        <f>[9]noerr!I4</f>
        <v>400004.68024299998</v>
      </c>
      <c r="L8" s="33">
        <f>[9]noerr!J4</f>
        <v>5642.4194630000002</v>
      </c>
      <c r="M8" s="110">
        <f>[9]noerr!K4</f>
        <v>400004.68202000001</v>
      </c>
      <c r="N8" s="110">
        <f>[9]noerr!L4</f>
        <v>14.839696</v>
      </c>
      <c r="O8" s="33">
        <f>[9]noerr!M4</f>
        <v>120.490961</v>
      </c>
      <c r="P8" s="110">
        <f>[9]noerr!N4</f>
        <v>53.893923000000001</v>
      </c>
      <c r="Q8" s="110">
        <f>[9]noerr!O4</f>
        <v>53.534607999999999</v>
      </c>
      <c r="R8" s="11">
        <f>[9]noerr!P4</f>
        <v>5642.4194639999996</v>
      </c>
      <c r="S8" s="11">
        <f>[9]noerr!Q4</f>
        <v>5521.9285019999998</v>
      </c>
      <c r="T8" s="110">
        <f>[9]noerr!R4</f>
        <v>41.019782999999997</v>
      </c>
      <c r="U8" s="110">
        <f>[9]noerr!S4</f>
        <v>41.295101000000003</v>
      </c>
      <c r="V8" s="110">
        <f>[9]noerr!T4</f>
        <v>14.839696</v>
      </c>
      <c r="W8" s="110">
        <f>[9]noerr!U4</f>
        <v>14.939297</v>
      </c>
      <c r="X8" s="111">
        <f>[9]noerr!V4</f>
        <v>0</v>
      </c>
      <c r="Y8" s="110">
        <f>[9]noerr!W4</f>
        <v>9.9601999999999996E-2</v>
      </c>
      <c r="Z8" s="33">
        <f>[9]noerr!X4</f>
        <v>124885.393289</v>
      </c>
      <c r="AA8" s="110">
        <f>[9]noerr!Y4</f>
        <v>400004.68025999999</v>
      </c>
      <c r="AB8" s="110">
        <f>[9]noerr!Z4</f>
        <v>397337.81699700002</v>
      </c>
      <c r="AC8" s="109">
        <f t="shared" si="1"/>
        <v>0</v>
      </c>
      <c r="AD8" s="112">
        <f t="shared" si="2"/>
        <v>9.9601999999999996E-2</v>
      </c>
      <c r="AE8" s="109">
        <f t="shared" si="3"/>
        <v>2669.8913711999999</v>
      </c>
      <c r="AF8" s="113">
        <f t="shared" ref="AF8:AF29" si="8">AE8*$AF$6/$AE$6</f>
        <v>104.73947105526054</v>
      </c>
      <c r="AG8" s="114">
        <f t="shared" si="0"/>
        <v>0.27532026764986028</v>
      </c>
      <c r="AH8" s="114">
        <f t="shared" si="4"/>
        <v>7380.1249665150954</v>
      </c>
      <c r="AI8" s="115">
        <f t="shared" ref="AI8:AI29" si="9">AH8*$AI$6/$AH$6</f>
        <v>104.72925161943702</v>
      </c>
      <c r="AJ8" s="113">
        <f>(K8-AA8)</f>
        <v>-1.7000013031065464E-5</v>
      </c>
      <c r="AK8" s="113">
        <f t="shared" si="5"/>
        <v>2666.8632459999644</v>
      </c>
      <c r="AL8" s="116">
        <f t="shared" si="6"/>
        <v>2666.8632289999514</v>
      </c>
      <c r="AM8" s="117">
        <f t="shared" si="7"/>
        <v>19857.463603133638</v>
      </c>
      <c r="AN8" s="113">
        <f t="shared" ref="AN8:AN29" si="10">AM8*$AN$6/$AM$6</f>
        <v>104.72447478032262</v>
      </c>
      <c r="AP8" s="110"/>
    </row>
    <row r="9" spans="1:45" s="73" customFormat="1" x14ac:dyDescent="0.2">
      <c r="A9"/>
      <c r="B9"/>
      <c r="C9" s="34">
        <f>C8+$J$1</f>
        <v>27</v>
      </c>
      <c r="D9" s="11"/>
      <c r="E9" s="3">
        <f>[9]noerr!C5</f>
        <v>34.907857999999997</v>
      </c>
      <c r="F9" s="3">
        <f>[9]noerr!D5</f>
        <v>5.6000000000000001E-2</v>
      </c>
      <c r="G9" s="3">
        <f>[9]noerr!E5</f>
        <v>14.839696</v>
      </c>
      <c r="H9" s="3">
        <f>[9]noerr!F5</f>
        <v>6.4630999999999994E-2</v>
      </c>
      <c r="I9" s="3">
        <f>[9]noerr!G5</f>
        <v>634.67918099999997</v>
      </c>
      <c r="J9" s="3">
        <f>[9]noerr!H5</f>
        <v>75.937638000000007</v>
      </c>
      <c r="K9" s="3">
        <f>[9]noerr!I5</f>
        <v>400004.68024299998</v>
      </c>
      <c r="L9" s="33">
        <f>[9]noerr!J5</f>
        <v>5642.4194630000002</v>
      </c>
      <c r="M9" s="3">
        <f>[9]noerr!K5</f>
        <v>400004.68202000001</v>
      </c>
      <c r="N9" s="3">
        <f>[9]noerr!L5</f>
        <v>14.839696</v>
      </c>
      <c r="O9" s="33">
        <f>[9]noerr!M5</f>
        <v>121.748783</v>
      </c>
      <c r="P9" s="3">
        <f>[9]noerr!N5</f>
        <v>53.890172</v>
      </c>
      <c r="Q9" s="3">
        <f>[9]noerr!O5</f>
        <v>53.530856999999997</v>
      </c>
      <c r="R9" s="11">
        <f>[9]noerr!P5</f>
        <v>5641.161642</v>
      </c>
      <c r="S9" s="11">
        <f>[9]noerr!Q5</f>
        <v>5520.6706800000002</v>
      </c>
      <c r="T9" s="3">
        <f>[9]noerr!R5</f>
        <v>41.022638000000001</v>
      </c>
      <c r="U9" s="3">
        <f>[9]noerr!S5</f>
        <v>41.297994000000003</v>
      </c>
      <c r="V9" s="3">
        <f>[9]noerr!T5</f>
        <v>14.840729</v>
      </c>
      <c r="W9" s="3">
        <f>[9]noerr!U5</f>
        <v>14.940344</v>
      </c>
      <c r="X9" s="72">
        <f>[9]noerr!V5</f>
        <v>1.0330000000000001E-3</v>
      </c>
      <c r="Y9" s="3">
        <f>[9]noerr!W5</f>
        <v>0.100648</v>
      </c>
      <c r="Z9" s="33">
        <f>[9]noerr!X5</f>
        <v>124885.393289</v>
      </c>
      <c r="AA9" s="3">
        <f>[9]noerr!Y5</f>
        <v>399976.84050300001</v>
      </c>
      <c r="AB9" s="3">
        <f>[9]noerr!Z5</f>
        <v>397309.97723999998</v>
      </c>
      <c r="AC9">
        <f t="shared" si="1"/>
        <v>27.690184800000004</v>
      </c>
      <c r="AD9" s="20">
        <f t="shared" si="2"/>
        <v>0.10168100000000001</v>
      </c>
      <c r="AE9">
        <f t="shared" si="3"/>
        <v>2725.6202135999997</v>
      </c>
      <c r="AF9" s="54">
        <f t="shared" si="8"/>
        <v>106.92570587307429</v>
      </c>
      <c r="AG9" s="102">
        <f t="shared" si="0"/>
        <v>0.28106704820088879</v>
      </c>
      <c r="AH9" s="102">
        <f t="shared" si="4"/>
        <v>7534.1708672537452</v>
      </c>
      <c r="AI9" s="32">
        <f t="shared" si="9"/>
        <v>106.91527312620006</v>
      </c>
      <c r="AJ9" s="31">
        <f>(K8-AA9)</f>
        <v>27.839739999966696</v>
      </c>
      <c r="AK9" s="113">
        <f t="shared" si="5"/>
        <v>2694.7030030000024</v>
      </c>
      <c r="AL9" s="38">
        <f t="shared" si="6"/>
        <v>2722.5427429999691</v>
      </c>
      <c r="AM9" s="26">
        <f>AL9/1000*24*365*0.85</f>
        <v>20272.053264377766</v>
      </c>
      <c r="AN9" s="31">
        <f t="shared" si="10"/>
        <v>106.91094156132137</v>
      </c>
      <c r="AP9" s="11">
        <f>Z8-((L9-(O9-O8))*Z8/L9)</f>
        <v>27.839758491463726</v>
      </c>
      <c r="AQ9">
        <f>Z9-((L9-O9)*Z9/L9)</f>
        <v>2694.7029987962014</v>
      </c>
      <c r="AR9" s="3">
        <f>AP9+AQ9</f>
        <v>2722.5427572876652</v>
      </c>
      <c r="AS9"/>
    </row>
    <row r="10" spans="1:45" s="109" customFormat="1" x14ac:dyDescent="0.2">
      <c r="B10" s="118">
        <v>25</v>
      </c>
      <c r="C10" s="109">
        <v>25</v>
      </c>
      <c r="D10" s="110"/>
      <c r="E10" s="110">
        <f>[9]noerr!C6</f>
        <v>39.265241000000003</v>
      </c>
      <c r="F10" s="110">
        <f>[9]noerr!D6</f>
        <v>7.0999999999999994E-2</v>
      </c>
      <c r="G10" s="110">
        <f>[9]noerr!E6</f>
        <v>14.871926</v>
      </c>
      <c r="H10" s="110">
        <f>[9]noerr!F6</f>
        <v>6.5253000000000005E-2</v>
      </c>
      <c r="I10" s="110">
        <f>[9]noerr!G6</f>
        <v>629.94871799999999</v>
      </c>
      <c r="J10" s="110">
        <f>[9]noerr!H6</f>
        <v>78.167135000000002</v>
      </c>
      <c r="K10" s="110">
        <f>[9]noerr!I6</f>
        <v>400001.39586500003</v>
      </c>
      <c r="L10" s="33">
        <f>[9]noerr!J6</f>
        <v>5831.9334859999999</v>
      </c>
      <c r="M10" s="110">
        <f>[9]noerr!K6</f>
        <v>400001.395769</v>
      </c>
      <c r="N10" s="110">
        <f>[9]noerr!L6</f>
        <v>14.871926</v>
      </c>
      <c r="O10" s="33">
        <f>[9]noerr!M6</f>
        <v>127.803423</v>
      </c>
      <c r="P10" s="110">
        <f>[9]noerr!N6</f>
        <v>53.776685000000001</v>
      </c>
      <c r="Q10" s="110">
        <f>[9]noerr!O6</f>
        <v>53.405360999999999</v>
      </c>
      <c r="R10" s="11">
        <f>[9]noerr!P6</f>
        <v>5831.9334859999999</v>
      </c>
      <c r="S10" s="11">
        <f>[9]noerr!Q6</f>
        <v>5704.1300629999996</v>
      </c>
      <c r="T10" s="110">
        <f>[9]noerr!R6</f>
        <v>41.105817999999999</v>
      </c>
      <c r="U10" s="110">
        <f>[9]noerr!S6</f>
        <v>41.391624</v>
      </c>
      <c r="V10" s="110">
        <f>[9]noerr!T6</f>
        <v>14.871926</v>
      </c>
      <c r="W10" s="110">
        <f>[9]noerr!U6</f>
        <v>14.975329</v>
      </c>
      <c r="X10" s="111">
        <f>[9]noerr!V6</f>
        <v>0</v>
      </c>
      <c r="Y10" s="110">
        <f>[9]noerr!W6</f>
        <v>0.103404</v>
      </c>
      <c r="Z10" s="33">
        <f>[9]noerr!X6</f>
        <v>126034.83046300001</v>
      </c>
      <c r="AA10" s="110">
        <f>[9]noerr!Y6</f>
        <v>400001.39586500003</v>
      </c>
      <c r="AB10" s="110">
        <f>[9]noerr!Z6</f>
        <v>397239.41601099999</v>
      </c>
      <c r="AC10" s="109">
        <f t="shared" si="1"/>
        <v>0</v>
      </c>
      <c r="AD10" s="112">
        <f t="shared" si="2"/>
        <v>0.103404</v>
      </c>
      <c r="AE10" s="109">
        <f t="shared" si="3"/>
        <v>2771.8062623999999</v>
      </c>
      <c r="AF10" s="113">
        <f t="shared" si="8"/>
        <v>108.73757821126244</v>
      </c>
      <c r="AG10" s="114">
        <f t="shared" si="0"/>
        <v>0.28580893572933519</v>
      </c>
      <c r="AH10" s="114">
        <f t="shared" si="4"/>
        <v>7661.2800075862679</v>
      </c>
      <c r="AI10" s="115">
        <f t="shared" si="9"/>
        <v>108.71904273733999</v>
      </c>
      <c r="AJ10" s="113">
        <f>(K10-AA10)</f>
        <v>0</v>
      </c>
      <c r="AK10" s="113">
        <f t="shared" si="5"/>
        <v>2761.9798540000338</v>
      </c>
      <c r="AL10" s="116">
        <f t="shared" si="6"/>
        <v>2761.9798540000338</v>
      </c>
      <c r="AM10" s="117">
        <f t="shared" si="7"/>
        <v>20565.701992884253</v>
      </c>
      <c r="AN10" s="113">
        <f t="shared" si="10"/>
        <v>108.45958893529406</v>
      </c>
      <c r="AP10" s="110"/>
    </row>
    <row r="11" spans="1:45" x14ac:dyDescent="0.2">
      <c r="C11" s="34">
        <f>C10+$J$1</f>
        <v>32</v>
      </c>
      <c r="E11" s="3">
        <f>[9]noerr!C7</f>
        <v>39.265241000000003</v>
      </c>
      <c r="F11" s="3">
        <f>[9]noerr!D7</f>
        <v>7.0999999999999994E-2</v>
      </c>
      <c r="G11" s="3">
        <f>[9]noerr!E7</f>
        <v>14.871926</v>
      </c>
      <c r="H11" s="3">
        <f>[9]noerr!F7</f>
        <v>6.5253000000000005E-2</v>
      </c>
      <c r="I11" s="3">
        <f>[9]noerr!G7</f>
        <v>629.94871799999999</v>
      </c>
      <c r="J11" s="3">
        <f>[9]noerr!H7</f>
        <v>78.167135000000002</v>
      </c>
      <c r="K11" s="3">
        <f>[9]noerr!I7</f>
        <v>400001.39586500003</v>
      </c>
      <c r="L11" s="33">
        <f>[9]noerr!J7</f>
        <v>5831.9334859999999</v>
      </c>
      <c r="M11" s="3">
        <f>[9]noerr!K7</f>
        <v>400001.395769</v>
      </c>
      <c r="N11" s="3">
        <f>[9]noerr!L7</f>
        <v>14.871926</v>
      </c>
      <c r="O11" s="33">
        <f>[9]noerr!M7</f>
        <v>129.209486</v>
      </c>
      <c r="P11" s="3">
        <f>[9]noerr!N7</f>
        <v>53.772599999999997</v>
      </c>
      <c r="Q11" s="3">
        <f>[9]noerr!O7</f>
        <v>53.401276000000003</v>
      </c>
      <c r="R11" s="11">
        <f>[9]noerr!P7</f>
        <v>5830.5274239999999</v>
      </c>
      <c r="S11" s="11">
        <f>[9]noerr!Q7</f>
        <v>5702.7240000000002</v>
      </c>
      <c r="T11" s="3">
        <f>[9]noerr!R7</f>
        <v>41.108941000000002</v>
      </c>
      <c r="U11" s="3">
        <f>[9]noerr!S7</f>
        <v>41.39479</v>
      </c>
      <c r="V11" s="3">
        <f>[9]noerr!T7</f>
        <v>14.873056</v>
      </c>
      <c r="W11" s="3">
        <f>[9]noerr!U7</f>
        <v>14.976475000000001</v>
      </c>
      <c r="X11" s="72">
        <f>[9]noerr!V7</f>
        <v>1.1299999999999999E-3</v>
      </c>
      <c r="Y11" s="3">
        <f>[9]noerr!W7</f>
        <v>0.104549</v>
      </c>
      <c r="Z11" s="33">
        <f>[9]noerr!X7</f>
        <v>126034.83046300001</v>
      </c>
      <c r="AA11" s="3">
        <f>[9]noerr!Y7</f>
        <v>399971.009234</v>
      </c>
      <c r="AB11" s="3">
        <f>[9]noerr!Z7</f>
        <v>397209.02938099997</v>
      </c>
      <c r="AC11">
        <f t="shared" si="1"/>
        <v>30.290327999999999</v>
      </c>
      <c r="AD11" s="20">
        <f t="shared" si="2"/>
        <v>0.10567900000000001</v>
      </c>
      <c r="AE11">
        <f t="shared" si="3"/>
        <v>2832.7890024000003</v>
      </c>
      <c r="AF11" s="31">
        <f t="shared" si="8"/>
        <v>111.12992270887011</v>
      </c>
      <c r="AG11" s="102">
        <f t="shared" si="0"/>
        <v>0.2920970418836788</v>
      </c>
      <c r="AH11" s="102">
        <f t="shared" si="4"/>
        <v>7829.8364659171402</v>
      </c>
      <c r="AI11" s="32">
        <f t="shared" si="9"/>
        <v>111.11097943444321</v>
      </c>
      <c r="AJ11" s="31">
        <f>(K10-AA11)</f>
        <v>30.38663100003032</v>
      </c>
      <c r="AK11" s="113">
        <f t="shared" si="5"/>
        <v>2792.3664840000565</v>
      </c>
      <c r="AL11" s="38">
        <f t="shared" si="6"/>
        <v>2822.7531150000868</v>
      </c>
      <c r="AM11" s="26">
        <f t="shared" si="7"/>
        <v>21018.219694290645</v>
      </c>
      <c r="AN11" s="31">
        <f t="shared" si="10"/>
        <v>110.8460809644727</v>
      </c>
      <c r="AP11" s="11">
        <f>Z10-((L11-(O11-O10))*Z10/L11)</f>
        <v>30.386648313244223</v>
      </c>
      <c r="AQ11">
        <f>Z11-((L11-O11)*Z11/L11)</f>
        <v>2792.3664941163006</v>
      </c>
      <c r="AR11" s="3">
        <f>AP11+AQ11</f>
        <v>2822.7531424295448</v>
      </c>
    </row>
    <row r="12" spans="1:45" s="109" customFormat="1" x14ac:dyDescent="0.2">
      <c r="A12" s="109" t="s">
        <v>50</v>
      </c>
      <c r="B12" s="109">
        <v>15</v>
      </c>
      <c r="C12" s="109">
        <v>15</v>
      </c>
      <c r="D12" s="110"/>
      <c r="E12" s="110">
        <f>[9]noerr!C8</f>
        <v>32.002797000000001</v>
      </c>
      <c r="F12" s="110">
        <f>[9]noerr!D8</f>
        <v>4.7600000000000003E-2</v>
      </c>
      <c r="G12" s="110">
        <f>[9]noerr!E8</f>
        <v>14.854818</v>
      </c>
      <c r="H12" s="110">
        <f>[9]noerr!F8</f>
        <v>6.3891000000000003E-2</v>
      </c>
      <c r="I12" s="110">
        <f>[9]noerr!G8</f>
        <v>642.74409800000001</v>
      </c>
      <c r="J12" s="110">
        <f>[9]noerr!H8</f>
        <v>73.756523000000001</v>
      </c>
      <c r="K12" s="110">
        <f>[9]noerr!I8</f>
        <v>400003.90285499999</v>
      </c>
      <c r="L12" s="33">
        <f>[9]noerr!J8</f>
        <v>5463.598336</v>
      </c>
      <c r="M12" s="110">
        <f>[9]noerr!K8</f>
        <v>400003.90285499999</v>
      </c>
      <c r="N12" s="110">
        <f>[9]noerr!L8</f>
        <v>14.854818</v>
      </c>
      <c r="O12" s="33">
        <f>[9]noerr!M8</f>
        <v>5463.598336</v>
      </c>
      <c r="P12" s="110">
        <f>[9]noerr!N8</f>
        <v>53.838954999999999</v>
      </c>
      <c r="Q12" s="110">
        <f>[9]noerr!O8</f>
        <v>53.508054999999999</v>
      </c>
      <c r="R12" s="11">
        <f>[9]noerr!P8</f>
        <v>5463.598336</v>
      </c>
      <c r="S12" s="11">
        <f>[9]noerr!Q8</f>
        <v>5354.3263690000003</v>
      </c>
      <c r="T12" s="110">
        <f>[9]noerr!R8</f>
        <v>41.065291999999999</v>
      </c>
      <c r="U12" s="110">
        <f>[9]noerr!S8</f>
        <v>41.319245000000002</v>
      </c>
      <c r="V12" s="110">
        <f>[9]noerr!T8</f>
        <v>14.854818</v>
      </c>
      <c r="W12" s="110">
        <f>[9]noerr!U8</f>
        <v>14.946681999999999</v>
      </c>
      <c r="X12" s="111">
        <f>[9]noerr!V8</f>
        <v>0</v>
      </c>
      <c r="Y12" s="110">
        <f>[9]noerr!W8</f>
        <v>9.1864000000000001E-2</v>
      </c>
      <c r="Z12" s="33">
        <f>[9]noerr!X8</f>
        <v>122923.367855</v>
      </c>
      <c r="AA12" s="110">
        <f>[9]noerr!Y8</f>
        <v>400003.90285499999</v>
      </c>
      <c r="AB12" s="110">
        <f>[9]noerr!Z8</f>
        <v>397545.43549800001</v>
      </c>
      <c r="AC12" s="109">
        <f t="shared" si="1"/>
        <v>0</v>
      </c>
      <c r="AD12" s="112">
        <f t="shared" si="2"/>
        <v>9.1864000000000001E-2</v>
      </c>
      <c r="AE12" s="109">
        <f t="shared" si="3"/>
        <v>2462.4696383999999</v>
      </c>
      <c r="AF12" s="113">
        <f t="shared" si="8"/>
        <v>96.60234502339766</v>
      </c>
      <c r="AG12" s="114">
        <f t="shared" si="0"/>
        <v>0.25395443381525951</v>
      </c>
      <c r="AH12" s="114">
        <f t="shared" si="4"/>
        <v>6807.4009710783203</v>
      </c>
      <c r="AI12" s="115">
        <f t="shared" si="9"/>
        <v>96.60188850584052</v>
      </c>
      <c r="AJ12" s="31">
        <f>(Z12-Z12)</f>
        <v>0</v>
      </c>
      <c r="AK12" s="113">
        <f t="shared" si="5"/>
        <v>2458.4673569999868</v>
      </c>
      <c r="AL12" s="116">
        <f t="shared" si="6"/>
        <v>2458.4673569999868</v>
      </c>
      <c r="AM12" s="117">
        <f t="shared" si="7"/>
        <v>18305.7479402219</v>
      </c>
      <c r="AN12" s="113">
        <f t="shared" si="10"/>
        <v>96.541022399164135</v>
      </c>
      <c r="AP12" s="110"/>
    </row>
    <row r="13" spans="1:45" s="73" customFormat="1" x14ac:dyDescent="0.2">
      <c r="B13" s="10"/>
      <c r="C13" s="34">
        <f>C12+$J$1</f>
        <v>22</v>
      </c>
      <c r="D13" s="11"/>
      <c r="E13" s="3">
        <f>[9]noerr!C9</f>
        <v>39.159878999999997</v>
      </c>
      <c r="F13" s="3">
        <f>[9]noerr!D9</f>
        <v>7.0599999999999996E-2</v>
      </c>
      <c r="G13" s="3">
        <f>[9]noerr!E9</f>
        <v>14.854818</v>
      </c>
      <c r="H13" s="3">
        <f>[9]noerr!F9</f>
        <v>6.3891000000000003E-2</v>
      </c>
      <c r="I13" s="3">
        <f>[9]noerr!G9</f>
        <v>642.74409800000001</v>
      </c>
      <c r="J13" s="3">
        <f>[9]noerr!H9</f>
        <v>74.554713000000007</v>
      </c>
      <c r="K13" s="3">
        <f>[9]noerr!I9</f>
        <v>397381.69433500001</v>
      </c>
      <c r="L13" s="33">
        <f>[9]noerr!J9</f>
        <v>5561.0680480000001</v>
      </c>
      <c r="M13" s="3">
        <f>[9]noerr!K9</f>
        <v>400003.90285499999</v>
      </c>
      <c r="N13" s="3">
        <f>[9]noerr!L9</f>
        <v>14.854818</v>
      </c>
      <c r="O13" s="33">
        <f>[9]noerr!M9</f>
        <v>5463.598336</v>
      </c>
      <c r="P13" s="3">
        <f>[9]noerr!N9</f>
        <v>53.486015999999999</v>
      </c>
      <c r="Q13" s="3">
        <f>[9]noerr!O9</f>
        <v>53.162174999999998</v>
      </c>
      <c r="R13" s="11">
        <f>[9]noerr!P9</f>
        <v>5561.0680480000001</v>
      </c>
      <c r="S13" s="11">
        <f>[9]noerr!Q9</f>
        <v>5449.8466870000002</v>
      </c>
      <c r="T13" s="3">
        <f>[9]noerr!R9</f>
        <v>41.336269999999999</v>
      </c>
      <c r="U13" s="3">
        <f>[9]noerr!S9</f>
        <v>41.588073000000001</v>
      </c>
      <c r="V13" s="3">
        <f>[9]noerr!T9</f>
        <v>14.952840999999999</v>
      </c>
      <c r="W13" s="3">
        <f>[9]noerr!U9</f>
        <v>15.043927</v>
      </c>
      <c r="X13" s="72">
        <f>[9]noerr!V9</f>
        <v>9.8022999999999999E-2</v>
      </c>
      <c r="Y13" s="3">
        <f>[9]noerr!W9</f>
        <v>0.189109</v>
      </c>
      <c r="Z13" s="33">
        <f>[9]noerr!X9</f>
        <v>120301.159335</v>
      </c>
      <c r="AA13" s="3">
        <f>[9]noerr!Y9</f>
        <v>397381.69433500001</v>
      </c>
      <c r="AB13" s="3">
        <f>[9]noerr!Z9</f>
        <v>394975.67114799999</v>
      </c>
      <c r="AC13">
        <f t="shared" si="1"/>
        <v>2627.5653287999999</v>
      </c>
      <c r="AD13" s="20">
        <f t="shared" si="2"/>
        <v>0.287132</v>
      </c>
      <c r="AE13">
        <f t="shared" si="3"/>
        <v>7696.7455391999993</v>
      </c>
      <c r="AF13" s="54">
        <f t="shared" si="8"/>
        <v>301.94226825805777</v>
      </c>
      <c r="AG13" s="102">
        <f t="shared" si="0"/>
        <v>0.79376517994256801</v>
      </c>
      <c r="AH13" s="102">
        <f t="shared" si="4"/>
        <v>21277.351907468503</v>
      </c>
      <c r="AI13" s="32">
        <f t="shared" si="9"/>
        <v>301.94084135743464</v>
      </c>
      <c r="AJ13" s="31">
        <f>Z12-Z13</f>
        <v>2622.2085200000001</v>
      </c>
      <c r="AK13" s="113">
        <f t="shared" si="5"/>
        <v>2406.0231870000134</v>
      </c>
      <c r="AL13" s="38">
        <f t="shared" si="6"/>
        <v>5028.2317070000136</v>
      </c>
      <c r="AM13" s="26">
        <f t="shared" si="7"/>
        <v>37440.213290322099</v>
      </c>
      <c r="AN13" s="31">
        <f t="shared" si="10"/>
        <v>197.45254232134116</v>
      </c>
      <c r="AP13" s="131">
        <f>Z12-Z13</f>
        <v>2622.2085200000001</v>
      </c>
      <c r="AQ13">
        <f>Z13-((L13-L13*$AQ$1)*Z13/L13)</f>
        <v>2406.0231867000111</v>
      </c>
      <c r="AR13" s="3">
        <f>AP13+AQ13</f>
        <v>5028.2317067000113</v>
      </c>
    </row>
    <row r="14" spans="1:45" s="109" customFormat="1" x14ac:dyDescent="0.2">
      <c r="B14" s="109">
        <v>20</v>
      </c>
      <c r="C14" s="109">
        <v>20</v>
      </c>
      <c r="D14" s="110"/>
      <c r="E14" s="110">
        <f>[9]noerr!C10</f>
        <v>37.052953000000002</v>
      </c>
      <c r="F14" s="110">
        <f>[9]noerr!D10</f>
        <v>6.3E-2</v>
      </c>
      <c r="G14" s="110">
        <f>[9]noerr!E10</f>
        <v>14.861193999999999</v>
      </c>
      <c r="H14" s="110">
        <f>[9]noerr!F10</f>
        <v>6.4707000000000001E-2</v>
      </c>
      <c r="I14" s="110">
        <f>[9]noerr!G10</f>
        <v>634.84341300000006</v>
      </c>
      <c r="J14" s="110">
        <f>[9]noerr!H10</f>
        <v>76.395893000000001</v>
      </c>
      <c r="K14" s="110">
        <f>[9]noerr!I10</f>
        <v>400003.81848700001</v>
      </c>
      <c r="L14" s="33">
        <f>[9]noerr!J10</f>
        <v>5687.36672</v>
      </c>
      <c r="M14" s="110">
        <f>[9]noerr!K10</f>
        <v>400003.81848700001</v>
      </c>
      <c r="N14" s="110">
        <f>[9]noerr!L10</f>
        <v>14.861193999999999</v>
      </c>
      <c r="O14" s="33">
        <f>[9]noerr!M10</f>
        <v>5687.36672</v>
      </c>
      <c r="P14" s="110">
        <f>[9]noerr!N10</f>
        <v>53.815843999999998</v>
      </c>
      <c r="Q14" s="110">
        <f>[9]noerr!O10</f>
        <v>53.480952000000002</v>
      </c>
      <c r="R14" s="11">
        <f>[9]noerr!P10</f>
        <v>5687.36672</v>
      </c>
      <c r="S14" s="11">
        <f>[9]noerr!Q10</f>
        <v>5573.6193860000003</v>
      </c>
      <c r="T14" s="110">
        <f>[9]noerr!R10</f>
        <v>41.078831000000001</v>
      </c>
      <c r="U14" s="110">
        <f>[9]noerr!S10</f>
        <v>41.336061999999998</v>
      </c>
      <c r="V14" s="110">
        <f>[9]noerr!T10</f>
        <v>14.861193999999999</v>
      </c>
      <c r="W14" s="110">
        <f>[9]noerr!U10</f>
        <v>14.954253</v>
      </c>
      <c r="X14" s="111">
        <f>[9]noerr!V10</f>
        <v>0</v>
      </c>
      <c r="Y14" s="110">
        <f>[9]noerr!W10</f>
        <v>9.3059000000000003E-2</v>
      </c>
      <c r="Z14" s="33">
        <f>[9]noerr!X10</f>
        <v>124459.633487</v>
      </c>
      <c r="AA14" s="110">
        <f>[9]noerr!Y10</f>
        <v>400003.81848700001</v>
      </c>
      <c r="AB14" s="110">
        <f>[9]noerr!Z10</f>
        <v>397514.62581699999</v>
      </c>
      <c r="AC14" s="109">
        <f t="shared" si="1"/>
        <v>0</v>
      </c>
      <c r="AD14" s="112">
        <f t="shared" si="2"/>
        <v>9.3059000000000003E-2</v>
      </c>
      <c r="AE14" s="109">
        <f t="shared" si="3"/>
        <v>2494.5023304000001</v>
      </c>
      <c r="AF14" s="113">
        <f t="shared" si="8"/>
        <v>97.858983122141041</v>
      </c>
      <c r="AG14" s="114">
        <f t="shared" si="0"/>
        <v>0.25723055855235799</v>
      </c>
      <c r="AH14" s="114">
        <f t="shared" si="4"/>
        <v>6895.2194603310872</v>
      </c>
      <c r="AI14" s="115">
        <f t="shared" si="9"/>
        <v>97.84809567706337</v>
      </c>
      <c r="AJ14" s="31">
        <f>(Z14-Z14)</f>
        <v>0</v>
      </c>
      <c r="AK14" s="113">
        <f t="shared" si="5"/>
        <v>2489.1926700000186</v>
      </c>
      <c r="AL14" s="116">
        <f t="shared" si="6"/>
        <v>2489.1926700000186</v>
      </c>
      <c r="AM14" s="117">
        <f t="shared" si="7"/>
        <v>18534.528620820136</v>
      </c>
      <c r="AN14" s="113">
        <f t="shared" si="10"/>
        <v>97.747568063523516</v>
      </c>
      <c r="AP14" s="110"/>
    </row>
    <row r="15" spans="1:45" x14ac:dyDescent="0.2">
      <c r="B15"/>
      <c r="C15" s="34">
        <f>C14+$J$1</f>
        <v>27</v>
      </c>
      <c r="E15" s="3">
        <f>[9]noerr!C11</f>
        <v>44.186115999999998</v>
      </c>
      <c r="F15" s="3">
        <f>[9]noerr!D11</f>
        <v>9.1999999999999998E-2</v>
      </c>
      <c r="G15" s="3">
        <f>[9]noerr!E11</f>
        <v>14.861193999999999</v>
      </c>
      <c r="H15" s="3">
        <f>[9]noerr!F11</f>
        <v>6.4707000000000001E-2</v>
      </c>
      <c r="I15" s="3">
        <f>[9]noerr!G11</f>
        <v>634.84341300000006</v>
      </c>
      <c r="J15" s="3">
        <f>[9]noerr!H11</f>
        <v>77.226123000000001</v>
      </c>
      <c r="K15" s="3">
        <f>[9]noerr!I11</f>
        <v>397307.97044900001</v>
      </c>
      <c r="L15" s="33">
        <f>[9]noerr!J11</f>
        <v>5785.6480469999997</v>
      </c>
      <c r="M15" s="3">
        <f>[9]noerr!K11</f>
        <v>400003.81848700001</v>
      </c>
      <c r="N15" s="3">
        <f>[9]noerr!L11</f>
        <v>14.861193999999999</v>
      </c>
      <c r="O15" s="33">
        <f>[9]noerr!M11</f>
        <v>5687.36672</v>
      </c>
      <c r="P15" s="3">
        <f>[9]noerr!N11</f>
        <v>53.453149000000003</v>
      </c>
      <c r="Q15" s="3">
        <f>[9]noerr!O11</f>
        <v>53.125511000000003</v>
      </c>
      <c r="R15" s="11">
        <f>[9]noerr!P11</f>
        <v>5785.6480469999997</v>
      </c>
      <c r="S15" s="11">
        <f>[9]noerr!Q11</f>
        <v>5669.9350860000004</v>
      </c>
      <c r="T15" s="3">
        <f>[9]noerr!R11</f>
        <v>41.357562000000001</v>
      </c>
      <c r="U15" s="3">
        <f>[9]noerr!S11</f>
        <v>41.612623999999997</v>
      </c>
      <c r="V15" s="3">
        <f>[9]noerr!T11</f>
        <v>14.962032000000001</v>
      </c>
      <c r="W15" s="3">
        <f>[9]noerr!U11</f>
        <v>15.054306</v>
      </c>
      <c r="X15" s="72">
        <f>[9]noerr!V11</f>
        <v>0.100837</v>
      </c>
      <c r="Y15" s="3">
        <f>[9]noerr!W11</f>
        <v>0.19311200000000001</v>
      </c>
      <c r="Z15" s="33">
        <f>[9]noerr!X11</f>
        <v>121763.785449</v>
      </c>
      <c r="AA15" s="3">
        <f>[9]noerr!Y11</f>
        <v>397307.97044900001</v>
      </c>
      <c r="AB15" s="3">
        <f>[9]noerr!Z11</f>
        <v>394872.69474000001</v>
      </c>
      <c r="AC15">
        <f t="shared" si="1"/>
        <v>2702.9962871999996</v>
      </c>
      <c r="AD15" s="20">
        <f t="shared" si="2"/>
        <v>0.29394900000000002</v>
      </c>
      <c r="AE15">
        <f t="shared" si="3"/>
        <v>7879.4793144000005</v>
      </c>
      <c r="AF15" s="31">
        <f t="shared" si="8"/>
        <v>309.11088911088922</v>
      </c>
      <c r="AG15" s="102">
        <f t="shared" si="0"/>
        <v>0.81252394132654615</v>
      </c>
      <c r="AH15" s="102">
        <f t="shared" si="4"/>
        <v>21780.191761622867</v>
      </c>
      <c r="AI15" s="32">
        <f t="shared" si="9"/>
        <v>309.07649852434582</v>
      </c>
      <c r="AJ15" s="31">
        <f>Z14-Z15</f>
        <v>2695.8480379999964</v>
      </c>
      <c r="AK15" s="113">
        <f t="shared" si="5"/>
        <v>2435.2757090000086</v>
      </c>
      <c r="AL15" s="38">
        <f t="shared" si="6"/>
        <v>5131.1237470000051</v>
      </c>
      <c r="AM15" s="26">
        <f t="shared" si="7"/>
        <v>38206.347420162041</v>
      </c>
      <c r="AN15" s="31">
        <f t="shared" si="10"/>
        <v>201.49298756461516</v>
      </c>
      <c r="AP15" s="131">
        <f>Z14-Z15</f>
        <v>2695.8480379999964</v>
      </c>
      <c r="AQ15">
        <f>Z15-((L15-L15*$AQ$1)*Z15/L15)</f>
        <v>2435.2757089799998</v>
      </c>
      <c r="AR15" s="3">
        <f>AP15+AQ15</f>
        <v>5131.1237469799962</v>
      </c>
    </row>
    <row r="16" spans="1:45" s="109" customFormat="1" x14ac:dyDescent="0.2">
      <c r="B16" s="118">
        <v>25</v>
      </c>
      <c r="C16" s="109">
        <v>25</v>
      </c>
      <c r="D16" s="110"/>
      <c r="E16" s="110">
        <f>[9]noerr!C12</f>
        <v>42.025463000000002</v>
      </c>
      <c r="F16" s="110">
        <f>[9]noerr!D12</f>
        <v>8.2199999999999995E-2</v>
      </c>
      <c r="G16" s="110">
        <f>[9]noerr!E12</f>
        <v>14.902664</v>
      </c>
      <c r="H16" s="110">
        <f>[9]noerr!F12</f>
        <v>6.5348000000000003E-2</v>
      </c>
      <c r="I16" s="110">
        <f>[9]noerr!G12</f>
        <v>630.32350799999995</v>
      </c>
      <c r="J16" s="110">
        <f>[9]noerr!H12</f>
        <v>78.769615999999999</v>
      </c>
      <c r="K16" s="110">
        <f>[9]noerr!I12</f>
        <v>400002.03069799999</v>
      </c>
      <c r="L16" s="33">
        <f>[9]noerr!J12</f>
        <v>5890.5007260000002</v>
      </c>
      <c r="M16" s="110">
        <f>[9]noerr!K12</f>
        <v>400002.03069799999</v>
      </c>
      <c r="N16" s="110">
        <f>[9]noerr!L12</f>
        <v>14.902664</v>
      </c>
      <c r="O16" s="33">
        <f>[9]noerr!M12</f>
        <v>5890.5007260000002</v>
      </c>
      <c r="P16" s="110">
        <f>[9]noerr!N12</f>
        <v>53.665849999999999</v>
      </c>
      <c r="Q16" s="110">
        <f>[9]noerr!O12</f>
        <v>53.329250000000002</v>
      </c>
      <c r="R16" s="11">
        <f>[9]noerr!P12</f>
        <v>5890.5007260000002</v>
      </c>
      <c r="S16" s="11">
        <f>[9]noerr!Q12</f>
        <v>5772.6907110000002</v>
      </c>
      <c r="T16" s="110">
        <f>[9]noerr!R12</f>
        <v>41.190314999999998</v>
      </c>
      <c r="U16" s="110">
        <f>[9]noerr!S12</f>
        <v>41.450296999999999</v>
      </c>
      <c r="V16" s="110">
        <f>[9]noerr!T12</f>
        <v>14.902664</v>
      </c>
      <c r="W16" s="110">
        <f>[9]noerr!U12</f>
        <v>14.996726000000001</v>
      </c>
      <c r="X16" s="111">
        <f>[9]noerr!V12</f>
        <v>0</v>
      </c>
      <c r="Y16" s="110">
        <f>[9]noerr!W12</f>
        <v>9.4062000000000007E-2</v>
      </c>
      <c r="Z16" s="33">
        <f>[9]noerr!X12</f>
        <v>125443.398698</v>
      </c>
      <c r="AA16" s="110">
        <f>[9]noerr!Y12</f>
        <v>400002.03069799999</v>
      </c>
      <c r="AB16" s="110">
        <f>[9]noerr!Z12</f>
        <v>397493.16272399999</v>
      </c>
      <c r="AC16" s="109">
        <f t="shared" si="1"/>
        <v>0</v>
      </c>
      <c r="AD16" s="112">
        <f t="shared" si="2"/>
        <v>9.4062000000000007E-2</v>
      </c>
      <c r="AE16" s="109">
        <f t="shared" si="3"/>
        <v>2521.3883472000002</v>
      </c>
      <c r="AF16" s="113">
        <f t="shared" si="8"/>
        <v>98.913717861086312</v>
      </c>
      <c r="AG16" s="114">
        <f t="shared" si="0"/>
        <v>0.25998369016914324</v>
      </c>
      <c r="AH16" s="114">
        <f t="shared" si="4"/>
        <v>6969.0188051979858</v>
      </c>
      <c r="AI16" s="115">
        <f t="shared" si="9"/>
        <v>98.895361162808214</v>
      </c>
      <c r="AJ16" s="31">
        <f>(Z16-Z16)</f>
        <v>0</v>
      </c>
      <c r="AK16" s="113">
        <f t="shared" si="5"/>
        <v>2508.8679739999934</v>
      </c>
      <c r="AL16" s="116">
        <f t="shared" si="6"/>
        <v>2508.8679739999934</v>
      </c>
      <c r="AM16" s="117">
        <f t="shared" si="7"/>
        <v>18681.030934403949</v>
      </c>
      <c r="AN16" s="113">
        <f t="shared" si="10"/>
        <v>98.52019331671778</v>
      </c>
      <c r="AP16" s="110"/>
    </row>
    <row r="17" spans="1:45" x14ac:dyDescent="0.2">
      <c r="C17" s="34">
        <f>C16+$J$1</f>
        <v>32</v>
      </c>
      <c r="E17" s="3">
        <f>[9]noerr!C13</f>
        <v>49.116787000000002</v>
      </c>
      <c r="F17" s="3">
        <f>[9]noerr!D13</f>
        <v>0.1182</v>
      </c>
      <c r="G17" s="3">
        <f>[9]noerr!E13</f>
        <v>14.902664</v>
      </c>
      <c r="H17" s="3">
        <f>[9]noerr!F13</f>
        <v>6.5348000000000003E-2</v>
      </c>
      <c r="I17" s="3">
        <f>[9]noerr!G13</f>
        <v>630.32350799999995</v>
      </c>
      <c r="J17" s="3">
        <f>[9]noerr!H13</f>
        <v>79.627114000000006</v>
      </c>
      <c r="K17" s="3">
        <f>[9]noerr!I13</f>
        <v>397249.46001799998</v>
      </c>
      <c r="L17" s="33">
        <f>[9]noerr!J13</f>
        <v>5989.289057</v>
      </c>
      <c r="M17" s="3">
        <f>[9]noerr!K13</f>
        <v>400002.03069799999</v>
      </c>
      <c r="N17" s="3">
        <f>[9]noerr!L13</f>
        <v>14.902664</v>
      </c>
      <c r="O17" s="33">
        <f>[9]noerr!M13</f>
        <v>5890.5007260000002</v>
      </c>
      <c r="P17" s="3">
        <f>[9]noerr!N13</f>
        <v>53.296554</v>
      </c>
      <c r="Q17" s="3">
        <f>[9]noerr!O13</f>
        <v>52.96734</v>
      </c>
      <c r="R17" s="11">
        <f>[9]noerr!P13</f>
        <v>5989.289057</v>
      </c>
      <c r="S17" s="11">
        <f>[9]noerr!Q13</f>
        <v>5869.503275</v>
      </c>
      <c r="T17" s="3">
        <f>[9]noerr!R13</f>
        <v>41.475724999999997</v>
      </c>
      <c r="U17" s="3">
        <f>[9]noerr!S13</f>
        <v>41.733514</v>
      </c>
      <c r="V17" s="3">
        <f>[9]noerr!T13</f>
        <v>15.005926000000001</v>
      </c>
      <c r="W17" s="3">
        <f>[9]noerr!U13</f>
        <v>15.099194000000001</v>
      </c>
      <c r="X17" s="72">
        <f>[9]noerr!V13</f>
        <v>0.10326200000000001</v>
      </c>
      <c r="Y17" s="3">
        <f>[9]noerr!W13</f>
        <v>0.19653000000000001</v>
      </c>
      <c r="Z17" s="33">
        <f>[9]noerr!X13</f>
        <v>122690.828018</v>
      </c>
      <c r="AA17" s="3">
        <f>[9]noerr!Y13</f>
        <v>397249.46001799998</v>
      </c>
      <c r="AB17" s="3">
        <f>[9]noerr!Z13</f>
        <v>394795.64345799998</v>
      </c>
      <c r="AC17">
        <f t="shared" si="1"/>
        <v>2767.9998672000002</v>
      </c>
      <c r="AD17" s="20">
        <f t="shared" si="2"/>
        <v>0.299792</v>
      </c>
      <c r="AE17">
        <f t="shared" si="3"/>
        <v>8036.104435199999</v>
      </c>
      <c r="AF17" s="31">
        <f t="shared" si="8"/>
        <v>315.25527104474475</v>
      </c>
      <c r="AG17" s="102">
        <f t="shared" si="0"/>
        <v>0.82861336611160397</v>
      </c>
      <c r="AH17" s="102">
        <f t="shared" si="4"/>
        <v>22211.478446641209</v>
      </c>
      <c r="AI17" s="32">
        <f t="shared" si="9"/>
        <v>315.19676504562227</v>
      </c>
      <c r="AJ17" s="31">
        <f>Z16-Z17</f>
        <v>2752.5706800000044</v>
      </c>
      <c r="AK17" s="113">
        <f t="shared" si="5"/>
        <v>2453.8165600000066</v>
      </c>
      <c r="AL17" s="38">
        <f t="shared" si="6"/>
        <v>5206.3872400000109</v>
      </c>
      <c r="AM17" s="26">
        <f t="shared" si="7"/>
        <v>38766.759389040082</v>
      </c>
      <c r="AN17" s="31">
        <f t="shared" si="10"/>
        <v>204.44849337715496</v>
      </c>
      <c r="AP17" s="131">
        <f>Z16-Z17</f>
        <v>2752.5706800000044</v>
      </c>
      <c r="AQ17">
        <f>Z17-((L17-L17*$AQ$1)*Z17/L17)</f>
        <v>2453.8165603599919</v>
      </c>
      <c r="AR17" s="3">
        <f>AP17+AQ17</f>
        <v>5206.3872403599962</v>
      </c>
    </row>
    <row r="18" spans="1:45" s="109" customFormat="1" x14ac:dyDescent="0.2">
      <c r="A18" s="109" t="s">
        <v>93</v>
      </c>
      <c r="B18" s="109">
        <v>15</v>
      </c>
      <c r="C18" s="109">
        <v>15</v>
      </c>
      <c r="D18" s="110"/>
      <c r="E18" s="110">
        <f>[9]noerr!C14</f>
        <v>30.619267000000001</v>
      </c>
      <c r="F18" s="110">
        <f>[9]noerr!D14</f>
        <v>4.3999999999999997E-2</v>
      </c>
      <c r="G18" s="110">
        <f>[9]noerr!E14</f>
        <v>36.438218999999997</v>
      </c>
      <c r="H18" s="110">
        <f>[9]noerr!F14</f>
        <v>0.24073600000000001</v>
      </c>
      <c r="I18" s="110">
        <f>[9]noerr!G14</f>
        <v>555.62506900000005</v>
      </c>
      <c r="J18" s="110">
        <f>[9]noerr!H14</f>
        <v>302.87617</v>
      </c>
      <c r="K18" s="110">
        <f>[9]noerr!I14</f>
        <v>400001.37868099997</v>
      </c>
      <c r="L18" s="33">
        <f>[9]noerr!J14</f>
        <v>19748.393725999998</v>
      </c>
      <c r="M18" s="110">
        <f>[9]noerr!K14</f>
        <v>400001.37868099997</v>
      </c>
      <c r="N18" s="110">
        <f>[9]noerr!L14</f>
        <v>36.438218999999997</v>
      </c>
      <c r="O18" s="33">
        <f>[9]noerr!M14</f>
        <v>408.29342000000003</v>
      </c>
      <c r="P18" s="110">
        <f>[9]noerr!N14</f>
        <v>36.581859999999999</v>
      </c>
      <c r="Q18" s="110">
        <f>[9]noerr!O14</f>
        <v>35.825538999999999</v>
      </c>
      <c r="R18" s="11">
        <f>[9]noerr!P14</f>
        <v>19748.393725999998</v>
      </c>
      <c r="S18" s="11">
        <f>[9]noerr!Q14</f>
        <v>19340.100306</v>
      </c>
      <c r="T18" s="110">
        <f>[9]noerr!R14</f>
        <v>133.75877199999999</v>
      </c>
      <c r="U18" s="110">
        <f>[9]noerr!S14</f>
        <v>136.58258499999999</v>
      </c>
      <c r="V18" s="110">
        <f>[9]noerr!T14</f>
        <v>36.438218999999997</v>
      </c>
      <c r="W18" s="110">
        <f>[9]noerr!U14</f>
        <v>37.207475000000002</v>
      </c>
      <c r="X18" s="111">
        <f>[9]noerr!V14</f>
        <v>0</v>
      </c>
      <c r="Y18" s="110">
        <f>[9]noerr!W14</f>
        <v>0.76925600000000005</v>
      </c>
      <c r="Z18" s="33">
        <f>[9]noerr!X14</f>
        <v>400001.37868099997</v>
      </c>
      <c r="AA18" s="110">
        <f>[9]noerr!Y14</f>
        <v>400001.37868099997</v>
      </c>
      <c r="AB18" s="110">
        <f>[9]noerr!Z14</f>
        <v>391731.443761</v>
      </c>
      <c r="AC18" s="109">
        <f t="shared" si="1"/>
        <v>0</v>
      </c>
      <c r="AD18" s="112">
        <f t="shared" si="2"/>
        <v>0.76925600000000005</v>
      </c>
      <c r="AE18" s="109">
        <f t="shared" si="3"/>
        <v>20620.368633599999</v>
      </c>
      <c r="AF18" s="113">
        <f t="shared" si="8"/>
        <v>808.93422367106587</v>
      </c>
      <c r="AG18" s="114">
        <f t="shared" si="0"/>
        <v>2.8238174847839161</v>
      </c>
      <c r="AH18" s="114">
        <f t="shared" si="4"/>
        <v>75694.121970123757</v>
      </c>
      <c r="AI18" s="115">
        <f t="shared" si="9"/>
        <v>1074.1537280045234</v>
      </c>
      <c r="AJ18" s="31">
        <f>(K18-AA18)</f>
        <v>0</v>
      </c>
      <c r="AK18" s="113">
        <f t="shared" si="5"/>
        <v>8269.9349199999706</v>
      </c>
      <c r="AL18" s="116">
        <f t="shared" si="6"/>
        <v>8269.9349199999706</v>
      </c>
      <c r="AM18" s="117">
        <f t="shared" si="7"/>
        <v>61577.935414319785</v>
      </c>
      <c r="AN18" s="113">
        <f t="shared" si="10"/>
        <v>324.75028398408432</v>
      </c>
      <c r="AP18" s="110"/>
    </row>
    <row r="19" spans="1:45" x14ac:dyDescent="0.2">
      <c r="C19" s="34">
        <f>C18+$J$1</f>
        <v>22</v>
      </c>
      <c r="E19" s="3">
        <f>[9]noerr!C15</f>
        <v>30.619267000000001</v>
      </c>
      <c r="F19" s="3">
        <f>[9]noerr!D15</f>
        <v>4.3999999999999997E-2</v>
      </c>
      <c r="G19" s="3">
        <f>[9]noerr!E15</f>
        <v>36.438218999999997</v>
      </c>
      <c r="H19" s="3">
        <f>[9]noerr!F15</f>
        <v>0.24073600000000001</v>
      </c>
      <c r="I19" s="3">
        <f>[9]noerr!G15</f>
        <v>555.62506900000005</v>
      </c>
      <c r="J19" s="3">
        <f>[9]noerr!H15</f>
        <v>302.87617</v>
      </c>
      <c r="K19" s="3">
        <f>[9]noerr!I15</f>
        <v>400001.37868099997</v>
      </c>
      <c r="L19" s="33">
        <f>[9]noerr!J15</f>
        <v>19748.393725999998</v>
      </c>
      <c r="M19" s="3">
        <f>[9]noerr!K15</f>
        <v>400001.37868099997</v>
      </c>
      <c r="N19" s="3">
        <f>[9]noerr!L15</f>
        <v>36.438218999999997</v>
      </c>
      <c r="O19" s="33">
        <f>[9]noerr!M15</f>
        <v>412.27569599999998</v>
      </c>
      <c r="P19" s="3">
        <f>[9]noerr!N15</f>
        <v>36.574483000000001</v>
      </c>
      <c r="Q19" s="3">
        <f>[9]noerr!O15</f>
        <v>35.818162000000001</v>
      </c>
      <c r="R19" s="11">
        <f>[9]noerr!P15</f>
        <v>19744.411448999999</v>
      </c>
      <c r="S19" s="11">
        <f>[9]noerr!Q15</f>
        <v>19336.118029000001</v>
      </c>
      <c r="T19" s="3">
        <f>[9]noerr!R15</f>
        <v>133.78575000000001</v>
      </c>
      <c r="U19" s="3">
        <f>[9]noerr!S15</f>
        <v>136.610714</v>
      </c>
      <c r="V19" s="3">
        <f>[9]noerr!T15</f>
        <v>36.445568999999999</v>
      </c>
      <c r="W19" s="3">
        <f>[9]noerr!U15</f>
        <v>37.215138000000003</v>
      </c>
      <c r="X19" s="72">
        <f>[9]noerr!V15</f>
        <v>7.3489999999999996E-3</v>
      </c>
      <c r="Y19" s="3">
        <f>[9]noerr!W15</f>
        <v>0.77691900000000003</v>
      </c>
      <c r="Z19" s="33">
        <f>[9]noerr!X15</f>
        <v>400001.37868099997</v>
      </c>
      <c r="AA19" s="3">
        <f>[9]noerr!Y15</f>
        <v>399920.71814299998</v>
      </c>
      <c r="AB19" s="3">
        <f>[9]noerr!Z15</f>
        <v>391650.783222</v>
      </c>
      <c r="AC19">
        <f t="shared" si="1"/>
        <v>196.99435439999999</v>
      </c>
      <c r="AD19" s="20">
        <f t="shared" si="2"/>
        <v>0.78426800000000008</v>
      </c>
      <c r="AE19">
        <f t="shared" si="3"/>
        <v>21022.774300800003</v>
      </c>
      <c r="AF19" s="31">
        <f t="shared" si="8"/>
        <v>824.72054261527978</v>
      </c>
      <c r="AG19" s="102">
        <f t="shared" si="0"/>
        <v>2.8789241697906789</v>
      </c>
      <c r="AH19" s="102">
        <f t="shared" si="4"/>
        <v>77171.289725741022</v>
      </c>
      <c r="AI19" s="32">
        <f t="shared" si="9"/>
        <v>1095.1157949429655</v>
      </c>
      <c r="AJ19" s="31">
        <f>K18-AA19</f>
        <v>80.66053799999645</v>
      </c>
      <c r="AK19" s="113">
        <f t="shared" si="5"/>
        <v>8350.5954589999747</v>
      </c>
      <c r="AL19" s="38">
        <f t="shared" si="6"/>
        <v>8431.2559969999711</v>
      </c>
      <c r="AM19" s="26">
        <f t="shared" si="7"/>
        <v>62779.132153661769</v>
      </c>
      <c r="AN19" s="31">
        <f t="shared" si="10"/>
        <v>331.08516643178905</v>
      </c>
      <c r="AP19" s="11">
        <f>Z18-((L19-(O19-O18))*Z18/L19)</f>
        <v>80.66052927589044</v>
      </c>
      <c r="AQ19">
        <f>Z19-((L19-O19)*Z19/L19)</f>
        <v>8350.5954501784872</v>
      </c>
      <c r="AR19" s="3">
        <f>AP19+AQ19</f>
        <v>8431.2559794543777</v>
      </c>
    </row>
    <row r="20" spans="1:45" s="109" customFormat="1" x14ac:dyDescent="0.2">
      <c r="B20" s="109">
        <v>20</v>
      </c>
      <c r="C20" s="109">
        <v>20</v>
      </c>
      <c r="D20" s="110"/>
      <c r="E20" s="110">
        <f>[9]noerr!C16</f>
        <v>34.907857999999997</v>
      </c>
      <c r="F20" s="110">
        <f>[9]noerr!D16</f>
        <v>5.6000000000000001E-2</v>
      </c>
      <c r="G20" s="110">
        <f>[9]noerr!E16</f>
        <v>36.687213</v>
      </c>
      <c r="H20" s="110">
        <f>[9]noerr!F16</f>
        <v>0.24650900000000001</v>
      </c>
      <c r="I20" s="110">
        <f>[9]noerr!G16</f>
        <v>546.29155800000001</v>
      </c>
      <c r="J20" s="110">
        <f>[9]noerr!H16</f>
        <v>308.19619799999998</v>
      </c>
      <c r="K20" s="110">
        <f>[9]noerr!I16</f>
        <v>400002.509066</v>
      </c>
      <c r="L20" s="33">
        <f>[9]noerr!J16</f>
        <v>20165.921844</v>
      </c>
      <c r="M20" s="110">
        <f>[9]noerr!K16</f>
        <v>400002.509066</v>
      </c>
      <c r="N20" s="110">
        <f>[9]noerr!L16</f>
        <v>36.687213</v>
      </c>
      <c r="O20" s="33">
        <f>[9]noerr!M16</f>
        <v>430.63462500000003</v>
      </c>
      <c r="P20" s="110">
        <f>[9]noerr!N16</f>
        <v>36.333683000000001</v>
      </c>
      <c r="Q20" s="110">
        <f>[9]noerr!O16</f>
        <v>35.557792999999997</v>
      </c>
      <c r="R20" s="11">
        <f>[9]noerr!P16</f>
        <v>20165.921844</v>
      </c>
      <c r="S20" s="11">
        <f>[9]noerr!Q16</f>
        <v>19735.287219000002</v>
      </c>
      <c r="T20" s="110">
        <f>[9]noerr!R16</f>
        <v>134.66566599999999</v>
      </c>
      <c r="U20" s="110">
        <f>[9]noerr!S16</f>
        <v>137.60414399999999</v>
      </c>
      <c r="V20" s="110">
        <f>[9]noerr!T16</f>
        <v>36.687213</v>
      </c>
      <c r="W20" s="110">
        <f>[9]noerr!U16</f>
        <v>37.487748000000003</v>
      </c>
      <c r="X20" s="111">
        <f>[9]noerr!V16</f>
        <v>0</v>
      </c>
      <c r="Y20" s="110">
        <f>[9]noerr!W16</f>
        <v>0.800535</v>
      </c>
      <c r="Z20" s="33">
        <f>[9]noerr!X16</f>
        <v>400002.509066</v>
      </c>
      <c r="AA20" s="110">
        <f>[9]noerr!Y16</f>
        <v>400002.509066</v>
      </c>
      <c r="AB20" s="110">
        <f>[9]noerr!Z16</f>
        <v>391460.62679000001</v>
      </c>
      <c r="AC20" s="109">
        <f t="shared" si="1"/>
        <v>0</v>
      </c>
      <c r="AD20" s="112">
        <f t="shared" si="2"/>
        <v>0.800535</v>
      </c>
      <c r="AE20" s="109">
        <f t="shared" si="3"/>
        <v>21458.820995999999</v>
      </c>
      <c r="AF20" s="113">
        <f t="shared" si="8"/>
        <v>841.82659445817353</v>
      </c>
      <c r="AG20" s="114">
        <f t="shared" si="0"/>
        <v>2.9384809015651285</v>
      </c>
      <c r="AH20" s="114">
        <f t="shared" si="4"/>
        <v>78767.743654994207</v>
      </c>
      <c r="AI20" s="115">
        <f t="shared" si="9"/>
        <v>1117.7706180000534</v>
      </c>
      <c r="AJ20" s="31">
        <f>(K20-AA20)</f>
        <v>0</v>
      </c>
      <c r="AK20" s="113">
        <f t="shared" si="5"/>
        <v>8541.8822759999894</v>
      </c>
      <c r="AL20" s="116">
        <f t="shared" si="6"/>
        <v>8541.8822759999894</v>
      </c>
      <c r="AM20" s="117">
        <f t="shared" si="7"/>
        <v>63602.855427095928</v>
      </c>
      <c r="AN20" s="113">
        <f t="shared" si="10"/>
        <v>335.42932583194056</v>
      </c>
      <c r="AP20" s="110"/>
    </row>
    <row r="21" spans="1:45" x14ac:dyDescent="0.2">
      <c r="B21"/>
      <c r="C21" s="34">
        <f>C20+$J$1</f>
        <v>27</v>
      </c>
      <c r="E21" s="3">
        <f>[9]noerr!C17</f>
        <v>34.907857999999997</v>
      </c>
      <c r="F21" s="3">
        <f>[9]noerr!D17</f>
        <v>5.6000000000000001E-2</v>
      </c>
      <c r="G21" s="3">
        <f>[9]noerr!E17</f>
        <v>36.687213</v>
      </c>
      <c r="H21" s="3">
        <f>[9]noerr!F17</f>
        <v>0.24650900000000001</v>
      </c>
      <c r="I21" s="3">
        <f>[9]noerr!G17</f>
        <v>546.29155800000001</v>
      </c>
      <c r="J21" s="3">
        <f>[9]noerr!H17</f>
        <v>308.19619799999998</v>
      </c>
      <c r="K21" s="3">
        <f>[9]noerr!I17</f>
        <v>400002.509066</v>
      </c>
      <c r="L21" s="33">
        <f>[9]noerr!J17</f>
        <v>20165.921844</v>
      </c>
      <c r="M21" s="3">
        <f>[9]noerr!K17</f>
        <v>400002.509066</v>
      </c>
      <c r="N21" s="3">
        <f>[9]noerr!L17</f>
        <v>36.687213</v>
      </c>
      <c r="O21" s="33">
        <f>[9]noerr!M17</f>
        <v>435.13007299999998</v>
      </c>
      <c r="P21" s="3">
        <f>[9]noerr!N17</f>
        <v>36.325583999999999</v>
      </c>
      <c r="Q21" s="3">
        <f>[9]noerr!O17</f>
        <v>35.549694000000002</v>
      </c>
      <c r="R21" s="11">
        <f>[9]noerr!P17</f>
        <v>20161.426394999999</v>
      </c>
      <c r="S21" s="11">
        <f>[9]noerr!Q17</f>
        <v>19730.791771</v>
      </c>
      <c r="T21" s="3">
        <f>[9]noerr!R17</f>
        <v>134.69569300000001</v>
      </c>
      <c r="U21" s="3">
        <f>[9]noerr!S17</f>
        <v>137.63549499999999</v>
      </c>
      <c r="V21" s="3">
        <f>[9]noerr!T17</f>
        <v>36.695394</v>
      </c>
      <c r="W21" s="3">
        <f>[9]noerr!U17</f>
        <v>37.496288999999997</v>
      </c>
      <c r="X21" s="72">
        <f>[9]noerr!V17</f>
        <v>8.1799999999999998E-3</v>
      </c>
      <c r="Y21" s="3">
        <f>[9]noerr!W17</f>
        <v>0.80907600000000002</v>
      </c>
      <c r="Z21" s="33">
        <f>[9]noerr!X17</f>
        <v>400002.509066</v>
      </c>
      <c r="AA21" s="3">
        <f>[9]noerr!Y17</f>
        <v>399913.33929700003</v>
      </c>
      <c r="AB21" s="3">
        <f>[9]noerr!Z17</f>
        <v>391371.45702099998</v>
      </c>
      <c r="AC21">
        <f t="shared" si="1"/>
        <v>219.26980799999998</v>
      </c>
      <c r="AD21" s="20">
        <f t="shared" si="2"/>
        <v>0.81725599999999998</v>
      </c>
      <c r="AE21">
        <f t="shared" si="3"/>
        <v>21907.037433600002</v>
      </c>
      <c r="AF21" s="31">
        <f t="shared" si="8"/>
        <v>859.41006362059022</v>
      </c>
      <c r="AG21" s="102">
        <f t="shared" si="0"/>
        <v>2.9998577797217081</v>
      </c>
      <c r="AH21" s="102">
        <f t="shared" si="4"/>
        <v>80412.98770010822</v>
      </c>
      <c r="AI21" s="32">
        <f t="shared" si="9"/>
        <v>1141.1178076964211</v>
      </c>
      <c r="AJ21" s="31">
        <f>K20-AA21</f>
        <v>89.169768999970984</v>
      </c>
      <c r="AK21" s="113">
        <f t="shared" si="5"/>
        <v>8631.0520450000186</v>
      </c>
      <c r="AL21" s="38">
        <f t="shared" si="6"/>
        <v>8720.2218139999895</v>
      </c>
      <c r="AM21" s="26">
        <f t="shared" si="7"/>
        <v>64930.77162704392</v>
      </c>
      <c r="AN21" s="31">
        <f t="shared" si="10"/>
        <v>342.4325025402635</v>
      </c>
      <c r="AP21" s="11">
        <f>Z20-((L21-(O21-O20))*Z20/L21)</f>
        <v>89.169763390265871</v>
      </c>
      <c r="AQ21">
        <f>Z21-((L21-O21)*Z21/L21)</f>
        <v>8631.0520449556061</v>
      </c>
      <c r="AR21" s="3">
        <f>AP21+AQ21</f>
        <v>8720.221808345872</v>
      </c>
    </row>
    <row r="22" spans="1:45" s="109" customFormat="1" x14ac:dyDescent="0.2">
      <c r="B22" s="118">
        <v>25</v>
      </c>
      <c r="C22" s="109">
        <v>25</v>
      </c>
      <c r="D22" s="110"/>
      <c r="E22" s="110">
        <f>[9]noerr!C18</f>
        <v>39.265241000000003</v>
      </c>
      <c r="F22" s="110">
        <f>[9]noerr!D18</f>
        <v>7.0999999999999994E-2</v>
      </c>
      <c r="G22" s="110">
        <f>[9]noerr!E18</f>
        <v>36.955775000000003</v>
      </c>
      <c r="H22" s="110">
        <f>[9]noerr!F18</f>
        <v>0.25256000000000001</v>
      </c>
      <c r="I22" s="110">
        <f>[9]noerr!G18</f>
        <v>537.07656799999995</v>
      </c>
      <c r="J22" s="110">
        <f>[9]noerr!H18</f>
        <v>313.73796900000002</v>
      </c>
      <c r="K22" s="110">
        <f>[9]noerr!I18</f>
        <v>400000.16166699998</v>
      </c>
      <c r="L22" s="33">
        <f>[9]noerr!J18</f>
        <v>20594.254973999999</v>
      </c>
      <c r="M22" s="110">
        <f>[9]noerr!K18</f>
        <v>400000.16166699998</v>
      </c>
      <c r="N22" s="110">
        <f>[9]noerr!L18</f>
        <v>36.955775000000003</v>
      </c>
      <c r="O22" s="33">
        <f>[9]noerr!M18</f>
        <v>451.31305400000002</v>
      </c>
      <c r="P22" s="110">
        <f>[9]noerr!N18</f>
        <v>36.069431000000002</v>
      </c>
      <c r="Q22" s="110">
        <f>[9]noerr!O18</f>
        <v>35.278987000000001</v>
      </c>
      <c r="R22" s="11">
        <f>[9]noerr!P18</f>
        <v>20594.254973999999</v>
      </c>
      <c r="S22" s="11">
        <f>[9]noerr!Q18</f>
        <v>20142.941920000001</v>
      </c>
      <c r="T22" s="110">
        <f>[9]noerr!R18</f>
        <v>135.64413099999999</v>
      </c>
      <c r="U22" s="110">
        <f>[9]noerr!S18</f>
        <v>138.68330800000001</v>
      </c>
      <c r="V22" s="110">
        <f>[9]noerr!T18</f>
        <v>36.955775000000003</v>
      </c>
      <c r="W22" s="110">
        <f>[9]noerr!U18</f>
        <v>37.783788000000001</v>
      </c>
      <c r="X22" s="111">
        <f>[9]noerr!V18</f>
        <v>0</v>
      </c>
      <c r="Y22" s="110">
        <f>[9]noerr!W18</f>
        <v>0.828013</v>
      </c>
      <c r="Z22" s="33">
        <f>[9]noerr!X18</f>
        <v>400000.16166699998</v>
      </c>
      <c r="AA22" s="110">
        <f>[9]noerr!Y18</f>
        <v>400000.16166699998</v>
      </c>
      <c r="AB22" s="110">
        <f>[9]noerr!Z18</f>
        <v>391234.35320800002</v>
      </c>
      <c r="AC22" s="109">
        <f t="shared" si="1"/>
        <v>0</v>
      </c>
      <c r="AD22" s="112">
        <f t="shared" si="2"/>
        <v>0.828013</v>
      </c>
      <c r="AE22" s="109">
        <f t="shared" si="3"/>
        <v>22195.385272799998</v>
      </c>
      <c r="AF22" s="113">
        <f t="shared" si="8"/>
        <v>870.72190966927826</v>
      </c>
      <c r="AG22" s="114">
        <f t="shared" si="0"/>
        <v>3.0391743484858011</v>
      </c>
      <c r="AH22" s="114">
        <f t="shared" si="4"/>
        <v>81466.89191577099</v>
      </c>
      <c r="AI22" s="115">
        <f t="shared" si="9"/>
        <v>1156.0734622802825</v>
      </c>
      <c r="AJ22" s="31">
        <f>(K22-AA22)</f>
        <v>0</v>
      </c>
      <c r="AK22" s="113">
        <f t="shared" si="5"/>
        <v>8765.8084589999635</v>
      </c>
      <c r="AL22" s="116">
        <f t="shared" si="6"/>
        <v>8765.8084589999635</v>
      </c>
      <c r="AM22" s="117">
        <f t="shared" si="7"/>
        <v>65270.209785713727</v>
      </c>
      <c r="AN22" s="113">
        <f t="shared" si="10"/>
        <v>344.22263463354278</v>
      </c>
      <c r="AP22" s="110"/>
    </row>
    <row r="23" spans="1:45" x14ac:dyDescent="0.2">
      <c r="C23" s="34">
        <f>C22+$J$1</f>
        <v>32</v>
      </c>
      <c r="E23" s="3">
        <f>[9]noerr!C19</f>
        <v>39.265241000000003</v>
      </c>
      <c r="F23" s="3">
        <f>[9]noerr!D19</f>
        <v>7.0999999999999994E-2</v>
      </c>
      <c r="G23" s="3">
        <f>[9]noerr!E19</f>
        <v>36.955775000000003</v>
      </c>
      <c r="H23" s="3">
        <f>[9]noerr!F19</f>
        <v>0.25256000000000001</v>
      </c>
      <c r="I23" s="3">
        <f>[9]noerr!G19</f>
        <v>537.07656799999995</v>
      </c>
      <c r="J23" s="3">
        <f>[9]noerr!H19</f>
        <v>313.73796900000002</v>
      </c>
      <c r="K23" s="3">
        <f>[9]noerr!I19</f>
        <v>400000.16166699998</v>
      </c>
      <c r="L23" s="33">
        <f>[9]noerr!J19</f>
        <v>20594.254973999999</v>
      </c>
      <c r="M23" s="3">
        <f>[9]noerr!K19</f>
        <v>400000.16166699998</v>
      </c>
      <c r="N23" s="3">
        <f>[9]noerr!L19</f>
        <v>36.955775000000003</v>
      </c>
      <c r="O23" s="33">
        <f>[9]noerr!M19</f>
        <v>456.27828299999999</v>
      </c>
      <c r="P23" s="3">
        <f>[9]noerr!N19</f>
        <v>36.060735000000001</v>
      </c>
      <c r="Q23" s="3">
        <f>[9]noerr!O19</f>
        <v>35.270291</v>
      </c>
      <c r="R23" s="11">
        <f>[9]noerr!P19</f>
        <v>20589.289744999998</v>
      </c>
      <c r="S23" s="11">
        <f>[9]noerr!Q19</f>
        <v>20137.976691</v>
      </c>
      <c r="T23" s="3">
        <f>[9]noerr!R19</f>
        <v>135.67684299999999</v>
      </c>
      <c r="U23" s="3">
        <f>[9]noerr!S19</f>
        <v>138.717502</v>
      </c>
      <c r="V23" s="3">
        <f>[9]noerr!T19</f>
        <v>36.964686999999998</v>
      </c>
      <c r="W23" s="3">
        <f>[9]noerr!U19</f>
        <v>37.793104</v>
      </c>
      <c r="X23" s="72">
        <f>[9]noerr!V19</f>
        <v>8.9119999999999998E-3</v>
      </c>
      <c r="Y23" s="3">
        <f>[9]noerr!W19</f>
        <v>0.83732899999999999</v>
      </c>
      <c r="Z23" s="33">
        <f>[9]noerr!X19</f>
        <v>400000.16166699998</v>
      </c>
      <c r="AA23" s="3">
        <f>[9]noerr!Y19</f>
        <v>399903.72252100002</v>
      </c>
      <c r="AB23" s="3">
        <f>[9]noerr!Z19</f>
        <v>391137.914062</v>
      </c>
      <c r="AC23">
        <f t="shared" si="1"/>
        <v>238.89150720000001</v>
      </c>
      <c r="AD23" s="20">
        <f t="shared" si="2"/>
        <v>0.84624100000000002</v>
      </c>
      <c r="AE23">
        <f t="shared" si="3"/>
        <v>22683.997749599999</v>
      </c>
      <c r="AF23" s="31">
        <f t="shared" si="8"/>
        <v>889.89010989011012</v>
      </c>
      <c r="AG23" s="102">
        <f t="shared" si="0"/>
        <v>3.1060791797193588</v>
      </c>
      <c r="AH23" s="102">
        <f t="shared" si="4"/>
        <v>83260.316059885256</v>
      </c>
      <c r="AI23" s="32">
        <f t="shared" si="9"/>
        <v>1181.5234335614607</v>
      </c>
      <c r="AJ23" s="31">
        <f>K22-AA23</f>
        <v>96.439145999960601</v>
      </c>
      <c r="AK23" s="113">
        <f t="shared" si="5"/>
        <v>8862.2476049999823</v>
      </c>
      <c r="AL23" s="38">
        <f t="shared" si="6"/>
        <v>8958.6867509999429</v>
      </c>
      <c r="AM23" s="26">
        <f t="shared" si="7"/>
        <v>66706.381547945566</v>
      </c>
      <c r="AN23" s="31">
        <f t="shared" si="10"/>
        <v>351.79673052514124</v>
      </c>
      <c r="AP23" s="11">
        <f>Z22-((L23-(O23-O22))*Z22/L23)</f>
        <v>96.439147967321333</v>
      </c>
      <c r="AQ23">
        <f>Z23-((L23-O23)*Z23/L23)</f>
        <v>8862.2476120432257</v>
      </c>
      <c r="AR23" s="3">
        <f>AP23+AQ23</f>
        <v>8958.686760010547</v>
      </c>
    </row>
    <row r="24" spans="1:45" s="109" customFormat="1" x14ac:dyDescent="0.2">
      <c r="A24" s="109" t="s">
        <v>56</v>
      </c>
      <c r="B24" s="109">
        <v>15</v>
      </c>
      <c r="C24" s="109">
        <v>15</v>
      </c>
      <c r="D24" s="110"/>
      <c r="E24" s="110">
        <f>[9]noerr!C20</f>
        <v>32.002797000000001</v>
      </c>
      <c r="F24" s="110">
        <f>[9]noerr!D20</f>
        <v>4.7600000000000003E-2</v>
      </c>
      <c r="G24" s="110">
        <f>[9]noerr!E20</f>
        <v>36.553040000000003</v>
      </c>
      <c r="H24" s="110">
        <f>[9]noerr!F20</f>
        <v>0.24144299999999999</v>
      </c>
      <c r="I24" s="110">
        <f>[9]noerr!G20</f>
        <v>555.73988899999995</v>
      </c>
      <c r="J24" s="110">
        <f>[9]noerr!H20</f>
        <v>304.46906799999999</v>
      </c>
      <c r="K24" s="110">
        <f>[9]noerr!I20</f>
        <v>400002.58685800002</v>
      </c>
      <c r="L24" s="33">
        <f>[9]noerr!J20</f>
        <v>19872.348959999999</v>
      </c>
      <c r="M24" s="110">
        <f>[9]noerr!K20</f>
        <v>400002.58685800002</v>
      </c>
      <c r="N24" s="110">
        <f>[9]noerr!L20</f>
        <v>36.553040000000003</v>
      </c>
      <c r="O24" s="33">
        <f>[9]noerr!M20</f>
        <v>0</v>
      </c>
      <c r="P24" s="110">
        <f>[9]noerr!N20</f>
        <v>36.467058999999999</v>
      </c>
      <c r="Q24" s="110">
        <f>[9]noerr!O20</f>
        <v>35.737718000000001</v>
      </c>
      <c r="R24" s="11">
        <f>[9]noerr!P20</f>
        <v>19872.348959999999</v>
      </c>
      <c r="S24" s="11">
        <f>[9]noerr!Q20</f>
        <v>19474.901979999999</v>
      </c>
      <c r="T24" s="110">
        <f>[9]noerr!R20</f>
        <v>134.179452</v>
      </c>
      <c r="U24" s="110">
        <f>[9]noerr!S20</f>
        <v>136.91780800000001</v>
      </c>
      <c r="V24" s="110">
        <f>[9]noerr!T20</f>
        <v>36.553040000000003</v>
      </c>
      <c r="W24" s="110">
        <f>[9]noerr!U20</f>
        <v>37.299019999999999</v>
      </c>
      <c r="X24" s="111">
        <f>[9]noerr!V20</f>
        <v>0</v>
      </c>
      <c r="Y24" s="110">
        <f>[9]noerr!W20</f>
        <v>0.74597999999999998</v>
      </c>
      <c r="Z24" s="33">
        <f>[9]noerr!X20</f>
        <v>400002.58685800002</v>
      </c>
      <c r="AA24" s="110">
        <f>[9]noerr!Y20</f>
        <v>400002.58685800002</v>
      </c>
      <c r="AB24" s="110">
        <f>[9]noerr!Z20</f>
        <v>392002.53512100002</v>
      </c>
      <c r="AC24" s="109">
        <f t="shared" si="1"/>
        <v>0</v>
      </c>
      <c r="AD24" s="112">
        <f t="shared" si="2"/>
        <v>0.74597999999999998</v>
      </c>
      <c r="AE24" s="109">
        <f t="shared" si="3"/>
        <v>19996.441487999997</v>
      </c>
      <c r="AF24" s="113">
        <f>AE24*$AF$6/$AE$6</f>
        <v>784.45764761554233</v>
      </c>
      <c r="AG24" s="114">
        <f t="shared" si="0"/>
        <v>2.7383557674182839</v>
      </c>
      <c r="AH24" s="114">
        <f t="shared" si="4"/>
        <v>73403.269359107551</v>
      </c>
      <c r="AI24" s="115">
        <f t="shared" si="9"/>
        <v>1041.6448910118279</v>
      </c>
      <c r="AJ24" s="31">
        <f>(K24-AA24)</f>
        <v>0</v>
      </c>
      <c r="AK24" s="113">
        <f t="shared" si="5"/>
        <v>8000.0517370000016</v>
      </c>
      <c r="AL24" s="116">
        <f t="shared" si="6"/>
        <v>8000.0517370000016</v>
      </c>
      <c r="AM24" s="117">
        <f t="shared" si="7"/>
        <v>59568.385233702014</v>
      </c>
      <c r="AN24" s="113">
        <f t="shared" si="10"/>
        <v>314.15229969888651</v>
      </c>
      <c r="AP24" s="110"/>
    </row>
    <row r="25" spans="1:45" x14ac:dyDescent="0.2">
      <c r="C25" s="34">
        <f>C24+$J$1</f>
        <v>22</v>
      </c>
      <c r="E25" s="3">
        <f>[9]noerr!C21</f>
        <v>39.159878999999997</v>
      </c>
      <c r="F25" s="3">
        <f>[9]noerr!D21</f>
        <v>7.0599999999999996E-2</v>
      </c>
      <c r="G25" s="3">
        <f>[9]noerr!E21</f>
        <v>36.553040000000003</v>
      </c>
      <c r="H25" s="3">
        <f>[9]noerr!F21</f>
        <v>0.24144299999999999</v>
      </c>
      <c r="I25" s="3">
        <f>[9]noerr!G21</f>
        <v>555.73988899999995</v>
      </c>
      <c r="J25" s="3">
        <f>[9]noerr!H21</f>
        <v>307.30117200000001</v>
      </c>
      <c r="K25" s="3">
        <f>[9]noerr!I21</f>
        <v>392106.25556700001</v>
      </c>
      <c r="L25" s="33">
        <f>[9]noerr!J21</f>
        <v>20166.708210000001</v>
      </c>
      <c r="M25" s="3">
        <f>[9]noerr!K21</f>
        <v>400002.58685800002</v>
      </c>
      <c r="N25" s="3">
        <f>[9]noerr!L21</f>
        <v>36.553040000000003</v>
      </c>
      <c r="O25" s="33">
        <f>[9]noerr!M21</f>
        <v>0</v>
      </c>
      <c r="P25" s="3">
        <f>[9]noerr!N21</f>
        <v>35.747174000000001</v>
      </c>
      <c r="Q25" s="3">
        <f>[9]noerr!O21</f>
        <v>35.032229999999998</v>
      </c>
      <c r="R25" s="11">
        <f>[9]noerr!P21</f>
        <v>20166.708210000001</v>
      </c>
      <c r="S25" s="11">
        <f>[9]noerr!Q21</f>
        <v>19763.374046000001</v>
      </c>
      <c r="T25" s="3">
        <f>[9]noerr!R21</f>
        <v>136.88158999999999</v>
      </c>
      <c r="U25" s="3">
        <f>[9]noerr!S21</f>
        <v>139.67509200000001</v>
      </c>
      <c r="V25" s="3">
        <f>[9]noerr!T21</f>
        <v>37.289154000000003</v>
      </c>
      <c r="W25" s="3">
        <f>[9]noerr!U21</f>
        <v>38.050156999999999</v>
      </c>
      <c r="X25" s="72">
        <f>[9]noerr!V21</f>
        <v>0.73611400000000005</v>
      </c>
      <c r="Y25" s="3">
        <f>[9]noerr!W21</f>
        <v>1.497117</v>
      </c>
      <c r="Z25" s="33">
        <f>[9]noerr!X21</f>
        <v>392106.25556700001</v>
      </c>
      <c r="AA25" s="3">
        <f>[9]noerr!Y21</f>
        <v>392106.25556700001</v>
      </c>
      <c r="AB25" s="3">
        <f>[9]noerr!Z21</f>
        <v>384264.13045599998</v>
      </c>
      <c r="AC25">
        <f t="shared" si="1"/>
        <v>19731.977438400001</v>
      </c>
      <c r="AD25" s="20">
        <f t="shared" si="2"/>
        <v>2.233231</v>
      </c>
      <c r="AE25">
        <f t="shared" si="3"/>
        <v>59863.096893599992</v>
      </c>
      <c r="AF25" s="31">
        <f t="shared" si="8"/>
        <v>2348.4210526315792</v>
      </c>
      <c r="AG25" s="102">
        <f t="shared" si="0"/>
        <v>8.1977814268844327</v>
      </c>
      <c r="AH25" s="102">
        <f t="shared" si="4"/>
        <v>219746.44981649335</v>
      </c>
      <c r="AI25" s="32">
        <f t="shared" si="9"/>
        <v>3118.3592879155144</v>
      </c>
      <c r="AJ25" s="31">
        <f>K24-AA25</f>
        <v>7896.3312910000095</v>
      </c>
      <c r="AK25" s="113">
        <f t="shared" si="5"/>
        <v>7842.1251110000303</v>
      </c>
      <c r="AL25" s="38">
        <f t="shared" si="6"/>
        <v>15738.45640200004</v>
      </c>
      <c r="AM25" s="26">
        <f t="shared" si="7"/>
        <v>117188.54636929229</v>
      </c>
      <c r="AN25" s="31">
        <f t="shared" si="10"/>
        <v>618.03003717236754</v>
      </c>
      <c r="AP25" s="131">
        <f>Z24-Z25</f>
        <v>7896.3312910000095</v>
      </c>
      <c r="AQ25">
        <f>Z25-((L25-L25*$AQ$1)*Z25/L25)</f>
        <v>7842.1251113400212</v>
      </c>
      <c r="AR25" s="3">
        <f>AP25+AQ25</f>
        <v>15738.456402340031</v>
      </c>
      <c r="AS25" s="3"/>
    </row>
    <row r="26" spans="1:45" s="109" customFormat="1" x14ac:dyDescent="0.2">
      <c r="B26" s="109">
        <v>20</v>
      </c>
      <c r="C26" s="109">
        <v>20</v>
      </c>
      <c r="D26" s="110"/>
      <c r="E26" s="110">
        <f>[9]noerr!C22</f>
        <v>37.052953000000002</v>
      </c>
      <c r="F26" s="110">
        <f>[9]noerr!D22</f>
        <v>6.3E-2</v>
      </c>
      <c r="G26" s="110">
        <f>[9]noerr!E22</f>
        <v>36.875616999999998</v>
      </c>
      <c r="H26" s="110">
        <f>[9]noerr!F22</f>
        <v>0.24768699999999999</v>
      </c>
      <c r="I26" s="110">
        <f>[9]noerr!G22</f>
        <v>546.479962</v>
      </c>
      <c r="J26" s="110">
        <f>[9]noerr!H22</f>
        <v>310.79295500000001</v>
      </c>
      <c r="K26" s="110">
        <f>[9]noerr!I22</f>
        <v>400002.74895400001</v>
      </c>
      <c r="L26" s="33">
        <f>[9]noerr!J22</f>
        <v>20365.268118</v>
      </c>
      <c r="M26" s="110">
        <f>[9]noerr!K22</f>
        <v>400002.74895400001</v>
      </c>
      <c r="N26" s="110">
        <f>[9]noerr!L22</f>
        <v>36.875616999999998</v>
      </c>
      <c r="O26" s="33">
        <f>[9]noerr!M22</f>
        <v>0</v>
      </c>
      <c r="P26" s="110">
        <f>[9]noerr!N22</f>
        <v>36.148069999999997</v>
      </c>
      <c r="Q26" s="110">
        <f>[9]noerr!O22</f>
        <v>35.425108999999999</v>
      </c>
      <c r="R26" s="11">
        <f>[9]noerr!P22</f>
        <v>20365.268118</v>
      </c>
      <c r="S26" s="11">
        <f>[9]noerr!Q22</f>
        <v>19957.962755</v>
      </c>
      <c r="T26" s="110">
        <f>[9]noerr!R22</f>
        <v>135.35593499999999</v>
      </c>
      <c r="U26" s="110">
        <f>[9]noerr!S22</f>
        <v>138.118301</v>
      </c>
      <c r="V26" s="110">
        <f>[9]noerr!T22</f>
        <v>36.875616999999998</v>
      </c>
      <c r="W26" s="110">
        <f>[9]noerr!U22</f>
        <v>37.628180999999998</v>
      </c>
      <c r="X26" s="111">
        <f>[9]noerr!V22</f>
        <v>0</v>
      </c>
      <c r="Y26" s="110">
        <f>[9]noerr!W22</f>
        <v>0.75256400000000001</v>
      </c>
      <c r="Z26" s="33">
        <f>[9]noerr!X22</f>
        <v>400002.74895400001</v>
      </c>
      <c r="AA26" s="110">
        <f>[9]noerr!Y22</f>
        <v>400002.74895400001</v>
      </c>
      <c r="AB26" s="110">
        <f>[9]noerr!Z22</f>
        <v>392002.693975</v>
      </c>
      <c r="AC26" s="109">
        <f t="shared" si="1"/>
        <v>0</v>
      </c>
      <c r="AD26" s="112">
        <f t="shared" si="2"/>
        <v>0.75256400000000001</v>
      </c>
      <c r="AE26" s="109">
        <f t="shared" si="3"/>
        <v>20172.929558399999</v>
      </c>
      <c r="AF26" s="113">
        <f t="shared" si="8"/>
        <v>791.38125032861888</v>
      </c>
      <c r="AG26" s="114">
        <f t="shared" si="0"/>
        <v>2.7623684099891932</v>
      </c>
      <c r="AH26" s="114">
        <f t="shared" si="4"/>
        <v>74046.942650806319</v>
      </c>
      <c r="AI26" s="115">
        <f t="shared" si="9"/>
        <v>1050.7790753830802</v>
      </c>
      <c r="AJ26" s="31">
        <f>(K26-AA26)</f>
        <v>0</v>
      </c>
      <c r="AK26" s="113">
        <f t="shared" si="5"/>
        <v>8000.0549790000077</v>
      </c>
      <c r="AL26" s="116">
        <f t="shared" si="6"/>
        <v>8000.0549790000077</v>
      </c>
      <c r="AM26" s="117">
        <f t="shared" si="7"/>
        <v>59568.409373634066</v>
      </c>
      <c r="AN26" s="113">
        <f t="shared" si="10"/>
        <v>314.15242700828293</v>
      </c>
      <c r="AP26" s="110"/>
    </row>
    <row r="27" spans="1:45" x14ac:dyDescent="0.2">
      <c r="B27"/>
      <c r="C27" s="34">
        <f>C26+$J$1</f>
        <v>27</v>
      </c>
      <c r="E27" s="3">
        <f>[9]noerr!C23</f>
        <v>44.186115999999998</v>
      </c>
      <c r="F27" s="3">
        <f>[9]noerr!D23</f>
        <v>9.1999999999999998E-2</v>
      </c>
      <c r="G27" s="3">
        <f>[9]noerr!E23</f>
        <v>36.875616999999998</v>
      </c>
      <c r="H27" s="3">
        <f>[9]noerr!F23</f>
        <v>0.24768699999999999</v>
      </c>
      <c r="I27" s="3">
        <f>[9]noerr!G23</f>
        <v>546.479962</v>
      </c>
      <c r="J27" s="3">
        <f>[9]noerr!H23</f>
        <v>313.69363900000002</v>
      </c>
      <c r="K27" s="3">
        <f>[9]noerr!I23</f>
        <v>392051.11713600002</v>
      </c>
      <c r="L27" s="33">
        <f>[9]noerr!J23</f>
        <v>20654.853109</v>
      </c>
      <c r="M27" s="3">
        <f>[9]noerr!K23</f>
        <v>400002.74895400001</v>
      </c>
      <c r="N27" s="3">
        <f>[9]noerr!L23</f>
        <v>36.875616999999998</v>
      </c>
      <c r="O27" s="33">
        <f>[9]noerr!M23</f>
        <v>0</v>
      </c>
      <c r="P27" s="3">
        <f>[9]noerr!N23</f>
        <v>35.429485</v>
      </c>
      <c r="Q27" s="3">
        <f>[9]noerr!O23</f>
        <v>34.720894999999999</v>
      </c>
      <c r="R27" s="11">
        <f>[9]noerr!P23</f>
        <v>20654.853109</v>
      </c>
      <c r="S27" s="11">
        <f>[9]noerr!Q23</f>
        <v>20241.756046999999</v>
      </c>
      <c r="T27" s="3">
        <f>[9]noerr!R23</f>
        <v>138.10124200000001</v>
      </c>
      <c r="U27" s="3">
        <f>[9]noerr!S23</f>
        <v>140.919635</v>
      </c>
      <c r="V27" s="3">
        <f>[9]noerr!T23</f>
        <v>37.623533000000002</v>
      </c>
      <c r="W27" s="3">
        <f>[9]noerr!U23</f>
        <v>38.391359999999999</v>
      </c>
      <c r="X27" s="72">
        <f>[9]noerr!V23</f>
        <v>0.74791600000000003</v>
      </c>
      <c r="Y27" s="3">
        <f>[9]noerr!W23</f>
        <v>1.5157430000000001</v>
      </c>
      <c r="Z27" s="33">
        <f>[9]noerr!X23</f>
        <v>392051.11713600002</v>
      </c>
      <c r="AA27" s="3">
        <f>[9]noerr!Y23</f>
        <v>392051.11713600002</v>
      </c>
      <c r="AB27" s="3">
        <f>[9]noerr!Z23</f>
        <v>384210.09479300003</v>
      </c>
      <c r="AC27">
        <f t="shared" si="1"/>
        <v>20048.3371296</v>
      </c>
      <c r="AD27" s="20">
        <f t="shared" si="2"/>
        <v>2.2636590000000001</v>
      </c>
      <c r="AE27">
        <f t="shared" si="3"/>
        <v>60678.737690400005</v>
      </c>
      <c r="AF27" s="31">
        <f t="shared" si="8"/>
        <v>2380.418528839582</v>
      </c>
      <c r="AG27" s="102">
        <f t="shared" si="0"/>
        <v>8.3090077556031474</v>
      </c>
      <c r="AH27" s="102">
        <f t="shared" si="4"/>
        <v>222727.93829359571</v>
      </c>
      <c r="AI27" s="32">
        <f t="shared" si="9"/>
        <v>3160.6687417981566</v>
      </c>
      <c r="AJ27" s="31">
        <f>K26-AA27</f>
        <v>7951.6318179999944</v>
      </c>
      <c r="AK27" s="113">
        <f t="shared" si="5"/>
        <v>7841.0223429999896</v>
      </c>
      <c r="AL27" s="38">
        <f t="shared" si="6"/>
        <v>15792.654160999984</v>
      </c>
      <c r="AM27" s="26">
        <f t="shared" si="7"/>
        <v>117592.10288280588</v>
      </c>
      <c r="AN27" s="31">
        <f t="shared" si="10"/>
        <v>620.15831723705924</v>
      </c>
      <c r="AP27" s="131">
        <f>Z26-Z27</f>
        <v>7951.6318179999944</v>
      </c>
      <c r="AQ27">
        <f>Z27-((L27-L27*$AQ$1)*Z27/L27)</f>
        <v>7841.0223427200108</v>
      </c>
      <c r="AR27" s="3">
        <f>AP27+AQ27</f>
        <v>15792.654160720005</v>
      </c>
      <c r="AS27" s="3">
        <f>AR27+(Z22-Z26)</f>
        <v>15790.066873719974</v>
      </c>
    </row>
    <row r="28" spans="1:45" s="109" customFormat="1" x14ac:dyDescent="0.2">
      <c r="B28" s="118">
        <v>25</v>
      </c>
      <c r="C28" s="109">
        <v>25</v>
      </c>
      <c r="D28" s="110"/>
      <c r="E28" s="110">
        <f>[9]noerr!C24</f>
        <v>42.025463000000002</v>
      </c>
      <c r="F28" s="110">
        <f>[9]noerr!D24</f>
        <v>8.2199999999999995E-2</v>
      </c>
      <c r="G28" s="110">
        <f>[9]noerr!E24</f>
        <v>37.207231999999998</v>
      </c>
      <c r="H28" s="110">
        <f>[9]noerr!F24</f>
        <v>0.25415700000000002</v>
      </c>
      <c r="I28" s="110">
        <f>[9]noerr!G24</f>
        <v>537.32802400000003</v>
      </c>
      <c r="J28" s="110">
        <f>[9]noerr!H24</f>
        <v>317.20537400000001</v>
      </c>
      <c r="K28" s="110">
        <f>[9]noerr!I24</f>
        <v>400001.11553299997</v>
      </c>
      <c r="L28" s="33">
        <f>[9]noerr!J24</f>
        <v>20857.436992999999</v>
      </c>
      <c r="M28" s="110">
        <f>[9]noerr!K24</f>
        <v>400001.11553299997</v>
      </c>
      <c r="N28" s="110">
        <f>[9]noerr!L24</f>
        <v>37.207231999999998</v>
      </c>
      <c r="O28" s="33">
        <f>[9]noerr!M24</f>
        <v>0</v>
      </c>
      <c r="P28" s="110">
        <f>[9]noerr!N24</f>
        <v>35.825749000000002</v>
      </c>
      <c r="Q28" s="110">
        <f>[9]noerr!O24</f>
        <v>35.109234999999998</v>
      </c>
      <c r="R28" s="11">
        <f>[9]noerr!P24</f>
        <v>20857.436992999999</v>
      </c>
      <c r="S28" s="11">
        <f>[9]noerr!Q24</f>
        <v>20440.288252999999</v>
      </c>
      <c r="T28" s="110">
        <f>[9]noerr!R24</f>
        <v>136.565415</v>
      </c>
      <c r="U28" s="110">
        <f>[9]noerr!S24</f>
        <v>139.352464</v>
      </c>
      <c r="V28" s="110">
        <f>[9]noerr!T24</f>
        <v>37.207231999999998</v>
      </c>
      <c r="W28" s="110">
        <f>[9]noerr!U24</f>
        <v>37.966563000000001</v>
      </c>
      <c r="X28" s="111">
        <f>[9]noerr!V24</f>
        <v>0</v>
      </c>
      <c r="Y28" s="110">
        <f>[9]noerr!W24</f>
        <v>0.75933099999999998</v>
      </c>
      <c r="Z28" s="33">
        <f>[9]noerr!X24</f>
        <v>400001.11553299997</v>
      </c>
      <c r="AA28" s="110">
        <f>[9]noerr!Y24</f>
        <v>400001.11553299997</v>
      </c>
      <c r="AB28" s="110">
        <f>[9]noerr!Z24</f>
        <v>392001.093223</v>
      </c>
      <c r="AC28" s="109">
        <f t="shared" si="1"/>
        <v>0</v>
      </c>
      <c r="AD28" s="112">
        <f t="shared" si="2"/>
        <v>0.75933099999999998</v>
      </c>
      <c r="AE28" s="109">
        <f t="shared" si="3"/>
        <v>20354.323053599997</v>
      </c>
      <c r="AF28" s="113">
        <f t="shared" si="8"/>
        <v>798.49729218150276</v>
      </c>
      <c r="AG28" s="114">
        <f t="shared" si="0"/>
        <v>2.7870536914383592</v>
      </c>
      <c r="AH28" s="114">
        <f t="shared" si="4"/>
        <v>74708.646431220084</v>
      </c>
      <c r="AI28" s="115">
        <f t="shared" si="9"/>
        <v>1060.1691252847975</v>
      </c>
      <c r="AJ28" s="31">
        <f>(K28-AA28)</f>
        <v>0</v>
      </c>
      <c r="AK28" s="113">
        <f t="shared" si="5"/>
        <v>8000.0223099999712</v>
      </c>
      <c r="AL28" s="116">
        <f t="shared" si="6"/>
        <v>8000.0223099999712</v>
      </c>
      <c r="AM28" s="117">
        <f t="shared" si="7"/>
        <v>59568.16612025979</v>
      </c>
      <c r="AN28" s="113">
        <f t="shared" si="10"/>
        <v>314.1511441363931</v>
      </c>
      <c r="AP28" s="110"/>
    </row>
    <row r="29" spans="1:45" x14ac:dyDescent="0.2">
      <c r="C29" s="34">
        <f>C28+$J$1</f>
        <v>32</v>
      </c>
      <c r="E29" s="3">
        <f>[9]noerr!C25</f>
        <v>49.116787000000002</v>
      </c>
      <c r="F29" s="3">
        <f>[9]noerr!D25</f>
        <v>0.1182</v>
      </c>
      <c r="G29" s="3">
        <f>[9]noerr!E25</f>
        <v>37.207231999999998</v>
      </c>
      <c r="H29" s="3">
        <f>[9]noerr!F25</f>
        <v>0.25415700000000002</v>
      </c>
      <c r="I29" s="3">
        <f>[9]noerr!G25</f>
        <v>537.32802400000003</v>
      </c>
      <c r="J29" s="3">
        <f>[9]noerr!H25</f>
        <v>319.999999</v>
      </c>
      <c r="K29" s="3">
        <f>[9]noerr!I25</f>
        <v>391806.92864599999</v>
      </c>
      <c r="L29" s="33">
        <f>[9]noerr!J25</f>
        <v>21131.719874999999</v>
      </c>
      <c r="M29" s="3">
        <f>[9]noerr!K25</f>
        <v>400001.11553299997</v>
      </c>
      <c r="N29" s="3">
        <f>[9]noerr!L25</f>
        <v>37.207231999999998</v>
      </c>
      <c r="O29" s="33">
        <f>[9]noerr!M25</f>
        <v>0</v>
      </c>
      <c r="P29" s="3">
        <f>[9]noerr!N25</f>
        <v>35.091844000000002</v>
      </c>
      <c r="Q29" s="3">
        <f>[9]noerr!O25</f>
        <v>34.390006999999997</v>
      </c>
      <c r="R29" s="11">
        <f>[9]noerr!P25</f>
        <v>21131.719874999999</v>
      </c>
      <c r="S29" s="11">
        <f>[9]noerr!Q25</f>
        <v>20709.085477000001</v>
      </c>
      <c r="T29" s="3">
        <f>[9]noerr!R25</f>
        <v>139.42152200000001</v>
      </c>
      <c r="U29" s="3">
        <f>[9]noerr!S25</f>
        <v>142.26685900000001</v>
      </c>
      <c r="V29" s="3">
        <f>[9]noerr!T25</f>
        <v>37.985377999999997</v>
      </c>
      <c r="W29" s="3">
        <f>[9]noerr!U25</f>
        <v>38.760589000000003</v>
      </c>
      <c r="X29" s="72">
        <f>[9]noerr!V25</f>
        <v>0.778146</v>
      </c>
      <c r="Y29" s="3">
        <f>[9]noerr!W25</f>
        <v>1.553358</v>
      </c>
      <c r="Z29" s="33">
        <f>[9]noerr!X25</f>
        <v>391806.92864599999</v>
      </c>
      <c r="AA29" s="3">
        <f>[9]noerr!Y25</f>
        <v>391806.92864599999</v>
      </c>
      <c r="AB29" s="3">
        <f>[9]noerr!Z25</f>
        <v>383970.79007300001</v>
      </c>
      <c r="AC29">
        <f t="shared" si="1"/>
        <v>20858.670417600002</v>
      </c>
      <c r="AD29" s="20">
        <f t="shared" si="2"/>
        <v>2.3315039999999998</v>
      </c>
      <c r="AE29">
        <f>AD29*3600*$AG$1/1000</f>
        <v>62497.3636224</v>
      </c>
      <c r="AF29" s="31">
        <f t="shared" si="8"/>
        <v>2451.7629738682372</v>
      </c>
      <c r="AG29" s="102">
        <f t="shared" si="0"/>
        <v>8.5575682143930578</v>
      </c>
      <c r="AH29" s="102">
        <f t="shared" si="4"/>
        <v>229390.75052773455</v>
      </c>
      <c r="AI29" s="32">
        <f t="shared" si="9"/>
        <v>3255.2188127154091</v>
      </c>
      <c r="AJ29" s="31">
        <f>K28-AA29</f>
        <v>8194.1868869999889</v>
      </c>
      <c r="AK29" s="113">
        <f t="shared" si="5"/>
        <v>7836.1385729999747</v>
      </c>
      <c r="AL29" s="38">
        <f>AK29+AJ29</f>
        <v>16030.325459999964</v>
      </c>
      <c r="AM29" s="26">
        <f t="shared" si="7"/>
        <v>119361.80337515972</v>
      </c>
      <c r="AN29" s="31">
        <f t="shared" si="10"/>
        <v>629.49138002313373</v>
      </c>
      <c r="AP29" s="131">
        <f>Z28-Z29</f>
        <v>8194.1868869999889</v>
      </c>
      <c r="AQ29">
        <f>Z29-((L29-L29*$AQ$1)*Z29/L29)</f>
        <v>7836.1385729200556</v>
      </c>
      <c r="AR29" s="3">
        <f>AP29+AQ29</f>
        <v>16030.325459920045</v>
      </c>
      <c r="AS29" s="3">
        <f>AR29+(Z24-Z28)</f>
        <v>16031.796784920094</v>
      </c>
    </row>
    <row r="30" spans="1:45" x14ac:dyDescent="0.2">
      <c r="AS30" s="3">
        <f>AR30+(Z25-Z29)</f>
        <v>299.32692100002896</v>
      </c>
    </row>
    <row r="31" spans="1:45" x14ac:dyDescent="0.2">
      <c r="AP31" s="134" t="s">
        <v>102</v>
      </c>
      <c r="AQ31" s="132"/>
      <c r="AR31" s="1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M4" zoomScale="150" zoomScaleNormal="150" workbookViewId="0">
      <selection activeCell="AS27" sqref="AS27"/>
    </sheetView>
  </sheetViews>
  <sheetFormatPr baseColWidth="10" defaultColWidth="8.83203125" defaultRowHeight="15" x14ac:dyDescent="0.2"/>
  <cols>
    <col min="2" max="2" width="9.1640625" style="10" customWidth="1"/>
    <col min="3" max="3" width="10.5" customWidth="1"/>
    <col min="4" max="4" width="11.83203125" style="3" hidden="1" customWidth="1"/>
    <col min="5" max="6" width="10.83203125" style="3" hidden="1" customWidth="1"/>
    <col min="7" max="7" width="10" style="34" hidden="1" customWidth="1"/>
    <col min="8" max="8" width="8.5" style="3" hidden="1" customWidth="1"/>
    <col min="9" max="9" width="8.5" style="34" hidden="1" customWidth="1"/>
    <col min="10" max="10" width="16.33203125" style="34" hidden="1" customWidth="1"/>
    <col min="11" max="11" width="10" style="34" customWidth="1"/>
    <col min="12" max="12" width="16.33203125" style="34" customWidth="1"/>
    <col min="13" max="13" width="9.1640625" style="3" customWidth="1"/>
    <col min="14" max="14" width="12" style="3" hidden="1" customWidth="1"/>
    <col min="15" max="15" width="16.33203125" style="42" customWidth="1"/>
    <col min="16" max="16" width="14.83203125" style="34" hidden="1" customWidth="1"/>
    <col min="17" max="17" width="21.1640625" style="39" hidden="1" customWidth="1"/>
    <col min="18" max="18" width="15.6640625" style="34" hidden="1" customWidth="1"/>
    <col min="19" max="19" width="20.33203125" style="3" hidden="1" customWidth="1"/>
    <col min="20" max="20" width="14.1640625" style="17" hidden="1" customWidth="1"/>
    <col min="21" max="21" width="21" style="3" hidden="1" customWidth="1"/>
    <col min="22" max="22" width="11.33203125" style="20" hidden="1" customWidth="1"/>
    <col min="23" max="23" width="18" style="23" hidden="1" customWidth="1"/>
    <col min="24" max="24" width="12.33203125" style="72" hidden="1" customWidth="1"/>
    <col min="25" max="25" width="19" style="20" hidden="1" customWidth="1"/>
    <col min="26" max="26" width="11.6640625" style="20" customWidth="1"/>
    <col min="27" max="28" width="20" style="3" customWidth="1"/>
    <col min="29" max="29" width="12.6640625" style="20" hidden="1" customWidth="1"/>
    <col min="30" max="30" width="10.83203125" style="20" hidden="1" customWidth="1"/>
    <col min="31" max="31" width="10.83203125" hidden="1" customWidth="1"/>
    <col min="32" max="32" width="8.6640625" style="31" hidden="1" customWidth="1"/>
    <col min="33" max="34" width="18.1640625" style="102" hidden="1" customWidth="1"/>
    <col min="35" max="35" width="18" style="32" hidden="1" customWidth="1"/>
    <col min="36" max="37" width="18" style="31" customWidth="1"/>
    <col min="39" max="39" width="12" hidden="1" customWidth="1"/>
    <col min="40" max="40" width="8.6640625" style="31" hidden="1" customWidth="1"/>
  </cols>
  <sheetData>
    <row r="1" spans="1:45" ht="16" x14ac:dyDescent="0.2">
      <c r="B1" s="8"/>
      <c r="C1" s="19" t="s">
        <v>19</v>
      </c>
      <c r="D1" s="33">
        <v>30</v>
      </c>
      <c r="F1" s="11"/>
      <c r="G1" s="38"/>
      <c r="I1" s="37" t="s">
        <v>21</v>
      </c>
      <c r="J1" s="37">
        <v>9</v>
      </c>
      <c r="L1" s="34" t="s">
        <v>96</v>
      </c>
      <c r="O1" s="34" t="s">
        <v>97</v>
      </c>
      <c r="AC1" s="46"/>
      <c r="AD1" s="26"/>
      <c r="AE1" t="s">
        <v>39</v>
      </c>
      <c r="AG1" s="102">
        <f>365*24*0.85</f>
        <v>7446</v>
      </c>
      <c r="AQ1">
        <v>0.02</v>
      </c>
    </row>
    <row r="2" spans="1:45" x14ac:dyDescent="0.2">
      <c r="B2" s="9"/>
      <c r="L2" s="34" t="s">
        <v>99</v>
      </c>
      <c r="O2" s="42" t="s">
        <v>98</v>
      </c>
      <c r="P2" s="34" t="s">
        <v>22</v>
      </c>
      <c r="AC2" s="47"/>
      <c r="AD2" s="27"/>
      <c r="AG2" s="103"/>
    </row>
    <row r="3" spans="1:45" s="1" customFormat="1" ht="16" x14ac:dyDescent="0.2">
      <c r="B3" s="12" t="s">
        <v>9</v>
      </c>
      <c r="C3" s="2" t="s">
        <v>0</v>
      </c>
      <c r="D3" s="4" t="s">
        <v>1</v>
      </c>
      <c r="E3" s="4" t="s">
        <v>2</v>
      </c>
      <c r="F3" s="4" t="s">
        <v>3</v>
      </c>
      <c r="G3" s="35" t="s">
        <v>18</v>
      </c>
      <c r="H3" s="16" t="s">
        <v>16</v>
      </c>
      <c r="I3" s="35" t="s">
        <v>17</v>
      </c>
      <c r="J3" s="35" t="s">
        <v>23</v>
      </c>
      <c r="K3" s="35" t="s">
        <v>24</v>
      </c>
      <c r="L3" s="125" t="s">
        <v>25</v>
      </c>
      <c r="M3" s="16" t="s">
        <v>34</v>
      </c>
      <c r="N3" s="16" t="s">
        <v>35</v>
      </c>
      <c r="O3" s="122" t="s">
        <v>36</v>
      </c>
      <c r="P3" s="4" t="s">
        <v>11</v>
      </c>
      <c r="Q3" s="4" t="s">
        <v>26</v>
      </c>
      <c r="R3" s="126" t="s">
        <v>12</v>
      </c>
      <c r="S3" s="40" t="s">
        <v>27</v>
      </c>
      <c r="T3" s="40" t="s">
        <v>13</v>
      </c>
      <c r="U3" s="40" t="s">
        <v>28</v>
      </c>
      <c r="V3" s="22" t="s">
        <v>14</v>
      </c>
      <c r="W3" s="22" t="s">
        <v>29</v>
      </c>
      <c r="X3" s="99" t="s">
        <v>15</v>
      </c>
      <c r="Y3" s="22" t="s">
        <v>30</v>
      </c>
      <c r="Z3" s="119" t="s">
        <v>31</v>
      </c>
      <c r="AA3" s="5" t="s">
        <v>32</v>
      </c>
      <c r="AB3" s="5" t="s">
        <v>33</v>
      </c>
      <c r="AC3" s="24" t="s">
        <v>43</v>
      </c>
      <c r="AD3" s="24" t="s">
        <v>44</v>
      </c>
      <c r="AE3" s="24" t="s">
        <v>37</v>
      </c>
      <c r="AF3" s="51"/>
      <c r="AG3" s="50" t="s">
        <v>41</v>
      </c>
      <c r="AH3" s="50" t="s">
        <v>41</v>
      </c>
      <c r="AI3" s="106" t="s">
        <v>41</v>
      </c>
      <c r="AJ3" s="51" t="s">
        <v>94</v>
      </c>
      <c r="AK3" s="51" t="s">
        <v>95</v>
      </c>
      <c r="AL3" s="14" t="s">
        <v>45</v>
      </c>
      <c r="AM3" s="14" t="s">
        <v>42</v>
      </c>
      <c r="AN3" s="51"/>
      <c r="AP3" s="51" t="s">
        <v>94</v>
      </c>
      <c r="AQ3" s="51" t="s">
        <v>95</v>
      </c>
      <c r="AR3" s="14" t="s">
        <v>45</v>
      </c>
      <c r="AS3" s="14" t="s">
        <v>103</v>
      </c>
    </row>
    <row r="4" spans="1:45" s="1" customFormat="1" ht="16" x14ac:dyDescent="0.2">
      <c r="B4" s="13" t="s">
        <v>4</v>
      </c>
      <c r="C4" s="2" t="s">
        <v>4</v>
      </c>
      <c r="D4" s="4" t="s">
        <v>4</v>
      </c>
      <c r="E4" s="4" t="s">
        <v>4</v>
      </c>
      <c r="F4" s="4" t="s">
        <v>5</v>
      </c>
      <c r="G4" s="36" t="s">
        <v>6</v>
      </c>
      <c r="H4" s="16" t="s">
        <v>7</v>
      </c>
      <c r="I4" s="36" t="s">
        <v>6</v>
      </c>
      <c r="J4" s="36" t="s">
        <v>6</v>
      </c>
      <c r="K4" s="35" t="s">
        <v>10</v>
      </c>
      <c r="L4" s="123" t="s">
        <v>6</v>
      </c>
      <c r="M4" s="35" t="s">
        <v>10</v>
      </c>
      <c r="N4" s="36" t="s">
        <v>6</v>
      </c>
      <c r="O4" s="123" t="s">
        <v>6</v>
      </c>
      <c r="P4" s="4" t="s">
        <v>7</v>
      </c>
      <c r="Q4" s="4" t="s">
        <v>7</v>
      </c>
      <c r="R4" s="126" t="s">
        <v>6</v>
      </c>
      <c r="S4" s="40" t="s">
        <v>6</v>
      </c>
      <c r="T4" s="36" t="s">
        <v>6</v>
      </c>
      <c r="U4" s="36" t="s">
        <v>6</v>
      </c>
      <c r="V4" s="21" t="s">
        <v>6</v>
      </c>
      <c r="W4" s="22" t="s">
        <v>6</v>
      </c>
      <c r="X4" s="100" t="s">
        <v>6</v>
      </c>
      <c r="Y4" s="22" t="s">
        <v>6</v>
      </c>
      <c r="Z4" s="120" t="s">
        <v>10</v>
      </c>
      <c r="AA4" s="4" t="s">
        <v>10</v>
      </c>
      <c r="AB4" s="4" t="s">
        <v>10</v>
      </c>
      <c r="AC4" s="21" t="s">
        <v>40</v>
      </c>
      <c r="AD4" s="21" t="s">
        <v>38</v>
      </c>
      <c r="AE4" s="21" t="s">
        <v>40</v>
      </c>
      <c r="AF4" s="52"/>
      <c r="AG4" s="104" t="s">
        <v>38</v>
      </c>
      <c r="AH4" s="104" t="s">
        <v>40</v>
      </c>
      <c r="AI4" s="107" t="s">
        <v>46</v>
      </c>
      <c r="AJ4" s="52" t="s">
        <v>100</v>
      </c>
      <c r="AK4" s="52" t="s">
        <v>100</v>
      </c>
      <c r="AL4" s="14" t="s">
        <v>10</v>
      </c>
      <c r="AM4" s="48" t="s">
        <v>8</v>
      </c>
      <c r="AN4" s="52" t="s">
        <v>46</v>
      </c>
      <c r="AP4" s="52" t="s">
        <v>101</v>
      </c>
      <c r="AQ4" s="52" t="s">
        <v>101</v>
      </c>
      <c r="AR4" s="14" t="s">
        <v>10</v>
      </c>
    </row>
    <row r="5" spans="1:45" s="1" customFormat="1" ht="16" x14ac:dyDescent="0.2">
      <c r="C5" s="2"/>
      <c r="D5" s="4"/>
      <c r="E5" s="4"/>
      <c r="F5" s="4"/>
      <c r="G5" s="36"/>
      <c r="H5" s="4"/>
      <c r="I5" s="36"/>
      <c r="J5" s="36"/>
      <c r="K5" s="36"/>
      <c r="L5" s="123"/>
      <c r="M5" s="4"/>
      <c r="N5" s="4"/>
      <c r="O5" s="124"/>
      <c r="P5" s="36"/>
      <c r="Q5" s="41"/>
      <c r="R5" s="40"/>
      <c r="S5" s="127"/>
      <c r="T5" s="18"/>
      <c r="U5" s="6"/>
      <c r="V5" s="45"/>
      <c r="W5" s="44"/>
      <c r="X5" s="101"/>
      <c r="Y5" s="25"/>
      <c r="Z5" s="121"/>
      <c r="AA5" s="43"/>
      <c r="AB5" s="43"/>
      <c r="AD5" s="24"/>
      <c r="AF5" s="53"/>
      <c r="AG5" s="105"/>
      <c r="AH5" s="105"/>
      <c r="AI5" s="108"/>
      <c r="AJ5" s="53"/>
      <c r="AK5" s="53"/>
      <c r="AN5" s="53"/>
    </row>
    <row r="6" spans="1:45" s="109" customFormat="1" x14ac:dyDescent="0.2">
      <c r="A6" s="109" t="s">
        <v>49</v>
      </c>
      <c r="B6" s="109">
        <v>15</v>
      </c>
      <c r="C6" s="109">
        <v>15</v>
      </c>
      <c r="D6" s="110"/>
      <c r="E6" s="110">
        <f>[10]noerr!C2</f>
        <v>32.624777999999999</v>
      </c>
      <c r="F6" s="110">
        <f>[10]noerr!D2</f>
        <v>4.9299999999999997E-2</v>
      </c>
      <c r="G6" s="110">
        <f>[10]noerr!E2</f>
        <v>14.861395999999999</v>
      </c>
      <c r="H6" s="110">
        <f>[10]noerr!F2</f>
        <v>6.3917000000000002E-2</v>
      </c>
      <c r="I6" s="110">
        <f>[10]noerr!G2</f>
        <v>642.76345200000003</v>
      </c>
      <c r="J6" s="110">
        <f>[10]noerr!H2</f>
        <v>73.897008999999997</v>
      </c>
      <c r="K6" s="110">
        <f>[10]noerr!I2</f>
        <v>400003.85672600003</v>
      </c>
      <c r="L6" s="33">
        <f>[10]noerr!J2</f>
        <v>4259.8273230000004</v>
      </c>
      <c r="M6" s="110">
        <f>[10]noerr!K2</f>
        <v>400003.85689599998</v>
      </c>
      <c r="N6" s="110">
        <f>[10]noerr!L2</f>
        <v>14.861395999999999</v>
      </c>
      <c r="O6" s="33">
        <f>[10]noerr!M2</f>
        <v>98.290539999999993</v>
      </c>
      <c r="P6" s="110">
        <f>[10]noerr!N2</f>
        <v>53.815117999999998</v>
      </c>
      <c r="Q6" s="110">
        <f>[10]noerr!O2</f>
        <v>53.433943999999997</v>
      </c>
      <c r="R6" s="11">
        <f>[10]noerr!P2</f>
        <v>4259.8273230000004</v>
      </c>
      <c r="S6" s="11">
        <f>[10]noerr!Q2</f>
        <v>4161.5367829999996</v>
      </c>
      <c r="T6" s="110">
        <f>[10]noerr!R2</f>
        <v>41.083343999999997</v>
      </c>
      <c r="U6" s="110">
        <f>[10]noerr!S2</f>
        <v>41.376413999999997</v>
      </c>
      <c r="V6" s="110">
        <f>[10]noerr!T2</f>
        <v>14.861395999999999</v>
      </c>
      <c r="W6" s="110">
        <f>[10]noerr!U2</f>
        <v>14.967411</v>
      </c>
      <c r="X6" s="111">
        <f>[10]noerr!V2</f>
        <v>0</v>
      </c>
      <c r="Y6" s="110">
        <f>[10]noerr!W2</f>
        <v>0.106015</v>
      </c>
      <c r="Z6" s="33">
        <f>[10]noerr!X2</f>
        <v>122790.012068</v>
      </c>
      <c r="AA6" s="110">
        <f>[10]noerr!Y2</f>
        <v>400003.85672799998</v>
      </c>
      <c r="AB6" s="110">
        <f>[10]noerr!Z2</f>
        <v>397170.62062</v>
      </c>
      <c r="AC6" s="109">
        <f>X6*3600*$AG$1/1000</f>
        <v>0</v>
      </c>
      <c r="AD6" s="112">
        <f>X6+Y6</f>
        <v>0.106015</v>
      </c>
      <c r="AE6" s="109">
        <f>AD6*3600*$AG$1/1000</f>
        <v>2841.7956839999997</v>
      </c>
      <c r="AF6" s="113">
        <f>100</f>
        <v>100</v>
      </c>
      <c r="AG6" s="114">
        <f t="shared" ref="AG6:AG29" si="0">(H6*I6*(AD6+N6)/N6)-(H6*I6)</f>
        <v>0.29307263450827037</v>
      </c>
      <c r="AH6" s="114">
        <f>AG6*3600*$AG$1/1000</f>
        <v>7855.9878115748916</v>
      </c>
      <c r="AI6" s="115">
        <f>100</f>
        <v>100</v>
      </c>
      <c r="AJ6" s="113">
        <f>(K6-AA6)</f>
        <v>-1.9999570213258266E-6</v>
      </c>
      <c r="AK6" s="113">
        <f>(K6-AB6)</f>
        <v>2833.2361060000258</v>
      </c>
      <c r="AL6" s="116">
        <f>AK6+AJ6</f>
        <v>2833.2361040000687</v>
      </c>
      <c r="AM6" s="117">
        <f>AL6/1000*24*365*0.85</f>
        <v>21096.276030384513</v>
      </c>
      <c r="AN6" s="113">
        <f>100</f>
        <v>100</v>
      </c>
      <c r="AP6" s="110"/>
    </row>
    <row r="7" spans="1:45" x14ac:dyDescent="0.2">
      <c r="C7" s="34">
        <f>C6+$J$1</f>
        <v>24</v>
      </c>
      <c r="E7" s="3">
        <f>[10]noerr!C3</f>
        <v>32.624777999999999</v>
      </c>
      <c r="F7" s="3">
        <f>[10]noerr!D3</f>
        <v>4.9299999999999997E-2</v>
      </c>
      <c r="G7" s="3">
        <f>[10]noerr!E3</f>
        <v>14.861395999999999</v>
      </c>
      <c r="H7" s="3">
        <f>[10]noerr!F3</f>
        <v>6.3917000000000002E-2</v>
      </c>
      <c r="I7" s="3">
        <f>[10]noerr!G3</f>
        <v>642.76345200000003</v>
      </c>
      <c r="J7" s="3">
        <f>[10]noerr!H3</f>
        <v>73.897008999999997</v>
      </c>
      <c r="K7" s="3">
        <f>[10]noerr!I3</f>
        <v>400003.85672600003</v>
      </c>
      <c r="L7" s="33">
        <f>[10]noerr!J3</f>
        <v>4259.8273230000004</v>
      </c>
      <c r="M7" s="3">
        <f>[10]noerr!K3</f>
        <v>400003.85689599998</v>
      </c>
      <c r="N7" s="3">
        <f>[10]noerr!L3</f>
        <v>14.861395999999999</v>
      </c>
      <c r="O7" s="33">
        <f>[10]noerr!M3</f>
        <v>99.490604000000005</v>
      </c>
      <c r="P7" s="3">
        <f>[10]noerr!N3</f>
        <v>53.810464000000003</v>
      </c>
      <c r="Q7" s="3">
        <f>[10]noerr!O3</f>
        <v>53.429290000000002</v>
      </c>
      <c r="R7" s="11">
        <f>[10]noerr!P3</f>
        <v>4258.6272589999999</v>
      </c>
      <c r="S7" s="11">
        <f>[10]noerr!Q3</f>
        <v>4160.3367189999999</v>
      </c>
      <c r="T7" s="3">
        <f>[10]noerr!R3</f>
        <v>41.086897999999998</v>
      </c>
      <c r="U7" s="3">
        <f>[10]noerr!S3</f>
        <v>41.380018999999997</v>
      </c>
      <c r="V7" s="3">
        <f>[10]noerr!T3</f>
        <v>14.862681</v>
      </c>
      <c r="W7" s="3">
        <f>[10]noerr!U3</f>
        <v>14.968714</v>
      </c>
      <c r="X7" s="72">
        <f>[10]noerr!V3</f>
        <v>1.2849999999999999E-3</v>
      </c>
      <c r="Y7" s="3">
        <f>[10]noerr!W3</f>
        <v>0.107318</v>
      </c>
      <c r="Z7" s="33">
        <f>[10]noerr!X3</f>
        <v>122790.012068</v>
      </c>
      <c r="AA7" s="3">
        <f>[10]noerr!Y3</f>
        <v>399969.26475500001</v>
      </c>
      <c r="AB7" s="3">
        <f>[10]noerr!Z3</f>
        <v>397136.02864700003</v>
      </c>
      <c r="AC7">
        <f t="shared" ref="AC7:AC29" si="1">X7*3600*$AG$1/1000</f>
        <v>34.445195999999996</v>
      </c>
      <c r="AD7" s="20">
        <f t="shared" ref="AD7:AD29" si="2">X7+Y7</f>
        <v>0.10860299999999999</v>
      </c>
      <c r="AE7">
        <f t="shared" ref="AE7:AE28" si="3">AD7*3600*$AG$1/1000</f>
        <v>2911.1685767999993</v>
      </c>
      <c r="AF7" s="31">
        <f>AE7*$AF$6/$AE$6</f>
        <v>102.44116398622836</v>
      </c>
      <c r="AG7" s="102">
        <f t="shared" si="0"/>
        <v>0.300227018115379</v>
      </c>
      <c r="AH7" s="102">
        <f t="shared" ref="AH7:AH29" si="4">AG7*3600*$AG$1/1000</f>
        <v>8047.7653567936031</v>
      </c>
      <c r="AI7" s="32">
        <f>AH7*$AI$6/$AH$6</f>
        <v>102.44116398622907</v>
      </c>
      <c r="AJ7" s="31">
        <f>(K6-AA7)</f>
        <v>34.591971000016201</v>
      </c>
      <c r="AK7" s="113">
        <f t="shared" ref="AK7:AK29" si="5">(K7-AB7)</f>
        <v>2867.828078999999</v>
      </c>
      <c r="AL7" s="38">
        <f t="shared" ref="AL7:AL29" si="6">AK7+AJ7</f>
        <v>2902.4200500000152</v>
      </c>
      <c r="AM7" s="26">
        <f t="shared" ref="AM7:AM29" si="7">AL7/1000*24*365*0.85</f>
        <v>21611.419692300111</v>
      </c>
      <c r="AN7" s="31">
        <f>AM7*$AN$6/$AM$6</f>
        <v>102.44187012519957</v>
      </c>
      <c r="AP7" s="11">
        <f>Z6-((L7-(O7-O6))*Z6/L7)</f>
        <v>34.591982695346815</v>
      </c>
      <c r="AQ7">
        <f>Z7-((L7-O7)*Z7/L7)</f>
        <v>2867.8280924328865</v>
      </c>
      <c r="AR7" s="3">
        <f>AP7+AQ7</f>
        <v>2902.4200751282333</v>
      </c>
    </row>
    <row r="8" spans="1:45" s="109" customFormat="1" x14ac:dyDescent="0.2">
      <c r="B8" s="109">
        <v>20</v>
      </c>
      <c r="C8" s="109">
        <v>20</v>
      </c>
      <c r="D8" s="110"/>
      <c r="E8" s="110">
        <f>[10]noerr!C4</f>
        <v>36.936081000000001</v>
      </c>
      <c r="F8" s="110">
        <f>[10]noerr!D4</f>
        <v>6.2600000000000003E-2</v>
      </c>
      <c r="G8" s="110">
        <f>[10]noerr!E4</f>
        <v>14.860723999999999</v>
      </c>
      <c r="H8" s="110">
        <f>[10]noerr!F4</f>
        <v>6.4704999999999999E-2</v>
      </c>
      <c r="I8" s="110">
        <f>[10]noerr!G4</f>
        <v>634.83982000000003</v>
      </c>
      <c r="J8" s="110">
        <f>[10]noerr!H4</f>
        <v>76.377780000000001</v>
      </c>
      <c r="K8" s="110">
        <f>[10]noerr!I4</f>
        <v>400004.73104400001</v>
      </c>
      <c r="L8" s="33">
        <f>[10]noerr!J4</f>
        <v>4421.7910979999997</v>
      </c>
      <c r="M8" s="110">
        <f>[10]noerr!K4</f>
        <v>400004.73032899998</v>
      </c>
      <c r="N8" s="110">
        <f>[10]noerr!L4</f>
        <v>14.860723999999999</v>
      </c>
      <c r="O8" s="33">
        <f>[10]noerr!M4</f>
        <v>105.785674</v>
      </c>
      <c r="P8" s="110">
        <f>[10]noerr!N4</f>
        <v>53.81767</v>
      </c>
      <c r="Q8" s="110">
        <f>[10]noerr!O4</f>
        <v>53.417031000000001</v>
      </c>
      <c r="R8" s="11">
        <f>[10]noerr!P4</f>
        <v>4421.7910979999997</v>
      </c>
      <c r="S8" s="11">
        <f>[10]noerr!Q4</f>
        <v>4316.0054239999999</v>
      </c>
      <c r="T8" s="110">
        <f>[10]noerr!R4</f>
        <v>41.077539000000002</v>
      </c>
      <c r="U8" s="110">
        <f>[10]noerr!S4</f>
        <v>41.385627999999997</v>
      </c>
      <c r="V8" s="110">
        <f>[10]noerr!T4</f>
        <v>14.860723999999999</v>
      </c>
      <c r="W8" s="110">
        <f>[10]noerr!U4</f>
        <v>14.972182</v>
      </c>
      <c r="X8" s="111">
        <f>[10]noerr!V4</f>
        <v>0</v>
      </c>
      <c r="Y8" s="110">
        <f>[10]noerr!W4</f>
        <v>0.111458</v>
      </c>
      <c r="Z8" s="33">
        <f>[10]noerr!X4</f>
        <v>124469.841887</v>
      </c>
      <c r="AA8" s="110">
        <f>[10]noerr!Y4</f>
        <v>400004.73103600001</v>
      </c>
      <c r="AB8" s="110">
        <f>[10]noerr!Z4</f>
        <v>397026.94990900002</v>
      </c>
      <c r="AC8" s="109">
        <f t="shared" si="1"/>
        <v>0</v>
      </c>
      <c r="AD8" s="112">
        <f t="shared" si="2"/>
        <v>0.111458</v>
      </c>
      <c r="AE8" s="109">
        <f t="shared" si="3"/>
        <v>2987.6985648000004</v>
      </c>
      <c r="AF8" s="113">
        <f t="shared" ref="AF8:AF29" si="8">AE8*$AF$6/$AE$6</f>
        <v>105.13417912559545</v>
      </c>
      <c r="AG8" s="114">
        <f t="shared" si="0"/>
        <v>0.30808693302072498</v>
      </c>
      <c r="AH8" s="114">
        <f t="shared" si="4"/>
        <v>8258.4550917803444</v>
      </c>
      <c r="AI8" s="115">
        <f t="shared" ref="AI8:AI29" si="9">AH8*$AI$6/$AH$6</f>
        <v>105.12306395909199</v>
      </c>
      <c r="AJ8" s="113">
        <f>(K8-AA8)</f>
        <v>8.000002708286047E-6</v>
      </c>
      <c r="AK8" s="113">
        <f t="shared" si="5"/>
        <v>2977.7811349999974</v>
      </c>
      <c r="AL8" s="116">
        <f t="shared" si="6"/>
        <v>2977.7811430000002</v>
      </c>
      <c r="AM8" s="117">
        <f t="shared" si="7"/>
        <v>22172.558390778002</v>
      </c>
      <c r="AN8" s="113">
        <f t="shared" ref="AN8:AN29" si="10">AM8*$AN$6/$AM$6</f>
        <v>105.10176468511951</v>
      </c>
      <c r="AP8" s="110"/>
    </row>
    <row r="9" spans="1:45" s="73" customFormat="1" x14ac:dyDescent="0.2">
      <c r="A9"/>
      <c r="B9"/>
      <c r="C9" s="34">
        <f>C8+$J$1</f>
        <v>29</v>
      </c>
      <c r="D9" s="11"/>
      <c r="E9" s="3">
        <f>[10]noerr!C5</f>
        <v>36.936081000000001</v>
      </c>
      <c r="F9" s="3">
        <f>[10]noerr!D5</f>
        <v>6.2600000000000003E-2</v>
      </c>
      <c r="G9" s="3">
        <f>[10]noerr!E5</f>
        <v>14.860723999999999</v>
      </c>
      <c r="H9" s="3">
        <f>[10]noerr!F5</f>
        <v>6.4704999999999999E-2</v>
      </c>
      <c r="I9" s="3">
        <f>[10]noerr!G5</f>
        <v>634.83982000000003</v>
      </c>
      <c r="J9" s="3">
        <f>[10]noerr!H5</f>
        <v>76.377780000000001</v>
      </c>
      <c r="K9" s="3">
        <f>[10]noerr!I5</f>
        <v>400004.73104400001</v>
      </c>
      <c r="L9" s="33">
        <f>[10]noerr!J5</f>
        <v>4421.7910979999997</v>
      </c>
      <c r="M9" s="3">
        <f>[10]noerr!K5</f>
        <v>400004.73032899998</v>
      </c>
      <c r="N9" s="3">
        <f>[10]noerr!L5</f>
        <v>14.860723999999999</v>
      </c>
      <c r="O9" s="33">
        <f>[10]noerr!M5</f>
        <v>107.16879299999999</v>
      </c>
      <c r="P9" s="3">
        <f>[10]noerr!N5</f>
        <v>53.812432000000001</v>
      </c>
      <c r="Q9" s="3">
        <f>[10]noerr!O5</f>
        <v>53.411793000000003</v>
      </c>
      <c r="R9" s="11">
        <f>[10]noerr!P5</f>
        <v>4420.4079789999996</v>
      </c>
      <c r="S9" s="11">
        <f>[10]noerr!Q5</f>
        <v>4314.6223049999999</v>
      </c>
      <c r="T9" s="3">
        <f>[10]noerr!R5</f>
        <v>41.081536999999997</v>
      </c>
      <c r="U9" s="3">
        <f>[10]noerr!S5</f>
        <v>41.389687000000002</v>
      </c>
      <c r="V9" s="3">
        <f>[10]noerr!T5</f>
        <v>14.862170000000001</v>
      </c>
      <c r="W9" s="3">
        <f>[10]noerr!U5</f>
        <v>14.973651</v>
      </c>
      <c r="X9" s="72">
        <f>[10]noerr!V5</f>
        <v>1.4469999999999999E-3</v>
      </c>
      <c r="Y9" s="3">
        <f>[10]noerr!W5</f>
        <v>0.112927</v>
      </c>
      <c r="Z9" s="33">
        <f>[10]noerr!X5</f>
        <v>124469.841887</v>
      </c>
      <c r="AA9" s="3">
        <f>[10]noerr!Y5</f>
        <v>399965.79736099998</v>
      </c>
      <c r="AB9" s="3">
        <f>[10]noerr!Z5</f>
        <v>396988.01623299997</v>
      </c>
      <c r="AC9">
        <f t="shared" si="1"/>
        <v>38.787703200000003</v>
      </c>
      <c r="AD9" s="20">
        <f t="shared" si="2"/>
        <v>0.114374</v>
      </c>
      <c r="AE9">
        <f t="shared" si="3"/>
        <v>3065.8636944</v>
      </c>
      <c r="AF9" s="54">
        <f t="shared" si="8"/>
        <v>107.88473329245862</v>
      </c>
      <c r="AG9" s="102">
        <f t="shared" si="0"/>
        <v>0.31614720233012861</v>
      </c>
      <c r="AH9" s="102">
        <f t="shared" si="4"/>
        <v>8474.515446780495</v>
      </c>
      <c r="AI9" s="32">
        <f t="shared" si="9"/>
        <v>107.87332732739573</v>
      </c>
      <c r="AJ9" s="31">
        <f>(K8-AA9)</f>
        <v>38.933683000039309</v>
      </c>
      <c r="AK9" s="113">
        <f t="shared" si="5"/>
        <v>3016.7148110000417</v>
      </c>
      <c r="AL9" s="38">
        <f t="shared" si="6"/>
        <v>3055.648494000081</v>
      </c>
      <c r="AM9" s="26">
        <f>AL9/1000*24*365*0.85</f>
        <v>22752.358686324602</v>
      </c>
      <c r="AN9" s="31">
        <f t="shared" si="10"/>
        <v>107.85011844533541</v>
      </c>
      <c r="AP9" s="11">
        <f>Z8-((L9-(O9-O8))*Z8/L9)</f>
        <v>38.933680815171101</v>
      </c>
      <c r="AQ9">
        <f>Z9-((L9-O9)*Z9/L9)</f>
        <v>3016.7148163023812</v>
      </c>
      <c r="AR9" s="3">
        <f>AP9+AQ9</f>
        <v>3055.6484971175523</v>
      </c>
      <c r="AS9"/>
    </row>
    <row r="10" spans="1:45" s="109" customFormat="1" x14ac:dyDescent="0.2">
      <c r="B10" s="118">
        <v>25</v>
      </c>
      <c r="C10" s="109">
        <v>25</v>
      </c>
      <c r="D10" s="110"/>
      <c r="E10" s="110">
        <f>[10]noerr!C6</f>
        <v>41.151581</v>
      </c>
      <c r="F10" s="110">
        <f>[10]noerr!D6</f>
        <v>7.85E-2</v>
      </c>
      <c r="G10" s="110">
        <f>[10]noerr!E6</f>
        <v>14.893471</v>
      </c>
      <c r="H10" s="110">
        <f>[10]noerr!F6</f>
        <v>6.5319000000000002E-2</v>
      </c>
      <c r="I10" s="110">
        <f>[10]noerr!G6</f>
        <v>630.21141299999999</v>
      </c>
      <c r="J10" s="110">
        <f>[10]noerr!H6</f>
        <v>78.583104000000006</v>
      </c>
      <c r="K10" s="110">
        <f>[10]noerr!I6</f>
        <v>400004.698577</v>
      </c>
      <c r="L10" s="33">
        <f>[10]noerr!J6</f>
        <v>4567.2088780000004</v>
      </c>
      <c r="M10" s="110">
        <f>[10]noerr!K6</f>
        <v>400004.69940500002</v>
      </c>
      <c r="N10" s="110">
        <f>[10]noerr!L6</f>
        <v>14.893471</v>
      </c>
      <c r="O10" s="33">
        <f>[10]noerr!M6</f>
        <v>112.505618</v>
      </c>
      <c r="P10" s="110">
        <f>[10]noerr!N6</f>
        <v>53.699333000000003</v>
      </c>
      <c r="Q10" s="110">
        <f>[10]noerr!O6</f>
        <v>53.283904</v>
      </c>
      <c r="R10" s="11">
        <f>[10]noerr!P6</f>
        <v>4567.2088780000004</v>
      </c>
      <c r="S10" s="11">
        <f>[10]noerr!Q6</f>
        <v>4454.7032589999999</v>
      </c>
      <c r="T10" s="110">
        <f>[10]noerr!R6</f>
        <v>41.165044000000002</v>
      </c>
      <c r="U10" s="110">
        <f>[10]noerr!S6</f>
        <v>41.485987999999999</v>
      </c>
      <c r="V10" s="110">
        <f>[10]noerr!T6</f>
        <v>14.893471</v>
      </c>
      <c r="W10" s="110">
        <f>[10]noerr!U6</f>
        <v>15.009588000000001</v>
      </c>
      <c r="X10" s="111">
        <f>[10]noerr!V6</f>
        <v>0</v>
      </c>
      <c r="Y10" s="110">
        <f>[10]noerr!W6</f>
        <v>0.116117</v>
      </c>
      <c r="Z10" s="33">
        <f>[10]noerr!X6</f>
        <v>125623.147392</v>
      </c>
      <c r="AA10" s="110">
        <f>[10]noerr!Y6</f>
        <v>400004.69858600001</v>
      </c>
      <c r="AB10" s="110">
        <f>[10]noerr!Z6</f>
        <v>396910.18062</v>
      </c>
      <c r="AC10" s="109">
        <f t="shared" si="1"/>
        <v>0</v>
      </c>
      <c r="AD10" s="112">
        <f t="shared" si="2"/>
        <v>0.116117</v>
      </c>
      <c r="AE10" s="109">
        <f t="shared" si="3"/>
        <v>3112.5858551999995</v>
      </c>
      <c r="AF10" s="113">
        <f t="shared" si="8"/>
        <v>109.528840258454</v>
      </c>
      <c r="AG10" s="114">
        <f t="shared" si="0"/>
        <v>0.32094134915379868</v>
      </c>
      <c r="AH10" s="114">
        <f t="shared" si="4"/>
        <v>8603.0254288770666</v>
      </c>
      <c r="AI10" s="115">
        <f t="shared" si="9"/>
        <v>109.50914939304643</v>
      </c>
      <c r="AJ10" s="113">
        <f>(K10-AA10)</f>
        <v>-9.000010322779417E-6</v>
      </c>
      <c r="AK10" s="113">
        <f t="shared" si="5"/>
        <v>3094.5179570000037</v>
      </c>
      <c r="AL10" s="116">
        <f t="shared" si="6"/>
        <v>3094.5179479999933</v>
      </c>
      <c r="AM10" s="117">
        <f t="shared" si="7"/>
        <v>23041.780640807949</v>
      </c>
      <c r="AN10" s="113">
        <f t="shared" si="10"/>
        <v>109.22202860647711</v>
      </c>
      <c r="AP10" s="110"/>
    </row>
    <row r="11" spans="1:45" x14ac:dyDescent="0.2">
      <c r="C11" s="34">
        <f>C10+$J$1</f>
        <v>34</v>
      </c>
      <c r="E11" s="3">
        <f>[10]noerr!C7</f>
        <v>41.151581</v>
      </c>
      <c r="F11" s="3">
        <f>[10]noerr!D7</f>
        <v>7.85E-2</v>
      </c>
      <c r="G11" s="3">
        <f>[10]noerr!E7</f>
        <v>14.893471</v>
      </c>
      <c r="H11" s="3">
        <f>[10]noerr!F7</f>
        <v>6.5319000000000002E-2</v>
      </c>
      <c r="I11" s="3">
        <f>[10]noerr!G7</f>
        <v>630.21141299999999</v>
      </c>
      <c r="J11" s="3">
        <f>[10]noerr!H7</f>
        <v>78.583104000000006</v>
      </c>
      <c r="K11" s="3">
        <f>[10]noerr!I7</f>
        <v>400004.698577</v>
      </c>
      <c r="L11" s="33">
        <f>[10]noerr!J7</f>
        <v>4567.2088780000004</v>
      </c>
      <c r="M11" s="3">
        <f>[10]noerr!K7</f>
        <v>400004.69940500002</v>
      </c>
      <c r="N11" s="3">
        <f>[10]noerr!L7</f>
        <v>14.893471</v>
      </c>
      <c r="O11" s="33">
        <f>[10]noerr!M7</f>
        <v>114.057712</v>
      </c>
      <c r="P11" s="3">
        <f>[10]noerr!N7</f>
        <v>53.693601999999998</v>
      </c>
      <c r="Q11" s="3">
        <f>[10]noerr!O7</f>
        <v>53.278173000000002</v>
      </c>
      <c r="R11" s="11">
        <f>[10]noerr!P7</f>
        <v>4565.6567850000001</v>
      </c>
      <c r="S11" s="11">
        <f>[10]noerr!Q7</f>
        <v>4453.1511659999996</v>
      </c>
      <c r="T11" s="3">
        <f>[10]noerr!R7</f>
        <v>41.169438</v>
      </c>
      <c r="U11" s="3">
        <f>[10]noerr!S7</f>
        <v>41.490451</v>
      </c>
      <c r="V11" s="3">
        <f>[10]noerr!T7</f>
        <v>14.895061</v>
      </c>
      <c r="W11" s="3">
        <f>[10]noerr!U7</f>
        <v>15.011203</v>
      </c>
      <c r="X11" s="72">
        <f>[10]noerr!V7</f>
        <v>1.5900000000000001E-3</v>
      </c>
      <c r="Y11" s="3">
        <f>[10]noerr!W7</f>
        <v>0.117732</v>
      </c>
      <c r="Z11" s="33">
        <f>[10]noerr!X7</f>
        <v>125623.147392</v>
      </c>
      <c r="AA11" s="3">
        <f>[10]noerr!Y7</f>
        <v>399962.00756</v>
      </c>
      <c r="AB11" s="3">
        <f>[10]noerr!Z7</f>
        <v>396867.48959399998</v>
      </c>
      <c r="AC11">
        <f t="shared" si="1"/>
        <v>42.620904000000003</v>
      </c>
      <c r="AD11" s="20">
        <f t="shared" si="2"/>
        <v>0.119322</v>
      </c>
      <c r="AE11">
        <f t="shared" si="3"/>
        <v>3198.4978031999999</v>
      </c>
      <c r="AF11" s="31">
        <f t="shared" si="8"/>
        <v>112.55199735886433</v>
      </c>
      <c r="AG11" s="102">
        <f t="shared" si="0"/>
        <v>0.32979980247277041</v>
      </c>
      <c r="AH11" s="102">
        <f t="shared" si="4"/>
        <v>8840.4815851640942</v>
      </c>
      <c r="AI11" s="32">
        <f t="shared" si="9"/>
        <v>112.53176299661088</v>
      </c>
      <c r="AJ11" s="31">
        <f>(K10-AA11)</f>
        <v>42.691017000004649</v>
      </c>
      <c r="AK11" s="113">
        <f t="shared" si="5"/>
        <v>3137.2089830000186</v>
      </c>
      <c r="AL11" s="38">
        <f t="shared" si="6"/>
        <v>3179.9000000000233</v>
      </c>
      <c r="AM11" s="26">
        <f t="shared" si="7"/>
        <v>23677.535400000175</v>
      </c>
      <c r="AN11" s="31">
        <f t="shared" si="10"/>
        <v>112.2356162096947</v>
      </c>
      <c r="AP11" s="11">
        <f>Z10-((L11-(O11-O10))*Z10/L11)</f>
        <v>42.69104797624459</v>
      </c>
      <c r="AQ11">
        <f>Z11-((L11-O11)*Z11/L11)</f>
        <v>3137.2089931749942</v>
      </c>
      <c r="AR11" s="3">
        <f>AP11+AQ11</f>
        <v>3179.9000411512388</v>
      </c>
    </row>
    <row r="12" spans="1:45" s="109" customFormat="1" x14ac:dyDescent="0.2">
      <c r="A12" s="109" t="s">
        <v>50</v>
      </c>
      <c r="B12" s="109">
        <v>15</v>
      </c>
      <c r="C12" s="109">
        <v>15</v>
      </c>
      <c r="D12" s="110"/>
      <c r="E12" s="110">
        <f>[10]noerr!C8</f>
        <v>34.017907000000001</v>
      </c>
      <c r="F12" s="110">
        <f>[10]noerr!D8</f>
        <v>5.33E-2</v>
      </c>
      <c r="G12" s="110">
        <f>[10]noerr!E8</f>
        <v>14.874040000000001</v>
      </c>
      <c r="H12" s="110">
        <f>[10]noerr!F8</f>
        <v>6.3966999999999996E-2</v>
      </c>
      <c r="I12" s="110">
        <f>[10]noerr!G8</f>
        <v>642.800656</v>
      </c>
      <c r="J12" s="110">
        <f>[10]noerr!H8</f>
        <v>74.189769999999996</v>
      </c>
      <c r="K12" s="110">
        <f>[10]noerr!I8</f>
        <v>400003.65559400001</v>
      </c>
      <c r="L12" s="33">
        <f>[10]noerr!J8</f>
        <v>4282.3681610000003</v>
      </c>
      <c r="M12" s="110">
        <f>[10]noerr!K8</f>
        <v>400003.65559400001</v>
      </c>
      <c r="N12" s="110">
        <f>[10]noerr!L8</f>
        <v>14.874040000000001</v>
      </c>
      <c r="O12" s="33">
        <f>[10]noerr!M8</f>
        <v>4282.3681610000003</v>
      </c>
      <c r="P12" s="110">
        <f>[10]noerr!N8</f>
        <v>53.769343999999997</v>
      </c>
      <c r="Q12" s="110">
        <f>[10]noerr!O8</f>
        <v>53.439920000000001</v>
      </c>
      <c r="R12" s="11">
        <f>[10]noerr!P8</f>
        <v>4282.3681610000003</v>
      </c>
      <c r="S12" s="11">
        <f>[10]noerr!Q8</f>
        <v>4196.7207980000003</v>
      </c>
      <c r="T12" s="110">
        <f>[10]noerr!R8</f>
        <v>41.118043</v>
      </c>
      <c r="U12" s="110">
        <f>[10]noerr!S8</f>
        <v>41.371510999999998</v>
      </c>
      <c r="V12" s="110">
        <f>[10]noerr!T8</f>
        <v>14.874040000000001</v>
      </c>
      <c r="W12" s="110">
        <f>[10]noerr!U8</f>
        <v>14.965729</v>
      </c>
      <c r="X12" s="111">
        <f>[10]noerr!V8</f>
        <v>0</v>
      </c>
      <c r="Y12" s="110">
        <f>[10]noerr!W8</f>
        <v>9.1689000000000007E-2</v>
      </c>
      <c r="Z12" s="33">
        <f>[10]noerr!X8</f>
        <v>122533.54159399999</v>
      </c>
      <c r="AA12" s="110">
        <f>[10]noerr!Y8</f>
        <v>400003.65559400001</v>
      </c>
      <c r="AB12" s="110">
        <f>[10]noerr!Z8</f>
        <v>397552.98476199998</v>
      </c>
      <c r="AC12" s="109">
        <f t="shared" si="1"/>
        <v>0</v>
      </c>
      <c r="AD12" s="112">
        <f t="shared" si="2"/>
        <v>9.1689000000000007E-2</v>
      </c>
      <c r="AE12" s="109">
        <f t="shared" si="3"/>
        <v>2457.7786584</v>
      </c>
      <c r="AF12" s="113">
        <f t="shared" si="8"/>
        <v>86.486817903126934</v>
      </c>
      <c r="AG12" s="114">
        <f t="shared" si="0"/>
        <v>0.25346651027848566</v>
      </c>
      <c r="AH12" s="114">
        <f t="shared" si="4"/>
        <v>6794.3218879209744</v>
      </c>
      <c r="AI12" s="115">
        <f t="shared" si="9"/>
        <v>86.485901593563128</v>
      </c>
      <c r="AJ12" s="31">
        <f>(Z12-Z12)</f>
        <v>0</v>
      </c>
      <c r="AK12" s="113">
        <f t="shared" si="5"/>
        <v>2450.6708320000325</v>
      </c>
      <c r="AL12" s="116">
        <f t="shared" si="6"/>
        <v>2450.6708320000325</v>
      </c>
      <c r="AM12" s="117">
        <f t="shared" si="7"/>
        <v>18247.695015072244</v>
      </c>
      <c r="AN12" s="113">
        <f t="shared" si="10"/>
        <v>86.497232918219694</v>
      </c>
      <c r="AP12" s="110"/>
    </row>
    <row r="13" spans="1:45" s="73" customFormat="1" x14ac:dyDescent="0.2">
      <c r="B13" s="10"/>
      <c r="C13" s="34">
        <f>C12+$J$1</f>
        <v>24</v>
      </c>
      <c r="D13" s="11"/>
      <c r="E13" s="3">
        <f>[10]noerr!C9</f>
        <v>43.176000999999999</v>
      </c>
      <c r="F13" s="3">
        <f>[10]noerr!D9</f>
        <v>8.7300000000000003E-2</v>
      </c>
      <c r="G13" s="3">
        <f>[10]noerr!E9</f>
        <v>14.874040000000001</v>
      </c>
      <c r="H13" s="3">
        <f>[10]noerr!F9</f>
        <v>6.3966999999999996E-2</v>
      </c>
      <c r="I13" s="3">
        <f>[10]noerr!G9</f>
        <v>642.800656</v>
      </c>
      <c r="J13" s="3">
        <f>[10]noerr!H9</f>
        <v>75.223333999999994</v>
      </c>
      <c r="K13" s="3">
        <f>[10]noerr!I9</f>
        <v>396631.84007600002</v>
      </c>
      <c r="L13" s="33">
        <f>[10]noerr!J9</f>
        <v>4379.1230589999996</v>
      </c>
      <c r="M13" s="3">
        <f>[10]noerr!K9</f>
        <v>400003.65559400001</v>
      </c>
      <c r="N13" s="3">
        <f>[10]noerr!L9</f>
        <v>14.874040000000001</v>
      </c>
      <c r="O13" s="33">
        <f>[10]noerr!M9</f>
        <v>4282.3681610000003</v>
      </c>
      <c r="P13" s="3">
        <f>[10]noerr!N9</f>
        <v>53.316096999999999</v>
      </c>
      <c r="Q13" s="3">
        <f>[10]noerr!O9</f>
        <v>52.995738000000003</v>
      </c>
      <c r="R13" s="11">
        <f>[10]noerr!P9</f>
        <v>4379.1230589999996</v>
      </c>
      <c r="S13" s="11">
        <f>[10]noerr!Q9</f>
        <v>4291.5405979999996</v>
      </c>
      <c r="T13" s="3">
        <f>[10]noerr!R9</f>
        <v>41.467593000000001</v>
      </c>
      <c r="U13" s="3">
        <f>[10]noerr!S9</f>
        <v>41.718263999999998</v>
      </c>
      <c r="V13" s="3">
        <f>[10]noerr!T9</f>
        <v>15.000486</v>
      </c>
      <c r="W13" s="3">
        <f>[10]noerr!U9</f>
        <v>15.091163999999999</v>
      </c>
      <c r="X13" s="72">
        <f>[10]noerr!V9</f>
        <v>0.126446</v>
      </c>
      <c r="Y13" s="3">
        <f>[10]noerr!W9</f>
        <v>0.21712400000000001</v>
      </c>
      <c r="Z13" s="33">
        <f>[10]noerr!X9</f>
        <v>119161.72607600001</v>
      </c>
      <c r="AA13" s="3">
        <f>[10]noerr!Y9</f>
        <v>396631.84007600002</v>
      </c>
      <c r="AB13" s="3">
        <f>[10]noerr!Z9</f>
        <v>394248.60555500002</v>
      </c>
      <c r="AC13">
        <f t="shared" si="1"/>
        <v>3389.4608976000004</v>
      </c>
      <c r="AD13" s="20">
        <f t="shared" si="2"/>
        <v>0.34357000000000004</v>
      </c>
      <c r="AE13">
        <f t="shared" si="3"/>
        <v>9209.5999920000013</v>
      </c>
      <c r="AF13" s="54">
        <f t="shared" si="8"/>
        <v>324.07678158751128</v>
      </c>
      <c r="AG13" s="102">
        <f t="shared" si="0"/>
        <v>0.94977029890582543</v>
      </c>
      <c r="AH13" s="102">
        <f t="shared" si="4"/>
        <v>25459.162724349993</v>
      </c>
      <c r="AI13" s="32">
        <f t="shared" si="9"/>
        <v>324.07334806246587</v>
      </c>
      <c r="AJ13" s="31">
        <f>Z12-Z13</f>
        <v>3371.8155179999885</v>
      </c>
      <c r="AK13" s="113">
        <f t="shared" si="5"/>
        <v>2383.2345210000058</v>
      </c>
      <c r="AL13" s="38">
        <f t="shared" si="6"/>
        <v>5755.0500389999943</v>
      </c>
      <c r="AM13" s="26">
        <f t="shared" si="7"/>
        <v>42852.102590393959</v>
      </c>
      <c r="AN13" s="31">
        <f t="shared" si="10"/>
        <v>203.12638367394791</v>
      </c>
      <c r="AP13" s="131">
        <f>Z12-Z13</f>
        <v>3371.8155179999885</v>
      </c>
      <c r="AQ13">
        <f>Z13-((L13-L13*$AQ$1)*Z13/L13)</f>
        <v>2383.2345215200039</v>
      </c>
      <c r="AR13" s="3">
        <f>AP13+AQ13</f>
        <v>5755.0500395199924</v>
      </c>
    </row>
    <row r="14" spans="1:45" s="109" customFormat="1" x14ac:dyDescent="0.2">
      <c r="B14" s="109">
        <v>20</v>
      </c>
      <c r="C14" s="109">
        <v>20</v>
      </c>
      <c r="D14" s="110"/>
      <c r="E14" s="110">
        <f>[10]noerr!C10</f>
        <v>39.000863000000003</v>
      </c>
      <c r="F14" s="110">
        <f>[10]noerr!D10</f>
        <v>7.0000000000000007E-2</v>
      </c>
      <c r="G14" s="110">
        <f>[10]noerr!E10</f>
        <v>14.881686</v>
      </c>
      <c r="H14" s="110">
        <f>[10]noerr!F10</f>
        <v>6.4780000000000004E-2</v>
      </c>
      <c r="I14" s="110">
        <f>[10]noerr!G10</f>
        <v>634.99998800000003</v>
      </c>
      <c r="J14" s="110">
        <f>[10]noerr!H10</f>
        <v>76.824382999999997</v>
      </c>
      <c r="K14" s="110">
        <f>[10]noerr!I10</f>
        <v>400002.75884800003</v>
      </c>
      <c r="L14" s="33">
        <f>[10]noerr!J10</f>
        <v>4455.8178779999998</v>
      </c>
      <c r="M14" s="110">
        <f>[10]noerr!K10</f>
        <v>400002.75884800003</v>
      </c>
      <c r="N14" s="110">
        <f>[10]noerr!L10</f>
        <v>14.881686</v>
      </c>
      <c r="O14" s="33">
        <f>[10]noerr!M10</f>
        <v>4455.8178779999998</v>
      </c>
      <c r="P14" s="110">
        <f>[10]noerr!N10</f>
        <v>53.741596999999999</v>
      </c>
      <c r="Q14" s="110">
        <f>[10]noerr!O10</f>
        <v>53.408256999999999</v>
      </c>
      <c r="R14" s="11">
        <f>[10]noerr!P10</f>
        <v>4455.8178779999998</v>
      </c>
      <c r="S14" s="11">
        <f>[10]noerr!Q10</f>
        <v>4366.701521</v>
      </c>
      <c r="T14" s="110">
        <f>[10]noerr!R10</f>
        <v>41.135114999999999</v>
      </c>
      <c r="U14" s="110">
        <f>[10]noerr!S10</f>
        <v>41.391852999999998</v>
      </c>
      <c r="V14" s="110">
        <f>[10]noerr!T10</f>
        <v>14.881686</v>
      </c>
      <c r="W14" s="110">
        <f>[10]noerr!U10</f>
        <v>14.974568</v>
      </c>
      <c r="X14" s="111">
        <f>[10]noerr!V10</f>
        <v>0</v>
      </c>
      <c r="Y14" s="110">
        <f>[10]noerr!W10</f>
        <v>9.2882000000000006E-2</v>
      </c>
      <c r="Z14" s="33">
        <f>[10]noerr!X10</f>
        <v>124053.483848</v>
      </c>
      <c r="AA14" s="110">
        <f>[10]noerr!Y10</f>
        <v>400002.75884800003</v>
      </c>
      <c r="AB14" s="110">
        <f>[10]noerr!Z10</f>
        <v>397521.68917099998</v>
      </c>
      <c r="AC14" s="109">
        <f t="shared" si="1"/>
        <v>0</v>
      </c>
      <c r="AD14" s="112">
        <f t="shared" si="2"/>
        <v>9.2882000000000006E-2</v>
      </c>
      <c r="AE14" s="109">
        <f t="shared" si="3"/>
        <v>2489.7577392000003</v>
      </c>
      <c r="AF14" s="113">
        <f t="shared" si="8"/>
        <v>87.6121303589115</v>
      </c>
      <c r="AG14" s="114">
        <f t="shared" si="0"/>
        <v>0.25674032246058687</v>
      </c>
      <c r="AH14" s="114">
        <f t="shared" si="4"/>
        <v>6882.0783877495069</v>
      </c>
      <c r="AI14" s="115">
        <f t="shared" si="9"/>
        <v>87.602966715523138</v>
      </c>
      <c r="AJ14" s="31">
        <f>(Z14-Z14)</f>
        <v>0</v>
      </c>
      <c r="AK14" s="113">
        <f t="shared" si="5"/>
        <v>2481.0696770000504</v>
      </c>
      <c r="AL14" s="116">
        <f t="shared" si="6"/>
        <v>2481.0696770000504</v>
      </c>
      <c r="AM14" s="117">
        <f t="shared" si="7"/>
        <v>18474.044814942376</v>
      </c>
      <c r="AN14" s="113">
        <f t="shared" si="10"/>
        <v>87.57017014915148</v>
      </c>
      <c r="AP14" s="110"/>
    </row>
    <row r="15" spans="1:45" x14ac:dyDescent="0.2">
      <c r="B15"/>
      <c r="C15" s="34">
        <f>C14+$J$1</f>
        <v>29</v>
      </c>
      <c r="E15" s="3">
        <f>[10]noerr!C11</f>
        <v>48.041918000000003</v>
      </c>
      <c r="F15" s="3">
        <f>[10]noerr!D11</f>
        <v>0.112</v>
      </c>
      <c r="G15" s="3">
        <f>[10]noerr!E11</f>
        <v>14.881686</v>
      </c>
      <c r="H15" s="3">
        <f>[10]noerr!F11</f>
        <v>6.4780000000000004E-2</v>
      </c>
      <c r="I15" s="3">
        <f>[10]noerr!G11</f>
        <v>634.99998800000003</v>
      </c>
      <c r="J15" s="3">
        <f>[10]noerr!H11</f>
        <v>77.888855000000007</v>
      </c>
      <c r="K15" s="3">
        <f>[10]noerr!I11</f>
        <v>396569.53575099999</v>
      </c>
      <c r="L15" s="33">
        <f>[10]noerr!J11</f>
        <v>4552.6048499999997</v>
      </c>
      <c r="M15" s="3">
        <f>[10]noerr!K11</f>
        <v>400002.75884800003</v>
      </c>
      <c r="N15" s="3">
        <f>[10]noerr!L11</f>
        <v>14.881686</v>
      </c>
      <c r="O15" s="33">
        <f>[10]noerr!M11</f>
        <v>4455.8178779999998</v>
      </c>
      <c r="P15" s="3">
        <f>[10]noerr!N11</f>
        <v>53.280332999999999</v>
      </c>
      <c r="Q15" s="3">
        <f>[10]noerr!O11</f>
        <v>52.956218999999997</v>
      </c>
      <c r="R15" s="11">
        <f>[10]noerr!P11</f>
        <v>4552.6048499999997</v>
      </c>
      <c r="S15" s="11">
        <f>[10]noerr!Q11</f>
        <v>4461.5527529999999</v>
      </c>
      <c r="T15" s="3">
        <f>[10]noerr!R11</f>
        <v>41.491233999999999</v>
      </c>
      <c r="U15" s="3">
        <f>[10]noerr!S11</f>
        <v>41.745178000000003</v>
      </c>
      <c r="V15" s="3">
        <f>[10]noerr!T11</f>
        <v>15.010522</v>
      </c>
      <c r="W15" s="3">
        <f>[10]noerr!U11</f>
        <v>15.102392</v>
      </c>
      <c r="X15" s="72">
        <f>[10]noerr!V11</f>
        <v>0.12883500000000001</v>
      </c>
      <c r="Y15" s="3">
        <f>[10]noerr!W11</f>
        <v>0.22070600000000001</v>
      </c>
      <c r="Z15" s="33">
        <f>[10]noerr!X11</f>
        <v>120620.26075099999</v>
      </c>
      <c r="AA15" s="3">
        <f>[10]noerr!Y11</f>
        <v>396569.53575099999</v>
      </c>
      <c r="AB15" s="3">
        <f>[10]noerr!Z11</f>
        <v>394157.13053600001</v>
      </c>
      <c r="AC15">
        <f t="shared" si="1"/>
        <v>3453.4994760000004</v>
      </c>
      <c r="AD15" s="20">
        <f t="shared" si="2"/>
        <v>0.34954099999999999</v>
      </c>
      <c r="AE15">
        <f t="shared" si="3"/>
        <v>9369.6562296000011</v>
      </c>
      <c r="AF15" s="31">
        <f t="shared" si="8"/>
        <v>329.70900344290908</v>
      </c>
      <c r="AG15" s="102">
        <f t="shared" si="0"/>
        <v>0.96618579545226879</v>
      </c>
      <c r="AH15" s="102">
        <f t="shared" si="4"/>
        <v>25899.189958575338</v>
      </c>
      <c r="AI15" s="32">
        <f t="shared" si="9"/>
        <v>329.67451808435692</v>
      </c>
      <c r="AJ15" s="31">
        <f>Z14-Z15</f>
        <v>3433.2230970000091</v>
      </c>
      <c r="AK15" s="113">
        <f t="shared" si="5"/>
        <v>2412.405214999977</v>
      </c>
      <c r="AL15" s="38">
        <f t="shared" si="6"/>
        <v>5845.6283119999862</v>
      </c>
      <c r="AM15" s="26">
        <f t="shared" si="7"/>
        <v>43526.548411151889</v>
      </c>
      <c r="AN15" s="31">
        <f t="shared" si="10"/>
        <v>206.32337360613568</v>
      </c>
      <c r="AP15" s="131">
        <f>Z14-Z15</f>
        <v>3433.2230970000091</v>
      </c>
      <c r="AQ15">
        <f>Z15-((L15-L15*$AQ$1)*Z15/L15)</f>
        <v>2412.4052150200005</v>
      </c>
      <c r="AR15" s="3">
        <f>AP15+AQ15</f>
        <v>5845.6283120200096</v>
      </c>
    </row>
    <row r="16" spans="1:45" s="109" customFormat="1" x14ac:dyDescent="0.2">
      <c r="B16" s="118">
        <v>25</v>
      </c>
      <c r="C16" s="109">
        <v>25</v>
      </c>
      <c r="D16" s="110"/>
      <c r="E16" s="110">
        <f>[10]noerr!C12</f>
        <v>44.080796999999997</v>
      </c>
      <c r="F16" s="110">
        <f>[10]noerr!D12</f>
        <v>9.1499999999999998E-2</v>
      </c>
      <c r="G16" s="110">
        <f>[10]noerr!E12</f>
        <v>14.926482999999999</v>
      </c>
      <c r="H16" s="110">
        <f>[10]noerr!F12</f>
        <v>6.5421999999999994E-2</v>
      </c>
      <c r="I16" s="110">
        <f>[10]noerr!G12</f>
        <v>630.61397899999997</v>
      </c>
      <c r="J16" s="110">
        <f>[10]noerr!H12</f>
        <v>79.230137999999997</v>
      </c>
      <c r="K16" s="110">
        <f>[10]noerr!I12</f>
        <v>400002.04279199999</v>
      </c>
      <c r="L16" s="33">
        <f>[10]noerr!J12</f>
        <v>4615.9757570000002</v>
      </c>
      <c r="M16" s="110">
        <f>[10]noerr!K12</f>
        <v>400002.04279199999</v>
      </c>
      <c r="N16" s="110">
        <f>[10]noerr!L12</f>
        <v>14.926482999999999</v>
      </c>
      <c r="O16" s="33">
        <f>[10]noerr!M12</f>
        <v>4615.9757570000002</v>
      </c>
      <c r="P16" s="110">
        <f>[10]noerr!N12</f>
        <v>53.580213000000001</v>
      </c>
      <c r="Q16" s="110">
        <f>[10]noerr!O12</f>
        <v>53.245379999999997</v>
      </c>
      <c r="R16" s="11">
        <f>[10]noerr!P12</f>
        <v>4615.9757570000002</v>
      </c>
      <c r="S16" s="11">
        <f>[10]noerr!Q12</f>
        <v>4523.656242</v>
      </c>
      <c r="T16" s="110">
        <f>[10]noerr!R12</f>
        <v>41.255791000000002</v>
      </c>
      <c r="U16" s="110">
        <f>[10]noerr!S12</f>
        <v>41.515228</v>
      </c>
      <c r="V16" s="110">
        <f>[10]noerr!T12</f>
        <v>14.926482999999999</v>
      </c>
      <c r="W16" s="110">
        <f>[10]noerr!U12</f>
        <v>15.020348</v>
      </c>
      <c r="X16" s="111">
        <f>[10]noerr!V12</f>
        <v>0</v>
      </c>
      <c r="Y16" s="110">
        <f>[10]noerr!W12</f>
        <v>9.3865000000000004E-2</v>
      </c>
      <c r="Z16" s="33">
        <f>[10]noerr!X12</f>
        <v>124984.54279199999</v>
      </c>
      <c r="AA16" s="110">
        <f>[10]noerr!Y12</f>
        <v>400002.04279199999</v>
      </c>
      <c r="AB16" s="110">
        <f>[10]noerr!Z12</f>
        <v>397502.35193599999</v>
      </c>
      <c r="AC16" s="109">
        <f t="shared" si="1"/>
        <v>0</v>
      </c>
      <c r="AD16" s="112">
        <f t="shared" si="2"/>
        <v>9.3865000000000004E-2</v>
      </c>
      <c r="AE16" s="109">
        <f t="shared" si="3"/>
        <v>2516.1076439999997</v>
      </c>
      <c r="AF16" s="113">
        <f t="shared" si="8"/>
        <v>88.539357638070086</v>
      </c>
      <c r="AG16" s="114">
        <f t="shared" si="0"/>
        <v>0.25943800982889087</v>
      </c>
      <c r="AH16" s="114">
        <f t="shared" si="4"/>
        <v>6954.3915162693165</v>
      </c>
      <c r="AI16" s="115">
        <f t="shared" si="9"/>
        <v>88.52345094047655</v>
      </c>
      <c r="AJ16" s="31">
        <f>(Z16-Z16)</f>
        <v>0</v>
      </c>
      <c r="AK16" s="113">
        <f t="shared" si="5"/>
        <v>2499.6908560000011</v>
      </c>
      <c r="AL16" s="116">
        <f t="shared" si="6"/>
        <v>2499.6908560000011</v>
      </c>
      <c r="AM16" s="117">
        <f t="shared" si="7"/>
        <v>18612.698113776009</v>
      </c>
      <c r="AN16" s="113">
        <f t="shared" si="10"/>
        <v>88.22741078552697</v>
      </c>
      <c r="AP16" s="110"/>
    </row>
    <row r="17" spans="1:45" x14ac:dyDescent="0.2">
      <c r="C17" s="34">
        <f>C16+$J$1</f>
        <v>34</v>
      </c>
      <c r="E17" s="3">
        <f>[10]noerr!C13</f>
        <v>53.055214999999997</v>
      </c>
      <c r="F17" s="3">
        <f>[10]noerr!D13</f>
        <v>0.14349999999999999</v>
      </c>
      <c r="G17" s="3">
        <f>[10]noerr!E13</f>
        <v>14.926482999999999</v>
      </c>
      <c r="H17" s="3">
        <f>[10]noerr!F13</f>
        <v>6.5421999999999994E-2</v>
      </c>
      <c r="I17" s="3">
        <f>[10]noerr!G13</f>
        <v>630.61397899999997</v>
      </c>
      <c r="J17" s="3">
        <f>[10]noerr!H13</f>
        <v>80.328446999999997</v>
      </c>
      <c r="K17" s="3">
        <f>[10]noerr!I13</f>
        <v>396500.99979899998</v>
      </c>
      <c r="L17" s="33">
        <f>[10]noerr!J13</f>
        <v>4713.1969799999997</v>
      </c>
      <c r="M17" s="3">
        <f>[10]noerr!K13</f>
        <v>400002.04279199999</v>
      </c>
      <c r="N17" s="3">
        <f>[10]noerr!L13</f>
        <v>14.926482999999999</v>
      </c>
      <c r="O17" s="33">
        <f>[10]noerr!M13</f>
        <v>4615.9757570000002</v>
      </c>
      <c r="P17" s="3">
        <f>[10]noerr!N13</f>
        <v>53.111249000000001</v>
      </c>
      <c r="Q17" s="3">
        <f>[10]noerr!O13</f>
        <v>52.785795</v>
      </c>
      <c r="R17" s="11">
        <f>[10]noerr!P13</f>
        <v>4713.1969799999997</v>
      </c>
      <c r="S17" s="11">
        <f>[10]noerr!Q13</f>
        <v>4618.9330399999999</v>
      </c>
      <c r="T17" s="3">
        <f>[10]noerr!R13</f>
        <v>41.620074000000002</v>
      </c>
      <c r="U17" s="3">
        <f>[10]noerr!S13</f>
        <v>41.876685000000002</v>
      </c>
      <c r="V17" s="3">
        <f>[10]noerr!T13</f>
        <v>15.058282</v>
      </c>
      <c r="W17" s="3">
        <f>[10]noerr!U13</f>
        <v>15.151125</v>
      </c>
      <c r="X17" s="72">
        <f>[10]noerr!V13</f>
        <v>0.131799</v>
      </c>
      <c r="Y17" s="3">
        <f>[10]noerr!W13</f>
        <v>0.22464100000000001</v>
      </c>
      <c r="Z17" s="33">
        <f>[10]noerr!X13</f>
        <v>121483.499799</v>
      </c>
      <c r="AA17" s="3">
        <f>[10]noerr!Y13</f>
        <v>396500.99979899998</v>
      </c>
      <c r="AB17" s="3">
        <f>[10]noerr!Z13</f>
        <v>394071.32980299997</v>
      </c>
      <c r="AC17">
        <f t="shared" si="1"/>
        <v>3532.9512743999999</v>
      </c>
      <c r="AD17" s="20">
        <f t="shared" si="2"/>
        <v>0.35643999999999998</v>
      </c>
      <c r="AE17">
        <f t="shared" si="3"/>
        <v>9554.5880639999996</v>
      </c>
      <c r="AF17" s="31">
        <f t="shared" si="8"/>
        <v>336.21657312644442</v>
      </c>
      <c r="AG17" s="102">
        <f t="shared" si="0"/>
        <v>0.98518174211273646</v>
      </c>
      <c r="AH17" s="102">
        <f t="shared" si="4"/>
        <v>26408.387706377169</v>
      </c>
      <c r="AI17" s="32">
        <f t="shared" si="9"/>
        <v>336.15616953309751</v>
      </c>
      <c r="AJ17" s="31">
        <f>Z16-Z17</f>
        <v>3501.0429929999955</v>
      </c>
      <c r="AK17" s="113">
        <f t="shared" si="5"/>
        <v>2429.6699960000115</v>
      </c>
      <c r="AL17" s="38">
        <f t="shared" si="6"/>
        <v>5930.7129890000069</v>
      </c>
      <c r="AM17" s="26">
        <f t="shared" si="7"/>
        <v>44160.08891609405</v>
      </c>
      <c r="AN17" s="31">
        <f t="shared" si="10"/>
        <v>209.3264652609362</v>
      </c>
      <c r="AP17" s="131">
        <f>Z16-Z17</f>
        <v>3501.0429929999955</v>
      </c>
      <c r="AQ17">
        <f>Z17-((L17-L17*$AQ$1)*Z17/L17)</f>
        <v>2429.6699959800026</v>
      </c>
      <c r="AR17" s="3">
        <f>AP17+AQ17</f>
        <v>5930.712988979998</v>
      </c>
    </row>
    <row r="18" spans="1:45" s="109" customFormat="1" x14ac:dyDescent="0.2">
      <c r="A18" s="109" t="s">
        <v>93</v>
      </c>
      <c r="B18" s="109">
        <v>15</v>
      </c>
      <c r="C18" s="109">
        <v>15</v>
      </c>
      <c r="D18" s="110"/>
      <c r="E18" s="110">
        <f>[10]noerr!C14</f>
        <v>32.624777999999999</v>
      </c>
      <c r="F18" s="110">
        <f>[10]noerr!D14</f>
        <v>4.9299999999999997E-2</v>
      </c>
      <c r="G18" s="110">
        <f>[10]noerr!E14</f>
        <v>36.619632000000003</v>
      </c>
      <c r="H18" s="110">
        <f>[10]noerr!F14</f>
        <v>0.24185300000000001</v>
      </c>
      <c r="I18" s="110">
        <f>[10]noerr!G14</f>
        <v>555.80648199999996</v>
      </c>
      <c r="J18" s="110">
        <f>[10]noerr!H14</f>
        <v>305.32448799999997</v>
      </c>
      <c r="K18" s="110">
        <f>[10]noerr!I14</f>
        <v>400003.97395299998</v>
      </c>
      <c r="L18" s="33">
        <f>[10]noerr!J14</f>
        <v>15506.346686999999</v>
      </c>
      <c r="M18" s="110">
        <f>[10]noerr!K14</f>
        <v>400003.97395299998</v>
      </c>
      <c r="N18" s="110">
        <f>[10]noerr!L14</f>
        <v>36.619632000000003</v>
      </c>
      <c r="O18" s="33">
        <f>[10]noerr!M14</f>
        <v>357.792101</v>
      </c>
      <c r="P18" s="110">
        <f>[10]noerr!N14</f>
        <v>36.400869999999998</v>
      </c>
      <c r="Q18" s="110">
        <f>[10]noerr!O14</f>
        <v>35.560960000000001</v>
      </c>
      <c r="R18" s="11">
        <f>[10]noerr!P14</f>
        <v>15506.346686999999</v>
      </c>
      <c r="S18" s="11">
        <f>[10]noerr!Q14</f>
        <v>15148.554586</v>
      </c>
      <c r="T18" s="110">
        <f>[10]noerr!R14</f>
        <v>134.423428</v>
      </c>
      <c r="U18" s="110">
        <f>[10]noerr!S14</f>
        <v>137.59836000000001</v>
      </c>
      <c r="V18" s="110">
        <f>[10]noerr!T14</f>
        <v>36.619632000000003</v>
      </c>
      <c r="W18" s="110">
        <f>[10]noerr!U14</f>
        <v>37.484547999999997</v>
      </c>
      <c r="X18" s="111">
        <f>[10]noerr!V14</f>
        <v>0</v>
      </c>
      <c r="Y18" s="110">
        <f>[10]noerr!W14</f>
        <v>0.86491499999999999</v>
      </c>
      <c r="Z18" s="33">
        <f>[10]noerr!X14</f>
        <v>400003.97395299998</v>
      </c>
      <c r="AA18" s="110">
        <f>[10]noerr!Y14</f>
        <v>400003.97395299998</v>
      </c>
      <c r="AB18" s="110">
        <f>[10]noerr!Z14</f>
        <v>390774.31688900001</v>
      </c>
      <c r="AC18" s="109">
        <f t="shared" si="1"/>
        <v>0</v>
      </c>
      <c r="AD18" s="112">
        <f t="shared" si="2"/>
        <v>0.86491499999999999</v>
      </c>
      <c r="AE18" s="109">
        <f t="shared" si="3"/>
        <v>23184.565524000001</v>
      </c>
      <c r="AF18" s="113">
        <f t="shared" si="8"/>
        <v>815.84209781634684</v>
      </c>
      <c r="AG18" s="114">
        <f t="shared" si="0"/>
        <v>3.1749328149804796</v>
      </c>
      <c r="AH18" s="114">
        <f t="shared" si="4"/>
        <v>85105.979065240739</v>
      </c>
      <c r="AI18" s="115">
        <f t="shared" si="9"/>
        <v>1083.3262615281415</v>
      </c>
      <c r="AJ18" s="31">
        <f>(K18-AA18)</f>
        <v>0</v>
      </c>
      <c r="AK18" s="113">
        <f t="shared" si="5"/>
        <v>9229.65706399997</v>
      </c>
      <c r="AL18" s="116">
        <f t="shared" si="6"/>
        <v>9229.65706399997</v>
      </c>
      <c r="AM18" s="117">
        <f t="shared" si="7"/>
        <v>68724.026498543768</v>
      </c>
      <c r="AN18" s="113">
        <f t="shared" si="10"/>
        <v>325.76378124538201</v>
      </c>
      <c r="AP18" s="110"/>
    </row>
    <row r="19" spans="1:45" x14ac:dyDescent="0.2">
      <c r="C19" s="34">
        <f>C18+$J$1</f>
        <v>24</v>
      </c>
      <c r="E19" s="3">
        <f>[10]noerr!C15</f>
        <v>32.624777999999999</v>
      </c>
      <c r="F19" s="3">
        <f>[10]noerr!D15</f>
        <v>4.9299999999999997E-2</v>
      </c>
      <c r="G19" s="3">
        <f>[10]noerr!E15</f>
        <v>36.619632000000003</v>
      </c>
      <c r="H19" s="3">
        <f>[10]noerr!F15</f>
        <v>0.24185300000000001</v>
      </c>
      <c r="I19" s="3">
        <f>[10]noerr!G15</f>
        <v>555.80648199999996</v>
      </c>
      <c r="J19" s="3">
        <f>[10]noerr!H15</f>
        <v>305.32448799999997</v>
      </c>
      <c r="K19" s="3">
        <f>[10]noerr!I15</f>
        <v>400003.97395299998</v>
      </c>
      <c r="L19" s="33">
        <f>[10]noerr!J15</f>
        <v>15506.346686999999</v>
      </c>
      <c r="M19" s="3">
        <f>[10]noerr!K15</f>
        <v>400003.97395299998</v>
      </c>
      <c r="N19" s="3">
        <f>[10]noerr!L15</f>
        <v>36.619632000000003</v>
      </c>
      <c r="O19" s="33">
        <f>[10]noerr!M15</f>
        <v>362.160507</v>
      </c>
      <c r="P19" s="3">
        <f>[10]noerr!N15</f>
        <v>36.390614999999997</v>
      </c>
      <c r="Q19" s="3">
        <f>[10]noerr!O15</f>
        <v>35.550705000000001</v>
      </c>
      <c r="R19" s="11">
        <f>[10]noerr!P15</f>
        <v>15501.978281</v>
      </c>
      <c r="S19" s="11">
        <f>[10]noerr!Q15</f>
        <v>15144.186180000001</v>
      </c>
      <c r="T19" s="3">
        <f>[10]noerr!R15</f>
        <v>134.461308</v>
      </c>
      <c r="U19" s="3">
        <f>[10]noerr!S15</f>
        <v>137.63805099999999</v>
      </c>
      <c r="V19" s="3">
        <f>[10]noerr!T15</f>
        <v>36.629952000000003</v>
      </c>
      <c r="W19" s="3">
        <f>[10]noerr!U15</f>
        <v>37.495359999999998</v>
      </c>
      <c r="X19" s="72">
        <f>[10]noerr!V15</f>
        <v>1.0319E-2</v>
      </c>
      <c r="Y19" s="3">
        <f>[10]noerr!W15</f>
        <v>0.87572799999999995</v>
      </c>
      <c r="Z19" s="33">
        <f>[10]noerr!X15</f>
        <v>400003.97395299998</v>
      </c>
      <c r="AA19" s="3">
        <f>[10]noerr!Y15</f>
        <v>399891.28591400001</v>
      </c>
      <c r="AB19" s="3">
        <f>[10]noerr!Z15</f>
        <v>390661.62884999998</v>
      </c>
      <c r="AC19">
        <f t="shared" si="1"/>
        <v>276.60698639999998</v>
      </c>
      <c r="AD19" s="20">
        <f t="shared" si="2"/>
        <v>0.88604699999999992</v>
      </c>
      <c r="AE19">
        <f t="shared" si="3"/>
        <v>23751.021463199999</v>
      </c>
      <c r="AF19" s="31">
        <f t="shared" si="8"/>
        <v>835.77512616139234</v>
      </c>
      <c r="AG19" s="102">
        <f t="shared" si="0"/>
        <v>3.2525042297971254</v>
      </c>
      <c r="AH19" s="102">
        <f t="shared" si="4"/>
        <v>87185.327382249816</v>
      </c>
      <c r="AI19" s="32">
        <f t="shared" si="9"/>
        <v>1109.7945856508622</v>
      </c>
      <c r="AJ19" s="31">
        <f>K18-AA19</f>
        <v>112.68803899997147</v>
      </c>
      <c r="AK19" s="113">
        <f t="shared" si="5"/>
        <v>9342.3451029999997</v>
      </c>
      <c r="AL19" s="38">
        <f t="shared" si="6"/>
        <v>9455.0331419999711</v>
      </c>
      <c r="AM19" s="26">
        <f t="shared" si="7"/>
        <v>70402.176775331784</v>
      </c>
      <c r="AN19" s="31">
        <f t="shared" si="10"/>
        <v>333.71850403328551</v>
      </c>
      <c r="AP19" s="11">
        <f>Z18-((L19-(O19-O18))*Z18/L19)</f>
        <v>112.688036396401</v>
      </c>
      <c r="AQ19">
        <f>Z19-((L19-O19)*Z19/L19)</f>
        <v>9342.345101201965</v>
      </c>
      <c r="AR19" s="3">
        <f>AP19+AQ19</f>
        <v>9455.033137598366</v>
      </c>
    </row>
    <row r="20" spans="1:45" s="109" customFormat="1" x14ac:dyDescent="0.2">
      <c r="B20" s="109">
        <v>20</v>
      </c>
      <c r="C20" s="109">
        <v>20</v>
      </c>
      <c r="D20" s="110"/>
      <c r="E20" s="110">
        <f>[10]noerr!C16</f>
        <v>36.936081000000001</v>
      </c>
      <c r="F20" s="110">
        <f>[10]noerr!D16</f>
        <v>6.2600000000000003E-2</v>
      </c>
      <c r="G20" s="110">
        <f>[10]noerr!E16</f>
        <v>36.874369999999999</v>
      </c>
      <c r="H20" s="110">
        <f>[10]noerr!F16</f>
        <v>0.24767900000000001</v>
      </c>
      <c r="I20" s="110">
        <f>[10]noerr!G16</f>
        <v>546.47871499999997</v>
      </c>
      <c r="J20" s="110">
        <f>[10]noerr!H16</f>
        <v>310.73433599999998</v>
      </c>
      <c r="K20" s="110">
        <f>[10]noerr!I16</f>
        <v>400003.84362200001</v>
      </c>
      <c r="L20" s="33">
        <f>[10]noerr!J16</f>
        <v>15835.01801</v>
      </c>
      <c r="M20" s="110">
        <f>[10]noerr!K16</f>
        <v>400003.84362200001</v>
      </c>
      <c r="N20" s="110">
        <f>[10]noerr!L16</f>
        <v>36.874369999999999</v>
      </c>
      <c r="O20" s="33">
        <f>[10]noerr!M16</f>
        <v>378.83388500000001</v>
      </c>
      <c r="P20" s="110">
        <f>[10]noerr!N16</f>
        <v>36.149391999999999</v>
      </c>
      <c r="Q20" s="110">
        <f>[10]noerr!O16</f>
        <v>35.284560999999997</v>
      </c>
      <c r="R20" s="11">
        <f>[10]noerr!P16</f>
        <v>15835.01801</v>
      </c>
      <c r="S20" s="11">
        <f>[10]noerr!Q16</f>
        <v>15456.184123999999</v>
      </c>
      <c r="T20" s="110">
        <f>[10]noerr!R16</f>
        <v>135.35136399999999</v>
      </c>
      <c r="U20" s="110">
        <f>[10]noerr!S16</f>
        <v>138.66884999999999</v>
      </c>
      <c r="V20" s="110">
        <f>[10]noerr!T16</f>
        <v>36.874369999999999</v>
      </c>
      <c r="W20" s="110">
        <f>[10]noerr!U16</f>
        <v>37.778167000000003</v>
      </c>
      <c r="X20" s="111">
        <f>[10]noerr!V16</f>
        <v>0</v>
      </c>
      <c r="Y20" s="110">
        <f>[10]noerr!W16</f>
        <v>0.90379799999999999</v>
      </c>
      <c r="Z20" s="33">
        <f>[10]noerr!X16</f>
        <v>400003.84362200001</v>
      </c>
      <c r="AA20" s="110">
        <f>[10]noerr!Y16</f>
        <v>400003.84362200001</v>
      </c>
      <c r="AB20" s="110">
        <f>[10]noerr!Z16</f>
        <v>390434.22960999998</v>
      </c>
      <c r="AC20" s="109">
        <f t="shared" si="1"/>
        <v>0</v>
      </c>
      <c r="AD20" s="112">
        <f t="shared" si="2"/>
        <v>0.90379799999999999</v>
      </c>
      <c r="AE20" s="109">
        <f t="shared" si="3"/>
        <v>24226.847668800001</v>
      </c>
      <c r="AF20" s="113">
        <f t="shared" si="8"/>
        <v>852.51898316276004</v>
      </c>
      <c r="AG20" s="114">
        <f t="shared" si="0"/>
        <v>3.3174867999348407</v>
      </c>
      <c r="AH20" s="114">
        <f t="shared" si="4"/>
        <v>88927.224164333369</v>
      </c>
      <c r="AI20" s="115">
        <f t="shared" si="9"/>
        <v>1131.9674405974683</v>
      </c>
      <c r="AJ20" s="31">
        <f>(K20-AA20)</f>
        <v>0</v>
      </c>
      <c r="AK20" s="113">
        <f t="shared" si="5"/>
        <v>9569.6140120000346</v>
      </c>
      <c r="AL20" s="116">
        <f t="shared" si="6"/>
        <v>9569.6140120000346</v>
      </c>
      <c r="AM20" s="117">
        <f t="shared" si="7"/>
        <v>71255.345933352248</v>
      </c>
      <c r="AN20" s="113">
        <f t="shared" si="10"/>
        <v>337.7626735198416</v>
      </c>
      <c r="AP20" s="110"/>
    </row>
    <row r="21" spans="1:45" x14ac:dyDescent="0.2">
      <c r="B21"/>
      <c r="C21" s="34">
        <f>C20+$J$1</f>
        <v>29</v>
      </c>
      <c r="E21" s="3">
        <f>[10]noerr!C17</f>
        <v>36.936081000000001</v>
      </c>
      <c r="F21" s="3">
        <f>[10]noerr!D17</f>
        <v>6.2600000000000003E-2</v>
      </c>
      <c r="G21" s="3">
        <f>[10]noerr!E17</f>
        <v>36.874369999999999</v>
      </c>
      <c r="H21" s="3">
        <f>[10]noerr!F17</f>
        <v>0.24767900000000001</v>
      </c>
      <c r="I21" s="3">
        <f>[10]noerr!G17</f>
        <v>546.47871499999997</v>
      </c>
      <c r="J21" s="3">
        <f>[10]noerr!H17</f>
        <v>310.73433599999998</v>
      </c>
      <c r="K21" s="3">
        <f>[10]noerr!I17</f>
        <v>400003.84362200001</v>
      </c>
      <c r="L21" s="33">
        <f>[10]noerr!J17</f>
        <v>15835.01801</v>
      </c>
      <c r="M21" s="3">
        <f>[10]noerr!K17</f>
        <v>400003.84362200001</v>
      </c>
      <c r="N21" s="3">
        <f>[10]noerr!L17</f>
        <v>36.874369999999999</v>
      </c>
      <c r="O21" s="33">
        <f>[10]noerr!M17</f>
        <v>383.78703100000001</v>
      </c>
      <c r="P21" s="3">
        <f>[10]noerr!N17</f>
        <v>36.138084999999997</v>
      </c>
      <c r="Q21" s="3">
        <f>[10]noerr!O17</f>
        <v>35.273254000000001</v>
      </c>
      <c r="R21" s="11">
        <f>[10]noerr!P17</f>
        <v>15830.064864</v>
      </c>
      <c r="S21" s="11">
        <f>[10]noerr!Q17</f>
        <v>15451.230979</v>
      </c>
      <c r="T21" s="3">
        <f>[10]noerr!R17</f>
        <v>135.39371399999999</v>
      </c>
      <c r="U21" s="3">
        <f>[10]noerr!S17</f>
        <v>138.713303</v>
      </c>
      <c r="V21" s="3">
        <f>[10]noerr!T17</f>
        <v>36.885907000000003</v>
      </c>
      <c r="W21" s="3">
        <f>[10]noerr!U17</f>
        <v>37.790277000000003</v>
      </c>
      <c r="X21" s="72">
        <f>[10]noerr!V17</f>
        <v>1.1538E-2</v>
      </c>
      <c r="Y21" s="3">
        <f>[10]noerr!W17</f>
        <v>0.91590800000000006</v>
      </c>
      <c r="Z21" s="33">
        <f>[10]noerr!X17</f>
        <v>400003.84362200001</v>
      </c>
      <c r="AA21" s="3">
        <f>[10]noerr!Y17</f>
        <v>399878.72363600001</v>
      </c>
      <c r="AB21" s="3">
        <f>[10]noerr!Z17</f>
        <v>390309.10962399998</v>
      </c>
      <c r="AC21">
        <f t="shared" si="1"/>
        <v>309.28301279999999</v>
      </c>
      <c r="AD21" s="20">
        <f t="shared" si="2"/>
        <v>0.9274460000000001</v>
      </c>
      <c r="AE21">
        <f t="shared" si="3"/>
        <v>24860.746497600005</v>
      </c>
      <c r="AF21" s="31">
        <f t="shared" si="8"/>
        <v>874.82526057633379</v>
      </c>
      <c r="AG21" s="102">
        <f t="shared" si="0"/>
        <v>3.4042893020922236</v>
      </c>
      <c r="AH21" s="102">
        <f t="shared" si="4"/>
        <v>91254.017316163314</v>
      </c>
      <c r="AI21" s="32">
        <f t="shared" si="9"/>
        <v>1161.5855256510333</v>
      </c>
      <c r="AJ21" s="31">
        <f>K20-AA21</f>
        <v>125.11998600000516</v>
      </c>
      <c r="AK21" s="113">
        <f t="shared" si="5"/>
        <v>9694.7339980000397</v>
      </c>
      <c r="AL21" s="38">
        <f t="shared" si="6"/>
        <v>9819.8539840000449</v>
      </c>
      <c r="AM21" s="26">
        <f t="shared" si="7"/>
        <v>73118.632764864335</v>
      </c>
      <c r="AN21" s="31">
        <f t="shared" si="10"/>
        <v>346.59497562296366</v>
      </c>
      <c r="AP21" s="11">
        <f>Z20-((L21-(O21-O20))*Z20/L21)</f>
        <v>125.11999902810203</v>
      </c>
      <c r="AQ21">
        <f>Z21-((L21-O21)*Z21/L21)</f>
        <v>9694.734002533427</v>
      </c>
      <c r="AR21" s="3">
        <f>AP21+AQ21</f>
        <v>9819.854001561529</v>
      </c>
    </row>
    <row r="22" spans="1:45" s="109" customFormat="1" x14ac:dyDescent="0.2">
      <c r="B22" s="118">
        <v>25</v>
      </c>
      <c r="C22" s="109">
        <v>25</v>
      </c>
      <c r="D22" s="110"/>
      <c r="E22" s="110">
        <f>[10]noerr!C18</f>
        <v>41.151581</v>
      </c>
      <c r="F22" s="110">
        <f>[10]noerr!D18</f>
        <v>7.85E-2</v>
      </c>
      <c r="G22" s="110">
        <f>[10]noerr!E18</f>
        <v>37.133184999999997</v>
      </c>
      <c r="H22" s="110">
        <f>[10]noerr!F18</f>
        <v>0.253687</v>
      </c>
      <c r="I22" s="110">
        <f>[10]noerr!G18</f>
        <v>537.25397799999996</v>
      </c>
      <c r="J22" s="110">
        <f>[10]noerr!H18</f>
        <v>316.15652299999999</v>
      </c>
      <c r="K22" s="110">
        <f>[10]noerr!I18</f>
        <v>400000.62909900001</v>
      </c>
      <c r="L22" s="33">
        <f>[10]noerr!J18</f>
        <v>16159.960564000001</v>
      </c>
      <c r="M22" s="110">
        <f>[10]noerr!K18</f>
        <v>400000.62909900001</v>
      </c>
      <c r="N22" s="110">
        <f>[10]noerr!L18</f>
        <v>37.133184999999997</v>
      </c>
      <c r="O22" s="33">
        <f>[10]noerr!M18</f>
        <v>398.075444</v>
      </c>
      <c r="P22" s="110">
        <f>[10]noerr!N18</f>
        <v>35.897145000000002</v>
      </c>
      <c r="Q22" s="110">
        <f>[10]noerr!O18</f>
        <v>35.012875000000001</v>
      </c>
      <c r="R22" s="11">
        <f>[10]noerr!P18</f>
        <v>16159.960564000001</v>
      </c>
      <c r="S22" s="11">
        <f>[10]noerr!Q18</f>
        <v>15761.885120000001</v>
      </c>
      <c r="T22" s="110">
        <f>[10]noerr!R18</f>
        <v>136.294117</v>
      </c>
      <c r="U22" s="110">
        <f>[10]noerr!S18</f>
        <v>139.73630299999999</v>
      </c>
      <c r="V22" s="110">
        <f>[10]noerr!T18</f>
        <v>37.133184999999997</v>
      </c>
      <c r="W22" s="110">
        <f>[10]noerr!U18</f>
        <v>38.071005</v>
      </c>
      <c r="X22" s="111">
        <f>[10]noerr!V18</f>
        <v>0</v>
      </c>
      <c r="Y22" s="110">
        <f>[10]noerr!W18</f>
        <v>0.93781999999999999</v>
      </c>
      <c r="Z22" s="33">
        <f>[10]noerr!X18</f>
        <v>400000.62909900001</v>
      </c>
      <c r="AA22" s="110">
        <f>[10]noerr!Y18</f>
        <v>400000.62909900001</v>
      </c>
      <c r="AB22" s="110">
        <f>[10]noerr!Z18</f>
        <v>390147.23697700002</v>
      </c>
      <c r="AC22" s="109">
        <f t="shared" si="1"/>
        <v>0</v>
      </c>
      <c r="AD22" s="112">
        <f t="shared" si="2"/>
        <v>0.93781999999999999</v>
      </c>
      <c r="AE22" s="109">
        <f t="shared" si="3"/>
        <v>25138.827792</v>
      </c>
      <c r="AF22" s="113">
        <f t="shared" si="8"/>
        <v>884.61066830165555</v>
      </c>
      <c r="AG22" s="114">
        <f t="shared" si="0"/>
        <v>3.4421924011919316</v>
      </c>
      <c r="AH22" s="114">
        <f t="shared" si="4"/>
        <v>92270.032629390451</v>
      </c>
      <c r="AI22" s="115">
        <f t="shared" si="9"/>
        <v>1174.5185308643327</v>
      </c>
      <c r="AJ22" s="31">
        <f>(K22-AA22)</f>
        <v>0</v>
      </c>
      <c r="AK22" s="113">
        <f t="shared" si="5"/>
        <v>9853.3921219999902</v>
      </c>
      <c r="AL22" s="116">
        <f t="shared" si="6"/>
        <v>9853.3921219999902</v>
      </c>
      <c r="AM22" s="117">
        <f t="shared" si="7"/>
        <v>73368.357740411928</v>
      </c>
      <c r="AN22" s="113">
        <f t="shared" si="10"/>
        <v>347.77871523268396</v>
      </c>
      <c r="AP22" s="110"/>
    </row>
    <row r="23" spans="1:45" x14ac:dyDescent="0.2">
      <c r="C23" s="34">
        <f>C22+$J$1</f>
        <v>34</v>
      </c>
      <c r="E23" s="3">
        <f>[10]noerr!C19</f>
        <v>41.151581</v>
      </c>
      <c r="F23" s="3">
        <f>[10]noerr!D19</f>
        <v>7.85E-2</v>
      </c>
      <c r="G23" s="3">
        <f>[10]noerr!E19</f>
        <v>37.133184999999997</v>
      </c>
      <c r="H23" s="3">
        <f>[10]noerr!F19</f>
        <v>0.253687</v>
      </c>
      <c r="I23" s="3">
        <f>[10]noerr!G19</f>
        <v>537.25397799999996</v>
      </c>
      <c r="J23" s="3">
        <f>[10]noerr!H19</f>
        <v>316.15652299999999</v>
      </c>
      <c r="K23" s="3">
        <f>[10]noerr!I19</f>
        <v>400000.62909900001</v>
      </c>
      <c r="L23" s="33">
        <f>[10]noerr!J19</f>
        <v>16159.960564000001</v>
      </c>
      <c r="M23" s="3">
        <f>[10]noerr!K19</f>
        <v>400000.62909900001</v>
      </c>
      <c r="N23" s="3">
        <f>[10]noerr!L19</f>
        <v>37.133184999999997</v>
      </c>
      <c r="O23" s="33">
        <f>[10]noerr!M19</f>
        <v>403.56716699999998</v>
      </c>
      <c r="P23" s="3">
        <f>[10]noerr!N19</f>
        <v>35.884945999999999</v>
      </c>
      <c r="Q23" s="3">
        <f>[10]noerr!O19</f>
        <v>35.000675999999999</v>
      </c>
      <c r="R23" s="11">
        <f>[10]noerr!P19</f>
        <v>16154.468841</v>
      </c>
      <c r="S23" s="11">
        <f>[10]noerr!Q19</f>
        <v>15756.393397</v>
      </c>
      <c r="T23" s="3">
        <f>[10]noerr!R19</f>
        <v>136.34045</v>
      </c>
      <c r="U23" s="3">
        <f>[10]noerr!S19</f>
        <v>139.78500700000001</v>
      </c>
      <c r="V23" s="3">
        <f>[10]noerr!T19</f>
        <v>37.145808000000002</v>
      </c>
      <c r="W23" s="3">
        <f>[10]noerr!U19</f>
        <v>38.084274000000001</v>
      </c>
      <c r="X23" s="72">
        <f>[10]noerr!V19</f>
        <v>1.2623000000000001E-2</v>
      </c>
      <c r="Y23" s="3">
        <f>[10]noerr!W19</f>
        <v>0.95108899999999996</v>
      </c>
      <c r="Z23" s="33">
        <f>[10]noerr!X19</f>
        <v>400000.62909900001</v>
      </c>
      <c r="AA23" s="3">
        <f>[10]noerr!Y19</f>
        <v>399864.694816</v>
      </c>
      <c r="AB23" s="3">
        <f>[10]noerr!Z19</f>
        <v>390011.30269400001</v>
      </c>
      <c r="AC23">
        <f t="shared" si="1"/>
        <v>338.36708880000003</v>
      </c>
      <c r="AD23" s="20">
        <f t="shared" si="2"/>
        <v>0.96371200000000001</v>
      </c>
      <c r="AE23">
        <f t="shared" si="3"/>
        <v>25832.878387200002</v>
      </c>
      <c r="AF23" s="31">
        <f t="shared" si="8"/>
        <v>909.03362731688935</v>
      </c>
      <c r="AG23" s="102">
        <f t="shared" si="0"/>
        <v>3.5372268914476876</v>
      </c>
      <c r="AH23" s="102">
        <f t="shared" si="4"/>
        <v>94817.489161390142</v>
      </c>
      <c r="AI23" s="32">
        <f t="shared" si="9"/>
        <v>1206.9454718563529</v>
      </c>
      <c r="AJ23" s="31">
        <f>K22-AA23</f>
        <v>135.9342830000096</v>
      </c>
      <c r="AK23" s="113">
        <f t="shared" si="5"/>
        <v>9989.3264049999998</v>
      </c>
      <c r="AL23" s="38">
        <f t="shared" si="6"/>
        <v>10125.260688000009</v>
      </c>
      <c r="AM23" s="26">
        <f t="shared" si="7"/>
        <v>75392.691082848061</v>
      </c>
      <c r="AN23" s="31">
        <f t="shared" si="10"/>
        <v>357.37440567359653</v>
      </c>
      <c r="AP23" s="11">
        <f>Z22-((L23-(O23-O22))*Z22/L23)</f>
        <v>135.93428313994082</v>
      </c>
      <c r="AQ23">
        <f>Z23-((L23-O23)*Z23/L23)</f>
        <v>9989.3263999242918</v>
      </c>
      <c r="AR23" s="3">
        <f>AP23+AQ23</f>
        <v>10125.260683064233</v>
      </c>
    </row>
    <row r="24" spans="1:45" s="109" customFormat="1" x14ac:dyDescent="0.2">
      <c r="A24" s="109" t="s">
        <v>56</v>
      </c>
      <c r="B24" s="109">
        <v>15</v>
      </c>
      <c r="C24" s="109">
        <v>15</v>
      </c>
      <c r="D24" s="110"/>
      <c r="E24" s="110">
        <f>[10]noerr!C20</f>
        <v>34.017907000000001</v>
      </c>
      <c r="F24" s="110">
        <f>[10]noerr!D20</f>
        <v>5.33E-2</v>
      </c>
      <c r="G24" s="110">
        <f>[10]noerr!E20</f>
        <v>36.738858</v>
      </c>
      <c r="H24" s="110">
        <f>[10]noerr!F20</f>
        <v>0.242587</v>
      </c>
      <c r="I24" s="110">
        <f>[10]noerr!G20</f>
        <v>555.92570699999999</v>
      </c>
      <c r="J24" s="110">
        <f>[10]noerr!H20</f>
        <v>306.97020800000001</v>
      </c>
      <c r="K24" s="110">
        <f>[10]noerr!I20</f>
        <v>400002.94725000003</v>
      </c>
      <c r="L24" s="33">
        <f>[10]noerr!J20</f>
        <v>15605.774717</v>
      </c>
      <c r="M24" s="110">
        <f>[10]noerr!K20</f>
        <v>400002.94725000003</v>
      </c>
      <c r="N24" s="110">
        <f>[10]noerr!L20</f>
        <v>36.738858</v>
      </c>
      <c r="O24" s="33">
        <f>[10]noerr!M20</f>
        <v>0</v>
      </c>
      <c r="P24" s="110">
        <f>[10]noerr!N20</f>
        <v>36.282648000000002</v>
      </c>
      <c r="Q24" s="110">
        <f>[10]noerr!O20</f>
        <v>35.556995000000001</v>
      </c>
      <c r="R24" s="11">
        <f>[10]noerr!P20</f>
        <v>15605.774717</v>
      </c>
      <c r="S24" s="11">
        <f>[10]noerr!Q20</f>
        <v>15293.659222</v>
      </c>
      <c r="T24" s="110">
        <f>[10]noerr!R20</f>
        <v>134.86024499999999</v>
      </c>
      <c r="U24" s="110">
        <f>[10]noerr!S20</f>
        <v>137.612495</v>
      </c>
      <c r="V24" s="110">
        <f>[10]noerr!T20</f>
        <v>36.738858</v>
      </c>
      <c r="W24" s="110">
        <f>[10]noerr!U20</f>
        <v>37.488630999999998</v>
      </c>
      <c r="X24" s="111">
        <f>[10]noerr!V20</f>
        <v>0</v>
      </c>
      <c r="Y24" s="110">
        <f>[10]noerr!W20</f>
        <v>0.74977300000000002</v>
      </c>
      <c r="Z24" s="33">
        <f>[10]noerr!X20</f>
        <v>400002.94725000003</v>
      </c>
      <c r="AA24" s="110">
        <f>[10]noerr!Y20</f>
        <v>400002.94725000003</v>
      </c>
      <c r="AB24" s="110">
        <f>[10]noerr!Z20</f>
        <v>392002.88830499997</v>
      </c>
      <c r="AC24" s="109">
        <f t="shared" si="1"/>
        <v>0</v>
      </c>
      <c r="AD24" s="112">
        <f t="shared" si="2"/>
        <v>0.74977300000000002</v>
      </c>
      <c r="AE24" s="109">
        <f t="shared" si="3"/>
        <v>20098.1151288</v>
      </c>
      <c r="AF24" s="113">
        <f>AE24*$AF$6/$AE$6</f>
        <v>707.23293873508476</v>
      </c>
      <c r="AG24" s="114">
        <f t="shared" si="0"/>
        <v>2.7522534536504679</v>
      </c>
      <c r="AH24" s="114">
        <f t="shared" si="4"/>
        <v>73775.805177172995</v>
      </c>
      <c r="AI24" s="115">
        <f t="shared" si="9"/>
        <v>939.10284672887178</v>
      </c>
      <c r="AJ24" s="31">
        <f>(K24-AA24)</f>
        <v>0</v>
      </c>
      <c r="AK24" s="113">
        <f t="shared" si="5"/>
        <v>8000.0589450000552</v>
      </c>
      <c r="AL24" s="116">
        <f t="shared" si="6"/>
        <v>8000.0589450000552</v>
      </c>
      <c r="AM24" s="117">
        <f t="shared" si="7"/>
        <v>59568.438904470415</v>
      </c>
      <c r="AN24" s="113">
        <f t="shared" si="10"/>
        <v>282.3647112821015</v>
      </c>
      <c r="AP24" s="110"/>
    </row>
    <row r="25" spans="1:45" x14ac:dyDescent="0.2">
      <c r="C25" s="34">
        <f>C24+$J$1</f>
        <v>24</v>
      </c>
      <c r="E25" s="3">
        <f>[10]noerr!C21</f>
        <v>43.176000999999999</v>
      </c>
      <c r="F25" s="3">
        <f>[10]noerr!D21</f>
        <v>8.7300000000000003E-2</v>
      </c>
      <c r="G25" s="3">
        <f>[10]noerr!E21</f>
        <v>36.738858</v>
      </c>
      <c r="H25" s="3">
        <f>[10]noerr!F21</f>
        <v>0.242587</v>
      </c>
      <c r="I25" s="3">
        <f>[10]noerr!G21</f>
        <v>555.92570699999999</v>
      </c>
      <c r="J25" s="3">
        <f>[10]noerr!H21</f>
        <v>310.64339200000001</v>
      </c>
      <c r="K25" s="3">
        <f>[10]noerr!I21</f>
        <v>389864.935918</v>
      </c>
      <c r="L25" s="33">
        <f>[10]noerr!J21</f>
        <v>15897.11148</v>
      </c>
      <c r="M25" s="3">
        <f>[10]noerr!K21</f>
        <v>400002.94725000003</v>
      </c>
      <c r="N25" s="3">
        <f>[10]noerr!L21</f>
        <v>36.738858</v>
      </c>
      <c r="O25" s="33">
        <f>[10]noerr!M21</f>
        <v>0</v>
      </c>
      <c r="P25" s="3">
        <f>[10]noerr!N21</f>
        <v>35.36307</v>
      </c>
      <c r="Q25" s="3">
        <f>[10]noerr!O21</f>
        <v>34.655808999999998</v>
      </c>
      <c r="R25" s="11">
        <f>[10]noerr!P21</f>
        <v>15897.11148</v>
      </c>
      <c r="S25" s="11">
        <f>[10]noerr!Q21</f>
        <v>15579.169250999999</v>
      </c>
      <c r="T25" s="3">
        <f>[10]noerr!R21</f>
        <v>138.36713900000001</v>
      </c>
      <c r="U25" s="3">
        <f>[10]noerr!S21</f>
        <v>141.19095799999999</v>
      </c>
      <c r="V25" s="3">
        <f>[10]noerr!T21</f>
        <v>37.694212</v>
      </c>
      <c r="W25" s="3">
        <f>[10]noerr!U21</f>
        <v>38.463481999999999</v>
      </c>
      <c r="X25" s="72">
        <f>[10]noerr!V21</f>
        <v>0.95535400000000004</v>
      </c>
      <c r="Y25" s="3">
        <f>[10]noerr!W21</f>
        <v>1.724623</v>
      </c>
      <c r="Z25" s="33">
        <f>[10]noerr!X21</f>
        <v>389864.935918</v>
      </c>
      <c r="AA25" s="3">
        <f>[10]noerr!Y21</f>
        <v>389864.935918</v>
      </c>
      <c r="AB25" s="3">
        <f>[10]noerr!Z21</f>
        <v>382067.63719899999</v>
      </c>
      <c r="AC25">
        <f t="shared" si="1"/>
        <v>25608.837182400002</v>
      </c>
      <c r="AD25" s="20">
        <f t="shared" si="2"/>
        <v>2.6799770000000001</v>
      </c>
      <c r="AE25">
        <f t="shared" si="3"/>
        <v>71838.391471200011</v>
      </c>
      <c r="AF25" s="31">
        <f t="shared" si="8"/>
        <v>2527.9224638022924</v>
      </c>
      <c r="AG25" s="102">
        <f t="shared" si="0"/>
        <v>9.8376121225408326</v>
      </c>
      <c r="AH25" s="102">
        <f t="shared" si="4"/>
        <v>263703.09551198059</v>
      </c>
      <c r="AI25" s="32">
        <f t="shared" si="9"/>
        <v>3356.7146721312943</v>
      </c>
      <c r="AJ25" s="31">
        <f>K24-AA25</f>
        <v>10138.011332000024</v>
      </c>
      <c r="AK25" s="113">
        <f t="shared" si="5"/>
        <v>7797.2987190000131</v>
      </c>
      <c r="AL25" s="38">
        <f t="shared" si="6"/>
        <v>17935.310051000037</v>
      </c>
      <c r="AM25" s="26">
        <f t="shared" si="7"/>
        <v>133546.31863974629</v>
      </c>
      <c r="AN25" s="31">
        <f t="shared" si="10"/>
        <v>633.03266627438131</v>
      </c>
      <c r="AP25" s="131">
        <f>Z24-Z25</f>
        <v>10138.011332000024</v>
      </c>
      <c r="AQ25">
        <f>Z25-((L25-L25*$AQ$1)*Z25/L25)</f>
        <v>7797.2987183599616</v>
      </c>
      <c r="AR25" s="3">
        <f>AP25+AQ25</f>
        <v>17935.310050359985</v>
      </c>
      <c r="AS25" s="3"/>
    </row>
    <row r="26" spans="1:45" s="109" customFormat="1" x14ac:dyDescent="0.2">
      <c r="B26" s="109">
        <v>20</v>
      </c>
      <c r="C26" s="109">
        <v>20</v>
      </c>
      <c r="D26" s="110"/>
      <c r="E26" s="110">
        <f>[10]noerr!C22</f>
        <v>39.000863000000003</v>
      </c>
      <c r="F26" s="110">
        <f>[10]noerr!D22</f>
        <v>7.0000000000000007E-2</v>
      </c>
      <c r="G26" s="110">
        <f>[10]noerr!E22</f>
        <v>37.059556000000001</v>
      </c>
      <c r="H26" s="110">
        <f>[10]noerr!F22</f>
        <v>0.248836</v>
      </c>
      <c r="I26" s="110">
        <f>[10]noerr!G22</f>
        <v>546.66390100000001</v>
      </c>
      <c r="J26" s="110">
        <f>[10]noerr!H22</f>
        <v>313.28258299999999</v>
      </c>
      <c r="K26" s="110">
        <f>[10]noerr!I22</f>
        <v>400002.40033500001</v>
      </c>
      <c r="L26" s="33">
        <f>[10]noerr!J22</f>
        <v>15986.989302</v>
      </c>
      <c r="M26" s="110">
        <f>[10]noerr!K22</f>
        <v>400002.40033500001</v>
      </c>
      <c r="N26" s="110">
        <f>[10]noerr!L22</f>
        <v>37.059556000000001</v>
      </c>
      <c r="O26" s="33">
        <f>[10]noerr!M22</f>
        <v>0</v>
      </c>
      <c r="P26" s="110">
        <f>[10]noerr!N22</f>
        <v>35.968623999999998</v>
      </c>
      <c r="Q26" s="110">
        <f>[10]noerr!O22</f>
        <v>35.249251999999998</v>
      </c>
      <c r="R26" s="11">
        <f>[10]noerr!P22</f>
        <v>15986.989302</v>
      </c>
      <c r="S26" s="11">
        <f>[10]noerr!Q22</f>
        <v>15667.249516</v>
      </c>
      <c r="T26" s="110">
        <f>[10]noerr!R22</f>
        <v>136.029842</v>
      </c>
      <c r="U26" s="110">
        <f>[10]noerr!S22</f>
        <v>138.805961</v>
      </c>
      <c r="V26" s="110">
        <f>[10]noerr!T22</f>
        <v>37.059556000000001</v>
      </c>
      <c r="W26" s="110">
        <f>[10]noerr!U22</f>
        <v>37.815873000000003</v>
      </c>
      <c r="X26" s="111">
        <f>[10]noerr!V22</f>
        <v>0</v>
      </c>
      <c r="Y26" s="110">
        <f>[10]noerr!W22</f>
        <v>0.75631700000000002</v>
      </c>
      <c r="Z26" s="33">
        <f>[10]noerr!X22</f>
        <v>400002.40033500001</v>
      </c>
      <c r="AA26" s="110">
        <f>[10]noerr!Y22</f>
        <v>400002.40033500001</v>
      </c>
      <c r="AB26" s="110">
        <f>[10]noerr!Z22</f>
        <v>392002.35232800001</v>
      </c>
      <c r="AC26" s="109">
        <f t="shared" si="1"/>
        <v>0</v>
      </c>
      <c r="AD26" s="112">
        <f t="shared" si="2"/>
        <v>0.75631700000000002</v>
      </c>
      <c r="AE26" s="109">
        <f t="shared" si="3"/>
        <v>20273.530975199999</v>
      </c>
      <c r="AF26" s="113">
        <f t="shared" si="8"/>
        <v>713.40565014384754</v>
      </c>
      <c r="AG26" s="114">
        <f t="shared" si="0"/>
        <v>2.7761137560438556</v>
      </c>
      <c r="AH26" s="114">
        <f t="shared" si="4"/>
        <v>74415.394899009174</v>
      </c>
      <c r="AI26" s="115">
        <f t="shared" si="9"/>
        <v>947.24427638961811</v>
      </c>
      <c r="AJ26" s="31">
        <f>(K26-AA26)</f>
        <v>0</v>
      </c>
      <c r="AK26" s="113">
        <f t="shared" si="5"/>
        <v>8000.0480070000049</v>
      </c>
      <c r="AL26" s="116">
        <f t="shared" si="6"/>
        <v>8000.0480070000049</v>
      </c>
      <c r="AM26" s="117">
        <f t="shared" si="7"/>
        <v>59568.357460122046</v>
      </c>
      <c r="AN26" s="113">
        <f t="shared" si="10"/>
        <v>282.3643252217928</v>
      </c>
      <c r="AP26" s="110"/>
    </row>
    <row r="27" spans="1:45" x14ac:dyDescent="0.2">
      <c r="B27"/>
      <c r="C27" s="34">
        <f>C26+$J$1</f>
        <v>29</v>
      </c>
      <c r="E27" s="3">
        <f>[10]noerr!C23</f>
        <v>48.041918000000003</v>
      </c>
      <c r="F27" s="3">
        <f>[10]noerr!D23</f>
        <v>0.112</v>
      </c>
      <c r="G27" s="3">
        <f>[10]noerr!E23</f>
        <v>37.059556000000001</v>
      </c>
      <c r="H27" s="3">
        <f>[10]noerr!F23</f>
        <v>0.248836</v>
      </c>
      <c r="I27" s="3">
        <f>[10]noerr!G23</f>
        <v>546.66390100000001</v>
      </c>
      <c r="J27" s="3">
        <f>[10]noerr!H23</f>
        <v>317.00793399999998</v>
      </c>
      <c r="K27" s="3">
        <f>[10]noerr!I23</f>
        <v>389889.91100899997</v>
      </c>
      <c r="L27" s="33">
        <f>[10]noerr!J23</f>
        <v>16271.434621</v>
      </c>
      <c r="M27" s="3">
        <f>[10]noerr!K23</f>
        <v>400002.40033500001</v>
      </c>
      <c r="N27" s="3">
        <f>[10]noerr!L23</f>
        <v>37.059556000000001</v>
      </c>
      <c r="O27" s="33">
        <f>[10]noerr!M23</f>
        <v>0</v>
      </c>
      <c r="P27" s="3">
        <f>[10]noerr!N23</f>
        <v>35.059299000000003</v>
      </c>
      <c r="Q27" s="3">
        <f>[10]noerr!O23</f>
        <v>34.358113000000003</v>
      </c>
      <c r="R27" s="11">
        <f>[10]noerr!P23</f>
        <v>16271.434621</v>
      </c>
      <c r="S27" s="11">
        <f>[10]noerr!Q23</f>
        <v>15946.005928</v>
      </c>
      <c r="T27" s="3">
        <f>[10]noerr!R23</f>
        <v>139.558018</v>
      </c>
      <c r="U27" s="3">
        <f>[10]noerr!S23</f>
        <v>142.40614099999999</v>
      </c>
      <c r="V27" s="3">
        <f>[10]noerr!T23</f>
        <v>38.020761</v>
      </c>
      <c r="W27" s="3">
        <f>[10]noerr!U23</f>
        <v>38.796695</v>
      </c>
      <c r="X27" s="72">
        <f>[10]noerr!V23</f>
        <v>0.961206</v>
      </c>
      <c r="Y27" s="3">
        <f>[10]noerr!W23</f>
        <v>1.737139</v>
      </c>
      <c r="Z27" s="33">
        <f>[10]noerr!X23</f>
        <v>389889.91100899997</v>
      </c>
      <c r="AA27" s="3">
        <f>[10]noerr!Y23</f>
        <v>389889.91100899997</v>
      </c>
      <c r="AB27" s="3">
        <f>[10]noerr!Z23</f>
        <v>382092.11278800003</v>
      </c>
      <c r="AC27">
        <f t="shared" si="1"/>
        <v>25765.7035536</v>
      </c>
      <c r="AD27" s="20">
        <f t="shared" si="2"/>
        <v>2.6983449999999998</v>
      </c>
      <c r="AE27">
        <f t="shared" si="3"/>
        <v>72330.756731999994</v>
      </c>
      <c r="AF27" s="31">
        <f t="shared" si="8"/>
        <v>2545.2483139178416</v>
      </c>
      <c r="AG27" s="102">
        <f t="shared" si="0"/>
        <v>9.9044615856210214</v>
      </c>
      <c r="AH27" s="102">
        <f t="shared" si="4"/>
        <v>265495.03547952283</v>
      </c>
      <c r="AI27" s="32">
        <f t="shared" si="9"/>
        <v>3379.5245339910857</v>
      </c>
      <c r="AJ27" s="31">
        <f>K26-AA27</f>
        <v>10112.489326000039</v>
      </c>
      <c r="AK27" s="113">
        <f t="shared" si="5"/>
        <v>7797.7982209999464</v>
      </c>
      <c r="AL27" s="38">
        <f t="shared" si="6"/>
        <v>17910.287546999985</v>
      </c>
      <c r="AM27" s="26">
        <f t="shared" si="7"/>
        <v>133360.00107496188</v>
      </c>
      <c r="AN27" s="31">
        <f t="shared" si="10"/>
        <v>632.14948876705228</v>
      </c>
      <c r="AP27" s="131">
        <f>Z26-Z27</f>
        <v>10112.489326000039</v>
      </c>
      <c r="AQ27">
        <f>Z27-((L27-L27*$AQ$1)*Z27/L27)</f>
        <v>7797.7982201800332</v>
      </c>
      <c r="AR27" s="3">
        <f>AP27+AQ27</f>
        <v>17910.287546180072</v>
      </c>
      <c r="AS27" s="3">
        <f>AR27+(Z22-Z26)</f>
        <v>17908.516310180072</v>
      </c>
    </row>
    <row r="28" spans="1:45" s="109" customFormat="1" x14ac:dyDescent="0.2">
      <c r="B28" s="118">
        <v>25</v>
      </c>
      <c r="C28" s="109">
        <v>25</v>
      </c>
      <c r="D28" s="110"/>
      <c r="E28" s="110">
        <f>[10]noerr!C24</f>
        <v>44.080796999999997</v>
      </c>
      <c r="F28" s="110">
        <f>[10]noerr!D24</f>
        <v>9.1499999999999998E-2</v>
      </c>
      <c r="G28" s="110">
        <f>[10]noerr!E24</f>
        <v>37.406260000000003</v>
      </c>
      <c r="H28" s="110">
        <f>[10]noerr!F24</f>
        <v>0.25541900000000001</v>
      </c>
      <c r="I28" s="110">
        <f>[10]noerr!G24</f>
        <v>537.52705200000003</v>
      </c>
      <c r="J28" s="110">
        <f>[10]noerr!H24</f>
        <v>319.91353400000003</v>
      </c>
      <c r="K28" s="110">
        <f>[10]noerr!I24</f>
        <v>400002.286632</v>
      </c>
      <c r="L28" s="33">
        <f>[10]noerr!J24</f>
        <v>16381.136799</v>
      </c>
      <c r="M28" s="110">
        <f>[10]noerr!K24</f>
        <v>400002.286632</v>
      </c>
      <c r="N28" s="110">
        <f>[10]noerr!L24</f>
        <v>37.406260000000003</v>
      </c>
      <c r="O28" s="33">
        <f>[10]noerr!M24</f>
        <v>0</v>
      </c>
      <c r="P28" s="110">
        <f>[10]noerr!N24</f>
        <v>35.635235000000002</v>
      </c>
      <c r="Q28" s="110">
        <f>[10]noerr!O24</f>
        <v>34.922530000000002</v>
      </c>
      <c r="R28" s="11">
        <f>[10]noerr!P24</f>
        <v>16381.136799</v>
      </c>
      <c r="S28" s="11">
        <f>[10]noerr!Q24</f>
        <v>16053.514063000001</v>
      </c>
      <c r="T28" s="110">
        <f>[10]noerr!R24</f>
        <v>137.29460599999999</v>
      </c>
      <c r="U28" s="110">
        <f>[10]noerr!S24</f>
        <v>140.09653700000001</v>
      </c>
      <c r="V28" s="110">
        <f>[10]noerr!T24</f>
        <v>37.406260000000003</v>
      </c>
      <c r="W28" s="110">
        <f>[10]noerr!U24</f>
        <v>38.169652999999997</v>
      </c>
      <c r="X28" s="111">
        <f>[10]noerr!V24</f>
        <v>0</v>
      </c>
      <c r="Y28" s="110">
        <f>[10]noerr!W24</f>
        <v>0.76339299999999999</v>
      </c>
      <c r="Z28" s="33">
        <f>[10]noerr!X24</f>
        <v>400002.286632</v>
      </c>
      <c r="AA28" s="110">
        <f>[10]noerr!Y24</f>
        <v>400002.286632</v>
      </c>
      <c r="AB28" s="110">
        <f>[10]noerr!Z24</f>
        <v>392002.24089999998</v>
      </c>
      <c r="AC28" s="109">
        <f t="shared" si="1"/>
        <v>0</v>
      </c>
      <c r="AD28" s="112">
        <f t="shared" si="2"/>
        <v>0.76339299999999999</v>
      </c>
      <c r="AE28" s="109">
        <f t="shared" si="3"/>
        <v>20463.207400799998</v>
      </c>
      <c r="AF28" s="113">
        <f t="shared" si="8"/>
        <v>720.08017733339625</v>
      </c>
      <c r="AG28" s="114">
        <f t="shared" si="0"/>
        <v>2.8019308384427291</v>
      </c>
      <c r="AH28" s="114">
        <f t="shared" si="4"/>
        <v>75107.437282960425</v>
      </c>
      <c r="AI28" s="115">
        <f t="shared" si="9"/>
        <v>956.05338353883747</v>
      </c>
      <c r="AJ28" s="31">
        <f>(K28-AA28)</f>
        <v>0</v>
      </c>
      <c r="AK28" s="113">
        <f t="shared" si="5"/>
        <v>8000.0457320000278</v>
      </c>
      <c r="AL28" s="116">
        <f t="shared" si="6"/>
        <v>8000.0457320000278</v>
      </c>
      <c r="AM28" s="117">
        <f t="shared" si="7"/>
        <v>59568.340520472215</v>
      </c>
      <c r="AN28" s="113">
        <f t="shared" si="10"/>
        <v>282.36424492492046</v>
      </c>
      <c r="AP28" s="110"/>
    </row>
    <row r="29" spans="1:45" x14ac:dyDescent="0.2">
      <c r="C29" s="34">
        <f>C28+$J$1</f>
        <v>34</v>
      </c>
      <c r="E29" s="3">
        <f>[10]noerr!C25</f>
        <v>53.055214999999997</v>
      </c>
      <c r="F29" s="3">
        <f>[10]noerr!D25</f>
        <v>0.14349999999999999</v>
      </c>
      <c r="G29" s="3">
        <f>[10]noerr!E25</f>
        <v>37.406260000000003</v>
      </c>
      <c r="H29" s="3">
        <f>[10]noerr!F25</f>
        <v>0.25541900000000001</v>
      </c>
      <c r="I29" s="3">
        <f>[10]noerr!G25</f>
        <v>537.52705200000003</v>
      </c>
      <c r="J29" s="3">
        <f>[10]noerr!H25</f>
        <v>319.999999</v>
      </c>
      <c r="K29" s="3">
        <f>[10]noerr!I25</f>
        <v>385378.35288399999</v>
      </c>
      <c r="L29" s="33">
        <f>[10]noerr!J25</f>
        <v>16470.067966999999</v>
      </c>
      <c r="M29" s="3">
        <f>[10]noerr!K25</f>
        <v>400002.286632</v>
      </c>
      <c r="N29" s="3">
        <f>[10]noerr!L25</f>
        <v>37.406260000000003</v>
      </c>
      <c r="O29" s="33">
        <f>[10]noerr!M25</f>
        <v>0</v>
      </c>
      <c r="P29" s="3">
        <f>[10]noerr!N25</f>
        <v>34.332424000000003</v>
      </c>
      <c r="Q29" s="3">
        <f>[10]noerr!O25</f>
        <v>33.645775999999998</v>
      </c>
      <c r="R29" s="11">
        <f>[10]noerr!P25</f>
        <v>16470.067966999999</v>
      </c>
      <c r="S29" s="11">
        <f>[10]noerr!Q25</f>
        <v>16140.666608</v>
      </c>
      <c r="T29" s="3">
        <f>[10]noerr!R25</f>
        <v>142.50451799999999</v>
      </c>
      <c r="U29" s="3">
        <f>[10]noerr!S25</f>
        <v>145.41277299999999</v>
      </c>
      <c r="V29" s="3">
        <f>[10]noerr!T25</f>
        <v>38.825713</v>
      </c>
      <c r="W29" s="3">
        <f>[10]noerr!U25</f>
        <v>39.618074999999997</v>
      </c>
      <c r="X29" s="72">
        <f>[10]noerr!V25</f>
        <v>1.419454</v>
      </c>
      <c r="Y29" s="3">
        <f>[10]noerr!W25</f>
        <v>2.2118150000000001</v>
      </c>
      <c r="Z29" s="33">
        <f>[10]noerr!X25</f>
        <v>385378.35288399999</v>
      </c>
      <c r="AA29" s="3">
        <f>[10]noerr!Y25</f>
        <v>385378.35288399999</v>
      </c>
      <c r="AB29" s="3">
        <f>[10]noerr!Z25</f>
        <v>377670.78582599998</v>
      </c>
      <c r="AC29">
        <f t="shared" si="1"/>
        <v>38049.316142399999</v>
      </c>
      <c r="AD29" s="20">
        <f t="shared" si="2"/>
        <v>3.6312690000000001</v>
      </c>
      <c r="AE29">
        <f>AD29*3600*$AG$1/1000</f>
        <v>97338.344306400002</v>
      </c>
      <c r="AF29" s="31">
        <f t="shared" si="8"/>
        <v>3425.2407678158756</v>
      </c>
      <c r="AG29" s="102">
        <f t="shared" si="0"/>
        <v>13.328082119931764</v>
      </c>
      <c r="AH29" s="102">
        <f t="shared" si="4"/>
        <v>357267.23807404289</v>
      </c>
      <c r="AI29" s="32">
        <f t="shared" si="9"/>
        <v>4547.7061146613651</v>
      </c>
      <c r="AJ29" s="31">
        <f>K28-AA29</f>
        <v>14623.93374800001</v>
      </c>
      <c r="AK29" s="113">
        <f t="shared" si="5"/>
        <v>7707.5670580000151</v>
      </c>
      <c r="AL29" s="38">
        <f>AK29+AJ29</f>
        <v>22331.500806000025</v>
      </c>
      <c r="AM29" s="26">
        <f t="shared" si="7"/>
        <v>166280.35500147619</v>
      </c>
      <c r="AN29" s="31">
        <f t="shared" si="10"/>
        <v>788.19766465885334</v>
      </c>
      <c r="AP29" s="131">
        <f>Z28-Z29</f>
        <v>14623.93374800001</v>
      </c>
      <c r="AQ29">
        <f>Z29-((L29-L29*$AQ$1)*Z29/L29)</f>
        <v>7707.5670576799894</v>
      </c>
      <c r="AR29" s="3">
        <f>AP29+AQ29</f>
        <v>22331.50080568</v>
      </c>
      <c r="AS29" s="3">
        <f>AR29+(Z24-Z28)</f>
        <v>22332.161423680023</v>
      </c>
    </row>
    <row r="30" spans="1:45" x14ac:dyDescent="0.2">
      <c r="AS30" s="3">
        <f>AR30+(Z25-Z29)</f>
        <v>4486.5830340000102</v>
      </c>
    </row>
    <row r="31" spans="1:45" x14ac:dyDescent="0.2">
      <c r="AP31" s="134" t="s">
        <v>102</v>
      </c>
      <c r="AQ31" s="132"/>
      <c r="AR31" s="1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L4" zoomScale="150" zoomScaleNormal="150" workbookViewId="0">
      <selection activeCell="AS27" sqref="AS27"/>
    </sheetView>
  </sheetViews>
  <sheetFormatPr baseColWidth="10" defaultColWidth="8.83203125" defaultRowHeight="15" x14ac:dyDescent="0.2"/>
  <cols>
    <col min="2" max="2" width="9.1640625" style="10" customWidth="1"/>
    <col min="3" max="3" width="10.5" customWidth="1"/>
    <col min="4" max="4" width="11.83203125" style="3" hidden="1" customWidth="1"/>
    <col min="5" max="6" width="10.83203125" style="3" hidden="1" customWidth="1"/>
    <col min="7" max="7" width="10" style="34" hidden="1" customWidth="1"/>
    <col min="8" max="8" width="8.5" style="3" hidden="1" customWidth="1"/>
    <col min="9" max="9" width="8.5" style="34" hidden="1" customWidth="1"/>
    <col min="10" max="10" width="16.33203125" style="34" hidden="1" customWidth="1"/>
    <col min="11" max="11" width="10" style="34" customWidth="1"/>
    <col min="12" max="12" width="16.33203125" style="34" customWidth="1"/>
    <col min="13" max="13" width="9.1640625" style="3" customWidth="1"/>
    <col min="14" max="14" width="12" style="3" hidden="1" customWidth="1"/>
    <col min="15" max="15" width="16.33203125" style="42" customWidth="1"/>
    <col min="16" max="16" width="14.83203125" style="34" hidden="1" customWidth="1"/>
    <col min="17" max="17" width="21.1640625" style="39" hidden="1" customWidth="1"/>
    <col min="18" max="18" width="15.6640625" style="34" hidden="1" customWidth="1"/>
    <col min="19" max="19" width="20.33203125" style="3" hidden="1" customWidth="1"/>
    <col min="20" max="20" width="14.1640625" style="17" hidden="1" customWidth="1"/>
    <col min="21" max="21" width="21" style="3" hidden="1" customWidth="1"/>
    <col min="22" max="22" width="11.33203125" style="20" hidden="1" customWidth="1"/>
    <col min="23" max="23" width="18" style="23" hidden="1" customWidth="1"/>
    <col min="24" max="24" width="12.33203125" style="72" hidden="1" customWidth="1"/>
    <col min="25" max="25" width="19" style="20" hidden="1" customWidth="1"/>
    <col min="26" max="26" width="11.6640625" style="20" customWidth="1"/>
    <col min="27" max="28" width="20" style="3" customWidth="1"/>
    <col min="29" max="29" width="12.6640625" style="20" hidden="1" customWidth="1"/>
    <col min="30" max="30" width="10.83203125" style="20" hidden="1" customWidth="1"/>
    <col min="31" max="31" width="10.83203125" hidden="1" customWidth="1"/>
    <col min="32" max="32" width="8.6640625" style="31" hidden="1" customWidth="1"/>
    <col min="33" max="34" width="18.1640625" style="102" hidden="1" customWidth="1"/>
    <col min="35" max="35" width="18" style="32" hidden="1" customWidth="1"/>
    <col min="36" max="37" width="18" style="31" customWidth="1"/>
    <col min="39" max="39" width="12" hidden="1" customWidth="1"/>
    <col min="40" max="40" width="8.6640625" style="31" hidden="1" customWidth="1"/>
  </cols>
  <sheetData>
    <row r="1" spans="1:45" ht="16" x14ac:dyDescent="0.2">
      <c r="B1" s="8"/>
      <c r="C1" s="19" t="s">
        <v>19</v>
      </c>
      <c r="D1" s="33">
        <v>30</v>
      </c>
      <c r="F1" s="11"/>
      <c r="G1" s="38"/>
      <c r="I1" s="37" t="s">
        <v>21</v>
      </c>
      <c r="J1" s="37">
        <v>11</v>
      </c>
      <c r="L1" s="34" t="s">
        <v>96</v>
      </c>
      <c r="O1" s="34" t="s">
        <v>97</v>
      </c>
      <c r="AC1" s="46"/>
      <c r="AD1" s="26"/>
      <c r="AE1" t="s">
        <v>39</v>
      </c>
      <c r="AG1" s="102">
        <f>365*24*0.85</f>
        <v>7446</v>
      </c>
      <c r="AQ1">
        <v>0.02</v>
      </c>
    </row>
    <row r="2" spans="1:45" x14ac:dyDescent="0.2">
      <c r="B2" s="9"/>
      <c r="L2" s="34" t="s">
        <v>99</v>
      </c>
      <c r="O2" s="42" t="s">
        <v>98</v>
      </c>
      <c r="P2" s="34" t="s">
        <v>22</v>
      </c>
      <c r="AC2" s="47"/>
      <c r="AD2" s="27"/>
      <c r="AG2" s="103"/>
    </row>
    <row r="3" spans="1:45" s="1" customFormat="1" ht="16" x14ac:dyDescent="0.2">
      <c r="B3" s="12" t="s">
        <v>9</v>
      </c>
      <c r="C3" s="2" t="s">
        <v>0</v>
      </c>
      <c r="D3" s="4" t="s">
        <v>1</v>
      </c>
      <c r="E3" s="4" t="s">
        <v>2</v>
      </c>
      <c r="F3" s="4" t="s">
        <v>3</v>
      </c>
      <c r="G3" s="35" t="s">
        <v>18</v>
      </c>
      <c r="H3" s="16" t="s">
        <v>16</v>
      </c>
      <c r="I3" s="35" t="s">
        <v>17</v>
      </c>
      <c r="J3" s="35" t="s">
        <v>23</v>
      </c>
      <c r="K3" s="35" t="s">
        <v>24</v>
      </c>
      <c r="L3" s="125" t="s">
        <v>25</v>
      </c>
      <c r="M3" s="16" t="s">
        <v>34</v>
      </c>
      <c r="N3" s="16" t="s">
        <v>35</v>
      </c>
      <c r="O3" s="122" t="s">
        <v>36</v>
      </c>
      <c r="P3" s="4" t="s">
        <v>11</v>
      </c>
      <c r="Q3" s="4" t="s">
        <v>26</v>
      </c>
      <c r="R3" s="126" t="s">
        <v>12</v>
      </c>
      <c r="S3" s="40" t="s">
        <v>27</v>
      </c>
      <c r="T3" s="40" t="s">
        <v>13</v>
      </c>
      <c r="U3" s="40" t="s">
        <v>28</v>
      </c>
      <c r="V3" s="22" t="s">
        <v>14</v>
      </c>
      <c r="W3" s="22" t="s">
        <v>29</v>
      </c>
      <c r="X3" s="99" t="s">
        <v>15</v>
      </c>
      <c r="Y3" s="22" t="s">
        <v>30</v>
      </c>
      <c r="Z3" s="119" t="s">
        <v>31</v>
      </c>
      <c r="AA3" s="5" t="s">
        <v>32</v>
      </c>
      <c r="AB3" s="5" t="s">
        <v>33</v>
      </c>
      <c r="AC3" s="24" t="s">
        <v>43</v>
      </c>
      <c r="AD3" s="24" t="s">
        <v>44</v>
      </c>
      <c r="AE3" s="24" t="s">
        <v>37</v>
      </c>
      <c r="AF3" s="51"/>
      <c r="AG3" s="50" t="s">
        <v>41</v>
      </c>
      <c r="AH3" s="50" t="s">
        <v>41</v>
      </c>
      <c r="AI3" s="106" t="s">
        <v>41</v>
      </c>
      <c r="AJ3" s="51" t="s">
        <v>94</v>
      </c>
      <c r="AK3" s="51" t="s">
        <v>95</v>
      </c>
      <c r="AL3" s="14" t="s">
        <v>45</v>
      </c>
      <c r="AM3" s="14" t="s">
        <v>42</v>
      </c>
      <c r="AN3" s="51"/>
      <c r="AP3" s="51" t="s">
        <v>94</v>
      </c>
      <c r="AQ3" s="51" t="s">
        <v>95</v>
      </c>
      <c r="AR3" s="14" t="s">
        <v>45</v>
      </c>
      <c r="AS3" s="14" t="s">
        <v>103</v>
      </c>
    </row>
    <row r="4" spans="1:45" s="1" customFormat="1" ht="16" x14ac:dyDescent="0.2">
      <c r="B4" s="13" t="s">
        <v>4</v>
      </c>
      <c r="C4" s="2" t="s">
        <v>4</v>
      </c>
      <c r="D4" s="4" t="s">
        <v>4</v>
      </c>
      <c r="E4" s="4" t="s">
        <v>4</v>
      </c>
      <c r="F4" s="4" t="s">
        <v>5</v>
      </c>
      <c r="G4" s="36" t="s">
        <v>6</v>
      </c>
      <c r="H4" s="16" t="s">
        <v>7</v>
      </c>
      <c r="I4" s="36" t="s">
        <v>6</v>
      </c>
      <c r="J4" s="36" t="s">
        <v>6</v>
      </c>
      <c r="K4" s="35" t="s">
        <v>10</v>
      </c>
      <c r="L4" s="123" t="s">
        <v>6</v>
      </c>
      <c r="M4" s="35" t="s">
        <v>10</v>
      </c>
      <c r="N4" s="36" t="s">
        <v>6</v>
      </c>
      <c r="O4" s="123" t="s">
        <v>6</v>
      </c>
      <c r="P4" s="4" t="s">
        <v>7</v>
      </c>
      <c r="Q4" s="4" t="s">
        <v>7</v>
      </c>
      <c r="R4" s="126" t="s">
        <v>6</v>
      </c>
      <c r="S4" s="40" t="s">
        <v>6</v>
      </c>
      <c r="T4" s="36" t="s">
        <v>6</v>
      </c>
      <c r="U4" s="36" t="s">
        <v>6</v>
      </c>
      <c r="V4" s="21" t="s">
        <v>6</v>
      </c>
      <c r="W4" s="22" t="s">
        <v>6</v>
      </c>
      <c r="X4" s="100" t="s">
        <v>6</v>
      </c>
      <c r="Y4" s="22" t="s">
        <v>6</v>
      </c>
      <c r="Z4" s="120" t="s">
        <v>10</v>
      </c>
      <c r="AA4" s="4" t="s">
        <v>10</v>
      </c>
      <c r="AB4" s="4" t="s">
        <v>10</v>
      </c>
      <c r="AC4" s="21" t="s">
        <v>40</v>
      </c>
      <c r="AD4" s="21" t="s">
        <v>38</v>
      </c>
      <c r="AE4" s="21" t="s">
        <v>40</v>
      </c>
      <c r="AF4" s="52"/>
      <c r="AG4" s="104" t="s">
        <v>38</v>
      </c>
      <c r="AH4" s="104" t="s">
        <v>40</v>
      </c>
      <c r="AI4" s="107" t="s">
        <v>46</v>
      </c>
      <c r="AJ4" s="52" t="s">
        <v>100</v>
      </c>
      <c r="AK4" s="52" t="s">
        <v>100</v>
      </c>
      <c r="AL4" s="14" t="s">
        <v>10</v>
      </c>
      <c r="AM4" s="48" t="s">
        <v>8</v>
      </c>
      <c r="AN4" s="52" t="s">
        <v>46</v>
      </c>
      <c r="AP4" s="52" t="s">
        <v>101</v>
      </c>
      <c r="AQ4" s="52" t="s">
        <v>101</v>
      </c>
      <c r="AR4" s="14" t="s">
        <v>10</v>
      </c>
    </row>
    <row r="5" spans="1:45" s="1" customFormat="1" ht="16" x14ac:dyDescent="0.2">
      <c r="C5" s="2"/>
      <c r="D5" s="4"/>
      <c r="E5" s="4"/>
      <c r="F5" s="4"/>
      <c r="G5" s="36"/>
      <c r="H5" s="4"/>
      <c r="I5" s="36"/>
      <c r="J5" s="36"/>
      <c r="K5" s="36"/>
      <c r="L5" s="123"/>
      <c r="M5" s="4"/>
      <c r="N5" s="4"/>
      <c r="O5" s="124"/>
      <c r="P5" s="36"/>
      <c r="Q5" s="41"/>
      <c r="R5" s="40"/>
      <c r="S5" s="127"/>
      <c r="T5" s="18"/>
      <c r="U5" s="6"/>
      <c r="V5" s="45"/>
      <c r="W5" s="44"/>
      <c r="X5" s="101"/>
      <c r="Y5" s="25"/>
      <c r="Z5" s="121"/>
      <c r="AA5" s="43"/>
      <c r="AB5" s="43"/>
      <c r="AD5" s="24"/>
      <c r="AF5" s="53"/>
      <c r="AG5" s="105"/>
      <c r="AH5" s="105"/>
      <c r="AI5" s="108"/>
      <c r="AJ5" s="53"/>
      <c r="AK5" s="53"/>
      <c r="AN5" s="53"/>
    </row>
    <row r="6" spans="1:45" s="109" customFormat="1" x14ac:dyDescent="0.2">
      <c r="A6" s="109" t="s">
        <v>49</v>
      </c>
      <c r="B6" s="109">
        <v>15</v>
      </c>
      <c r="C6" s="109">
        <v>15</v>
      </c>
      <c r="D6" s="110"/>
      <c r="E6" s="110">
        <f>[11]noerr!C2</f>
        <v>34.582673</v>
      </c>
      <c r="F6" s="110">
        <f>[11]noerr!D2</f>
        <v>5.5E-2</v>
      </c>
      <c r="G6" s="110">
        <f>[11]noerr!E2</f>
        <v>14.88</v>
      </c>
      <c r="H6" s="110">
        <f>[11]noerr!F2</f>
        <v>6.3991000000000006E-2</v>
      </c>
      <c r="I6" s="110">
        <f>[11]noerr!G2</f>
        <v>642.81819299999995</v>
      </c>
      <c r="J6" s="110">
        <f>[11]noerr!H2</f>
        <v>74.317965000000001</v>
      </c>
      <c r="K6" s="110">
        <f>[11]noerr!I2</f>
        <v>400003.82725799998</v>
      </c>
      <c r="L6" s="33">
        <f>[11]noerr!J2</f>
        <v>3511.4253920000001</v>
      </c>
      <c r="M6" s="110">
        <f>[11]noerr!K2</f>
        <v>400003.46425800002</v>
      </c>
      <c r="N6" s="110">
        <f>[11]noerr!L2</f>
        <v>14.879993000000001</v>
      </c>
      <c r="O6" s="33">
        <f>[11]noerr!M2</f>
        <v>89.508579999999995</v>
      </c>
      <c r="P6" s="110">
        <f>[11]noerr!N2</f>
        <v>53.747832000000002</v>
      </c>
      <c r="Q6" s="110">
        <f>[11]noerr!O2</f>
        <v>53.328550999999997</v>
      </c>
      <c r="R6" s="11">
        <f>[11]noerr!P2</f>
        <v>3511.4252980000001</v>
      </c>
      <c r="S6" s="11">
        <f>[11]noerr!Q2</f>
        <v>3421.9168119999999</v>
      </c>
      <c r="T6" s="110">
        <f>[11]noerr!R2</f>
        <v>41.134360999999998</v>
      </c>
      <c r="U6" s="110">
        <f>[11]noerr!S2</f>
        <v>41.457768000000002</v>
      </c>
      <c r="V6" s="110">
        <f>[11]noerr!T2</f>
        <v>14.879986000000001</v>
      </c>
      <c r="W6" s="110">
        <f>[11]noerr!U2</f>
        <v>14.996976</v>
      </c>
      <c r="X6" s="111">
        <f>[11]noerr!V2</f>
        <v>-6.0000000000000002E-6</v>
      </c>
      <c r="Y6" s="110">
        <f>[11]noerr!W2</f>
        <v>0.116983</v>
      </c>
      <c r="Z6" s="33">
        <f>[11]noerr!X2</f>
        <v>122412.912572</v>
      </c>
      <c r="AA6" s="110">
        <f>[11]noerr!Y2</f>
        <v>400003.82398699998</v>
      </c>
      <c r="AB6" s="110">
        <f>[11]noerr!Z2</f>
        <v>396883.44029900001</v>
      </c>
      <c r="AC6" s="109">
        <f>X6*3600*$AG$1/1000</f>
        <v>-0.16083360000000002</v>
      </c>
      <c r="AD6" s="112">
        <f>X6+Y6</f>
        <v>0.116977</v>
      </c>
      <c r="AE6" s="109">
        <f>AD6*3600*$AG$1/1000</f>
        <v>3135.6386711999999</v>
      </c>
      <c r="AF6" s="113">
        <f>100</f>
        <v>100</v>
      </c>
      <c r="AG6" s="114">
        <f t="shared" ref="AG6:AG29" si="0">(H6*I6*(AD6+N6)/N6)-(H6*I6)</f>
        <v>0.32337378426925767</v>
      </c>
      <c r="AH6" s="114">
        <f>AG6*3600*$AG$1/1000</f>
        <v>8668.2283116080125</v>
      </c>
      <c r="AI6" s="115">
        <f>100</f>
        <v>100</v>
      </c>
      <c r="AJ6" s="113">
        <f>(K6-AA6)</f>
        <v>3.2709999941289425E-3</v>
      </c>
      <c r="AK6" s="113">
        <f>(K6-AB6)</f>
        <v>3120.3869589999667</v>
      </c>
      <c r="AL6" s="116">
        <f>AK6+AJ6</f>
        <v>3120.3902299999609</v>
      </c>
      <c r="AM6" s="117">
        <f>AL6/1000*24*365*0.85</f>
        <v>23234.425652579706</v>
      </c>
      <c r="AN6" s="113">
        <f>100</f>
        <v>100</v>
      </c>
      <c r="AP6" s="110"/>
    </row>
    <row r="7" spans="1:45" x14ac:dyDescent="0.2">
      <c r="C7" s="34">
        <f>C6+$J$1</f>
        <v>26</v>
      </c>
      <c r="E7" s="3">
        <f>[11]noerr!C3</f>
        <v>34.582673</v>
      </c>
      <c r="F7" s="3">
        <f>[11]noerr!D3</f>
        <v>5.5E-2</v>
      </c>
      <c r="G7" s="3">
        <f>[11]noerr!E3</f>
        <v>14.88</v>
      </c>
      <c r="H7" s="3">
        <f>[11]noerr!F3</f>
        <v>6.3991000000000006E-2</v>
      </c>
      <c r="I7" s="3">
        <f>[11]noerr!G3</f>
        <v>642.81819299999995</v>
      </c>
      <c r="J7" s="3">
        <f>[11]noerr!H3</f>
        <v>74.317965000000001</v>
      </c>
      <c r="K7" s="3">
        <f>[11]noerr!I3</f>
        <v>400003.82725799998</v>
      </c>
      <c r="L7" s="33">
        <f>[11]noerr!J3</f>
        <v>3511.4253920000001</v>
      </c>
      <c r="M7" s="3">
        <f>[11]noerr!K3</f>
        <v>400003.46425800002</v>
      </c>
      <c r="N7" s="3">
        <f>[11]noerr!L3</f>
        <v>14.879993000000001</v>
      </c>
      <c r="O7" s="33">
        <f>[11]noerr!M3</f>
        <v>90.823980000000006</v>
      </c>
      <c r="P7" s="3">
        <f>[11]noerr!N3</f>
        <v>53.741669999999999</v>
      </c>
      <c r="Q7" s="3">
        <f>[11]noerr!O3</f>
        <v>53.322389999999999</v>
      </c>
      <c r="R7" s="11">
        <f>[11]noerr!P3</f>
        <v>3510.109899</v>
      </c>
      <c r="S7" s="11">
        <f>[11]noerr!Q3</f>
        <v>3420.601412</v>
      </c>
      <c r="T7" s="3">
        <f>[11]noerr!R3</f>
        <v>41.139077</v>
      </c>
      <c r="U7" s="3">
        <f>[11]noerr!S3</f>
        <v>41.462558999999999</v>
      </c>
      <c r="V7" s="3">
        <f>[11]noerr!T3</f>
        <v>14.881691999999999</v>
      </c>
      <c r="W7" s="3">
        <f>[11]noerr!U3</f>
        <v>14.998709</v>
      </c>
      <c r="X7" s="72">
        <f>[11]noerr!V3</f>
        <v>1.6999999999999999E-3</v>
      </c>
      <c r="Y7" s="3">
        <f>[11]noerr!W3</f>
        <v>0.118716</v>
      </c>
      <c r="Z7" s="33">
        <f>[11]noerr!X3</f>
        <v>122412.912572</v>
      </c>
      <c r="AA7" s="3">
        <f>[11]noerr!Y3</f>
        <v>399957.96742200002</v>
      </c>
      <c r="AB7" s="3">
        <f>[11]noerr!Z3</f>
        <v>396837.58373399999</v>
      </c>
      <c r="AC7">
        <f t="shared" ref="AC7:AC29" si="1">X7*3600*$AG$1/1000</f>
        <v>45.569519999999997</v>
      </c>
      <c r="AD7" s="20">
        <f t="shared" ref="AD7:AD29" si="2">X7+Y7</f>
        <v>0.120416</v>
      </c>
      <c r="AE7">
        <f t="shared" ref="AE7:AE28" si="3">AD7*3600*$AG$1/1000</f>
        <v>3227.8231295999994</v>
      </c>
      <c r="AF7" s="31">
        <f>AE7*$AF$6/$AE$6</f>
        <v>102.93989416722944</v>
      </c>
      <c r="AG7" s="102">
        <f t="shared" si="0"/>
        <v>0.3328806312913386</v>
      </c>
      <c r="AH7" s="102">
        <f t="shared" ref="AH7:AH29" si="4">AG7*3600*$AG$1/1000</f>
        <v>8923.0650501431082</v>
      </c>
      <c r="AI7" s="32">
        <f>AH7*$AI$6/$AH$6</f>
        <v>102.93989416722945</v>
      </c>
      <c r="AJ7" s="31">
        <f>(K6-AA7)</f>
        <v>45.859835999959614</v>
      </c>
      <c r="AK7" s="113">
        <f t="shared" ref="AK7:AK29" si="5">(K7-AB7)</f>
        <v>3166.2435239999904</v>
      </c>
      <c r="AL7" s="38">
        <f t="shared" ref="AL7:AL29" si="6">AK7+AJ7</f>
        <v>3212.10335999995</v>
      </c>
      <c r="AM7" s="26">
        <f t="shared" ref="AM7:AM29" si="7">AL7/1000*24*365*0.85</f>
        <v>23917.321618559628</v>
      </c>
      <c r="AN7" s="31">
        <f>AM7*$AN$6/$AM$6</f>
        <v>102.93915578629378</v>
      </c>
      <c r="AP7" s="11">
        <f>Z6-((L7-(O7-O6))*Z6/L7)</f>
        <v>45.856575954618165</v>
      </c>
      <c r="AQ7">
        <f>Z7-((L7-O7)*Z7/L7)</f>
        <v>3166.2435284858948</v>
      </c>
      <c r="AR7" s="3">
        <f>AP7+AQ7</f>
        <v>3212.100104440513</v>
      </c>
    </row>
    <row r="8" spans="1:45" s="109" customFormat="1" x14ac:dyDescent="0.2">
      <c r="B8" s="109">
        <v>20</v>
      </c>
      <c r="C8" s="109">
        <v>20</v>
      </c>
      <c r="D8" s="110"/>
      <c r="E8" s="110">
        <f>[11]noerr!C4</f>
        <v>38.894196999999998</v>
      </c>
      <c r="F8" s="110">
        <f>[11]noerr!D4</f>
        <v>6.9599999999999995E-2</v>
      </c>
      <c r="G8" s="110">
        <f>[11]noerr!E4</f>
        <v>14.881202999999999</v>
      </c>
      <c r="H8" s="110">
        <f>[11]noerr!F4</f>
        <v>6.4778000000000002E-2</v>
      </c>
      <c r="I8" s="110">
        <f>[11]noerr!G4</f>
        <v>634.99629600000003</v>
      </c>
      <c r="J8" s="110">
        <f>[11]noerr!H4</f>
        <v>76.807188999999994</v>
      </c>
      <c r="K8" s="110">
        <f>[11]noerr!I4</f>
        <v>400004.16790399997</v>
      </c>
      <c r="L8" s="33">
        <f>[11]noerr!J4</f>
        <v>3644.2982050000001</v>
      </c>
      <c r="M8" s="110">
        <f>[11]noerr!K4</f>
        <v>400004.16875900002</v>
      </c>
      <c r="N8" s="110">
        <f>[11]noerr!L4</f>
        <v>14.881202999999999</v>
      </c>
      <c r="O8" s="33">
        <f>[11]noerr!M4</f>
        <v>96.582926</v>
      </c>
      <c r="P8" s="110">
        <f>[11]noerr!N4</f>
        <v>53.743530999999997</v>
      </c>
      <c r="Q8" s="110">
        <f>[11]noerr!O4</f>
        <v>53.301761999999997</v>
      </c>
      <c r="R8" s="11">
        <f>[11]noerr!P4</f>
        <v>3644.2982050000001</v>
      </c>
      <c r="S8" s="11">
        <f>[11]noerr!Q4</f>
        <v>3547.7152780000001</v>
      </c>
      <c r="T8" s="110">
        <f>[11]noerr!R4</f>
        <v>41.133788000000003</v>
      </c>
      <c r="U8" s="110">
        <f>[11]noerr!S4</f>
        <v>41.474708</v>
      </c>
      <c r="V8" s="110">
        <f>[11]noerr!T4</f>
        <v>14.881202999999999</v>
      </c>
      <c r="W8" s="110">
        <f>[11]noerr!U4</f>
        <v>15.00454</v>
      </c>
      <c r="X8" s="111">
        <f>[11]noerr!V4</f>
        <v>0</v>
      </c>
      <c r="Y8" s="110">
        <f>[11]noerr!W4</f>
        <v>0.123337</v>
      </c>
      <c r="Z8" s="33">
        <f>[11]noerr!X4</f>
        <v>124064.44465600001</v>
      </c>
      <c r="AA8" s="110">
        <f>[11]noerr!Y4</f>
        <v>400004.16791399999</v>
      </c>
      <c r="AB8" s="110">
        <f>[11]noerr!Z4</f>
        <v>396716.15292099997</v>
      </c>
      <c r="AC8" s="109">
        <f t="shared" si="1"/>
        <v>0</v>
      </c>
      <c r="AD8" s="112">
        <f t="shared" si="2"/>
        <v>0.123337</v>
      </c>
      <c r="AE8" s="109">
        <f t="shared" si="3"/>
        <v>3306.1222871999998</v>
      </c>
      <c r="AF8" s="113">
        <f t="shared" ref="AF8:AF29" si="8">AE8*$AF$6/$AE$6</f>
        <v>105.43696624122691</v>
      </c>
      <c r="AG8" s="114">
        <f t="shared" si="0"/>
        <v>0.34092124574285521</v>
      </c>
      <c r="AH8" s="114">
        <f t="shared" si="4"/>
        <v>9138.5985448846805</v>
      </c>
      <c r="AI8" s="115">
        <f t="shared" ref="AI8:AI29" si="9">AH8*$AI$6/$AH$6</f>
        <v>105.42637106877739</v>
      </c>
      <c r="AJ8" s="113">
        <f>(K8-AA8)</f>
        <v>-1.0000017937272787E-5</v>
      </c>
      <c r="AK8" s="113">
        <f t="shared" si="5"/>
        <v>3288.0149830000009</v>
      </c>
      <c r="AL8" s="116">
        <f t="shared" si="6"/>
        <v>3288.014972999983</v>
      </c>
      <c r="AM8" s="117">
        <f t="shared" si="7"/>
        <v>24482.559488957872</v>
      </c>
      <c r="AN8" s="113">
        <f t="shared" ref="AN8:AN29" si="10">AM8*$AN$6/$AM$6</f>
        <v>105.37191603115693</v>
      </c>
      <c r="AP8" s="110"/>
    </row>
    <row r="9" spans="1:45" s="73" customFormat="1" x14ac:dyDescent="0.2">
      <c r="A9"/>
      <c r="B9"/>
      <c r="C9" s="34">
        <f>C8+$J$1</f>
        <v>31</v>
      </c>
      <c r="D9" s="11"/>
      <c r="E9" s="3">
        <f>[11]noerr!C5</f>
        <v>38.894196999999998</v>
      </c>
      <c r="F9" s="3">
        <f>[11]noerr!D5</f>
        <v>6.9599999999999995E-2</v>
      </c>
      <c r="G9" s="3">
        <f>[11]noerr!E5</f>
        <v>14.881202999999999</v>
      </c>
      <c r="H9" s="3">
        <f>[11]noerr!F5</f>
        <v>6.4778000000000002E-2</v>
      </c>
      <c r="I9" s="3">
        <f>[11]noerr!G5</f>
        <v>634.99629600000003</v>
      </c>
      <c r="J9" s="3">
        <f>[11]noerr!H5</f>
        <v>76.807188999999994</v>
      </c>
      <c r="K9" s="3">
        <f>[11]noerr!I5</f>
        <v>400004.16790399997</v>
      </c>
      <c r="L9" s="33">
        <f>[11]noerr!J5</f>
        <v>3644.2982050000001</v>
      </c>
      <c r="M9" s="3">
        <f>[11]noerr!K5</f>
        <v>400004.16875900002</v>
      </c>
      <c r="N9" s="3">
        <f>[11]noerr!L5</f>
        <v>14.881202999999999</v>
      </c>
      <c r="O9" s="33">
        <f>[11]noerr!M5</f>
        <v>98.102575000000002</v>
      </c>
      <c r="P9" s="3">
        <f>[11]noerr!N5</f>
        <v>53.736579999999996</v>
      </c>
      <c r="Q9" s="3">
        <f>[11]noerr!O5</f>
        <v>53.294811000000003</v>
      </c>
      <c r="R9" s="11">
        <f>[11]noerr!P5</f>
        <v>3642.7785560000002</v>
      </c>
      <c r="S9" s="11">
        <f>[11]noerr!Q5</f>
        <v>3546.1956300000002</v>
      </c>
      <c r="T9" s="3">
        <f>[11]noerr!R5</f>
        <v>41.139108999999998</v>
      </c>
      <c r="U9" s="3">
        <f>[11]noerr!S5</f>
        <v>41.480117</v>
      </c>
      <c r="V9" s="3">
        <f>[11]noerr!T5</f>
        <v>14.883127999999999</v>
      </c>
      <c r="W9" s="3">
        <f>[11]noerr!U5</f>
        <v>15.006497</v>
      </c>
      <c r="X9" s="72">
        <f>[11]noerr!V5</f>
        <v>1.9250000000000001E-3</v>
      </c>
      <c r="Y9" s="3">
        <f>[11]noerr!W5</f>
        <v>0.12529399999999999</v>
      </c>
      <c r="Z9" s="33">
        <f>[11]noerr!X5</f>
        <v>124064.44465600001</v>
      </c>
      <c r="AA9" s="3">
        <f>[11]noerr!Y5</f>
        <v>399952.43385500001</v>
      </c>
      <c r="AB9" s="3">
        <f>[11]noerr!Z5</f>
        <v>396664.41886199999</v>
      </c>
      <c r="AC9">
        <f t="shared" si="1"/>
        <v>51.600780000000007</v>
      </c>
      <c r="AD9" s="20">
        <f t="shared" si="2"/>
        <v>0.127219</v>
      </c>
      <c r="AE9">
        <f t="shared" si="3"/>
        <v>3410.1816263999999</v>
      </c>
      <c r="AF9" s="54">
        <f t="shared" si="8"/>
        <v>108.75556733374937</v>
      </c>
      <c r="AG9" s="102">
        <f t="shared" si="0"/>
        <v>0.35165165329269144</v>
      </c>
      <c r="AH9" s="102">
        <f t="shared" si="4"/>
        <v>9426.23355750257</v>
      </c>
      <c r="AI9" s="32">
        <f t="shared" si="9"/>
        <v>108.74463868100335</v>
      </c>
      <c r="AJ9" s="31">
        <f>(K8-AA9)</f>
        <v>51.734048999962397</v>
      </c>
      <c r="AK9" s="113">
        <f t="shared" si="5"/>
        <v>3339.7490419999813</v>
      </c>
      <c r="AL9" s="38">
        <f t="shared" si="6"/>
        <v>3391.4830909999437</v>
      </c>
      <c r="AM9" s="26">
        <f>AL9/1000*24*365*0.85</f>
        <v>25252.983095585576</v>
      </c>
      <c r="AN9" s="31">
        <f t="shared" si="10"/>
        <v>108.68778713616169</v>
      </c>
      <c r="AP9" s="11">
        <f>Z8-((L9-(O9-O8))*Z8/L9)</f>
        <v>51.73407845669135</v>
      </c>
      <c r="AQ9">
        <f>Z9-((L9-O9)*Z9/L9)</f>
        <v>3339.7490551129449</v>
      </c>
      <c r="AR9" s="3">
        <f>AP9+AQ9</f>
        <v>3391.4831335696363</v>
      </c>
      <c r="AS9"/>
    </row>
    <row r="10" spans="1:45" s="109" customFormat="1" x14ac:dyDescent="0.2">
      <c r="B10" s="118">
        <v>25</v>
      </c>
      <c r="C10" s="109">
        <v>25</v>
      </c>
      <c r="D10" s="110"/>
      <c r="E10" s="110">
        <f>[11]noerr!C6</f>
        <v>43.285657</v>
      </c>
      <c r="F10" s="110">
        <f>[11]noerr!D6</f>
        <v>8.7800000000000003E-2</v>
      </c>
      <c r="G10" s="110">
        <f>[11]noerr!E6</f>
        <v>14.917909999999999</v>
      </c>
      <c r="H10" s="110">
        <f>[11]noerr!F6</f>
        <v>6.5394999999999995E-2</v>
      </c>
      <c r="I10" s="110">
        <f>[11]noerr!G6</f>
        <v>630.50941999999998</v>
      </c>
      <c r="J10" s="110">
        <f>[11]noerr!H6</f>
        <v>79.057344999999998</v>
      </c>
      <c r="K10" s="110">
        <f>[11]noerr!I6</f>
        <v>400001.69563799998</v>
      </c>
      <c r="L10" s="33">
        <f>[11]noerr!J6</f>
        <v>3765.8755609999998</v>
      </c>
      <c r="M10" s="110">
        <f>[11]noerr!K6</f>
        <v>400001.69558499998</v>
      </c>
      <c r="N10" s="110">
        <f>[11]noerr!L6</f>
        <v>14.917909999999999</v>
      </c>
      <c r="O10" s="33">
        <f>[11]noerr!M6</f>
        <v>103.01582399999999</v>
      </c>
      <c r="P10" s="110">
        <f>[11]noerr!N6</f>
        <v>53.610961000000003</v>
      </c>
      <c r="Q10" s="110">
        <f>[11]noerr!O6</f>
        <v>53.152124000000001</v>
      </c>
      <c r="R10" s="11">
        <f>[11]noerr!P6</f>
        <v>3765.8755609999998</v>
      </c>
      <c r="S10" s="11">
        <f>[11]noerr!Q6</f>
        <v>3662.8597370000002</v>
      </c>
      <c r="T10" s="110">
        <f>[11]noerr!R6</f>
        <v>41.232222999999998</v>
      </c>
      <c r="U10" s="110">
        <f>[11]noerr!S6</f>
        <v>41.588160999999999</v>
      </c>
      <c r="V10" s="110">
        <f>[11]noerr!T6</f>
        <v>14.917909999999999</v>
      </c>
      <c r="W10" s="110">
        <f>[11]noerr!U6</f>
        <v>15.046689000000001</v>
      </c>
      <c r="X10" s="111">
        <f>[11]noerr!V6</f>
        <v>0</v>
      </c>
      <c r="Y10" s="110">
        <f>[11]noerr!W6</f>
        <v>0.128779</v>
      </c>
      <c r="Z10" s="33">
        <f>[11]noerr!X6</f>
        <v>125149.371663</v>
      </c>
      <c r="AA10" s="110">
        <f>[11]noerr!Y6</f>
        <v>400001.69563700003</v>
      </c>
      <c r="AB10" s="110">
        <f>[11]noerr!Z6</f>
        <v>396578.22467199998</v>
      </c>
      <c r="AC10" s="109">
        <f t="shared" si="1"/>
        <v>0</v>
      </c>
      <c r="AD10" s="112">
        <f t="shared" si="2"/>
        <v>0.128779</v>
      </c>
      <c r="AE10" s="109">
        <f t="shared" si="3"/>
        <v>3451.9983624000001</v>
      </c>
      <c r="AF10" s="113">
        <f t="shared" si="8"/>
        <v>110.08916282688051</v>
      </c>
      <c r="AG10" s="114">
        <f t="shared" si="0"/>
        <v>0.35593704386592862</v>
      </c>
      <c r="AH10" s="114">
        <f t="shared" si="4"/>
        <v>9541.1060230525381</v>
      </c>
      <c r="AI10" s="115">
        <f t="shared" si="9"/>
        <v>110.06985141676087</v>
      </c>
      <c r="AJ10" s="113">
        <f>(K10-AA10)</f>
        <v>9.9994940683245659E-7</v>
      </c>
      <c r="AK10" s="113">
        <f t="shared" si="5"/>
        <v>3423.4709659999935</v>
      </c>
      <c r="AL10" s="116">
        <f t="shared" si="6"/>
        <v>3423.4709669999429</v>
      </c>
      <c r="AM10" s="117">
        <f t="shared" si="7"/>
        <v>25491.16482028157</v>
      </c>
      <c r="AN10" s="113">
        <f t="shared" si="10"/>
        <v>109.71291135596158</v>
      </c>
      <c r="AP10" s="110"/>
    </row>
    <row r="11" spans="1:45" x14ac:dyDescent="0.2">
      <c r="C11" s="34">
        <f>C10+$J$1</f>
        <v>36</v>
      </c>
      <c r="E11" s="3">
        <f>[11]noerr!C7</f>
        <v>43.285657</v>
      </c>
      <c r="F11" s="3">
        <f>[11]noerr!D7</f>
        <v>8.7800000000000003E-2</v>
      </c>
      <c r="G11" s="3">
        <f>[11]noerr!E7</f>
        <v>14.917909999999999</v>
      </c>
      <c r="H11" s="3">
        <f>[11]noerr!F7</f>
        <v>6.5394999999999995E-2</v>
      </c>
      <c r="I11" s="3">
        <f>[11]noerr!G7</f>
        <v>630.50941999999998</v>
      </c>
      <c r="J11" s="3">
        <f>[11]noerr!H7</f>
        <v>79.057344999999998</v>
      </c>
      <c r="K11" s="3">
        <f>[11]noerr!I7</f>
        <v>400001.69563799998</v>
      </c>
      <c r="L11" s="33">
        <f>[11]noerr!J7</f>
        <v>3765.8755609999998</v>
      </c>
      <c r="M11" s="3">
        <f>[11]noerr!K7</f>
        <v>400001.69558499998</v>
      </c>
      <c r="N11" s="3">
        <f>[11]noerr!L7</f>
        <v>14.917909999999999</v>
      </c>
      <c r="O11" s="33">
        <f>[11]noerr!M7</f>
        <v>104.726714</v>
      </c>
      <c r="P11" s="3">
        <f>[11]noerr!N7</f>
        <v>53.603340000000003</v>
      </c>
      <c r="Q11" s="3">
        <f>[11]noerr!O7</f>
        <v>53.144503</v>
      </c>
      <c r="R11" s="11">
        <f>[11]noerr!P7</f>
        <v>3764.164671</v>
      </c>
      <c r="S11" s="11">
        <f>[11]noerr!Q7</f>
        <v>3661.1488469999999</v>
      </c>
      <c r="T11" s="3">
        <f>[11]noerr!R7</f>
        <v>41.238084999999998</v>
      </c>
      <c r="U11" s="3">
        <f>[11]noerr!S7</f>
        <v>41.594124999999998</v>
      </c>
      <c r="V11" s="3">
        <f>[11]noerr!T7</f>
        <v>14.920030000000001</v>
      </c>
      <c r="W11" s="3">
        <f>[11]noerr!U7</f>
        <v>15.048845999999999</v>
      </c>
      <c r="X11" s="72">
        <f>[11]noerr!V7</f>
        <v>2.1210000000000001E-3</v>
      </c>
      <c r="Y11" s="3">
        <f>[11]noerr!W7</f>
        <v>0.130937</v>
      </c>
      <c r="Z11" s="33">
        <f>[11]noerr!X7</f>
        <v>125149.371663</v>
      </c>
      <c r="AA11" s="3">
        <f>[11]noerr!Y7</f>
        <v>399944.83853900002</v>
      </c>
      <c r="AB11" s="3">
        <f>[11]noerr!Z7</f>
        <v>396521.36757300003</v>
      </c>
      <c r="AC11">
        <f t="shared" si="1"/>
        <v>56.854677600000002</v>
      </c>
      <c r="AD11" s="20">
        <f t="shared" si="2"/>
        <v>0.13305800000000001</v>
      </c>
      <c r="AE11">
        <f t="shared" si="3"/>
        <v>3566.6995248000003</v>
      </c>
      <c r="AF11" s="31">
        <f t="shared" si="8"/>
        <v>113.74714687502673</v>
      </c>
      <c r="AG11" s="102">
        <f t="shared" si="0"/>
        <v>0.36776393032025823</v>
      </c>
      <c r="AH11" s="102">
        <f t="shared" si="4"/>
        <v>9858.1328105927132</v>
      </c>
      <c r="AI11" s="32">
        <f t="shared" si="9"/>
        <v>113.72719379566003</v>
      </c>
      <c r="AJ11" s="31">
        <f>(K10-AA11)</f>
        <v>56.857098999957088</v>
      </c>
      <c r="AK11" s="113">
        <f t="shared" si="5"/>
        <v>3480.3280649999506</v>
      </c>
      <c r="AL11" s="38">
        <f t="shared" si="6"/>
        <v>3537.1851639999077</v>
      </c>
      <c r="AM11" s="26">
        <f t="shared" si="7"/>
        <v>26337.880731143308</v>
      </c>
      <c r="AN11" s="31">
        <f t="shared" si="10"/>
        <v>113.35714135984691</v>
      </c>
      <c r="AP11" s="11">
        <f>Z10-((L11-(O11-O10))*Z10/L11)</f>
        <v>56.857111982637434</v>
      </c>
      <c r="AQ11">
        <f>Z11-((L11-O11)*Z11/L11)</f>
        <v>3480.3280780606437</v>
      </c>
      <c r="AR11" s="3">
        <f>AP11+AQ11</f>
        <v>3537.1851900432812</v>
      </c>
    </row>
    <row r="12" spans="1:45" s="109" customFormat="1" x14ac:dyDescent="0.2">
      <c r="A12" s="109" t="s">
        <v>50</v>
      </c>
      <c r="B12" s="109">
        <v>15</v>
      </c>
      <c r="C12" s="109">
        <v>15</v>
      </c>
      <c r="D12" s="110"/>
      <c r="E12" s="110">
        <f>[11]noerr!C8</f>
        <v>36.007736000000001</v>
      </c>
      <c r="F12" s="110">
        <f>[11]noerr!D8</f>
        <v>5.9499999999999997E-2</v>
      </c>
      <c r="G12" s="110">
        <f>[11]noerr!E8</f>
        <v>14.893139</v>
      </c>
      <c r="H12" s="110">
        <f>[11]noerr!F8</f>
        <v>6.4043000000000003E-2</v>
      </c>
      <c r="I12" s="110">
        <f>[11]noerr!G8</f>
        <v>642.85686199999998</v>
      </c>
      <c r="J12" s="110">
        <f>[11]noerr!H8</f>
        <v>74.621568999999994</v>
      </c>
      <c r="K12" s="110">
        <f>[11]noerr!I8</f>
        <v>400003.15508200001</v>
      </c>
      <c r="L12" s="33">
        <f>[11]noerr!J8</f>
        <v>3530.4791759999998</v>
      </c>
      <c r="M12" s="110">
        <f>[11]noerr!K8</f>
        <v>400003.15508200001</v>
      </c>
      <c r="N12" s="110">
        <f>[11]noerr!L8</f>
        <v>14.893139</v>
      </c>
      <c r="O12" s="33">
        <f>[11]noerr!M8</f>
        <v>3530.4791759999998</v>
      </c>
      <c r="P12" s="110">
        <f>[11]noerr!N8</f>
        <v>53.700324999999999</v>
      </c>
      <c r="Q12" s="110">
        <f>[11]noerr!O8</f>
        <v>53.372363999999997</v>
      </c>
      <c r="R12" s="11">
        <f>[11]noerr!P8</f>
        <v>3530.4791759999998</v>
      </c>
      <c r="S12" s="11">
        <f>[11]noerr!Q8</f>
        <v>3459.8695929999999</v>
      </c>
      <c r="T12" s="110">
        <f>[11]noerr!R8</f>
        <v>41.170454999999997</v>
      </c>
      <c r="U12" s="110">
        <f>[11]noerr!S8</f>
        <v>41.423437999999997</v>
      </c>
      <c r="V12" s="110">
        <f>[11]noerr!T8</f>
        <v>14.893139</v>
      </c>
      <c r="W12" s="110">
        <f>[11]noerr!U8</f>
        <v>14.984654000000001</v>
      </c>
      <c r="X12" s="111">
        <f>[11]noerr!V8</f>
        <v>0</v>
      </c>
      <c r="Y12" s="110">
        <f>[11]noerr!W8</f>
        <v>9.1514999999999999E-2</v>
      </c>
      <c r="Z12" s="33">
        <f>[11]noerr!X8</f>
        <v>122145.878082</v>
      </c>
      <c r="AA12" s="110">
        <f>[11]noerr!Y8</f>
        <v>400003.15508200001</v>
      </c>
      <c r="AB12" s="110">
        <f>[11]noerr!Z8</f>
        <v>397560.23752000002</v>
      </c>
      <c r="AC12" s="109">
        <f t="shared" si="1"/>
        <v>0</v>
      </c>
      <c r="AD12" s="112">
        <f t="shared" si="2"/>
        <v>9.1514999999999999E-2</v>
      </c>
      <c r="AE12" s="109">
        <f t="shared" si="3"/>
        <v>2453.1144840000002</v>
      </c>
      <c r="AF12" s="113">
        <f t="shared" si="8"/>
        <v>78.233327919163614</v>
      </c>
      <c r="AG12" s="114">
        <f t="shared" si="0"/>
        <v>0.2529833812351896</v>
      </c>
      <c r="AH12" s="114">
        <f t="shared" si="4"/>
        <v>6781.3713240379984</v>
      </c>
      <c r="AI12" s="115">
        <f t="shared" si="9"/>
        <v>78.232495502647993</v>
      </c>
      <c r="AJ12" s="31">
        <f>(Z12-Z12)</f>
        <v>0</v>
      </c>
      <c r="AK12" s="113">
        <f t="shared" si="5"/>
        <v>2442.9175619999878</v>
      </c>
      <c r="AL12" s="116">
        <f t="shared" si="6"/>
        <v>2442.9175619999878</v>
      </c>
      <c r="AM12" s="117">
        <f t="shared" si="7"/>
        <v>18189.964166651909</v>
      </c>
      <c r="AN12" s="113">
        <f t="shared" si="10"/>
        <v>78.288847930408323</v>
      </c>
      <c r="AP12" s="110"/>
    </row>
    <row r="13" spans="1:45" s="73" customFormat="1" x14ac:dyDescent="0.2">
      <c r="B13" s="10"/>
      <c r="C13" s="34">
        <f>C12+$J$1</f>
        <v>26</v>
      </c>
      <c r="D13" s="11"/>
      <c r="E13" s="3">
        <f>[11]noerr!C9</f>
        <v>47.044750000000001</v>
      </c>
      <c r="F13" s="3">
        <f>[11]noerr!D9</f>
        <v>0.1065</v>
      </c>
      <c r="G13" s="3">
        <f>[11]noerr!E9</f>
        <v>14.893139</v>
      </c>
      <c r="H13" s="3">
        <f>[11]noerr!F9</f>
        <v>6.4043000000000003E-2</v>
      </c>
      <c r="I13" s="3">
        <f>[11]noerr!G9</f>
        <v>642.85686199999998</v>
      </c>
      <c r="J13" s="3">
        <f>[11]noerr!H9</f>
        <v>75.881844000000001</v>
      </c>
      <c r="K13" s="3">
        <f>[11]noerr!I9</f>
        <v>395919.61795599997</v>
      </c>
      <c r="L13" s="33">
        <f>[11]noerr!J9</f>
        <v>3625.73686</v>
      </c>
      <c r="M13" s="3">
        <f>[11]noerr!K9</f>
        <v>400003.15508200001</v>
      </c>
      <c r="N13" s="3">
        <f>[11]noerr!L9</f>
        <v>14.893139</v>
      </c>
      <c r="O13" s="33">
        <f>[11]noerr!M9</f>
        <v>3530.4791759999998</v>
      </c>
      <c r="P13" s="3">
        <f>[11]noerr!N9</f>
        <v>53.152110999999998</v>
      </c>
      <c r="Q13" s="3">
        <f>[11]noerr!O9</f>
        <v>52.835113999999997</v>
      </c>
      <c r="R13" s="11">
        <f>[11]noerr!P9</f>
        <v>3625.73686</v>
      </c>
      <c r="S13" s="11">
        <f>[11]noerr!Q9</f>
        <v>3553.222123</v>
      </c>
      <c r="T13" s="3">
        <f>[11]noerr!R9</f>
        <v>41.595089000000002</v>
      </c>
      <c r="U13" s="3">
        <f>[11]noerr!S9</f>
        <v>41.844648999999997</v>
      </c>
      <c r="V13" s="3">
        <f>[11]noerr!T9</f>
        <v>15.046747</v>
      </c>
      <c r="W13" s="3">
        <f>[11]noerr!U9</f>
        <v>15.137024</v>
      </c>
      <c r="X13" s="72">
        <f>[11]noerr!V9</f>
        <v>0.153609</v>
      </c>
      <c r="Y13" s="3">
        <f>[11]noerr!W9</f>
        <v>0.24388499999999999</v>
      </c>
      <c r="Z13" s="33">
        <f>[11]noerr!X9</f>
        <v>118062.340956</v>
      </c>
      <c r="AA13" s="3">
        <f>[11]noerr!Y9</f>
        <v>395919.61795599997</v>
      </c>
      <c r="AB13" s="3">
        <f>[11]noerr!Z9</f>
        <v>393558.37113699998</v>
      </c>
      <c r="AC13">
        <f t="shared" si="1"/>
        <v>4117.5814104000001</v>
      </c>
      <c r="AD13" s="20">
        <f t="shared" si="2"/>
        <v>0.39749400000000001</v>
      </c>
      <c r="AE13">
        <f t="shared" si="3"/>
        <v>10655.0651664</v>
      </c>
      <c r="AF13" s="54">
        <f t="shared" si="8"/>
        <v>339.80526086324664</v>
      </c>
      <c r="AG13" s="102">
        <f t="shared" si="0"/>
        <v>1.0988294393345583</v>
      </c>
      <c r="AH13" s="102">
        <f t="shared" si="4"/>
        <v>29454.782419026436</v>
      </c>
      <c r="AI13" s="32">
        <f t="shared" si="9"/>
        <v>339.80164527487375</v>
      </c>
      <c r="AJ13" s="31">
        <f>Z12-Z13</f>
        <v>4083.5371259999956</v>
      </c>
      <c r="AK13" s="113">
        <f t="shared" si="5"/>
        <v>2361.2468189999927</v>
      </c>
      <c r="AL13" s="38">
        <f t="shared" si="6"/>
        <v>6444.7839449999883</v>
      </c>
      <c r="AM13" s="26">
        <f t="shared" si="7"/>
        <v>47987.861254469914</v>
      </c>
      <c r="AN13" s="31">
        <f t="shared" si="10"/>
        <v>206.53775553578981</v>
      </c>
      <c r="AP13" s="131">
        <f>Z12-Z13</f>
        <v>4083.5371259999956</v>
      </c>
      <c r="AQ13">
        <f>Z13-((L13-L13*$AQ$1)*Z13/L13)</f>
        <v>2361.2468191200023</v>
      </c>
      <c r="AR13" s="3">
        <f>AP13+AQ13</f>
        <v>6444.783945119998</v>
      </c>
    </row>
    <row r="14" spans="1:45" s="109" customFormat="1" x14ac:dyDescent="0.2">
      <c r="B14" s="109">
        <v>20</v>
      </c>
      <c r="C14" s="109">
        <v>20</v>
      </c>
      <c r="D14" s="110"/>
      <c r="E14" s="110">
        <f>[11]noerr!C10</f>
        <v>41.030777</v>
      </c>
      <c r="F14" s="110">
        <f>[11]noerr!D10</f>
        <v>7.8E-2</v>
      </c>
      <c r="G14" s="110">
        <f>[11]noerr!E10</f>
        <v>14.903238999999999</v>
      </c>
      <c r="H14" s="110">
        <f>[11]noerr!F10</f>
        <v>6.4855999999999997E-2</v>
      </c>
      <c r="I14" s="110">
        <f>[11]noerr!G10</f>
        <v>635.16469800000004</v>
      </c>
      <c r="J14" s="110">
        <f>[11]noerr!H10</f>
        <v>77.275761000000003</v>
      </c>
      <c r="K14" s="110">
        <f>[11]noerr!I10</f>
        <v>400003.88544799999</v>
      </c>
      <c r="L14" s="33">
        <f>[11]noerr!J10</f>
        <v>3673.3828429999999</v>
      </c>
      <c r="M14" s="110">
        <f>[11]noerr!K10</f>
        <v>400003.88544799999</v>
      </c>
      <c r="N14" s="110">
        <f>[11]noerr!L10</f>
        <v>14.903238999999999</v>
      </c>
      <c r="O14" s="33">
        <f>[11]noerr!M10</f>
        <v>3673.3828429999999</v>
      </c>
      <c r="P14" s="110">
        <f>[11]noerr!N10</f>
        <v>53.664026999999997</v>
      </c>
      <c r="Q14" s="110">
        <f>[11]noerr!O10</f>
        <v>53.33231</v>
      </c>
      <c r="R14" s="11">
        <f>[11]noerr!P10</f>
        <v>3673.3828429999999</v>
      </c>
      <c r="S14" s="11">
        <f>[11]noerr!Q10</f>
        <v>3599.9151870000001</v>
      </c>
      <c r="T14" s="110">
        <f>[11]noerr!R10</f>
        <v>41.194313000000001</v>
      </c>
      <c r="U14" s="110">
        <f>[11]noerr!S10</f>
        <v>41.450533999999998</v>
      </c>
      <c r="V14" s="110">
        <f>[11]noerr!T10</f>
        <v>14.903238999999999</v>
      </c>
      <c r="W14" s="110">
        <f>[11]noerr!U10</f>
        <v>14.995934999999999</v>
      </c>
      <c r="X14" s="111">
        <f>[11]noerr!V10</f>
        <v>0</v>
      </c>
      <c r="Y14" s="110">
        <f>[11]noerr!W10</f>
        <v>9.2695E-2</v>
      </c>
      <c r="Z14" s="33">
        <f>[11]noerr!X10</f>
        <v>123628.471448</v>
      </c>
      <c r="AA14" s="110">
        <f>[11]noerr!Y10</f>
        <v>400003.88544799999</v>
      </c>
      <c r="AB14" s="110">
        <f>[11]noerr!Z10</f>
        <v>397531.31601900002</v>
      </c>
      <c r="AC14" s="109">
        <f t="shared" si="1"/>
        <v>0</v>
      </c>
      <c r="AD14" s="112">
        <f t="shared" si="2"/>
        <v>9.2695E-2</v>
      </c>
      <c r="AE14" s="109">
        <f t="shared" si="3"/>
        <v>2484.7450920000001</v>
      </c>
      <c r="AF14" s="113">
        <f t="shared" si="8"/>
        <v>79.242073228070481</v>
      </c>
      <c r="AG14" s="114">
        <f t="shared" si="0"/>
        <v>0.25621948558095653</v>
      </c>
      <c r="AH14" s="114">
        <f t="shared" si="4"/>
        <v>6868.1170426888884</v>
      </c>
      <c r="AI14" s="115">
        <f t="shared" si="9"/>
        <v>79.233227319260678</v>
      </c>
      <c r="AJ14" s="31">
        <f>(Z14-Z14)</f>
        <v>0</v>
      </c>
      <c r="AK14" s="113">
        <f t="shared" si="5"/>
        <v>2472.5694289999665</v>
      </c>
      <c r="AL14" s="116">
        <f t="shared" si="6"/>
        <v>2472.5694289999665</v>
      </c>
      <c r="AM14" s="117">
        <f t="shared" si="7"/>
        <v>18410.751968333752</v>
      </c>
      <c r="AN14" s="113">
        <f t="shared" si="10"/>
        <v>79.239109430232958</v>
      </c>
      <c r="AP14" s="110"/>
    </row>
    <row r="15" spans="1:45" x14ac:dyDescent="0.2">
      <c r="B15"/>
      <c r="C15" s="34">
        <f>C14+$J$1</f>
        <v>31</v>
      </c>
      <c r="E15" s="3">
        <f>[11]noerr!C11</f>
        <v>52.103980999999997</v>
      </c>
      <c r="F15" s="3">
        <f>[11]noerr!D11</f>
        <v>0.13700000000000001</v>
      </c>
      <c r="G15" s="3">
        <f>[11]noerr!E11</f>
        <v>14.903238999999999</v>
      </c>
      <c r="H15" s="3">
        <f>[11]noerr!F11</f>
        <v>6.4855999999999997E-2</v>
      </c>
      <c r="I15" s="3">
        <f>[11]noerr!G11</f>
        <v>635.16469800000004</v>
      </c>
      <c r="J15" s="3">
        <f>[11]noerr!H11</f>
        <v>78.595472999999998</v>
      </c>
      <c r="K15" s="3">
        <f>[11]noerr!I11</f>
        <v>395777.53197399998</v>
      </c>
      <c r="L15" s="33">
        <f>[11]noerr!J11</f>
        <v>3770.281481</v>
      </c>
      <c r="M15" s="3">
        <f>[11]noerr!K11</f>
        <v>400003.88544799999</v>
      </c>
      <c r="N15" s="3">
        <f>[11]noerr!L11</f>
        <v>14.903238999999999</v>
      </c>
      <c r="O15" s="33">
        <f>[11]noerr!M11</f>
        <v>3673.3828429999999</v>
      </c>
      <c r="P15" s="3">
        <f>[11]noerr!N11</f>
        <v>53.097025000000002</v>
      </c>
      <c r="Q15" s="3">
        <f>[11]noerr!O11</f>
        <v>52.776648000000002</v>
      </c>
      <c r="R15" s="11">
        <f>[11]noerr!P11</f>
        <v>3770.281481</v>
      </c>
      <c r="S15" s="11">
        <f>[11]noerr!Q11</f>
        <v>3694.8758509999998</v>
      </c>
      <c r="T15" s="3">
        <f>[11]noerr!R11</f>
        <v>41.634211000000001</v>
      </c>
      <c r="U15" s="3">
        <f>[11]noerr!S11</f>
        <v>41.886947999999997</v>
      </c>
      <c r="V15" s="3">
        <f>[11]noerr!T11</f>
        <v>15.062385000000001</v>
      </c>
      <c r="W15" s="3">
        <f>[11]noerr!U11</f>
        <v>15.15382</v>
      </c>
      <c r="X15" s="72">
        <f>[11]noerr!V11</f>
        <v>0.15914600000000001</v>
      </c>
      <c r="Y15" s="3">
        <f>[11]noerr!W11</f>
        <v>0.250581</v>
      </c>
      <c r="Z15" s="33">
        <f>[11]noerr!X11</f>
        <v>119402.11797399999</v>
      </c>
      <c r="AA15" s="3">
        <f>[11]noerr!Y11</f>
        <v>395777.53197399998</v>
      </c>
      <c r="AB15" s="3">
        <f>[11]noerr!Z11</f>
        <v>393389.48961500003</v>
      </c>
      <c r="AC15">
        <f t="shared" si="1"/>
        <v>4266.0040176000002</v>
      </c>
      <c r="AD15" s="20">
        <f t="shared" si="2"/>
        <v>0.40972700000000001</v>
      </c>
      <c r="AE15">
        <f t="shared" si="3"/>
        <v>10982.978071199999</v>
      </c>
      <c r="AF15" s="31">
        <f t="shared" si="8"/>
        <v>350.26287218854992</v>
      </c>
      <c r="AG15" s="102">
        <f t="shared" si="0"/>
        <v>1.132531864379196</v>
      </c>
      <c r="AH15" s="102">
        <f t="shared" si="4"/>
        <v>30358.196143802976</v>
      </c>
      <c r="AI15" s="32">
        <f t="shared" si="9"/>
        <v>350.22377183061684</v>
      </c>
      <c r="AJ15" s="31">
        <f>Z14-Z15</f>
        <v>4226.3534740000032</v>
      </c>
      <c r="AK15" s="113">
        <f t="shared" si="5"/>
        <v>2388.0423589999555</v>
      </c>
      <c r="AL15" s="38">
        <f t="shared" si="6"/>
        <v>6614.3958329999587</v>
      </c>
      <c r="AM15" s="26">
        <f t="shared" si="7"/>
        <v>49250.791372517684</v>
      </c>
      <c r="AN15" s="31">
        <f t="shared" si="10"/>
        <v>211.97335414679981</v>
      </c>
      <c r="AP15" s="131">
        <f>Z14-Z15</f>
        <v>4226.3534740000032</v>
      </c>
      <c r="AQ15">
        <f>Z15-((L15-L15*$AQ$1)*Z15/L15)</f>
        <v>2388.0423594800086</v>
      </c>
      <c r="AR15" s="3">
        <f>AP15+AQ15</f>
        <v>6614.3958334800118</v>
      </c>
    </row>
    <row r="16" spans="1:45" s="109" customFormat="1" x14ac:dyDescent="0.2">
      <c r="B16" s="118">
        <v>25</v>
      </c>
      <c r="C16" s="109">
        <v>25</v>
      </c>
      <c r="D16" s="110"/>
      <c r="E16" s="110">
        <f>[11]noerr!C12</f>
        <v>46.002305999999997</v>
      </c>
      <c r="F16" s="110">
        <f>[11]noerr!D12</f>
        <v>0.10100000000000001</v>
      </c>
      <c r="G16" s="110">
        <f>[11]noerr!E12</f>
        <v>14.948933</v>
      </c>
      <c r="H16" s="110">
        <f>[11]noerr!F12</f>
        <v>6.5490999999999994E-2</v>
      </c>
      <c r="I16" s="110">
        <f>[11]noerr!G12</f>
        <v>630.88778100000002</v>
      </c>
      <c r="J16" s="110">
        <f>[11]noerr!H12</f>
        <v>79.665143999999998</v>
      </c>
      <c r="K16" s="110">
        <f>[11]noerr!I12</f>
        <v>400003.48587700003</v>
      </c>
      <c r="L16" s="33">
        <f>[11]noerr!J12</f>
        <v>3803.261285</v>
      </c>
      <c r="M16" s="110">
        <f>[11]noerr!K12</f>
        <v>400003.48587700003</v>
      </c>
      <c r="N16" s="110">
        <f>[11]noerr!L12</f>
        <v>14.948933</v>
      </c>
      <c r="O16" s="33">
        <f>[11]noerr!M12</f>
        <v>3803.261285</v>
      </c>
      <c r="P16" s="110">
        <f>[11]noerr!N12</f>
        <v>53.499941999999997</v>
      </c>
      <c r="Q16" s="110">
        <f>[11]noerr!O12</f>
        <v>53.166764999999998</v>
      </c>
      <c r="R16" s="11">
        <f>[11]noerr!P12</f>
        <v>3803.261285</v>
      </c>
      <c r="S16" s="11">
        <f>[11]noerr!Q12</f>
        <v>3727.1960600000002</v>
      </c>
      <c r="T16" s="110">
        <f>[11]noerr!R12</f>
        <v>41.317503000000002</v>
      </c>
      <c r="U16" s="110">
        <f>[11]noerr!S12</f>
        <v>41.576425</v>
      </c>
      <c r="V16" s="110">
        <f>[11]noerr!T12</f>
        <v>14.948933</v>
      </c>
      <c r="W16" s="110">
        <f>[11]noerr!U12</f>
        <v>15.042612</v>
      </c>
      <c r="X16" s="111">
        <f>[11]noerr!V12</f>
        <v>0</v>
      </c>
      <c r="Y16" s="110">
        <f>[11]noerr!W12</f>
        <v>9.3679999999999999E-2</v>
      </c>
      <c r="Z16" s="33">
        <f>[11]noerr!X12</f>
        <v>124553.44687699999</v>
      </c>
      <c r="AA16" s="110">
        <f>[11]noerr!Y12</f>
        <v>400003.48587700003</v>
      </c>
      <c r="AB16" s="110">
        <f>[11]noerr!Z12</f>
        <v>397512.41694000002</v>
      </c>
      <c r="AC16" s="109">
        <f t="shared" si="1"/>
        <v>0</v>
      </c>
      <c r="AD16" s="112">
        <f t="shared" si="2"/>
        <v>9.3679999999999999E-2</v>
      </c>
      <c r="AE16" s="109">
        <f t="shared" si="3"/>
        <v>2511.148608</v>
      </c>
      <c r="AF16" s="113">
        <f t="shared" si="8"/>
        <v>80.084119100335968</v>
      </c>
      <c r="AG16" s="114">
        <f t="shared" si="0"/>
        <v>0.25892287734658481</v>
      </c>
      <c r="AH16" s="114">
        <f t="shared" si="4"/>
        <v>6940.5830810016141</v>
      </c>
      <c r="AI16" s="115">
        <f t="shared" si="9"/>
        <v>80.069223277231501</v>
      </c>
      <c r="AJ16" s="31">
        <f>(Z16-Z16)</f>
        <v>0</v>
      </c>
      <c r="AK16" s="113">
        <f t="shared" si="5"/>
        <v>2491.0689370000036</v>
      </c>
      <c r="AL16" s="116">
        <f t="shared" si="6"/>
        <v>2491.0689370000036</v>
      </c>
      <c r="AM16" s="117">
        <f t="shared" si="7"/>
        <v>18548.499304902027</v>
      </c>
      <c r="AN16" s="113">
        <f t="shared" si="10"/>
        <v>79.831968227898059</v>
      </c>
      <c r="AP16" s="110"/>
    </row>
    <row r="17" spans="1:45" x14ac:dyDescent="0.2">
      <c r="C17" s="34">
        <f>C16+$J$1</f>
        <v>36</v>
      </c>
      <c r="E17" s="3">
        <f>[11]noerr!C13</f>
        <v>57.079267999999999</v>
      </c>
      <c r="F17" s="3">
        <f>[11]noerr!D13</f>
        <v>0.17399999999999999</v>
      </c>
      <c r="G17" s="3">
        <f>[11]noerr!E13</f>
        <v>14.948933</v>
      </c>
      <c r="H17" s="3">
        <f>[11]noerr!F13</f>
        <v>6.5490999999999994E-2</v>
      </c>
      <c r="I17" s="3">
        <f>[11]noerr!G13</f>
        <v>630.88778100000002</v>
      </c>
      <c r="J17" s="3">
        <f>[11]noerr!H13</f>
        <v>81.036951000000002</v>
      </c>
      <c r="K17" s="3">
        <f>[11]noerr!I13</f>
        <v>395660.86647399998</v>
      </c>
      <c r="L17" s="33">
        <f>[11]noerr!J13</f>
        <v>3901.3846149999999</v>
      </c>
      <c r="M17" s="3">
        <f>[11]noerr!K13</f>
        <v>400003.48587700003</v>
      </c>
      <c r="N17" s="3">
        <f>[11]noerr!L13</f>
        <v>14.948933</v>
      </c>
      <c r="O17" s="33">
        <f>[11]noerr!M13</f>
        <v>3803.261285</v>
      </c>
      <c r="P17" s="3">
        <f>[11]noerr!N13</f>
        <v>52.919122000000002</v>
      </c>
      <c r="Q17" s="3">
        <f>[11]noerr!O13</f>
        <v>52.597562000000003</v>
      </c>
      <c r="R17" s="11">
        <f>[11]noerr!P13</f>
        <v>3901.3846149999999</v>
      </c>
      <c r="S17" s="11">
        <f>[11]noerr!Q13</f>
        <v>3823.3569229999998</v>
      </c>
      <c r="T17" s="3">
        <f>[11]noerr!R13</f>
        <v>41.770988000000003</v>
      </c>
      <c r="U17" s="3">
        <f>[11]noerr!S13</f>
        <v>42.026358999999999</v>
      </c>
      <c r="V17" s="3">
        <f>[11]noerr!T13</f>
        <v>15.113007</v>
      </c>
      <c r="W17" s="3">
        <f>[11]noerr!U13</f>
        <v>15.205401</v>
      </c>
      <c r="X17" s="72">
        <f>[11]noerr!V13</f>
        <v>0.164074</v>
      </c>
      <c r="Y17" s="3">
        <f>[11]noerr!W13</f>
        <v>0.256469</v>
      </c>
      <c r="Z17" s="33">
        <f>[11]noerr!X13</f>
        <v>120210.82747400001</v>
      </c>
      <c r="AA17" s="3">
        <f>[11]noerr!Y13</f>
        <v>395660.86647399998</v>
      </c>
      <c r="AB17" s="3">
        <f>[11]noerr!Z13</f>
        <v>393256.64992499998</v>
      </c>
      <c r="AC17">
        <f t="shared" si="1"/>
        <v>4398.1020143999995</v>
      </c>
      <c r="AD17" s="20">
        <f t="shared" si="2"/>
        <v>0.420543</v>
      </c>
      <c r="AE17">
        <f t="shared" si="3"/>
        <v>11272.9074408</v>
      </c>
      <c r="AF17" s="31">
        <f t="shared" si="8"/>
        <v>359.509134274259</v>
      </c>
      <c r="AG17" s="102">
        <f t="shared" si="0"/>
        <v>1.1623420538851974</v>
      </c>
      <c r="AH17" s="102">
        <f t="shared" si="4"/>
        <v>31157.276159625046</v>
      </c>
      <c r="AI17" s="32">
        <f t="shared" si="9"/>
        <v>359.44226478092349</v>
      </c>
      <c r="AJ17" s="31">
        <f>Z16-Z17</f>
        <v>4342.6194029999897</v>
      </c>
      <c r="AK17" s="113">
        <f t="shared" si="5"/>
        <v>2404.2165490000043</v>
      </c>
      <c r="AL17" s="38">
        <f t="shared" si="6"/>
        <v>6746.835951999994</v>
      </c>
      <c r="AM17" s="26">
        <f t="shared" si="7"/>
        <v>50236.940498591961</v>
      </c>
      <c r="AN17" s="31">
        <f t="shared" si="10"/>
        <v>216.21769889979689</v>
      </c>
      <c r="AP17" s="131">
        <f>Z16-Z17</f>
        <v>4342.6194029999897</v>
      </c>
      <c r="AQ17">
        <f>Z17-((L17-L17*$AQ$1)*Z17/L17)</f>
        <v>2404.2165494800138</v>
      </c>
      <c r="AR17" s="3">
        <f>AP17+AQ17</f>
        <v>6746.8359524800035</v>
      </c>
    </row>
    <row r="18" spans="1:45" s="109" customFormat="1" x14ac:dyDescent="0.2">
      <c r="A18" s="109" t="s">
        <v>93</v>
      </c>
      <c r="B18" s="109">
        <v>15</v>
      </c>
      <c r="C18" s="109">
        <v>15</v>
      </c>
      <c r="D18" s="110"/>
      <c r="E18" s="110">
        <f>[11]noerr!C14</f>
        <v>34.582673</v>
      </c>
      <c r="F18" s="110">
        <f>[11]noerr!D14</f>
        <v>5.5E-2</v>
      </c>
      <c r="G18" s="110">
        <f>[11]noerr!E14</f>
        <v>36.798966</v>
      </c>
      <c r="H18" s="110">
        <f>[11]noerr!F14</f>
        <v>0.24295700000000001</v>
      </c>
      <c r="I18" s="110">
        <f>[11]noerr!G14</f>
        <v>555.985815</v>
      </c>
      <c r="J18" s="110">
        <f>[11]noerr!H14</f>
        <v>307.74738200000002</v>
      </c>
      <c r="K18" s="110">
        <f>[11]noerr!I14</f>
        <v>400002.57788</v>
      </c>
      <c r="L18" s="33">
        <f>[11]noerr!J14</f>
        <v>12805.337885000001</v>
      </c>
      <c r="M18" s="110">
        <f>[11]noerr!K14</f>
        <v>400002.57788</v>
      </c>
      <c r="N18" s="110">
        <f>[11]noerr!L14</f>
        <v>36.798966</v>
      </c>
      <c r="O18" s="33">
        <f>[11]noerr!M14</f>
        <v>326.41769199999999</v>
      </c>
      <c r="P18" s="110">
        <f>[11]noerr!N14</f>
        <v>36.223350000000003</v>
      </c>
      <c r="Q18" s="110">
        <f>[11]noerr!O14</f>
        <v>35.299990000000001</v>
      </c>
      <c r="R18" s="11">
        <f>[11]noerr!P14</f>
        <v>12805.337885000001</v>
      </c>
      <c r="S18" s="11">
        <f>[11]noerr!Q14</f>
        <v>12478.920193</v>
      </c>
      <c r="T18" s="110">
        <f>[11]noerr!R14</f>
        <v>135.08046400000001</v>
      </c>
      <c r="U18" s="110">
        <f>[11]noerr!S14</f>
        <v>138.61383499999999</v>
      </c>
      <c r="V18" s="110">
        <f>[11]noerr!T14</f>
        <v>36.798966</v>
      </c>
      <c r="W18" s="110">
        <f>[11]noerr!U14</f>
        <v>37.761536</v>
      </c>
      <c r="X18" s="111">
        <f>[11]noerr!V14</f>
        <v>0</v>
      </c>
      <c r="Y18" s="110">
        <f>[11]noerr!W14</f>
        <v>0.96257000000000004</v>
      </c>
      <c r="Z18" s="33">
        <f>[11]noerr!X14</f>
        <v>400002.57788</v>
      </c>
      <c r="AA18" s="110">
        <f>[11]noerr!Y14</f>
        <v>400002.57788</v>
      </c>
      <c r="AB18" s="110">
        <f>[11]noerr!Z14</f>
        <v>389806.21139100002</v>
      </c>
      <c r="AC18" s="109">
        <f t="shared" si="1"/>
        <v>0</v>
      </c>
      <c r="AD18" s="112">
        <f t="shared" si="2"/>
        <v>0.96257000000000004</v>
      </c>
      <c r="AE18" s="109">
        <f t="shared" si="3"/>
        <v>25802.266392000001</v>
      </c>
      <c r="AF18" s="113">
        <f t="shared" si="8"/>
        <v>822.87116270719889</v>
      </c>
      <c r="AG18" s="114">
        <f t="shared" si="0"/>
        <v>3.5333758314864099</v>
      </c>
      <c r="AH18" s="114">
        <f t="shared" si="4"/>
        <v>94714.259188492098</v>
      </c>
      <c r="AI18" s="115">
        <f t="shared" si="9"/>
        <v>1092.6599506113146</v>
      </c>
      <c r="AJ18" s="31">
        <f>(K18-AA18)</f>
        <v>0</v>
      </c>
      <c r="AK18" s="113">
        <f t="shared" si="5"/>
        <v>10196.366488999978</v>
      </c>
      <c r="AL18" s="116">
        <f t="shared" si="6"/>
        <v>10196.366488999978</v>
      </c>
      <c r="AM18" s="117">
        <f t="shared" si="7"/>
        <v>75922.14487709383</v>
      </c>
      <c r="AN18" s="113">
        <f t="shared" si="10"/>
        <v>326.76574843012844</v>
      </c>
      <c r="AP18" s="110"/>
    </row>
    <row r="19" spans="1:45" x14ac:dyDescent="0.2">
      <c r="C19" s="34">
        <f>C18+$J$1</f>
        <v>26</v>
      </c>
      <c r="E19" s="3">
        <f>[11]noerr!C15</f>
        <v>34.582673</v>
      </c>
      <c r="F19" s="3">
        <f>[11]noerr!D15</f>
        <v>5.5E-2</v>
      </c>
      <c r="G19" s="3">
        <f>[11]noerr!E15</f>
        <v>36.798966</v>
      </c>
      <c r="H19" s="3">
        <f>[11]noerr!F15</f>
        <v>0.24295700000000001</v>
      </c>
      <c r="I19" s="3">
        <f>[11]noerr!G15</f>
        <v>555.985815</v>
      </c>
      <c r="J19" s="3">
        <f>[11]noerr!H15</f>
        <v>307.74738200000002</v>
      </c>
      <c r="K19" s="3">
        <f>[11]noerr!I15</f>
        <v>400002.57788</v>
      </c>
      <c r="L19" s="33">
        <f>[11]noerr!J15</f>
        <v>12805.337885000001</v>
      </c>
      <c r="M19" s="3">
        <f>[11]noerr!K15</f>
        <v>400002.57788</v>
      </c>
      <c r="N19" s="3">
        <f>[11]noerr!L15</f>
        <v>36.798966</v>
      </c>
      <c r="O19" s="33">
        <f>[11]noerr!M15</f>
        <v>331.21465699999999</v>
      </c>
      <c r="P19" s="3">
        <f>[11]noerr!N15</f>
        <v>36.209781</v>
      </c>
      <c r="Q19" s="3">
        <f>[11]noerr!O15</f>
        <v>35.28642</v>
      </c>
      <c r="R19" s="11">
        <f>[11]noerr!P15</f>
        <v>12800.540918999999</v>
      </c>
      <c r="S19" s="11">
        <f>[11]noerr!Q15</f>
        <v>12474.123228</v>
      </c>
      <c r="T19" s="3">
        <f>[11]noerr!R15</f>
        <v>135.13108500000001</v>
      </c>
      <c r="U19" s="3">
        <f>[11]noerr!S15</f>
        <v>138.66713899999999</v>
      </c>
      <c r="V19" s="3">
        <f>[11]noerr!T15</f>
        <v>36.812756</v>
      </c>
      <c r="W19" s="3">
        <f>[11]noerr!U15</f>
        <v>37.776057000000002</v>
      </c>
      <c r="X19" s="72">
        <f>[11]noerr!V15</f>
        <v>1.379E-2</v>
      </c>
      <c r="Y19" s="3">
        <f>[11]noerr!W15</f>
        <v>0.97709100000000004</v>
      </c>
      <c r="Z19" s="33">
        <f>[11]noerr!X15</f>
        <v>400002.57788</v>
      </c>
      <c r="AA19" s="3">
        <f>[11]noerr!Y15</f>
        <v>399852.73423200002</v>
      </c>
      <c r="AB19" s="3">
        <f>[11]noerr!Z15</f>
        <v>389656.36774299998</v>
      </c>
      <c r="AC19">
        <f t="shared" si="1"/>
        <v>369.649224</v>
      </c>
      <c r="AD19" s="20">
        <f t="shared" si="2"/>
        <v>0.99088100000000001</v>
      </c>
      <c r="AE19">
        <f t="shared" si="3"/>
        <v>26561.159733600001</v>
      </c>
      <c r="AF19" s="31">
        <f t="shared" si="8"/>
        <v>847.07335630081138</v>
      </c>
      <c r="AG19" s="102">
        <f t="shared" si="0"/>
        <v>3.637299081915188</v>
      </c>
      <c r="AH19" s="102">
        <f t="shared" si="4"/>
        <v>97499.984270185771</v>
      </c>
      <c r="AI19" s="32">
        <f t="shared" si="9"/>
        <v>1124.7971415291308</v>
      </c>
      <c r="AJ19" s="31">
        <f>K18-AA19</f>
        <v>149.84364799998002</v>
      </c>
      <c r="AK19" s="113">
        <f t="shared" si="5"/>
        <v>10346.210137000016</v>
      </c>
      <c r="AL19" s="38">
        <f t="shared" si="6"/>
        <v>10496.053784999996</v>
      </c>
      <c r="AM19" s="26">
        <f t="shared" si="7"/>
        <v>78153.616483109989</v>
      </c>
      <c r="AN19" s="31">
        <f t="shared" si="10"/>
        <v>336.36990925330934</v>
      </c>
      <c r="AP19" s="11">
        <f>Z18-((L19-(O19-O18))*Z18/L19)</f>
        <v>149.84363421186572</v>
      </c>
      <c r="AQ19">
        <f>Z19-((L19-O19)*Z19/L19)</f>
        <v>10346.210136854963</v>
      </c>
      <c r="AR19" s="3">
        <f>AP19+AQ19</f>
        <v>10496.053771066829</v>
      </c>
    </row>
    <row r="20" spans="1:45" s="109" customFormat="1" x14ac:dyDescent="0.2">
      <c r="B20" s="109">
        <v>20</v>
      </c>
      <c r="C20" s="109">
        <v>20</v>
      </c>
      <c r="D20" s="110"/>
      <c r="E20" s="110">
        <f>[11]noerr!C16</f>
        <v>38.894196999999998</v>
      </c>
      <c r="F20" s="110">
        <f>[11]noerr!D16</f>
        <v>6.9599999999999995E-2</v>
      </c>
      <c r="G20" s="110">
        <f>[11]noerr!E16</f>
        <v>37.057341000000001</v>
      </c>
      <c r="H20" s="110">
        <f>[11]noerr!F16</f>
        <v>0.24882199999999999</v>
      </c>
      <c r="I20" s="110">
        <f>[11]noerr!G16</f>
        <v>546.66168600000003</v>
      </c>
      <c r="J20" s="110">
        <f>[11]noerr!H16</f>
        <v>313.21865300000002</v>
      </c>
      <c r="K20" s="110">
        <f>[11]noerr!I16</f>
        <v>400001.20807599998</v>
      </c>
      <c r="L20" s="33">
        <f>[11]noerr!J16</f>
        <v>13076.136891</v>
      </c>
      <c r="M20" s="110">
        <f>[11]noerr!K16</f>
        <v>400001.20807599998</v>
      </c>
      <c r="N20" s="110">
        <f>[11]noerr!L16</f>
        <v>37.057341000000001</v>
      </c>
      <c r="O20" s="33">
        <f>[11]noerr!M16</f>
        <v>346.55109499999998</v>
      </c>
      <c r="P20" s="110">
        <f>[11]noerr!N16</f>
        <v>35.970666000000001</v>
      </c>
      <c r="Q20" s="110">
        <f>[11]noerr!O16</f>
        <v>35.017352000000002</v>
      </c>
      <c r="R20" s="11">
        <f>[11]noerr!P16</f>
        <v>13076.136891</v>
      </c>
      <c r="S20" s="11">
        <f>[11]noerr!Q16</f>
        <v>12729.585795999999</v>
      </c>
      <c r="T20" s="110">
        <f>[11]noerr!R16</f>
        <v>136.02172200000001</v>
      </c>
      <c r="U20" s="110">
        <f>[11]noerr!S16</f>
        <v>139.72478699999999</v>
      </c>
      <c r="V20" s="110">
        <f>[11]noerr!T16</f>
        <v>37.057341000000001</v>
      </c>
      <c r="W20" s="110">
        <f>[11]noerr!U16</f>
        <v>38.066192999999998</v>
      </c>
      <c r="X20" s="111">
        <f>[11]noerr!V16</f>
        <v>0</v>
      </c>
      <c r="Y20" s="110">
        <f>[11]noerr!W16</f>
        <v>1.0088520000000001</v>
      </c>
      <c r="Z20" s="33">
        <f>[11]noerr!X16</f>
        <v>400001.20807599998</v>
      </c>
      <c r="AA20" s="110">
        <f>[11]noerr!Y16</f>
        <v>400001.20807599998</v>
      </c>
      <c r="AB20" s="110">
        <f>[11]noerr!Z16</f>
        <v>389400.152282</v>
      </c>
      <c r="AC20" s="109">
        <f t="shared" si="1"/>
        <v>0</v>
      </c>
      <c r="AD20" s="112">
        <f t="shared" si="2"/>
        <v>1.0088520000000001</v>
      </c>
      <c r="AE20" s="109">
        <f t="shared" si="3"/>
        <v>27042.883171199999</v>
      </c>
      <c r="AF20" s="113">
        <f t="shared" si="8"/>
        <v>862.43620540790062</v>
      </c>
      <c r="AG20" s="114">
        <f t="shared" si="0"/>
        <v>3.703058887711336</v>
      </c>
      <c r="AH20" s="114">
        <f t="shared" si="4"/>
        <v>99262.715320434989</v>
      </c>
      <c r="AI20" s="115">
        <f t="shared" si="9"/>
        <v>1145.1326816981486</v>
      </c>
      <c r="AJ20" s="31">
        <f>(K20-AA20)</f>
        <v>0</v>
      </c>
      <c r="AK20" s="113">
        <f t="shared" si="5"/>
        <v>10601.055793999985</v>
      </c>
      <c r="AL20" s="116">
        <f t="shared" si="6"/>
        <v>10601.055793999985</v>
      </c>
      <c r="AM20" s="117">
        <f t="shared" si="7"/>
        <v>78935.46144212388</v>
      </c>
      <c r="AN20" s="113">
        <f t="shared" si="10"/>
        <v>339.73493738313999</v>
      </c>
      <c r="AP20" s="110"/>
    </row>
    <row r="21" spans="1:45" x14ac:dyDescent="0.2">
      <c r="B21"/>
      <c r="C21" s="34">
        <f>C20+$J$1</f>
        <v>31</v>
      </c>
      <c r="E21" s="3">
        <f>[11]noerr!C17</f>
        <v>38.894196999999998</v>
      </c>
      <c r="F21" s="3">
        <f>[11]noerr!D17</f>
        <v>6.9599999999999995E-2</v>
      </c>
      <c r="G21" s="3">
        <f>[11]noerr!E17</f>
        <v>37.057341000000001</v>
      </c>
      <c r="H21" s="3">
        <f>[11]noerr!F17</f>
        <v>0.24882199999999999</v>
      </c>
      <c r="I21" s="3">
        <f>[11]noerr!G17</f>
        <v>546.66168600000003</v>
      </c>
      <c r="J21" s="3">
        <f>[11]noerr!H17</f>
        <v>313.21865300000002</v>
      </c>
      <c r="K21" s="3">
        <f>[11]noerr!I17</f>
        <v>400001.20807599998</v>
      </c>
      <c r="L21" s="33">
        <f>[11]noerr!J17</f>
        <v>13076.136891</v>
      </c>
      <c r="M21" s="3">
        <f>[11]noerr!K17</f>
        <v>400001.20807599998</v>
      </c>
      <c r="N21" s="3">
        <f>[11]noerr!L17</f>
        <v>37.057341000000001</v>
      </c>
      <c r="O21" s="33">
        <f>[11]noerr!M17</f>
        <v>352.00377200000003</v>
      </c>
      <c r="P21" s="3">
        <f>[11]noerr!N17</f>
        <v>35.955666999999998</v>
      </c>
      <c r="Q21" s="3">
        <f>[11]noerr!O17</f>
        <v>35.002352000000002</v>
      </c>
      <c r="R21" s="11">
        <f>[11]noerr!P17</f>
        <v>13070.684214999999</v>
      </c>
      <c r="S21" s="11">
        <f>[11]noerr!Q17</f>
        <v>12724.13312</v>
      </c>
      <c r="T21" s="3">
        <f>[11]noerr!R17</f>
        <v>136.07846599999999</v>
      </c>
      <c r="U21" s="3">
        <f>[11]noerr!S17</f>
        <v>139.78466299999999</v>
      </c>
      <c r="V21" s="3">
        <f>[11]noerr!T17</f>
        <v>37.072800000000001</v>
      </c>
      <c r="W21" s="3">
        <f>[11]noerr!U17</f>
        <v>38.082504999999998</v>
      </c>
      <c r="X21" s="72">
        <f>[11]noerr!V17</f>
        <v>1.5459000000000001E-2</v>
      </c>
      <c r="Y21" s="3">
        <f>[11]noerr!W17</f>
        <v>1.025164</v>
      </c>
      <c r="Z21" s="33">
        <f>[11]noerr!X17</f>
        <v>400001.20807599998</v>
      </c>
      <c r="AA21" s="3">
        <f>[11]noerr!Y17</f>
        <v>399834.40979000001</v>
      </c>
      <c r="AB21" s="3">
        <f>[11]noerr!Z17</f>
        <v>389233.35399600002</v>
      </c>
      <c r="AC21">
        <f t="shared" si="1"/>
        <v>414.38777039999997</v>
      </c>
      <c r="AD21" s="20">
        <f t="shared" si="2"/>
        <v>1.0406230000000001</v>
      </c>
      <c r="AE21">
        <f t="shared" si="3"/>
        <v>27894.523888800002</v>
      </c>
      <c r="AF21" s="31">
        <f t="shared" si="8"/>
        <v>889.59624541576568</v>
      </c>
      <c r="AG21" s="102">
        <f t="shared" si="0"/>
        <v>3.8196764727698849</v>
      </c>
      <c r="AH21" s="102">
        <f t="shared" si="4"/>
        <v>102388.71965848042</v>
      </c>
      <c r="AI21" s="32">
        <f t="shared" si="9"/>
        <v>1181.1954643761183</v>
      </c>
      <c r="AJ21" s="31">
        <f>K20-AA21</f>
        <v>166.79828599997563</v>
      </c>
      <c r="AK21" s="113">
        <f t="shared" si="5"/>
        <v>10767.854079999961</v>
      </c>
      <c r="AL21" s="38">
        <f t="shared" si="6"/>
        <v>10934.652365999937</v>
      </c>
      <c r="AM21" s="26">
        <f t="shared" si="7"/>
        <v>81419.421517235518</v>
      </c>
      <c r="AN21" s="31">
        <f t="shared" si="10"/>
        <v>350.42579805795873</v>
      </c>
      <c r="AP21" s="11">
        <f>Z20-((L21-(O21-O20))*Z20/L21)</f>
        <v>166.79829871997936</v>
      </c>
      <c r="AQ21">
        <f>Z21-((L21-O21)*Z21/L21)</f>
        <v>10767.854085729225</v>
      </c>
      <c r="AR21" s="3">
        <f>AP21+AQ21</f>
        <v>10934.652384449204</v>
      </c>
    </row>
    <row r="22" spans="1:45" s="109" customFormat="1" x14ac:dyDescent="0.2">
      <c r="B22" s="118">
        <v>25</v>
      </c>
      <c r="C22" s="109">
        <v>25</v>
      </c>
      <c r="D22" s="110"/>
      <c r="E22" s="110">
        <f>[11]noerr!C18</f>
        <v>43.285657</v>
      </c>
      <c r="F22" s="110">
        <f>[11]noerr!D18</f>
        <v>8.7800000000000003E-2</v>
      </c>
      <c r="G22" s="110">
        <f>[11]noerr!E18</f>
        <v>37.337328999999997</v>
      </c>
      <c r="H22" s="110">
        <f>[11]noerr!F18</f>
        <v>0.25498199999999999</v>
      </c>
      <c r="I22" s="110">
        <f>[11]noerr!G18</f>
        <v>537.458122</v>
      </c>
      <c r="J22" s="110">
        <f>[11]noerr!H18</f>
        <v>318.93919099999999</v>
      </c>
      <c r="K22" s="110">
        <f>[11]noerr!I18</f>
        <v>400002.08498300001</v>
      </c>
      <c r="L22" s="33">
        <f>[11]noerr!J18</f>
        <v>13355.219821000001</v>
      </c>
      <c r="M22" s="110">
        <f>[11]noerr!K18</f>
        <v>400002.08498300001</v>
      </c>
      <c r="N22" s="110">
        <f>[11]noerr!L18</f>
        <v>37.337328999999997</v>
      </c>
      <c r="O22" s="33">
        <f>[11]noerr!M18</f>
        <v>365.33431899999999</v>
      </c>
      <c r="P22" s="110">
        <f>[11]noerr!N18</f>
        <v>35.701006</v>
      </c>
      <c r="Q22" s="110">
        <f>[11]noerr!O18</f>
        <v>34.724398999999998</v>
      </c>
      <c r="R22" s="11">
        <f>[11]noerr!P18</f>
        <v>13355.219821000001</v>
      </c>
      <c r="S22" s="11">
        <f>[11]noerr!Q18</f>
        <v>12989.885501999999</v>
      </c>
      <c r="T22" s="110">
        <f>[11]noerr!R18</f>
        <v>137.04205300000001</v>
      </c>
      <c r="U22" s="110">
        <f>[11]noerr!S18</f>
        <v>140.89629500000001</v>
      </c>
      <c r="V22" s="110">
        <f>[11]noerr!T18</f>
        <v>37.337328999999997</v>
      </c>
      <c r="W22" s="110">
        <f>[11]noerr!U18</f>
        <v>38.387422999999998</v>
      </c>
      <c r="X22" s="111">
        <f>[11]noerr!V18</f>
        <v>0</v>
      </c>
      <c r="Y22" s="110">
        <f>[11]noerr!W18</f>
        <v>1.050095</v>
      </c>
      <c r="Z22" s="33">
        <f>[11]noerr!X18</f>
        <v>400002.08498300001</v>
      </c>
      <c r="AA22" s="110">
        <f>[11]noerr!Y18</f>
        <v>400002.08498300001</v>
      </c>
      <c r="AB22" s="110">
        <f>[11]noerr!Z18</f>
        <v>389059.95964700001</v>
      </c>
      <c r="AC22" s="109">
        <f t="shared" si="1"/>
        <v>0</v>
      </c>
      <c r="AD22" s="112">
        <f t="shared" si="2"/>
        <v>1.050095</v>
      </c>
      <c r="AE22" s="109">
        <f t="shared" si="3"/>
        <v>28148.426532000001</v>
      </c>
      <c r="AF22" s="113">
        <f t="shared" si="8"/>
        <v>897.69356369200784</v>
      </c>
      <c r="AG22" s="114">
        <f t="shared" si="0"/>
        <v>3.854246596240074</v>
      </c>
      <c r="AH22" s="114">
        <f t="shared" si="4"/>
        <v>103315.39256017293</v>
      </c>
      <c r="AI22" s="115">
        <f t="shared" si="9"/>
        <v>1191.8859177003753</v>
      </c>
      <c r="AJ22" s="31">
        <f>(K22-AA22)</f>
        <v>0</v>
      </c>
      <c r="AK22" s="113">
        <f t="shared" si="5"/>
        <v>10942.125335999997</v>
      </c>
      <c r="AL22" s="116">
        <f t="shared" si="6"/>
        <v>10942.125335999997</v>
      </c>
      <c r="AM22" s="117">
        <f t="shared" si="7"/>
        <v>81475.065251855965</v>
      </c>
      <c r="AN22" s="113">
        <f t="shared" si="10"/>
        <v>350.66528637349739</v>
      </c>
      <c r="AP22" s="110"/>
    </row>
    <row r="23" spans="1:45" x14ac:dyDescent="0.2">
      <c r="C23" s="34">
        <f>C22+$J$1</f>
        <v>36</v>
      </c>
      <c r="E23" s="3">
        <f>[11]noerr!C19</f>
        <v>43.285657</v>
      </c>
      <c r="F23" s="3">
        <f>[11]noerr!D19</f>
        <v>8.7800000000000003E-2</v>
      </c>
      <c r="G23" s="3">
        <f>[11]noerr!E19</f>
        <v>37.337328999999997</v>
      </c>
      <c r="H23" s="3">
        <f>[11]noerr!F19</f>
        <v>0.25498199999999999</v>
      </c>
      <c r="I23" s="3">
        <f>[11]noerr!G19</f>
        <v>537.458122</v>
      </c>
      <c r="J23" s="3">
        <f>[11]noerr!H19</f>
        <v>318.93919099999999</v>
      </c>
      <c r="K23" s="3">
        <f>[11]noerr!I19</f>
        <v>400002.08498300001</v>
      </c>
      <c r="L23" s="33">
        <f>[11]noerr!J19</f>
        <v>13355.219821000001</v>
      </c>
      <c r="M23" s="3">
        <f>[11]noerr!K19</f>
        <v>400002.08498300001</v>
      </c>
      <c r="N23" s="3">
        <f>[11]noerr!L19</f>
        <v>37.337328999999997</v>
      </c>
      <c r="O23" s="33">
        <f>[11]noerr!M19</f>
        <v>371.40179599999999</v>
      </c>
      <c r="P23" s="3">
        <f>[11]noerr!N19</f>
        <v>35.684786000000003</v>
      </c>
      <c r="Q23" s="3">
        <f>[11]noerr!O19</f>
        <v>34.708179000000001</v>
      </c>
      <c r="R23" s="11">
        <f>[11]noerr!P19</f>
        <v>13349.152343</v>
      </c>
      <c r="S23" s="11">
        <f>[11]noerr!Q19</f>
        <v>12983.818024</v>
      </c>
      <c r="T23" s="3">
        <f>[11]noerr!R19</f>
        <v>137.10434100000001</v>
      </c>
      <c r="U23" s="3">
        <f>[11]noerr!S19</f>
        <v>140.96213700000001</v>
      </c>
      <c r="V23" s="3">
        <f>[11]noerr!T19</f>
        <v>37.354298999999997</v>
      </c>
      <c r="W23" s="3">
        <f>[11]noerr!U19</f>
        <v>38.405361999999997</v>
      </c>
      <c r="X23" s="72">
        <f>[11]noerr!V19</f>
        <v>1.6971E-2</v>
      </c>
      <c r="Y23" s="3">
        <f>[11]noerr!W19</f>
        <v>1.068033</v>
      </c>
      <c r="Z23" s="33">
        <f>[11]noerr!X19</f>
        <v>400002.08498300001</v>
      </c>
      <c r="AA23" s="3">
        <f>[11]noerr!Y19</f>
        <v>399820.35800299997</v>
      </c>
      <c r="AB23" s="3">
        <f>[11]noerr!Z19</f>
        <v>388878.23266699997</v>
      </c>
      <c r="AC23">
        <f t="shared" si="1"/>
        <v>454.91783759999998</v>
      </c>
      <c r="AD23" s="20">
        <f t="shared" si="2"/>
        <v>1.0850040000000001</v>
      </c>
      <c r="AE23">
        <f t="shared" si="3"/>
        <v>29084.183222400003</v>
      </c>
      <c r="AF23" s="31">
        <f t="shared" si="8"/>
        <v>927.53618232644033</v>
      </c>
      <c r="AG23" s="102">
        <f t="shared" si="0"/>
        <v>3.9823758554291544</v>
      </c>
      <c r="AH23" s="102">
        <f t="shared" si="4"/>
        <v>106749.97423029174</v>
      </c>
      <c r="AI23" s="32">
        <f t="shared" si="9"/>
        <v>1231.5085666045284</v>
      </c>
      <c r="AJ23" s="31">
        <f>K22-AA23</f>
        <v>181.72698000003584</v>
      </c>
      <c r="AK23" s="113">
        <f t="shared" si="5"/>
        <v>11123.852316000033</v>
      </c>
      <c r="AL23" s="38">
        <f t="shared" si="6"/>
        <v>11305.579296000069</v>
      </c>
      <c r="AM23" s="26">
        <f t="shared" si="7"/>
        <v>84181.343438016513</v>
      </c>
      <c r="AN23" s="31">
        <f t="shared" si="10"/>
        <v>362.31299493589978</v>
      </c>
      <c r="AP23" s="11">
        <f>Z22-((L23-(O23-O22))*Z22/L23)</f>
        <v>181.72695643472252</v>
      </c>
      <c r="AQ23">
        <f>Z23-((L23-O23)*Z23/L23)</f>
        <v>11123.852303264197</v>
      </c>
      <c r="AR23" s="3">
        <f>AP23+AQ23</f>
        <v>11305.579259698919</v>
      </c>
    </row>
    <row r="24" spans="1:45" s="109" customFormat="1" x14ac:dyDescent="0.2">
      <c r="A24" s="109" t="s">
        <v>56</v>
      </c>
      <c r="B24" s="109">
        <v>15</v>
      </c>
      <c r="C24" s="109">
        <v>15</v>
      </c>
      <c r="D24" s="110"/>
      <c r="E24" s="110">
        <f>[11]noerr!C20</f>
        <v>36.007736000000001</v>
      </c>
      <c r="F24" s="110">
        <f>[11]noerr!D20</f>
        <v>5.9499999999999997E-2</v>
      </c>
      <c r="G24" s="110">
        <f>[11]noerr!E20</f>
        <v>36.924014999999997</v>
      </c>
      <c r="H24" s="110">
        <f>[11]noerr!F20</f>
        <v>0.243726</v>
      </c>
      <c r="I24" s="110">
        <f>[11]noerr!G20</f>
        <v>556.11086499999999</v>
      </c>
      <c r="J24" s="110">
        <f>[11]noerr!H20</f>
        <v>309.46816200000001</v>
      </c>
      <c r="K24" s="110">
        <f>[11]noerr!I20</f>
        <v>400002.05902500002</v>
      </c>
      <c r="L24" s="33">
        <f>[11]noerr!J20</f>
        <v>12890.115089000001</v>
      </c>
      <c r="M24" s="110">
        <f>[11]noerr!K20</f>
        <v>400002.05902500002</v>
      </c>
      <c r="N24" s="110">
        <f>[11]noerr!L20</f>
        <v>36.924014999999997</v>
      </c>
      <c r="O24" s="33">
        <f>[11]noerr!M20</f>
        <v>0</v>
      </c>
      <c r="P24" s="110">
        <f>[11]noerr!N20</f>
        <v>36.100627000000003</v>
      </c>
      <c r="Q24" s="110">
        <f>[11]noerr!O20</f>
        <v>35.378613999999999</v>
      </c>
      <c r="R24" s="11">
        <f>[11]noerr!P20</f>
        <v>12890.115089000001</v>
      </c>
      <c r="S24" s="11">
        <f>[11]noerr!Q20</f>
        <v>12632.312787000001</v>
      </c>
      <c r="T24" s="110">
        <f>[11]noerr!R20</f>
        <v>135.53861699999999</v>
      </c>
      <c r="U24" s="110">
        <f>[11]noerr!S20</f>
        <v>138.304711</v>
      </c>
      <c r="V24" s="110">
        <f>[11]noerr!T20</f>
        <v>36.924014999999997</v>
      </c>
      <c r="W24" s="110">
        <f>[11]noerr!U20</f>
        <v>37.677567000000003</v>
      </c>
      <c r="X24" s="111">
        <f>[11]noerr!V20</f>
        <v>0</v>
      </c>
      <c r="Y24" s="110">
        <f>[11]noerr!W20</f>
        <v>0.75355099999999997</v>
      </c>
      <c r="Z24" s="33">
        <f>[11]noerr!X20</f>
        <v>400002.05902500002</v>
      </c>
      <c r="AA24" s="110">
        <f>[11]noerr!Y20</f>
        <v>400002.05902500002</v>
      </c>
      <c r="AB24" s="110">
        <f>[11]noerr!Z20</f>
        <v>392002.01784500002</v>
      </c>
      <c r="AC24" s="109">
        <f t="shared" si="1"/>
        <v>0</v>
      </c>
      <c r="AD24" s="112">
        <f t="shared" si="2"/>
        <v>0.75355099999999997</v>
      </c>
      <c r="AE24" s="109">
        <f t="shared" si="3"/>
        <v>20199.386685599999</v>
      </c>
      <c r="AF24" s="113">
        <f>AE24*$AF$6/$AE$6</f>
        <v>644.1873188746506</v>
      </c>
      <c r="AG24" s="114">
        <f t="shared" si="0"/>
        <v>2.7660942438990901</v>
      </c>
      <c r="AH24" s="114">
        <f t="shared" si="4"/>
        <v>74146.815864261443</v>
      </c>
      <c r="AI24" s="115">
        <f t="shared" si="9"/>
        <v>855.38605120688999</v>
      </c>
      <c r="AJ24" s="31">
        <f>(K24-AA24)</f>
        <v>0</v>
      </c>
      <c r="AK24" s="113">
        <f t="shared" si="5"/>
        <v>8000.0411800000002</v>
      </c>
      <c r="AL24" s="116">
        <f t="shared" si="6"/>
        <v>8000.0411800000002</v>
      </c>
      <c r="AM24" s="117">
        <f t="shared" si="7"/>
        <v>59568.306626280006</v>
      </c>
      <c r="AN24" s="113">
        <f t="shared" si="10"/>
        <v>256.37950994354003</v>
      </c>
      <c r="AP24" s="110"/>
    </row>
    <row r="25" spans="1:45" x14ac:dyDescent="0.2">
      <c r="C25" s="34">
        <f>C24+$J$1</f>
        <v>26</v>
      </c>
      <c r="E25" s="3">
        <f>[11]noerr!C21</f>
        <v>47.044750000000001</v>
      </c>
      <c r="F25" s="3">
        <f>[11]noerr!D21</f>
        <v>0.1065</v>
      </c>
      <c r="G25" s="3">
        <f>[11]noerr!E21</f>
        <v>36.924014999999997</v>
      </c>
      <c r="H25" s="3">
        <f>[11]noerr!F21</f>
        <v>0.243726</v>
      </c>
      <c r="I25" s="3">
        <f>[11]noerr!G21</f>
        <v>556.11086499999999</v>
      </c>
      <c r="J25" s="3">
        <f>[11]noerr!H21</f>
        <v>313.954249</v>
      </c>
      <c r="K25" s="3">
        <f>[11]noerr!I21</f>
        <v>387742.35325300001</v>
      </c>
      <c r="L25" s="33">
        <f>[11]noerr!J21</f>
        <v>13176.157633999999</v>
      </c>
      <c r="M25" s="3">
        <f>[11]noerr!K21</f>
        <v>400002.05902500002</v>
      </c>
      <c r="N25" s="3">
        <f>[11]noerr!L21</f>
        <v>36.924014999999997</v>
      </c>
      <c r="O25" s="33">
        <f>[11]noerr!M21</f>
        <v>0</v>
      </c>
      <c r="P25" s="3">
        <f>[11]noerr!N21</f>
        <v>34.994174999999998</v>
      </c>
      <c r="Q25" s="3">
        <f>[11]noerr!O21</f>
        <v>34.294291000000001</v>
      </c>
      <c r="R25" s="11">
        <f>[11]noerr!P21</f>
        <v>13176.157633999999</v>
      </c>
      <c r="S25" s="11">
        <f>[11]noerr!Q21</f>
        <v>12912.634480999999</v>
      </c>
      <c r="T25" s="3">
        <f>[11]noerr!R21</f>
        <v>139.82409999999999</v>
      </c>
      <c r="U25" s="3">
        <f>[11]noerr!S21</f>
        <v>142.67765299999999</v>
      </c>
      <c r="V25" s="3">
        <f>[11]noerr!T21</f>
        <v>38.091484999999999</v>
      </c>
      <c r="W25" s="3">
        <f>[11]noerr!U21</f>
        <v>38.868862999999997</v>
      </c>
      <c r="X25" s="72">
        <f>[11]noerr!V21</f>
        <v>1.16747</v>
      </c>
      <c r="Y25" s="3">
        <f>[11]noerr!W21</f>
        <v>1.944847</v>
      </c>
      <c r="Z25" s="33">
        <f>[11]noerr!X21</f>
        <v>387742.35325300001</v>
      </c>
      <c r="AA25" s="3">
        <f>[11]noerr!Y21</f>
        <v>387742.35325300001</v>
      </c>
      <c r="AB25" s="3">
        <f>[11]noerr!Z21</f>
        <v>379987.50618800003</v>
      </c>
      <c r="AC25">
        <f t="shared" si="1"/>
        <v>31294.733831999998</v>
      </c>
      <c r="AD25" s="20">
        <f t="shared" si="2"/>
        <v>3.112317</v>
      </c>
      <c r="AE25">
        <f t="shared" si="3"/>
        <v>83427.524575200005</v>
      </c>
      <c r="AF25" s="31">
        <f t="shared" si="8"/>
        <v>2660.6230284585863</v>
      </c>
      <c r="AG25" s="102">
        <f t="shared" si="0"/>
        <v>11.424524868110183</v>
      </c>
      <c r="AH25" s="102">
        <f t="shared" si="4"/>
        <v>306241.24380461429</v>
      </c>
      <c r="AI25" s="32">
        <f t="shared" si="9"/>
        <v>3532.9162176602217</v>
      </c>
      <c r="AJ25" s="31">
        <f>K24-AA25</f>
        <v>12259.705772000016</v>
      </c>
      <c r="AK25" s="113">
        <f t="shared" si="5"/>
        <v>7754.8470649999799</v>
      </c>
      <c r="AL25" s="38">
        <f t="shared" si="6"/>
        <v>20014.552836999996</v>
      </c>
      <c r="AM25" s="26">
        <f t="shared" si="7"/>
        <v>149028.36042430199</v>
      </c>
      <c r="AN25" s="31">
        <f t="shared" si="10"/>
        <v>641.4118543436233</v>
      </c>
      <c r="AP25" s="131">
        <f>Z24-Z25</f>
        <v>12259.705772000016</v>
      </c>
      <c r="AQ25">
        <f>Z25-((L25-L25*$AQ$1)*Z25/L25)</f>
        <v>7754.847065059992</v>
      </c>
      <c r="AR25" s="3">
        <f>AP25+AQ25</f>
        <v>20014.552837060008</v>
      </c>
      <c r="AS25" s="3"/>
    </row>
    <row r="26" spans="1:45" s="109" customFormat="1" x14ac:dyDescent="0.2">
      <c r="B26" s="109">
        <v>20</v>
      </c>
      <c r="C26" s="109">
        <v>20</v>
      </c>
      <c r="D26" s="110"/>
      <c r="E26" s="110">
        <f>[11]noerr!C22</f>
        <v>41.030777</v>
      </c>
      <c r="F26" s="110">
        <f>[11]noerr!D22</f>
        <v>7.8E-2</v>
      </c>
      <c r="G26" s="110">
        <f>[11]noerr!E22</f>
        <v>37.253042000000001</v>
      </c>
      <c r="H26" s="110">
        <f>[11]noerr!F22</f>
        <v>0.25004500000000002</v>
      </c>
      <c r="I26" s="110">
        <f>[11]noerr!G22</f>
        <v>546.85738700000002</v>
      </c>
      <c r="J26" s="110">
        <f>[11]noerr!H22</f>
        <v>315.90725300000003</v>
      </c>
      <c r="K26" s="110">
        <f>[11]noerr!I22</f>
        <v>400001.25352299999</v>
      </c>
      <c r="L26" s="33">
        <f>[11]noerr!J22</f>
        <v>13206.880402999999</v>
      </c>
      <c r="M26" s="110">
        <f>[11]noerr!K22</f>
        <v>400001.25352299999</v>
      </c>
      <c r="N26" s="110">
        <f>[11]noerr!L22</f>
        <v>37.253042000000001</v>
      </c>
      <c r="O26" s="33">
        <f>[11]noerr!M22</f>
        <v>0</v>
      </c>
      <c r="P26" s="110">
        <f>[11]noerr!N22</f>
        <v>35.781706999999997</v>
      </c>
      <c r="Q26" s="110">
        <f>[11]noerr!O22</f>
        <v>35.066071999999998</v>
      </c>
      <c r="R26" s="11">
        <f>[11]noerr!P22</f>
        <v>13206.880402999999</v>
      </c>
      <c r="S26" s="11">
        <f>[11]noerr!Q22</f>
        <v>12942.742795</v>
      </c>
      <c r="T26" s="110">
        <f>[11]noerr!R22</f>
        <v>136.73872900000001</v>
      </c>
      <c r="U26" s="110">
        <f>[11]noerr!S22</f>
        <v>139.529315</v>
      </c>
      <c r="V26" s="110">
        <f>[11]noerr!T22</f>
        <v>37.253042000000001</v>
      </c>
      <c r="W26" s="110">
        <f>[11]noerr!U22</f>
        <v>38.013308000000002</v>
      </c>
      <c r="X26" s="111">
        <f>[11]noerr!V22</f>
        <v>0</v>
      </c>
      <c r="Y26" s="110">
        <f>[11]noerr!W22</f>
        <v>0.760266</v>
      </c>
      <c r="Z26" s="33">
        <f>[11]noerr!X22</f>
        <v>400001.25352299999</v>
      </c>
      <c r="AA26" s="110">
        <f>[11]noerr!Y22</f>
        <v>400001.25352299999</v>
      </c>
      <c r="AB26" s="110">
        <f>[11]noerr!Z22</f>
        <v>392001.22845300002</v>
      </c>
      <c r="AC26" s="109">
        <f t="shared" si="1"/>
        <v>0</v>
      </c>
      <c r="AD26" s="112">
        <f t="shared" si="2"/>
        <v>0.760266</v>
      </c>
      <c r="AE26" s="109">
        <f t="shared" si="3"/>
        <v>20379.386289599999</v>
      </c>
      <c r="AF26" s="113">
        <f t="shared" si="8"/>
        <v>649.92776357745538</v>
      </c>
      <c r="AG26" s="114">
        <f t="shared" si="0"/>
        <v>2.7905903258787248</v>
      </c>
      <c r="AH26" s="114">
        <f t="shared" si="4"/>
        <v>74803.448039374736</v>
      </c>
      <c r="AI26" s="115">
        <f t="shared" si="9"/>
        <v>862.961211337755</v>
      </c>
      <c r="AJ26" s="31">
        <f>(K26-AA26)</f>
        <v>0</v>
      </c>
      <c r="AK26" s="113">
        <f t="shared" si="5"/>
        <v>8000.0250699999742</v>
      </c>
      <c r="AL26" s="116">
        <f t="shared" si="6"/>
        <v>8000.0250699999742</v>
      </c>
      <c r="AM26" s="117">
        <f t="shared" si="7"/>
        <v>59568.18667121981</v>
      </c>
      <c r="AN26" s="113">
        <f t="shared" si="10"/>
        <v>256.37899366195865</v>
      </c>
      <c r="AP26" s="110"/>
    </row>
    <row r="27" spans="1:45" x14ac:dyDescent="0.2">
      <c r="B27"/>
      <c r="C27" s="34">
        <f>C26+$J$1</f>
        <v>31</v>
      </c>
      <c r="E27" s="3">
        <f>[11]noerr!C23</f>
        <v>52.103980999999997</v>
      </c>
      <c r="F27" s="3">
        <f>[11]noerr!D23</f>
        <v>0.13700000000000001</v>
      </c>
      <c r="G27" s="3">
        <f>[11]noerr!E23</f>
        <v>37.253042000000001</v>
      </c>
      <c r="H27" s="3">
        <f>[11]noerr!F23</f>
        <v>0.25004500000000002</v>
      </c>
      <c r="I27" s="3">
        <f>[11]noerr!G23</f>
        <v>546.85738700000002</v>
      </c>
      <c r="J27" s="3">
        <f>[11]noerr!H23</f>
        <v>319.999999</v>
      </c>
      <c r="K27" s="3">
        <f>[11]noerr!I23</f>
        <v>386925.81733699999</v>
      </c>
      <c r="L27" s="33">
        <f>[11]noerr!J23</f>
        <v>13468.386214</v>
      </c>
      <c r="M27" s="3">
        <f>[11]noerr!K23</f>
        <v>400001.25352299999</v>
      </c>
      <c r="N27" s="3">
        <f>[11]noerr!L23</f>
        <v>37.253042000000001</v>
      </c>
      <c r="O27" s="33">
        <f>[11]noerr!M23</f>
        <v>0</v>
      </c>
      <c r="P27" s="3">
        <f>[11]noerr!N23</f>
        <v>34.612057</v>
      </c>
      <c r="Q27" s="3">
        <f>[11]noerr!O23</f>
        <v>33.919815999999997</v>
      </c>
      <c r="R27" s="11">
        <f>[11]noerr!P23</f>
        <v>13468.386214</v>
      </c>
      <c r="S27" s="11">
        <f>[11]noerr!Q23</f>
        <v>13199.01849</v>
      </c>
      <c r="T27" s="3">
        <f>[11]noerr!R23</f>
        <v>141.35955899999999</v>
      </c>
      <c r="U27" s="3">
        <f>[11]noerr!S23</f>
        <v>144.24444800000001</v>
      </c>
      <c r="V27" s="3">
        <f>[11]noerr!T23</f>
        <v>38.511938999999998</v>
      </c>
      <c r="W27" s="3">
        <f>[11]noerr!U23</f>
        <v>39.297896999999999</v>
      </c>
      <c r="X27" s="72">
        <f>[11]noerr!V23</f>
        <v>1.2588969999999999</v>
      </c>
      <c r="Y27" s="3">
        <f>[11]noerr!W23</f>
        <v>2.0448550000000001</v>
      </c>
      <c r="Z27" s="33">
        <f>[11]noerr!X23</f>
        <v>386925.81733699999</v>
      </c>
      <c r="AA27" s="3">
        <f>[11]noerr!Y23</f>
        <v>386925.81733699999</v>
      </c>
      <c r="AB27" s="3">
        <f>[11]noerr!Z23</f>
        <v>379187.30099100003</v>
      </c>
      <c r="AC27">
        <f t="shared" si="1"/>
        <v>33745.489423199993</v>
      </c>
      <c r="AD27" s="20">
        <f t="shared" si="2"/>
        <v>3.3037520000000002</v>
      </c>
      <c r="AE27">
        <f t="shared" si="3"/>
        <v>88559.054611200001</v>
      </c>
      <c r="AF27" s="31">
        <f t="shared" si="8"/>
        <v>2824.2748574506099</v>
      </c>
      <c r="AG27" s="102">
        <f t="shared" si="0"/>
        <v>12.126569345863828</v>
      </c>
      <c r="AH27" s="102">
        <f t="shared" si="4"/>
        <v>325059.96725748747</v>
      </c>
      <c r="AI27" s="32">
        <f t="shared" si="9"/>
        <v>3750.0162152188022</v>
      </c>
      <c r="AJ27" s="31">
        <f>K26-AA27</f>
        <v>13075.436186000006</v>
      </c>
      <c r="AK27" s="113">
        <f t="shared" si="5"/>
        <v>7738.5163459999603</v>
      </c>
      <c r="AL27" s="38">
        <f t="shared" si="6"/>
        <v>20813.952531999967</v>
      </c>
      <c r="AM27" s="26">
        <f t="shared" si="7"/>
        <v>154980.69055327174</v>
      </c>
      <c r="AN27" s="31">
        <f t="shared" si="10"/>
        <v>667.03043522861651</v>
      </c>
      <c r="AP27" s="131">
        <f>Z26-Z27</f>
        <v>13075.436186000006</v>
      </c>
      <c r="AQ27">
        <f>Z27-((L27-L27*$AQ$1)*Z27/L27)</f>
        <v>7738.5163467400707</v>
      </c>
      <c r="AR27" s="3">
        <f>AP27+AQ27</f>
        <v>20813.952532740077</v>
      </c>
      <c r="AS27" s="3">
        <f>AR27+(Z22-Z26)</f>
        <v>20814.783992740093</v>
      </c>
    </row>
    <row r="28" spans="1:45" s="109" customFormat="1" x14ac:dyDescent="0.2">
      <c r="B28" s="118">
        <v>25</v>
      </c>
      <c r="C28" s="109">
        <v>25</v>
      </c>
      <c r="D28" s="110"/>
      <c r="E28" s="110">
        <f>[11]noerr!C24</f>
        <v>46.002305999999997</v>
      </c>
      <c r="F28" s="110">
        <f>[11]noerr!D24</f>
        <v>0.10100000000000001</v>
      </c>
      <c r="G28" s="110">
        <f>[11]noerr!E24</f>
        <v>37.314014</v>
      </c>
      <c r="H28" s="110">
        <f>[11]noerr!F24</f>
        <v>0.254834</v>
      </c>
      <c r="I28" s="110">
        <f>[11]noerr!G24</f>
        <v>537.43480599999998</v>
      </c>
      <c r="J28" s="110">
        <f>[11]noerr!H24</f>
        <v>319.85796199999999</v>
      </c>
      <c r="K28" s="110">
        <f>[11]noerr!I24</f>
        <v>396754.81722000003</v>
      </c>
      <c r="L28" s="33">
        <f>[11]noerr!J24</f>
        <v>13415.466344</v>
      </c>
      <c r="M28" s="110">
        <f>[11]noerr!K24</f>
        <v>396754.81722000003</v>
      </c>
      <c r="N28" s="110">
        <f>[11]noerr!L24</f>
        <v>37.314014</v>
      </c>
      <c r="O28" s="33">
        <f>[11]noerr!M24</f>
        <v>0</v>
      </c>
      <c r="P28" s="110">
        <f>[11]noerr!N24</f>
        <v>35.433306999999999</v>
      </c>
      <c r="Q28" s="110">
        <f>[11]noerr!O24</f>
        <v>34.724640999999998</v>
      </c>
      <c r="R28" s="11">
        <f>[11]noerr!P24</f>
        <v>13415.466344</v>
      </c>
      <c r="S28" s="11">
        <f>[11]noerr!Q24</f>
        <v>13147.157018</v>
      </c>
      <c r="T28" s="110">
        <f>[11]noerr!R24</f>
        <v>136.956638</v>
      </c>
      <c r="U28" s="110">
        <f>[11]noerr!S24</f>
        <v>139.75167099999999</v>
      </c>
      <c r="V28" s="110">
        <f>[11]noerr!T24</f>
        <v>37.314014</v>
      </c>
      <c r="W28" s="110">
        <f>[11]noerr!U24</f>
        <v>38.075524000000001</v>
      </c>
      <c r="X28" s="111">
        <f>[11]noerr!V24</f>
        <v>0</v>
      </c>
      <c r="Y28" s="110">
        <f>[11]noerr!W24</f>
        <v>0.76151000000000002</v>
      </c>
      <c r="Z28" s="33">
        <f>[11]noerr!X24</f>
        <v>396754.81722000003</v>
      </c>
      <c r="AA28" s="110">
        <f>[11]noerr!Y24</f>
        <v>396754.81722000003</v>
      </c>
      <c r="AB28" s="110">
        <f>[11]noerr!Z24</f>
        <v>388819.72087600001</v>
      </c>
      <c r="AC28" s="109">
        <f t="shared" si="1"/>
        <v>0</v>
      </c>
      <c r="AD28" s="112">
        <f t="shared" si="2"/>
        <v>0.76151000000000002</v>
      </c>
      <c r="AE28" s="109">
        <f t="shared" si="3"/>
        <v>20412.732456000002</v>
      </c>
      <c r="AF28" s="113">
        <f t="shared" si="8"/>
        <v>650.99122049633695</v>
      </c>
      <c r="AG28" s="114">
        <f t="shared" si="0"/>
        <v>2.795032107409213</v>
      </c>
      <c r="AH28" s="114">
        <f t="shared" si="4"/>
        <v>74922.512658368403</v>
      </c>
      <c r="AI28" s="115">
        <f t="shared" si="9"/>
        <v>864.33478636039513</v>
      </c>
      <c r="AJ28" s="31">
        <f>(K28-AA28)</f>
        <v>0</v>
      </c>
      <c r="AK28" s="113">
        <f t="shared" si="5"/>
        <v>7935.0963440000196</v>
      </c>
      <c r="AL28" s="116">
        <f t="shared" si="6"/>
        <v>7935.0963440000196</v>
      </c>
      <c r="AM28" s="117">
        <f t="shared" si="7"/>
        <v>59084.72737742414</v>
      </c>
      <c r="AN28" s="113">
        <f t="shared" si="10"/>
        <v>254.29820500367734</v>
      </c>
      <c r="AP28" s="110"/>
    </row>
    <row r="29" spans="1:45" x14ac:dyDescent="0.2">
      <c r="C29" s="34">
        <f>C28+$J$1</f>
        <v>36</v>
      </c>
      <c r="E29" s="3">
        <f>[11]noerr!C25</f>
        <v>57.079267999999999</v>
      </c>
      <c r="F29" s="3">
        <f>[11]noerr!D25</f>
        <v>0.17399999999999999</v>
      </c>
      <c r="G29" s="3">
        <f>[11]noerr!E25</f>
        <v>37.314014</v>
      </c>
      <c r="H29" s="3">
        <f>[11]noerr!F25</f>
        <v>0.254834</v>
      </c>
      <c r="I29" s="3">
        <f>[11]noerr!G25</f>
        <v>537.43480599999998</v>
      </c>
      <c r="J29" s="3">
        <f>[11]noerr!H25</f>
        <v>319.999999</v>
      </c>
      <c r="K29" s="3">
        <f>[11]noerr!I25</f>
        <v>378868.42918899999</v>
      </c>
      <c r="L29" s="33">
        <f>[11]noerr!J25</f>
        <v>13502.06855</v>
      </c>
      <c r="M29" s="3">
        <f>[11]noerr!K25</f>
        <v>396754.81722000003</v>
      </c>
      <c r="N29" s="3">
        <f>[11]noerr!L25</f>
        <v>37.314014</v>
      </c>
      <c r="O29" s="33">
        <f>[11]noerr!M25</f>
        <v>0</v>
      </c>
      <c r="P29" s="3">
        <f>[11]noerr!N25</f>
        <v>33.835912</v>
      </c>
      <c r="Q29" s="3">
        <f>[11]noerr!O25</f>
        <v>33.159193999999999</v>
      </c>
      <c r="R29" s="11">
        <f>[11]noerr!P25</f>
        <v>13502.06855</v>
      </c>
      <c r="S29" s="11">
        <f>[11]noerr!Q25</f>
        <v>13232.027179000001</v>
      </c>
      <c r="T29" s="3">
        <f>[11]noerr!R25</f>
        <v>143.42236399999999</v>
      </c>
      <c r="U29" s="3">
        <f>[11]noerr!S25</f>
        <v>146.34935100000001</v>
      </c>
      <c r="V29" s="3">
        <f>[11]noerr!T25</f>
        <v>39.075609</v>
      </c>
      <c r="W29" s="3">
        <f>[11]noerr!U25</f>
        <v>39.873069999999998</v>
      </c>
      <c r="X29" s="72">
        <f>[11]noerr!V25</f>
        <v>1.7615959999999999</v>
      </c>
      <c r="Y29" s="3">
        <f>[11]noerr!W25</f>
        <v>2.5590570000000001</v>
      </c>
      <c r="Z29" s="33">
        <f>[11]noerr!X25</f>
        <v>378868.42918899999</v>
      </c>
      <c r="AA29" s="3">
        <f>[11]noerr!Y25</f>
        <v>378868.42918899999</v>
      </c>
      <c r="AB29" s="3">
        <f>[11]noerr!Z25</f>
        <v>371291.06060500001</v>
      </c>
      <c r="AC29">
        <f t="shared" si="1"/>
        <v>47220.637737600002</v>
      </c>
      <c r="AD29" s="20">
        <f t="shared" si="2"/>
        <v>4.3206530000000001</v>
      </c>
      <c r="AE29">
        <f>AD29*3600*$AG$1/1000</f>
        <v>115817.69605680001</v>
      </c>
      <c r="AF29" s="31">
        <f t="shared" si="8"/>
        <v>3693.5919026817242</v>
      </c>
      <c r="AG29" s="102">
        <f t="shared" si="0"/>
        <v>15.858444222628634</v>
      </c>
      <c r="AH29" s="102">
        <f t="shared" si="4"/>
        <v>425095.11245409411</v>
      </c>
      <c r="AI29" s="32">
        <f t="shared" si="9"/>
        <v>4904.059943654579</v>
      </c>
      <c r="AJ29" s="31">
        <f>K28-AA29</f>
        <v>17886.388031000039</v>
      </c>
      <c r="AK29" s="113">
        <f t="shared" si="5"/>
        <v>7577.3685839999816</v>
      </c>
      <c r="AL29" s="38">
        <f>AK29+AJ29</f>
        <v>25463.75661500002</v>
      </c>
      <c r="AM29" s="26">
        <f t="shared" si="7"/>
        <v>189603.13175529012</v>
      </c>
      <c r="AN29" s="31">
        <f t="shared" si="10"/>
        <v>816.04397969802437</v>
      </c>
      <c r="AP29" s="131">
        <f>Z28-Z29</f>
        <v>17886.388031000039</v>
      </c>
      <c r="AQ29">
        <f>Z29-((L29-L29*$AQ$1)*Z29/L29)</f>
        <v>7577.3685837799567</v>
      </c>
      <c r="AR29" s="3">
        <f>AP29+AQ29</f>
        <v>25463.756614779995</v>
      </c>
      <c r="AS29" s="3">
        <f>AR29+(Z24-Z28)</f>
        <v>28710.998419779993</v>
      </c>
    </row>
    <row r="30" spans="1:45" x14ac:dyDescent="0.2">
      <c r="AS30" s="3">
        <f>AR30+(Z25-Z29)</f>
        <v>8873.9240640000207</v>
      </c>
    </row>
    <row r="31" spans="1:45" x14ac:dyDescent="0.2">
      <c r="AP31" s="134" t="s">
        <v>102</v>
      </c>
      <c r="AQ31" s="132"/>
      <c r="AR31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M3" zoomScale="150" zoomScaleNormal="150" workbookViewId="0">
      <selection activeCell="AS27" sqref="AS27"/>
    </sheetView>
  </sheetViews>
  <sheetFormatPr baseColWidth="10" defaultColWidth="8.83203125" defaultRowHeight="15" x14ac:dyDescent="0.2"/>
  <cols>
    <col min="2" max="2" width="9.1640625" style="10" customWidth="1"/>
    <col min="3" max="3" width="10.5" customWidth="1"/>
    <col min="4" max="4" width="11.83203125" style="3" hidden="1" customWidth="1"/>
    <col min="5" max="6" width="10.83203125" style="3" hidden="1" customWidth="1"/>
    <col min="7" max="7" width="10" style="34" hidden="1" customWidth="1"/>
    <col min="8" max="8" width="8.5" style="3" hidden="1" customWidth="1"/>
    <col min="9" max="9" width="8.5" style="34" hidden="1" customWidth="1"/>
    <col min="10" max="10" width="16.33203125" style="34" hidden="1" customWidth="1"/>
    <col min="11" max="11" width="10" style="34" customWidth="1"/>
    <col min="12" max="12" width="16.33203125" style="34" customWidth="1"/>
    <col min="13" max="13" width="9.1640625" style="3" customWidth="1"/>
    <col min="14" max="14" width="12" style="3" hidden="1" customWidth="1"/>
    <col min="15" max="15" width="16.33203125" style="42" customWidth="1"/>
    <col min="16" max="16" width="14.83203125" style="34" hidden="1" customWidth="1"/>
    <col min="17" max="17" width="21.1640625" style="39" hidden="1" customWidth="1"/>
    <col min="18" max="18" width="15.6640625" style="34" hidden="1" customWidth="1"/>
    <col min="19" max="19" width="20.33203125" style="3" hidden="1" customWidth="1"/>
    <col min="20" max="20" width="14.1640625" style="17" hidden="1" customWidth="1"/>
    <col min="21" max="21" width="21" style="3" hidden="1" customWidth="1"/>
    <col min="22" max="22" width="11.33203125" style="20" hidden="1" customWidth="1"/>
    <col min="23" max="23" width="18" style="23" hidden="1" customWidth="1"/>
    <col min="24" max="24" width="12.33203125" style="72" hidden="1" customWidth="1"/>
    <col min="25" max="25" width="19" style="20" hidden="1" customWidth="1"/>
    <col min="26" max="26" width="11.6640625" style="20" customWidth="1"/>
    <col min="27" max="28" width="20" style="3" customWidth="1"/>
    <col min="29" max="29" width="12.6640625" style="20" hidden="1" customWidth="1"/>
    <col min="30" max="30" width="10.83203125" style="20" hidden="1" customWidth="1"/>
    <col min="31" max="31" width="10.83203125" hidden="1" customWidth="1"/>
    <col min="32" max="32" width="8.6640625" style="31" hidden="1" customWidth="1"/>
    <col min="33" max="34" width="18.1640625" style="102" hidden="1" customWidth="1"/>
    <col min="35" max="35" width="18" style="32" hidden="1" customWidth="1"/>
    <col min="36" max="37" width="18" style="31" customWidth="1"/>
    <col min="39" max="39" width="12" hidden="1" customWidth="1"/>
    <col min="40" max="40" width="8.6640625" style="31" hidden="1" customWidth="1"/>
  </cols>
  <sheetData>
    <row r="1" spans="1:45" ht="16" x14ac:dyDescent="0.2">
      <c r="B1" s="8"/>
      <c r="C1" s="19" t="s">
        <v>19</v>
      </c>
      <c r="D1" s="33">
        <v>30</v>
      </c>
      <c r="F1" s="11"/>
      <c r="G1" s="38"/>
      <c r="I1" s="37" t="s">
        <v>21</v>
      </c>
      <c r="J1" s="37">
        <v>13</v>
      </c>
      <c r="L1" s="34" t="s">
        <v>96</v>
      </c>
      <c r="O1" s="34" t="s">
        <v>97</v>
      </c>
      <c r="AC1" s="46"/>
      <c r="AD1" s="26"/>
      <c r="AE1" t="s">
        <v>39</v>
      </c>
      <c r="AG1" s="102">
        <f>365*24*0.85</f>
        <v>7446</v>
      </c>
      <c r="AQ1">
        <v>0.02</v>
      </c>
    </row>
    <row r="2" spans="1:45" x14ac:dyDescent="0.2">
      <c r="B2" s="9"/>
      <c r="L2" s="34" t="s">
        <v>99</v>
      </c>
      <c r="O2" s="42" t="s">
        <v>98</v>
      </c>
      <c r="P2" s="34" t="s">
        <v>22</v>
      </c>
      <c r="AC2" s="47"/>
      <c r="AD2" s="27"/>
      <c r="AG2" s="103"/>
    </row>
    <row r="3" spans="1:45" s="1" customFormat="1" ht="16" x14ac:dyDescent="0.2">
      <c r="B3" s="12" t="s">
        <v>9</v>
      </c>
      <c r="C3" s="2" t="s">
        <v>0</v>
      </c>
      <c r="D3" s="4" t="s">
        <v>1</v>
      </c>
      <c r="E3" s="4" t="s">
        <v>2</v>
      </c>
      <c r="F3" s="4" t="s">
        <v>3</v>
      </c>
      <c r="G3" s="35" t="s">
        <v>18</v>
      </c>
      <c r="H3" s="16" t="s">
        <v>16</v>
      </c>
      <c r="I3" s="35" t="s">
        <v>17</v>
      </c>
      <c r="J3" s="35" t="s">
        <v>23</v>
      </c>
      <c r="K3" s="35" t="s">
        <v>24</v>
      </c>
      <c r="L3" s="125" t="s">
        <v>25</v>
      </c>
      <c r="M3" s="16" t="s">
        <v>34</v>
      </c>
      <c r="N3" s="16" t="s">
        <v>35</v>
      </c>
      <c r="O3" s="122" t="s">
        <v>36</v>
      </c>
      <c r="P3" s="4" t="s">
        <v>11</v>
      </c>
      <c r="Q3" s="4" t="s">
        <v>26</v>
      </c>
      <c r="R3" s="126" t="s">
        <v>12</v>
      </c>
      <c r="S3" s="40" t="s">
        <v>27</v>
      </c>
      <c r="T3" s="40" t="s">
        <v>13</v>
      </c>
      <c r="U3" s="40" t="s">
        <v>28</v>
      </c>
      <c r="V3" s="22" t="s">
        <v>14</v>
      </c>
      <c r="W3" s="22" t="s">
        <v>29</v>
      </c>
      <c r="X3" s="99" t="s">
        <v>15</v>
      </c>
      <c r="Y3" s="22" t="s">
        <v>30</v>
      </c>
      <c r="Z3" s="119" t="s">
        <v>31</v>
      </c>
      <c r="AA3" s="5" t="s">
        <v>32</v>
      </c>
      <c r="AB3" s="5" t="s">
        <v>33</v>
      </c>
      <c r="AC3" s="24" t="s">
        <v>43</v>
      </c>
      <c r="AD3" s="24" t="s">
        <v>44</v>
      </c>
      <c r="AE3" s="24" t="s">
        <v>37</v>
      </c>
      <c r="AF3" s="51"/>
      <c r="AG3" s="50" t="s">
        <v>41</v>
      </c>
      <c r="AH3" s="50" t="s">
        <v>41</v>
      </c>
      <c r="AI3" s="106" t="s">
        <v>41</v>
      </c>
      <c r="AJ3" s="51" t="s">
        <v>94</v>
      </c>
      <c r="AK3" s="51" t="s">
        <v>95</v>
      </c>
      <c r="AL3" s="14" t="s">
        <v>45</v>
      </c>
      <c r="AM3" s="14" t="s">
        <v>42</v>
      </c>
      <c r="AN3" s="51"/>
      <c r="AP3" s="51" t="s">
        <v>94</v>
      </c>
      <c r="AQ3" s="51" t="s">
        <v>95</v>
      </c>
      <c r="AR3" s="14" t="s">
        <v>45</v>
      </c>
      <c r="AS3" s="14" t="s">
        <v>103</v>
      </c>
    </row>
    <row r="4" spans="1:45" s="1" customFormat="1" ht="16" x14ac:dyDescent="0.2">
      <c r="B4" s="13" t="s">
        <v>4</v>
      </c>
      <c r="C4" s="2" t="s">
        <v>4</v>
      </c>
      <c r="D4" s="4" t="s">
        <v>4</v>
      </c>
      <c r="E4" s="4" t="s">
        <v>4</v>
      </c>
      <c r="F4" s="4" t="s">
        <v>5</v>
      </c>
      <c r="G4" s="36" t="s">
        <v>6</v>
      </c>
      <c r="H4" s="16" t="s">
        <v>7</v>
      </c>
      <c r="I4" s="36" t="s">
        <v>6</v>
      </c>
      <c r="J4" s="36" t="s">
        <v>6</v>
      </c>
      <c r="K4" s="35" t="s">
        <v>10</v>
      </c>
      <c r="L4" s="123" t="s">
        <v>6</v>
      </c>
      <c r="M4" s="35" t="s">
        <v>10</v>
      </c>
      <c r="N4" s="36" t="s">
        <v>6</v>
      </c>
      <c r="O4" s="123" t="s">
        <v>6</v>
      </c>
      <c r="P4" s="4" t="s">
        <v>7</v>
      </c>
      <c r="Q4" s="4" t="s">
        <v>7</v>
      </c>
      <c r="R4" s="126" t="s">
        <v>6</v>
      </c>
      <c r="S4" s="40" t="s">
        <v>6</v>
      </c>
      <c r="T4" s="36" t="s">
        <v>6</v>
      </c>
      <c r="U4" s="36" t="s">
        <v>6</v>
      </c>
      <c r="V4" s="21" t="s">
        <v>6</v>
      </c>
      <c r="W4" s="22" t="s">
        <v>6</v>
      </c>
      <c r="X4" s="100" t="s">
        <v>6</v>
      </c>
      <c r="Y4" s="22" t="s">
        <v>6</v>
      </c>
      <c r="Z4" s="120" t="s">
        <v>10</v>
      </c>
      <c r="AA4" s="4" t="s">
        <v>10</v>
      </c>
      <c r="AB4" s="4" t="s">
        <v>10</v>
      </c>
      <c r="AC4" s="21" t="s">
        <v>40</v>
      </c>
      <c r="AD4" s="21" t="s">
        <v>38</v>
      </c>
      <c r="AE4" s="21" t="s">
        <v>40</v>
      </c>
      <c r="AF4" s="52"/>
      <c r="AG4" s="104" t="s">
        <v>38</v>
      </c>
      <c r="AH4" s="104" t="s">
        <v>40</v>
      </c>
      <c r="AI4" s="107" t="s">
        <v>46</v>
      </c>
      <c r="AJ4" s="52" t="s">
        <v>100</v>
      </c>
      <c r="AK4" s="52" t="s">
        <v>100</v>
      </c>
      <c r="AL4" s="14" t="s">
        <v>10</v>
      </c>
      <c r="AM4" s="48" t="s">
        <v>8</v>
      </c>
      <c r="AN4" s="52" t="s">
        <v>46</v>
      </c>
      <c r="AP4" s="52" t="s">
        <v>101</v>
      </c>
      <c r="AQ4" s="52" t="s">
        <v>101</v>
      </c>
      <c r="AR4" s="14" t="s">
        <v>10</v>
      </c>
    </row>
    <row r="5" spans="1:45" s="1" customFormat="1" ht="16" x14ac:dyDescent="0.2">
      <c r="C5" s="2"/>
      <c r="D5" s="4"/>
      <c r="E5" s="4"/>
      <c r="F5" s="4"/>
      <c r="G5" s="36"/>
      <c r="H5" s="4"/>
      <c r="I5" s="36"/>
      <c r="J5" s="36"/>
      <c r="K5" s="36"/>
      <c r="L5" s="123"/>
      <c r="M5" s="4"/>
      <c r="N5" s="4"/>
      <c r="O5" s="124"/>
      <c r="P5" s="36"/>
      <c r="Q5" s="41"/>
      <c r="R5" s="40"/>
      <c r="S5" s="127"/>
      <c r="T5" s="18"/>
      <c r="U5" s="6"/>
      <c r="V5" s="45"/>
      <c r="W5" s="44"/>
      <c r="X5" s="101"/>
      <c r="Y5" s="25"/>
      <c r="Z5" s="121"/>
      <c r="AA5" s="43"/>
      <c r="AB5" s="43"/>
      <c r="AD5" s="24"/>
      <c r="AF5" s="53"/>
      <c r="AG5" s="105"/>
      <c r="AH5" s="105"/>
      <c r="AI5" s="108"/>
      <c r="AJ5" s="53"/>
      <c r="AK5" s="53"/>
      <c r="AN5" s="53"/>
    </row>
    <row r="6" spans="1:45" s="109" customFormat="1" x14ac:dyDescent="0.2">
      <c r="A6" s="109" t="s">
        <v>49</v>
      </c>
      <c r="B6" s="109">
        <v>15</v>
      </c>
      <c r="C6" s="109">
        <v>15</v>
      </c>
      <c r="D6" s="110"/>
      <c r="E6" s="110">
        <f>[12]noerr!C2</f>
        <v>36.611317</v>
      </c>
      <c r="F6" s="110">
        <f>[12]noerr!D2</f>
        <v>6.1499999999999999E-2</v>
      </c>
      <c r="G6" s="110">
        <f>[12]noerr!E2</f>
        <v>14.89941</v>
      </c>
      <c r="H6" s="110">
        <f>[12]noerr!F2</f>
        <v>6.4068E-2</v>
      </c>
      <c r="I6" s="110">
        <f>[12]noerr!G2</f>
        <v>642.87532199999998</v>
      </c>
      <c r="J6" s="110">
        <f>[12]noerr!H2</f>
        <v>74.758298999999994</v>
      </c>
      <c r="K6" s="110">
        <f>[12]noerr!I2</f>
        <v>400002.500788</v>
      </c>
      <c r="L6" s="33">
        <f>[12]noerr!J2</f>
        <v>2994.2199409999998</v>
      </c>
      <c r="M6" s="110">
        <f>[12]noerr!K2</f>
        <v>400002.50075299997</v>
      </c>
      <c r="N6" s="110">
        <f>[12]noerr!L2</f>
        <v>14.89941</v>
      </c>
      <c r="O6" s="33">
        <f>[12]noerr!M2</f>
        <v>83.671242000000007</v>
      </c>
      <c r="P6" s="110">
        <f>[12]noerr!N2</f>
        <v>53.677633</v>
      </c>
      <c r="Q6" s="110">
        <f>[12]noerr!O2</f>
        <v>53.220073999999997</v>
      </c>
      <c r="R6" s="11">
        <f>[12]noerr!P2</f>
        <v>2994.2199409999998</v>
      </c>
      <c r="S6" s="11">
        <f>[12]noerr!Q2</f>
        <v>2910.5486989999999</v>
      </c>
      <c r="T6" s="110">
        <f>[12]noerr!R2</f>
        <v>41.187665000000003</v>
      </c>
      <c r="U6" s="110">
        <f>[12]noerr!S2</f>
        <v>41.541775999999999</v>
      </c>
      <c r="V6" s="110">
        <f>[12]noerr!T2</f>
        <v>14.89941</v>
      </c>
      <c r="W6" s="110">
        <f>[12]noerr!U2</f>
        <v>15.027507999999999</v>
      </c>
      <c r="X6" s="111">
        <f>[12]noerr!V2</f>
        <v>0</v>
      </c>
      <c r="Y6" s="110">
        <f>[12]noerr!W2</f>
        <v>0.12809799999999999</v>
      </c>
      <c r="Z6" s="33">
        <f>[12]noerr!X2</f>
        <v>122018.06755599999</v>
      </c>
      <c r="AA6" s="110">
        <f>[12]noerr!Y2</f>
        <v>400002.500788</v>
      </c>
      <c r="AB6" s="110">
        <f>[12]noerr!Z2</f>
        <v>396592.79693999997</v>
      </c>
      <c r="AC6" s="109">
        <f>X6*3600*$AG$1/1000</f>
        <v>0</v>
      </c>
      <c r="AD6" s="112">
        <f>X6+Y6</f>
        <v>0.12809799999999999</v>
      </c>
      <c r="AE6" s="109">
        <f>AD6*3600*$AG$1/1000</f>
        <v>3433.7437487999996</v>
      </c>
      <c r="AF6" s="113">
        <f>100</f>
        <v>100</v>
      </c>
      <c r="AG6" s="114">
        <f t="shared" ref="AG6:AG29" si="0">(H6*I6*(AD6+N6)/N6)-(H6*I6)</f>
        <v>0.35411245296071314</v>
      </c>
      <c r="AH6" s="114">
        <f>AG6*3600*$AG$1/1000</f>
        <v>9492.1967690836937</v>
      </c>
      <c r="AI6" s="115">
        <f>100</f>
        <v>100</v>
      </c>
      <c r="AJ6" s="113">
        <f>(K6-AA6)</f>
        <v>0</v>
      </c>
      <c r="AK6" s="113">
        <f>(K6-AB6)</f>
        <v>3409.7038480000338</v>
      </c>
      <c r="AL6" s="116">
        <f>AK6+AJ6</f>
        <v>3409.7038480000338</v>
      </c>
      <c r="AM6" s="117">
        <f>AL6/1000*24*365*0.85</f>
        <v>25388.654852208252</v>
      </c>
      <c r="AN6" s="113">
        <f>100</f>
        <v>100</v>
      </c>
      <c r="AP6" s="110"/>
    </row>
    <row r="7" spans="1:45" x14ac:dyDescent="0.2">
      <c r="C7" s="34">
        <f>C6+$J$1</f>
        <v>28</v>
      </c>
      <c r="E7" s="3">
        <f>[12]noerr!C3</f>
        <v>36.611317</v>
      </c>
      <c r="F7" s="3">
        <f>[12]noerr!D3</f>
        <v>6.1499999999999999E-2</v>
      </c>
      <c r="G7" s="3">
        <f>[12]noerr!E3</f>
        <v>14.89941</v>
      </c>
      <c r="H7" s="3">
        <f>[12]noerr!F3</f>
        <v>6.4068E-2</v>
      </c>
      <c r="I7" s="3">
        <f>[12]noerr!G3</f>
        <v>642.87532199999998</v>
      </c>
      <c r="J7" s="3">
        <f>[12]noerr!H3</f>
        <v>74.758298999999994</v>
      </c>
      <c r="K7" s="3">
        <f>[12]noerr!I3</f>
        <v>400002.500788</v>
      </c>
      <c r="L7" s="33">
        <f>[12]noerr!J3</f>
        <v>2994.2199409999998</v>
      </c>
      <c r="M7" s="3">
        <f>[12]noerr!K3</f>
        <v>400002.50075299997</v>
      </c>
      <c r="N7" s="3">
        <f>[12]noerr!L3</f>
        <v>14.89941</v>
      </c>
      <c r="O7" s="33">
        <f>[12]noerr!M3</f>
        <v>85.113144000000005</v>
      </c>
      <c r="P7" s="3">
        <f>[12]noerr!N3</f>
        <v>53.669747999999998</v>
      </c>
      <c r="Q7" s="3">
        <f>[12]noerr!O3</f>
        <v>53.212189000000002</v>
      </c>
      <c r="R7" s="11">
        <f>[12]noerr!P3</f>
        <v>2992.7780389999998</v>
      </c>
      <c r="S7" s="11">
        <f>[12]noerr!Q3</f>
        <v>2909.1067969999999</v>
      </c>
      <c r="T7" s="3">
        <f>[12]noerr!R3</f>
        <v>41.193716999999999</v>
      </c>
      <c r="U7" s="3">
        <f>[12]noerr!S3</f>
        <v>41.547932000000003</v>
      </c>
      <c r="V7" s="3">
        <f>[12]noerr!T3</f>
        <v>14.901598999999999</v>
      </c>
      <c r="W7" s="3">
        <f>[12]noerr!U3</f>
        <v>15.029733999999999</v>
      </c>
      <c r="X7" s="72">
        <f>[12]noerr!V3</f>
        <v>2.189E-3</v>
      </c>
      <c r="Y7" s="3">
        <f>[12]noerr!W3</f>
        <v>0.130324</v>
      </c>
      <c r="Z7" s="33">
        <f>[12]noerr!X3</f>
        <v>122018.06755599999</v>
      </c>
      <c r="AA7" s="3">
        <f>[12]noerr!Y3</f>
        <v>399943.74153599999</v>
      </c>
      <c r="AB7" s="3">
        <f>[12]noerr!Z3</f>
        <v>396534.03768800001</v>
      </c>
      <c r="AC7">
        <f t="shared" ref="AC7:AC29" si="1">X7*3600*$AG$1/1000</f>
        <v>58.677458399999999</v>
      </c>
      <c r="AD7" s="20">
        <f t="shared" ref="AD7:AD29" si="2">X7+Y7</f>
        <v>0.13251299999999999</v>
      </c>
      <c r="AE7">
        <f t="shared" ref="AE7:AE28" si="3">AD7*3600*$AG$1/1000</f>
        <v>3552.0904727999996</v>
      </c>
      <c r="AF7" s="31">
        <f>AE7*$AF$6/$AE$6</f>
        <v>103.44657996221642</v>
      </c>
      <c r="AG7" s="102">
        <f t="shared" si="0"/>
        <v>0.36631722180817405</v>
      </c>
      <c r="AH7" s="102">
        <f t="shared" ref="AH7:AH29" si="4">AG7*3600*$AG$1/1000</f>
        <v>9819.3529209011904</v>
      </c>
      <c r="AI7" s="32">
        <f>AH7*$AI$6/$AH$6</f>
        <v>103.44657996221751</v>
      </c>
      <c r="AJ7" s="31">
        <f>(K6-AA7)</f>
        <v>58.759252000018023</v>
      </c>
      <c r="AK7" s="113">
        <f t="shared" ref="AK7:AK29" si="5">(K7-AB7)</f>
        <v>3468.4630999999936</v>
      </c>
      <c r="AL7" s="38">
        <f t="shared" ref="AL7:AL29" si="6">AK7+AJ7</f>
        <v>3527.2223520000116</v>
      </c>
      <c r="AM7" s="26">
        <f t="shared" ref="AM7:AM29" si="7">AL7/1000*24*365*0.85</f>
        <v>26263.697632992084</v>
      </c>
      <c r="AN7" s="31">
        <f>AM7*$AN$6/$AM$6</f>
        <v>103.44658976963373</v>
      </c>
      <c r="AP7" s="11">
        <f>Z6-((L7-(O7-O6))*Z6/L7)</f>
        <v>58.759242511208868</v>
      </c>
      <c r="AQ7">
        <f>Z7-((L7-O7)*Z7/L7)</f>
        <v>3468.463091935424</v>
      </c>
      <c r="AR7" s="3">
        <f>AP7+AQ7</f>
        <v>3527.2223344466329</v>
      </c>
    </row>
    <row r="8" spans="1:45" s="109" customFormat="1" x14ac:dyDescent="0.2">
      <c r="B8" s="109">
        <v>20</v>
      </c>
      <c r="C8" s="109">
        <v>20</v>
      </c>
      <c r="D8" s="110"/>
      <c r="E8" s="110">
        <f>[12]noerr!C4</f>
        <v>40.982267999999998</v>
      </c>
      <c r="F8" s="110">
        <f>[12]noerr!D4</f>
        <v>7.7799999999999994E-2</v>
      </c>
      <c r="G8" s="110">
        <f>[12]noerr!E4</f>
        <v>14.903202</v>
      </c>
      <c r="H8" s="110">
        <f>[12]noerr!F4</f>
        <v>6.4855999999999997E-2</v>
      </c>
      <c r="I8" s="110">
        <f>[12]noerr!G4</f>
        <v>635.16440999999998</v>
      </c>
      <c r="J8" s="110">
        <f>[12]noerr!H4</f>
        <v>77.2697</v>
      </c>
      <c r="K8" s="110">
        <f>[12]noerr!I4</f>
        <v>400002.520013</v>
      </c>
      <c r="L8" s="33">
        <f>[12]noerr!J4</f>
        <v>3107.6596089999998</v>
      </c>
      <c r="M8" s="110">
        <f>[12]noerr!K4</f>
        <v>400002.519974</v>
      </c>
      <c r="N8" s="110">
        <f>[12]noerr!L4</f>
        <v>14.903202</v>
      </c>
      <c r="O8" s="33">
        <f>[12]noerr!M4</f>
        <v>90.462721999999999</v>
      </c>
      <c r="P8" s="110">
        <f>[12]noerr!N4</f>
        <v>53.663980000000002</v>
      </c>
      <c r="Q8" s="110">
        <f>[12]noerr!O4</f>
        <v>53.181173999999999</v>
      </c>
      <c r="R8" s="11">
        <f>[12]noerr!P4</f>
        <v>3107.6596089999998</v>
      </c>
      <c r="S8" s="11">
        <f>[12]noerr!Q4</f>
        <v>3017.1968870000001</v>
      </c>
      <c r="T8" s="110">
        <f>[12]noerr!R4</f>
        <v>41.194209000000001</v>
      </c>
      <c r="U8" s="110">
        <f>[12]noerr!S4</f>
        <v>41.568190999999999</v>
      </c>
      <c r="V8" s="110">
        <f>[12]noerr!T4</f>
        <v>14.903202</v>
      </c>
      <c r="W8" s="110">
        <f>[12]noerr!U4</f>
        <v>15.038500000000001</v>
      </c>
      <c r="X8" s="111">
        <f>[12]noerr!V4</f>
        <v>0</v>
      </c>
      <c r="Y8" s="110">
        <f>[12]noerr!W4</f>
        <v>0.135299</v>
      </c>
      <c r="Z8" s="33">
        <f>[12]noerr!X4</f>
        <v>123627.85181599999</v>
      </c>
      <c r="AA8" s="110">
        <f>[12]noerr!Y4</f>
        <v>400002.52001199999</v>
      </c>
      <c r="AB8" s="110">
        <f>[12]noerr!Z4</f>
        <v>396403.76293700002</v>
      </c>
      <c r="AC8" s="109">
        <f t="shared" si="1"/>
        <v>0</v>
      </c>
      <c r="AD8" s="112">
        <f t="shared" si="2"/>
        <v>0.135299</v>
      </c>
      <c r="AE8" s="109">
        <f t="shared" si="3"/>
        <v>3626.7708744000001</v>
      </c>
      <c r="AF8" s="113">
        <f t="shared" ref="AF8:AF29" si="8">AE8*$AF$6/$AE$6</f>
        <v>105.62147730643728</v>
      </c>
      <c r="AG8" s="114">
        <f t="shared" si="0"/>
        <v>0.37398252900880635</v>
      </c>
      <c r="AH8" s="114">
        <f t="shared" si="4"/>
        <v>10024.826079598459</v>
      </c>
      <c r="AI8" s="115">
        <f t="shared" ref="AI8:AI29" si="9">AH8*$AI$6/$AH$6</f>
        <v>105.61123334747496</v>
      </c>
      <c r="AJ8" s="113">
        <f>(K8-AA8)</f>
        <v>1.0000076144933701E-6</v>
      </c>
      <c r="AK8" s="113">
        <f t="shared" si="5"/>
        <v>3598.7570759999799</v>
      </c>
      <c r="AL8" s="116">
        <f t="shared" si="6"/>
        <v>3598.7570769999875</v>
      </c>
      <c r="AM8" s="117">
        <f t="shared" si="7"/>
        <v>26796.345195341903</v>
      </c>
      <c r="AN8" s="113">
        <f t="shared" ref="AN8:AN29" si="10">AM8*$AN$6/$AM$6</f>
        <v>105.54456449673312</v>
      </c>
      <c r="AP8" s="110"/>
    </row>
    <row r="9" spans="1:45" s="73" customFormat="1" x14ac:dyDescent="0.2">
      <c r="A9"/>
      <c r="B9"/>
      <c r="C9" s="34">
        <f>C8+$J$1</f>
        <v>33</v>
      </c>
      <c r="D9" s="11"/>
      <c r="E9" s="3">
        <f>[12]noerr!C5</f>
        <v>40.982267999999998</v>
      </c>
      <c r="F9" s="3">
        <f>[12]noerr!D5</f>
        <v>7.7799999999999994E-2</v>
      </c>
      <c r="G9" s="3">
        <f>[12]noerr!E5</f>
        <v>14.903202</v>
      </c>
      <c r="H9" s="3">
        <f>[12]noerr!F5</f>
        <v>6.4855999999999997E-2</v>
      </c>
      <c r="I9" s="3">
        <f>[12]noerr!G5</f>
        <v>635.16440999999998</v>
      </c>
      <c r="J9" s="3">
        <f>[12]noerr!H5</f>
        <v>77.2697</v>
      </c>
      <c r="K9" s="3">
        <f>[12]noerr!I5</f>
        <v>400002.520013</v>
      </c>
      <c r="L9" s="33">
        <f>[12]noerr!J5</f>
        <v>3107.6596089999998</v>
      </c>
      <c r="M9" s="3">
        <f>[12]noerr!K5</f>
        <v>400002.519974</v>
      </c>
      <c r="N9" s="3">
        <f>[12]noerr!L5</f>
        <v>14.903202</v>
      </c>
      <c r="O9" s="33">
        <f>[12]noerr!M5</f>
        <v>92.130606999999998</v>
      </c>
      <c r="P9" s="3">
        <f>[12]noerr!N5</f>
        <v>53.655078000000003</v>
      </c>
      <c r="Q9" s="3">
        <f>[12]noerr!O5</f>
        <v>53.172272</v>
      </c>
      <c r="R9" s="11">
        <f>[12]noerr!P5</f>
        <v>3105.9917249999999</v>
      </c>
      <c r="S9" s="11">
        <f>[12]noerr!Q5</f>
        <v>3015.5290030000001</v>
      </c>
      <c r="T9" s="3">
        <f>[12]noerr!R5</f>
        <v>41.201044000000003</v>
      </c>
      <c r="U9" s="3">
        <f>[12]noerr!S5</f>
        <v>41.575150000000001</v>
      </c>
      <c r="V9" s="3">
        <f>[12]noerr!T5</f>
        <v>14.905673999999999</v>
      </c>
      <c r="W9" s="3">
        <f>[12]noerr!U5</f>
        <v>15.041017999999999</v>
      </c>
      <c r="X9" s="72">
        <f>[12]noerr!V5</f>
        <v>2.4729999999999999E-3</v>
      </c>
      <c r="Y9" s="3">
        <f>[12]noerr!W5</f>
        <v>0.137817</v>
      </c>
      <c r="Z9" s="33">
        <f>[12]noerr!X5</f>
        <v>123627.85181599999</v>
      </c>
      <c r="AA9" s="3">
        <f>[12]noerr!Y5</f>
        <v>399936.16880500002</v>
      </c>
      <c r="AB9" s="3">
        <f>[12]noerr!Z5</f>
        <v>396337.41172999999</v>
      </c>
      <c r="AC9">
        <f t="shared" si="1"/>
        <v>66.290248799999986</v>
      </c>
      <c r="AD9" s="20">
        <f t="shared" si="2"/>
        <v>0.14029</v>
      </c>
      <c r="AE9">
        <f t="shared" si="3"/>
        <v>3760.557624</v>
      </c>
      <c r="AF9" s="54">
        <f t="shared" si="8"/>
        <v>109.51771300098363</v>
      </c>
      <c r="AG9" s="102">
        <f t="shared" si="0"/>
        <v>0.3877782466584847</v>
      </c>
      <c r="AH9" s="102">
        <f t="shared" si="4"/>
        <v>10394.628568628677</v>
      </c>
      <c r="AI9" s="32">
        <f t="shared" si="9"/>
        <v>109.5070911560138</v>
      </c>
      <c r="AJ9" s="31">
        <f>(K8-AA9)</f>
        <v>66.351207999978215</v>
      </c>
      <c r="AK9" s="113">
        <f t="shared" si="5"/>
        <v>3665.1082830000087</v>
      </c>
      <c r="AL9" s="38">
        <f t="shared" si="6"/>
        <v>3731.4594909999869</v>
      </c>
      <c r="AM9" s="26">
        <f>AL9/1000*24*365*0.85</f>
        <v>27784.447369985905</v>
      </c>
      <c r="AN9" s="31">
        <f t="shared" si="10"/>
        <v>109.43646889417332</v>
      </c>
      <c r="AP9" s="11">
        <f>Z8-((L9-(O9-O8))*Z8/L9)</f>
        <v>66.351230691070668</v>
      </c>
      <c r="AQ9">
        <f>Z9-((L9-O9)*Z9/L9)</f>
        <v>3665.1083010919683</v>
      </c>
      <c r="AR9" s="3">
        <f>AP9+AQ9</f>
        <v>3731.459531783039</v>
      </c>
      <c r="AS9"/>
    </row>
    <row r="10" spans="1:45" s="109" customFormat="1" x14ac:dyDescent="0.2">
      <c r="B10" s="118">
        <v>25</v>
      </c>
      <c r="C10" s="109">
        <v>25</v>
      </c>
      <c r="D10" s="110"/>
      <c r="E10" s="110">
        <f>[12]noerr!C6</f>
        <v>45.213053000000002</v>
      </c>
      <c r="F10" s="110">
        <f>[12]noerr!D6</f>
        <v>9.7000000000000003E-2</v>
      </c>
      <c r="G10" s="110">
        <f>[12]noerr!E6</f>
        <v>14.940256</v>
      </c>
      <c r="H10" s="110">
        <f>[12]noerr!F6</f>
        <v>6.5463999999999994E-2</v>
      </c>
      <c r="I10" s="110">
        <f>[12]noerr!G6</f>
        <v>630.78195000000005</v>
      </c>
      <c r="J10" s="110">
        <f>[12]noerr!H6</f>
        <v>79.491005999999999</v>
      </c>
      <c r="K10" s="110">
        <f>[12]noerr!I6</f>
        <v>400002.49877100001</v>
      </c>
      <c r="L10" s="33">
        <f>[12]noerr!J6</f>
        <v>3208.9355420000002</v>
      </c>
      <c r="M10" s="110">
        <f>[12]noerr!K6</f>
        <v>400002.498724</v>
      </c>
      <c r="N10" s="110">
        <f>[12]noerr!L6</f>
        <v>14.940256</v>
      </c>
      <c r="O10" s="33">
        <f>[12]noerr!M6</f>
        <v>96.582128999999995</v>
      </c>
      <c r="P10" s="110">
        <f>[12]noerr!N6</f>
        <v>53.530881999999998</v>
      </c>
      <c r="Q10" s="110">
        <f>[12]noerr!O6</f>
        <v>53.028525000000002</v>
      </c>
      <c r="R10" s="11">
        <f>[12]noerr!P6</f>
        <v>3208.9355420000002</v>
      </c>
      <c r="S10" s="11">
        <f>[12]noerr!Q6</f>
        <v>3112.3534129999998</v>
      </c>
      <c r="T10" s="110">
        <f>[12]noerr!R6</f>
        <v>41.293650999999997</v>
      </c>
      <c r="U10" s="110">
        <f>[12]noerr!S6</f>
        <v>41.684838999999997</v>
      </c>
      <c r="V10" s="110">
        <f>[12]noerr!T6</f>
        <v>14.940256</v>
      </c>
      <c r="W10" s="110">
        <f>[12]noerr!U6</f>
        <v>15.08179</v>
      </c>
      <c r="X10" s="111">
        <f>[12]noerr!V6</f>
        <v>0</v>
      </c>
      <c r="Y10" s="110">
        <f>[12]noerr!W6</f>
        <v>0.14153399999999999</v>
      </c>
      <c r="Z10" s="33">
        <f>[12]noerr!X6</f>
        <v>124719.64683899999</v>
      </c>
      <c r="AA10" s="110">
        <f>[12]noerr!Y6</f>
        <v>400002.49877000001</v>
      </c>
      <c r="AB10" s="110">
        <f>[12]noerr!Z6</f>
        <v>396248.70289399999</v>
      </c>
      <c r="AC10" s="109">
        <f t="shared" si="1"/>
        <v>0</v>
      </c>
      <c r="AD10" s="112">
        <f t="shared" si="2"/>
        <v>0.14153399999999999</v>
      </c>
      <c r="AE10" s="109">
        <f t="shared" si="3"/>
        <v>3793.9037903999997</v>
      </c>
      <c r="AF10" s="113">
        <f t="shared" si="8"/>
        <v>110.4888444784462</v>
      </c>
      <c r="AG10" s="114">
        <f t="shared" si="0"/>
        <v>0.39118711112846682</v>
      </c>
      <c r="AH10" s="114">
        <f t="shared" si="4"/>
        <v>10486.00522606523</v>
      </c>
      <c r="AI10" s="115">
        <f t="shared" si="9"/>
        <v>110.46974142190555</v>
      </c>
      <c r="AJ10" s="113">
        <f>(K10-AA10)</f>
        <v>1.0000076144933701E-6</v>
      </c>
      <c r="AK10" s="113">
        <f t="shared" si="5"/>
        <v>3753.7958770000259</v>
      </c>
      <c r="AL10" s="116">
        <f t="shared" si="6"/>
        <v>3753.7958780000336</v>
      </c>
      <c r="AM10" s="117">
        <f t="shared" si="7"/>
        <v>27950.764107588246</v>
      </c>
      <c r="AN10" s="113">
        <f t="shared" si="10"/>
        <v>110.0915517986064</v>
      </c>
      <c r="AP10" s="110"/>
    </row>
    <row r="11" spans="1:45" x14ac:dyDescent="0.2">
      <c r="C11" s="34">
        <f>C10+$J$1</f>
        <v>38</v>
      </c>
      <c r="E11" s="3">
        <f>[12]noerr!C7</f>
        <v>45.213053000000002</v>
      </c>
      <c r="F11" s="3">
        <f>[12]noerr!D7</f>
        <v>9.7000000000000003E-2</v>
      </c>
      <c r="G11" s="3">
        <f>[12]noerr!E7</f>
        <v>14.940256</v>
      </c>
      <c r="H11" s="3">
        <f>[12]noerr!F7</f>
        <v>6.5463999999999994E-2</v>
      </c>
      <c r="I11" s="3">
        <f>[12]noerr!G7</f>
        <v>630.78195000000005</v>
      </c>
      <c r="J11" s="3">
        <f>[12]noerr!H7</f>
        <v>79.491005999999999</v>
      </c>
      <c r="K11" s="3">
        <f>[12]noerr!I7</f>
        <v>400002.49877100001</v>
      </c>
      <c r="L11" s="33">
        <f>[12]noerr!J7</f>
        <v>3208.9355420000002</v>
      </c>
      <c r="M11" s="3">
        <f>[12]noerr!K7</f>
        <v>400002.498724</v>
      </c>
      <c r="N11" s="3">
        <f>[12]noerr!L7</f>
        <v>14.940256</v>
      </c>
      <c r="O11" s="33">
        <f>[12]noerr!M7</f>
        <v>98.461426000000003</v>
      </c>
      <c r="P11" s="3">
        <f>[12]noerr!N7</f>
        <v>53.521107000000001</v>
      </c>
      <c r="Q11" s="3">
        <f>[12]noerr!O7</f>
        <v>53.018749999999997</v>
      </c>
      <c r="R11" s="11">
        <f>[12]noerr!P7</f>
        <v>3207.0562450000002</v>
      </c>
      <c r="S11" s="11">
        <f>[12]noerr!Q7</f>
        <v>3110.4741159999999</v>
      </c>
      <c r="T11" s="3">
        <f>[12]noerr!R7</f>
        <v>41.301192999999998</v>
      </c>
      <c r="U11" s="3">
        <f>[12]noerr!S7</f>
        <v>41.692525000000003</v>
      </c>
      <c r="V11" s="3">
        <f>[12]noerr!T7</f>
        <v>14.942983999999999</v>
      </c>
      <c r="W11" s="3">
        <f>[12]noerr!U7</f>
        <v>15.084569999999999</v>
      </c>
      <c r="X11" s="72">
        <f>[12]noerr!V7</f>
        <v>2.7290000000000001E-3</v>
      </c>
      <c r="Y11" s="3">
        <f>[12]noerr!W7</f>
        <v>0.144315</v>
      </c>
      <c r="Z11" s="33">
        <f>[12]noerr!X7</f>
        <v>124719.64683899999</v>
      </c>
      <c r="AA11" s="3">
        <f>[12]noerr!Y7</f>
        <v>399929.45733499998</v>
      </c>
      <c r="AB11" s="3">
        <f>[12]noerr!Z7</f>
        <v>396175.66145800002</v>
      </c>
      <c r="AC11">
        <f t="shared" si="1"/>
        <v>73.152482400000011</v>
      </c>
      <c r="AD11" s="20">
        <f t="shared" si="2"/>
        <v>0.14704400000000001</v>
      </c>
      <c r="AE11">
        <f t="shared" si="3"/>
        <v>3941.6026464000006</v>
      </c>
      <c r="AF11" s="31">
        <f t="shared" si="8"/>
        <v>114.79023872347737</v>
      </c>
      <c r="AG11" s="102">
        <f t="shared" si="0"/>
        <v>0.40641625029162043</v>
      </c>
      <c r="AH11" s="102">
        <f t="shared" si="4"/>
        <v>10894.23143881706</v>
      </c>
      <c r="AI11" s="32">
        <f t="shared" si="9"/>
        <v>114.77039197396147</v>
      </c>
      <c r="AJ11" s="31">
        <f>(K10-AA11)</f>
        <v>73.041436000028625</v>
      </c>
      <c r="AK11" s="113">
        <f t="shared" si="5"/>
        <v>3826.8373129999964</v>
      </c>
      <c r="AL11" s="38">
        <f t="shared" si="6"/>
        <v>3899.878749000025</v>
      </c>
      <c r="AM11" s="26">
        <f t="shared" si="7"/>
        <v>29038.497165054188</v>
      </c>
      <c r="AN11" s="31">
        <f t="shared" si="10"/>
        <v>114.37587904555126</v>
      </c>
      <c r="AP11" s="11">
        <f>Z10-((L11-(O11-O10))*Z10/L11)</f>
        <v>73.04143541616213</v>
      </c>
      <c r="AQ11">
        <f>Z11-((L11-O11)*Z11/L11)</f>
        <v>3826.837316380188</v>
      </c>
      <c r="AR11" s="3">
        <f>AP11+AQ11</f>
        <v>3899.8787517963501</v>
      </c>
    </row>
    <row r="12" spans="1:45" s="109" customFormat="1" x14ac:dyDescent="0.2">
      <c r="A12" s="109" t="s">
        <v>50</v>
      </c>
      <c r="B12" s="109">
        <v>15</v>
      </c>
      <c r="C12" s="109">
        <v>15</v>
      </c>
      <c r="D12" s="110"/>
      <c r="E12" s="110">
        <f>[12]noerr!C8</f>
        <v>38.021256000000001</v>
      </c>
      <c r="F12" s="110">
        <f>[12]noerr!D8</f>
        <v>6.6400000000000001E-2</v>
      </c>
      <c r="G12" s="110">
        <f>[12]noerr!E8</f>
        <v>14.912595</v>
      </c>
      <c r="H12" s="110">
        <f>[12]noerr!F8</f>
        <v>6.4119999999999996E-2</v>
      </c>
      <c r="I12" s="110">
        <f>[12]noerr!G8</f>
        <v>642.91413599999998</v>
      </c>
      <c r="J12" s="110">
        <f>[12]noerr!H8</f>
        <v>75.062724000000003</v>
      </c>
      <c r="K12" s="110">
        <f>[12]noerr!I8</f>
        <v>400002.78272700001</v>
      </c>
      <c r="L12" s="33">
        <f>[12]noerr!J8</f>
        <v>3010.329279</v>
      </c>
      <c r="M12" s="110">
        <f>[12]noerr!K8</f>
        <v>400002.704272</v>
      </c>
      <c r="N12" s="110">
        <f>[12]noerr!L8</f>
        <v>14.912595</v>
      </c>
      <c r="O12" s="33">
        <f>[12]noerr!M8</f>
        <v>3010.3273170000002</v>
      </c>
      <c r="P12" s="110">
        <f>[12]noerr!N8</f>
        <v>53.630211000000003</v>
      </c>
      <c r="Q12" s="110">
        <f>[12]noerr!O8</f>
        <v>53.303736000000001</v>
      </c>
      <c r="R12" s="11">
        <f>[12]noerr!P8</f>
        <v>3010.329279</v>
      </c>
      <c r="S12" s="11">
        <f>[12]noerr!Q8</f>
        <v>2950.1226929999998</v>
      </c>
      <c r="T12" s="110">
        <f>[12]noerr!R8</f>
        <v>41.223841999999998</v>
      </c>
      <c r="U12" s="110">
        <f>[12]noerr!S8</f>
        <v>41.476329</v>
      </c>
      <c r="V12" s="110">
        <f>[12]noerr!T8</f>
        <v>14.912592999999999</v>
      </c>
      <c r="W12" s="110">
        <f>[12]noerr!U8</f>
        <v>15.003928999999999</v>
      </c>
      <c r="X12" s="111">
        <f>[12]noerr!V8</f>
        <v>-3.0000000000000001E-6</v>
      </c>
      <c r="Y12" s="110">
        <f>[12]noerr!W8</f>
        <v>9.1333999999999999E-2</v>
      </c>
      <c r="Z12" s="33">
        <f>[12]noerr!X8</f>
        <v>121750.983727</v>
      </c>
      <c r="AA12" s="110">
        <f>[12]noerr!Y8</f>
        <v>400002.78272700001</v>
      </c>
      <c r="AB12" s="110">
        <f>[12]noerr!Z8</f>
        <v>397567.76305200002</v>
      </c>
      <c r="AC12" s="109">
        <f t="shared" si="1"/>
        <v>-8.041680000000001E-2</v>
      </c>
      <c r="AD12" s="112">
        <f t="shared" si="2"/>
        <v>9.1330999999999996E-2</v>
      </c>
      <c r="AE12" s="109">
        <f t="shared" si="3"/>
        <v>2448.1822535999995</v>
      </c>
      <c r="AF12" s="113">
        <f t="shared" si="8"/>
        <v>71.29775640525223</v>
      </c>
      <c r="AG12" s="114">
        <f t="shared" si="0"/>
        <v>0.2524709871109394</v>
      </c>
      <c r="AH12" s="114">
        <f t="shared" si="4"/>
        <v>6767.6362921009977</v>
      </c>
      <c r="AI12" s="115">
        <f t="shared" si="9"/>
        <v>71.296839464425631</v>
      </c>
      <c r="AJ12" s="31">
        <f>(Z12-Z12)</f>
        <v>0</v>
      </c>
      <c r="AK12" s="113">
        <f t="shared" si="5"/>
        <v>2435.0196749999886</v>
      </c>
      <c r="AL12" s="116">
        <f t="shared" si="6"/>
        <v>2435.0196749999886</v>
      </c>
      <c r="AM12" s="117">
        <f t="shared" si="7"/>
        <v>18131.156500049918</v>
      </c>
      <c r="AN12" s="113">
        <f t="shared" si="10"/>
        <v>71.414403817746603</v>
      </c>
      <c r="AP12" s="110"/>
    </row>
    <row r="13" spans="1:45" s="73" customFormat="1" x14ac:dyDescent="0.2">
      <c r="B13" s="10"/>
      <c r="C13" s="34">
        <f>C12+$J$1</f>
        <v>28</v>
      </c>
      <c r="D13" s="11"/>
      <c r="E13" s="3">
        <f>[12]noerr!C9</f>
        <v>51.097718</v>
      </c>
      <c r="F13" s="3">
        <f>[12]noerr!D9</f>
        <v>0.13039999999999999</v>
      </c>
      <c r="G13" s="3">
        <f>[12]noerr!E9</f>
        <v>14.912595</v>
      </c>
      <c r="H13" s="3">
        <f>[12]noerr!F9</f>
        <v>6.4119999999999996E-2</v>
      </c>
      <c r="I13" s="3">
        <f>[12]noerr!G9</f>
        <v>642.91413599999998</v>
      </c>
      <c r="J13" s="3">
        <f>[12]noerr!H9</f>
        <v>76.574146999999996</v>
      </c>
      <c r="K13" s="3">
        <f>[12]noerr!I9</f>
        <v>395139.93380100001</v>
      </c>
      <c r="L13" s="33">
        <f>[12]noerr!J9</f>
        <v>3105.6736139999998</v>
      </c>
      <c r="M13" s="3">
        <f>[12]noerr!K9</f>
        <v>400002.704272</v>
      </c>
      <c r="N13" s="3">
        <f>[12]noerr!L9</f>
        <v>14.912595</v>
      </c>
      <c r="O13" s="33">
        <f>[12]noerr!M9</f>
        <v>3010.3273170000002</v>
      </c>
      <c r="P13" s="3">
        <f>[12]noerr!N9</f>
        <v>52.978225999999999</v>
      </c>
      <c r="Q13" s="3">
        <f>[12]noerr!O9</f>
        <v>52.664791999999998</v>
      </c>
      <c r="R13" s="11">
        <f>[12]noerr!P9</f>
        <v>3105.6736139999998</v>
      </c>
      <c r="S13" s="11">
        <f>[12]noerr!Q9</f>
        <v>3043.5601419999998</v>
      </c>
      <c r="T13" s="3">
        <f>[12]noerr!R9</f>
        <v>41.731169000000001</v>
      </c>
      <c r="U13" s="3">
        <f>[12]noerr!S9</f>
        <v>41.979531999999999</v>
      </c>
      <c r="V13" s="3">
        <f>[12]noerr!T9</f>
        <v>15.096117</v>
      </c>
      <c r="W13" s="3">
        <f>[12]noerr!U9</f>
        <v>15.185961000000001</v>
      </c>
      <c r="X13" s="72">
        <f>[12]noerr!V9</f>
        <v>0.18352099999999999</v>
      </c>
      <c r="Y13" s="3">
        <f>[12]noerr!W9</f>
        <v>0.273366</v>
      </c>
      <c r="Z13" s="33">
        <f>[12]noerr!X9</f>
        <v>116888.13480099999</v>
      </c>
      <c r="AA13" s="3">
        <f>[12]noerr!Y9</f>
        <v>395139.93380100001</v>
      </c>
      <c r="AB13" s="3">
        <f>[12]noerr!Z9</f>
        <v>392802.17110500002</v>
      </c>
      <c r="AC13">
        <f t="shared" si="1"/>
        <v>4919.3905175999989</v>
      </c>
      <c r="AD13" s="20">
        <f t="shared" si="2"/>
        <v>0.45688699999999999</v>
      </c>
      <c r="AE13">
        <f t="shared" si="3"/>
        <v>12247.130167199999</v>
      </c>
      <c r="AF13" s="54">
        <f t="shared" si="8"/>
        <v>356.66989336289407</v>
      </c>
      <c r="AG13" s="102">
        <f t="shared" si="0"/>
        <v>1.2629962651033537</v>
      </c>
      <c r="AH13" s="102">
        <f t="shared" si="4"/>
        <v>33855.372683854461</v>
      </c>
      <c r="AI13" s="32">
        <f t="shared" si="9"/>
        <v>356.66530632953373</v>
      </c>
      <c r="AJ13" s="31">
        <f>Z12-Z13</f>
        <v>4862.848926000006</v>
      </c>
      <c r="AK13" s="113">
        <f t="shared" si="5"/>
        <v>2337.7626959999907</v>
      </c>
      <c r="AL13" s="38">
        <f t="shared" si="6"/>
        <v>7200.6116219999967</v>
      </c>
      <c r="AM13" s="26">
        <f t="shared" si="7"/>
        <v>53615.754137411976</v>
      </c>
      <c r="AN13" s="31">
        <f t="shared" si="10"/>
        <v>211.17997172169439</v>
      </c>
      <c r="AP13" s="131">
        <f>Z12-Z13</f>
        <v>4862.848926000006</v>
      </c>
      <c r="AQ13">
        <f>Z13-((L13-L13*$AQ$1)*Z13/L13)</f>
        <v>2337.7626960200141</v>
      </c>
      <c r="AR13" s="3">
        <f>AP13+AQ13</f>
        <v>7200.6116220200201</v>
      </c>
    </row>
    <row r="14" spans="1:45" s="109" customFormat="1" x14ac:dyDescent="0.2">
      <c r="B14" s="109">
        <v>20</v>
      </c>
      <c r="C14" s="109">
        <v>20</v>
      </c>
      <c r="D14" s="110"/>
      <c r="E14" s="110">
        <f>[12]noerr!C10</f>
        <v>43.021569999999997</v>
      </c>
      <c r="F14" s="110">
        <f>[12]noerr!D10</f>
        <v>8.6599999999999996E-2</v>
      </c>
      <c r="G14" s="110">
        <f>[12]noerr!E10</f>
        <v>14.924443999999999</v>
      </c>
      <c r="H14" s="110">
        <f>[12]noerr!F10</f>
        <v>6.4931000000000003E-2</v>
      </c>
      <c r="I14" s="110">
        <f>[12]noerr!G10</f>
        <v>635.32677699999999</v>
      </c>
      <c r="J14" s="110">
        <f>[12]noerr!H10</f>
        <v>77.722005999999993</v>
      </c>
      <c r="K14" s="110">
        <f>[12]noerr!I10</f>
        <v>400002.504006</v>
      </c>
      <c r="L14" s="33">
        <f>[12]noerr!J10</f>
        <v>3131.3547210000002</v>
      </c>
      <c r="M14" s="110">
        <f>[12]noerr!K10</f>
        <v>400002.504006</v>
      </c>
      <c r="N14" s="110">
        <f>[12]noerr!L10</f>
        <v>14.924443999999999</v>
      </c>
      <c r="O14" s="33">
        <f>[12]noerr!M10</f>
        <v>3131.3547210000002</v>
      </c>
      <c r="P14" s="110">
        <f>[12]noerr!N10</f>
        <v>53.587597000000002</v>
      </c>
      <c r="Q14" s="110">
        <f>[12]noerr!O10</f>
        <v>53.257477999999999</v>
      </c>
      <c r="R14" s="11">
        <f>[12]noerr!P10</f>
        <v>3131.3547210000002</v>
      </c>
      <c r="S14" s="11">
        <f>[12]noerr!Q10</f>
        <v>3068.7276270000002</v>
      </c>
      <c r="T14" s="110">
        <f>[12]noerr!R10</f>
        <v>41.252554000000003</v>
      </c>
      <c r="U14" s="110">
        <f>[12]noerr!S10</f>
        <v>41.508259000000002</v>
      </c>
      <c r="V14" s="110">
        <f>[12]noerr!T10</f>
        <v>14.924443999999999</v>
      </c>
      <c r="W14" s="110">
        <f>[12]noerr!U10</f>
        <v>15.016954</v>
      </c>
      <c r="X14" s="111">
        <f>[12]noerr!V10</f>
        <v>0</v>
      </c>
      <c r="Y14" s="110">
        <f>[12]noerr!W10</f>
        <v>9.2509999999999995E-2</v>
      </c>
      <c r="Z14" s="33">
        <f>[12]noerr!X10</f>
        <v>123207.757006</v>
      </c>
      <c r="AA14" s="110">
        <f>[12]noerr!Y10</f>
        <v>400002.504006</v>
      </c>
      <c r="AB14" s="110">
        <f>[12]noerr!Z10</f>
        <v>397538.34886600001</v>
      </c>
      <c r="AC14" s="109">
        <f t="shared" si="1"/>
        <v>0</v>
      </c>
      <c r="AD14" s="112">
        <f t="shared" si="2"/>
        <v>9.2509999999999995E-2</v>
      </c>
      <c r="AE14" s="109">
        <f t="shared" si="3"/>
        <v>2479.7860559999999</v>
      </c>
      <c r="AF14" s="113">
        <f t="shared" si="8"/>
        <v>72.218145482365074</v>
      </c>
      <c r="AG14" s="114">
        <f t="shared" si="0"/>
        <v>0.25570532460625373</v>
      </c>
      <c r="AH14" s="114">
        <f t="shared" si="4"/>
        <v>6854.3346492653945</v>
      </c>
      <c r="AI14" s="115">
        <f t="shared" si="9"/>
        <v>72.210203981338893</v>
      </c>
      <c r="AJ14" s="31">
        <f>(Z14-Z14)</f>
        <v>0</v>
      </c>
      <c r="AK14" s="113">
        <f t="shared" si="5"/>
        <v>2464.155139999988</v>
      </c>
      <c r="AL14" s="116">
        <f t="shared" si="6"/>
        <v>2464.155139999988</v>
      </c>
      <c r="AM14" s="117">
        <f t="shared" si="7"/>
        <v>18348.099172439906</v>
      </c>
      <c r="AN14" s="113">
        <f t="shared" si="10"/>
        <v>72.268890491628497</v>
      </c>
      <c r="AP14" s="110"/>
    </row>
    <row r="15" spans="1:45" x14ac:dyDescent="0.2">
      <c r="B15"/>
      <c r="C15" s="34">
        <f>C14+$J$1</f>
        <v>33</v>
      </c>
      <c r="E15" s="3">
        <f>[12]noerr!C11</f>
        <v>56.035302999999999</v>
      </c>
      <c r="F15" s="3">
        <f>[12]noerr!D11</f>
        <v>0.1656</v>
      </c>
      <c r="G15" s="3">
        <f>[12]noerr!E11</f>
        <v>14.924443999999999</v>
      </c>
      <c r="H15" s="3">
        <f>[12]noerr!F11</f>
        <v>6.4931000000000003E-2</v>
      </c>
      <c r="I15" s="3">
        <f>[12]noerr!G11</f>
        <v>635.32677699999999</v>
      </c>
      <c r="J15" s="3">
        <f>[12]noerr!H11</f>
        <v>79.291662000000002</v>
      </c>
      <c r="K15" s="3">
        <f>[12]noerr!I11</f>
        <v>395010.31964900001</v>
      </c>
      <c r="L15" s="33">
        <f>[12]noerr!J11</f>
        <v>3227.6672100000001</v>
      </c>
      <c r="M15" s="3">
        <f>[12]noerr!K11</f>
        <v>400002.504006</v>
      </c>
      <c r="N15" s="3">
        <f>[12]noerr!L11</f>
        <v>14.924443999999999</v>
      </c>
      <c r="O15" s="33">
        <f>[12]noerr!M11</f>
        <v>3131.3547210000002</v>
      </c>
      <c r="P15" s="3">
        <f>[12]noerr!N11</f>
        <v>52.918802999999997</v>
      </c>
      <c r="Q15" s="3">
        <f>[12]noerr!O11</f>
        <v>52.602060000000002</v>
      </c>
      <c r="R15" s="11">
        <f>[12]noerr!P11</f>
        <v>3227.6672100000001</v>
      </c>
      <c r="S15" s="11">
        <f>[12]noerr!Q11</f>
        <v>3163.1138660000001</v>
      </c>
      <c r="T15" s="3">
        <f>[12]noerr!R11</f>
        <v>41.773907999999999</v>
      </c>
      <c r="U15" s="3">
        <f>[12]noerr!S11</f>
        <v>42.025449000000002</v>
      </c>
      <c r="V15" s="3">
        <f>[12]noerr!T11</f>
        <v>15.113061</v>
      </c>
      <c r="W15" s="3">
        <f>[12]noerr!U11</f>
        <v>15.204064000000001</v>
      </c>
      <c r="X15" s="72">
        <f>[12]noerr!V11</f>
        <v>0.18861700000000001</v>
      </c>
      <c r="Y15" s="3">
        <f>[12]noerr!W11</f>
        <v>0.27961999999999998</v>
      </c>
      <c r="Z15" s="33">
        <f>[12]noerr!X11</f>
        <v>118215.57264899999</v>
      </c>
      <c r="AA15" s="3">
        <f>[12]noerr!Y11</f>
        <v>395010.31964900001</v>
      </c>
      <c r="AB15" s="3">
        <f>[12]noerr!Z11</f>
        <v>392646.00819600001</v>
      </c>
      <c r="AC15">
        <f t="shared" si="1"/>
        <v>5055.9918551999999</v>
      </c>
      <c r="AD15" s="20">
        <f t="shared" si="2"/>
        <v>0.46823700000000001</v>
      </c>
      <c r="AE15">
        <f t="shared" si="3"/>
        <v>12551.3737272</v>
      </c>
      <c r="AF15" s="31">
        <f t="shared" si="8"/>
        <v>365.53029711627033</v>
      </c>
      <c r="AG15" s="102">
        <f t="shared" si="0"/>
        <v>1.294245963438108</v>
      </c>
      <c r="AH15" s="102">
        <f t="shared" si="4"/>
        <v>34693.039597536546</v>
      </c>
      <c r="AI15" s="32">
        <f t="shared" si="9"/>
        <v>365.49010141185215</v>
      </c>
      <c r="AJ15" s="31">
        <f>Z14-Z15</f>
        <v>4992.1843570000055</v>
      </c>
      <c r="AK15" s="113">
        <f t="shared" si="5"/>
        <v>2364.3114530000021</v>
      </c>
      <c r="AL15" s="38">
        <f t="shared" si="6"/>
        <v>7356.4958100000076</v>
      </c>
      <c r="AM15" s="26">
        <f t="shared" si="7"/>
        <v>54776.467801260056</v>
      </c>
      <c r="AN15" s="31">
        <f t="shared" si="10"/>
        <v>215.75175258446475</v>
      </c>
      <c r="AP15" s="131">
        <f>Z14-Z15</f>
        <v>4992.1843570000055</v>
      </c>
      <c r="AQ15">
        <f>Z15-((L15-L15*$AQ$1)*Z15/L15)</f>
        <v>2364.3114529799932</v>
      </c>
      <c r="AR15" s="3">
        <f>AP15+AQ15</f>
        <v>7356.4958099799987</v>
      </c>
    </row>
    <row r="16" spans="1:45" s="109" customFormat="1" x14ac:dyDescent="0.2">
      <c r="B16" s="118">
        <v>25</v>
      </c>
      <c r="C16" s="109">
        <v>25</v>
      </c>
      <c r="D16" s="110"/>
      <c r="E16" s="110">
        <f>[12]noerr!C12</f>
        <v>48.041918000000003</v>
      </c>
      <c r="F16" s="110">
        <f>[12]noerr!D12</f>
        <v>0.112</v>
      </c>
      <c r="G16" s="110">
        <f>[12]noerr!E12</f>
        <v>14.972826</v>
      </c>
      <c r="H16" s="110">
        <f>[12]noerr!F12</f>
        <v>6.5564999999999998E-2</v>
      </c>
      <c r="I16" s="110">
        <f>[12]noerr!G12</f>
        <v>631.17923299999995</v>
      </c>
      <c r="J16" s="110">
        <f>[12]noerr!H12</f>
        <v>80.130515000000003</v>
      </c>
      <c r="K16" s="110">
        <f>[12]noerr!I12</f>
        <v>400002.20446899999</v>
      </c>
      <c r="L16" s="33">
        <f>[12]noerr!J12</f>
        <v>3242.0896419999999</v>
      </c>
      <c r="M16" s="110">
        <f>[12]noerr!K12</f>
        <v>400002.18775500002</v>
      </c>
      <c r="N16" s="110">
        <f>[12]noerr!L12</f>
        <v>14.972826</v>
      </c>
      <c r="O16" s="33">
        <f>[12]noerr!M12</f>
        <v>3242.0889969999998</v>
      </c>
      <c r="P16" s="110">
        <f>[12]noerr!N12</f>
        <v>53.414396000000004</v>
      </c>
      <c r="Q16" s="110">
        <f>[12]noerr!O12</f>
        <v>53.082982999999999</v>
      </c>
      <c r="R16" s="11">
        <f>[12]noerr!P12</f>
        <v>3242.0896419999999</v>
      </c>
      <c r="S16" s="11">
        <f>[12]noerr!Q12</f>
        <v>3177.2478489999999</v>
      </c>
      <c r="T16" s="110">
        <f>[12]noerr!R12</f>
        <v>41.383183000000002</v>
      </c>
      <c r="U16" s="110">
        <f>[12]noerr!S12</f>
        <v>41.641550000000002</v>
      </c>
      <c r="V16" s="110">
        <f>[12]noerr!T12</f>
        <v>14.972826</v>
      </c>
      <c r="W16" s="110">
        <f>[12]noerr!U12</f>
        <v>15.066306000000001</v>
      </c>
      <c r="X16" s="111">
        <f>[12]noerr!V12</f>
        <v>-9.9999999999999995E-7</v>
      </c>
      <c r="Y16" s="110">
        <f>[12]noerr!W12</f>
        <v>9.3479000000000007E-2</v>
      </c>
      <c r="Z16" s="33">
        <f>[12]noerr!X12</f>
        <v>124091.741469</v>
      </c>
      <c r="AA16" s="110">
        <f>[12]noerr!Y12</f>
        <v>400002.20446899999</v>
      </c>
      <c r="AB16" s="110">
        <f>[12]noerr!Z12</f>
        <v>397520.36963899998</v>
      </c>
      <c r="AC16" s="109">
        <f t="shared" si="1"/>
        <v>-2.6805599999999999E-2</v>
      </c>
      <c r="AD16" s="112">
        <f t="shared" si="2"/>
        <v>9.3478000000000006E-2</v>
      </c>
      <c r="AE16" s="109">
        <f t="shared" si="3"/>
        <v>2505.7338768000004</v>
      </c>
      <c r="AF16" s="113">
        <f t="shared" si="8"/>
        <v>72.973816921419555</v>
      </c>
      <c r="AG16" s="114">
        <f t="shared" si="0"/>
        <v>0.25836304900809637</v>
      </c>
      <c r="AH16" s="114">
        <f t="shared" si="4"/>
        <v>6925.5765464914284</v>
      </c>
      <c r="AI16" s="115">
        <f t="shared" si="9"/>
        <v>72.960735169841755</v>
      </c>
      <c r="AJ16" s="31">
        <f>(Z16-Z16)</f>
        <v>0</v>
      </c>
      <c r="AK16" s="113">
        <f t="shared" si="5"/>
        <v>2481.8348300000071</v>
      </c>
      <c r="AL16" s="116">
        <f t="shared" si="6"/>
        <v>2481.8348300000071</v>
      </c>
      <c r="AM16" s="117">
        <f t="shared" si="7"/>
        <v>18479.742144180051</v>
      </c>
      <c r="AN16" s="113">
        <f t="shared" si="10"/>
        <v>72.787401505726962</v>
      </c>
      <c r="AP16" s="110"/>
    </row>
    <row r="17" spans="1:45" x14ac:dyDescent="0.2">
      <c r="C17" s="34">
        <f>C16+$J$1</f>
        <v>38</v>
      </c>
      <c r="E17" s="3">
        <f>[12]noerr!C13</f>
        <v>61.013195000000003</v>
      </c>
      <c r="F17" s="3">
        <f>[12]noerr!D13</f>
        <v>0.20899999999999999</v>
      </c>
      <c r="G17" s="3">
        <f>[12]noerr!E13</f>
        <v>14.972826</v>
      </c>
      <c r="H17" s="3">
        <f>[12]noerr!F13</f>
        <v>6.5564999999999998E-2</v>
      </c>
      <c r="I17" s="3">
        <f>[12]noerr!G13</f>
        <v>631.17923299999995</v>
      </c>
      <c r="J17" s="3">
        <f>[12]noerr!H13</f>
        <v>81.756579000000002</v>
      </c>
      <c r="K17" s="3">
        <f>[12]noerr!I13</f>
        <v>394890.52228899999</v>
      </c>
      <c r="L17" s="33">
        <f>[12]noerr!J13</f>
        <v>3339.3206100000002</v>
      </c>
      <c r="M17" s="3">
        <f>[12]noerr!K13</f>
        <v>400002.18775500002</v>
      </c>
      <c r="N17" s="3">
        <f>[12]noerr!L13</f>
        <v>14.972826</v>
      </c>
      <c r="O17" s="33">
        <f>[12]noerr!M13</f>
        <v>3242.0889969999998</v>
      </c>
      <c r="P17" s="3">
        <f>[12]noerr!N13</f>
        <v>52.731805999999999</v>
      </c>
      <c r="Q17" s="3">
        <f>[12]noerr!O13</f>
        <v>52.414045000000002</v>
      </c>
      <c r="R17" s="11">
        <f>[12]noerr!P13</f>
        <v>3339.3206100000002</v>
      </c>
      <c r="S17" s="11">
        <f>[12]noerr!Q13</f>
        <v>3272.5341979999998</v>
      </c>
      <c r="T17" s="3">
        <f>[12]noerr!R13</f>
        <v>41.918869999999998</v>
      </c>
      <c r="U17" s="3">
        <f>[12]noerr!S13</f>
        <v>42.173003000000001</v>
      </c>
      <c r="V17" s="3">
        <f>[12]noerr!T13</f>
        <v>15.166642</v>
      </c>
      <c r="W17" s="3">
        <f>[12]noerr!U13</f>
        <v>15.25859</v>
      </c>
      <c r="X17" s="72">
        <f>[12]noerr!V13</f>
        <v>0.19381599999999999</v>
      </c>
      <c r="Y17" s="3">
        <f>[12]noerr!W13</f>
        <v>0.28576400000000002</v>
      </c>
      <c r="Z17" s="33">
        <f>[12]noerr!X13</f>
        <v>118980.059289</v>
      </c>
      <c r="AA17" s="3">
        <f>[12]noerr!Y13</f>
        <v>394890.52228899999</v>
      </c>
      <c r="AB17" s="3">
        <f>[12]noerr!Z13</f>
        <v>392510.921103</v>
      </c>
      <c r="AC17">
        <f t="shared" si="1"/>
        <v>5195.3541695999993</v>
      </c>
      <c r="AD17" s="20">
        <f t="shared" si="2"/>
        <v>0.47958000000000001</v>
      </c>
      <c r="AE17">
        <f t="shared" si="3"/>
        <v>12855.429647999999</v>
      </c>
      <c r="AF17" s="31">
        <f t="shared" si="8"/>
        <v>374.3852363034552</v>
      </c>
      <c r="AG17" s="102">
        <f t="shared" si="0"/>
        <v>1.325507082343492</v>
      </c>
      <c r="AH17" s="102">
        <f t="shared" si="4"/>
        <v>35531.012646466712</v>
      </c>
      <c r="AI17" s="32">
        <f t="shared" si="9"/>
        <v>374.31812161956071</v>
      </c>
      <c r="AJ17" s="31">
        <f>Z16-Z17</f>
        <v>5111.6821800000034</v>
      </c>
      <c r="AK17" s="113">
        <f t="shared" si="5"/>
        <v>2379.6011859999853</v>
      </c>
      <c r="AL17" s="38">
        <f t="shared" si="6"/>
        <v>7491.2833659999887</v>
      </c>
      <c r="AM17" s="26">
        <f t="shared" si="7"/>
        <v>55780.095943235909</v>
      </c>
      <c r="AN17" s="31">
        <f t="shared" si="10"/>
        <v>219.70481015217814</v>
      </c>
      <c r="AP17" s="131">
        <f>Z16-Z17</f>
        <v>5111.6821800000034</v>
      </c>
      <c r="AQ17">
        <f>Z17-((L17-L17*$AQ$1)*Z17/L17)</f>
        <v>2379.601185780004</v>
      </c>
      <c r="AR17" s="3">
        <f>AP17+AQ17</f>
        <v>7491.2833657800074</v>
      </c>
    </row>
    <row r="18" spans="1:45" s="109" customFormat="1" x14ac:dyDescent="0.2">
      <c r="A18" s="109" t="s">
        <v>93</v>
      </c>
      <c r="B18" s="109">
        <v>15</v>
      </c>
      <c r="C18" s="109">
        <v>15</v>
      </c>
      <c r="D18" s="110"/>
      <c r="E18" s="110">
        <f>[12]noerr!C14</f>
        <v>36.611317</v>
      </c>
      <c r="F18" s="110">
        <f>[12]noerr!D14</f>
        <v>6.1499999999999999E-2</v>
      </c>
      <c r="G18" s="110">
        <f>[12]noerr!E14</f>
        <v>36.987071999999998</v>
      </c>
      <c r="H18" s="110">
        <f>[12]noerr!F14</f>
        <v>0.244114</v>
      </c>
      <c r="I18" s="110">
        <f>[12]noerr!G14</f>
        <v>556.17392099999995</v>
      </c>
      <c r="J18" s="110">
        <f>[12]noerr!H14</f>
        <v>310.29197900000003</v>
      </c>
      <c r="K18" s="110">
        <f>[12]noerr!I14</f>
        <v>400000.411188</v>
      </c>
      <c r="L18" s="33">
        <f>[12]noerr!J14</f>
        <v>10940.047329999999</v>
      </c>
      <c r="M18" s="110">
        <f>[12]noerr!K14</f>
        <v>400000.411188</v>
      </c>
      <c r="N18" s="110">
        <f>[12]noerr!L14</f>
        <v>36.987071999999998</v>
      </c>
      <c r="O18" s="33">
        <f>[12]noerr!M14</f>
        <v>305.71213799999998</v>
      </c>
      <c r="P18" s="110">
        <f>[12]noerr!N14</f>
        <v>36.038933</v>
      </c>
      <c r="Q18" s="110">
        <f>[12]noerr!O14</f>
        <v>35.031849999999999</v>
      </c>
      <c r="R18" s="11">
        <f>[12]noerr!P14</f>
        <v>10940.047329999999</v>
      </c>
      <c r="S18" s="11">
        <f>[12]noerr!Q14</f>
        <v>10634.335192</v>
      </c>
      <c r="T18" s="110">
        <f>[12]noerr!R14</f>
        <v>135.76963699999999</v>
      </c>
      <c r="U18" s="110">
        <f>[12]noerr!S14</f>
        <v>139.672695</v>
      </c>
      <c r="V18" s="110">
        <f>[12]noerr!T14</f>
        <v>36.987071999999998</v>
      </c>
      <c r="W18" s="110">
        <f>[12]noerr!U14</f>
        <v>38.050362999999997</v>
      </c>
      <c r="X18" s="111">
        <f>[12]noerr!V14</f>
        <v>0</v>
      </c>
      <c r="Y18" s="110">
        <f>[12]noerr!W14</f>
        <v>1.063291</v>
      </c>
      <c r="Z18" s="33">
        <f>[12]noerr!X14</f>
        <v>400000.411188</v>
      </c>
      <c r="AA18" s="110">
        <f>[12]noerr!Y14</f>
        <v>400000.411188</v>
      </c>
      <c r="AB18" s="110">
        <f>[12]noerr!Z14</f>
        <v>388822.67336999997</v>
      </c>
      <c r="AC18" s="109">
        <f t="shared" si="1"/>
        <v>0</v>
      </c>
      <c r="AD18" s="112">
        <f t="shared" si="2"/>
        <v>1.063291</v>
      </c>
      <c r="AE18" s="109">
        <f t="shared" si="3"/>
        <v>28502.1532296</v>
      </c>
      <c r="AF18" s="113">
        <f t="shared" si="8"/>
        <v>830.06057861949455</v>
      </c>
      <c r="AG18" s="114">
        <f t="shared" si="0"/>
        <v>3.9030623870228851</v>
      </c>
      <c r="AH18" s="114">
        <f t="shared" si="4"/>
        <v>104623.92912158064</v>
      </c>
      <c r="AI18" s="115">
        <f t="shared" si="9"/>
        <v>1102.2098642365193</v>
      </c>
      <c r="AJ18" s="31">
        <f>(K18-AA18)</f>
        <v>0</v>
      </c>
      <c r="AK18" s="113">
        <f t="shared" si="5"/>
        <v>11177.737818000023</v>
      </c>
      <c r="AL18" s="116">
        <f t="shared" si="6"/>
        <v>11177.737818000023</v>
      </c>
      <c r="AM18" s="117">
        <f t="shared" si="7"/>
        <v>83229.435792828182</v>
      </c>
      <c r="AN18" s="113">
        <f t="shared" si="10"/>
        <v>327.82136854953961</v>
      </c>
      <c r="AP18" s="110"/>
    </row>
    <row r="19" spans="1:45" x14ac:dyDescent="0.2">
      <c r="C19" s="34">
        <f>C18+$J$1</f>
        <v>28</v>
      </c>
      <c r="E19" s="3">
        <f>[12]noerr!C15</f>
        <v>36.611317</v>
      </c>
      <c r="F19" s="3">
        <f>[12]noerr!D15</f>
        <v>6.1499999999999999E-2</v>
      </c>
      <c r="G19" s="3">
        <f>[12]noerr!E15</f>
        <v>36.987071999999998</v>
      </c>
      <c r="H19" s="3">
        <f>[12]noerr!F15</f>
        <v>0.244114</v>
      </c>
      <c r="I19" s="3">
        <f>[12]noerr!G15</f>
        <v>556.17392099999995</v>
      </c>
      <c r="J19" s="3">
        <f>[12]noerr!H15</f>
        <v>310.29197900000003</v>
      </c>
      <c r="K19" s="3">
        <f>[12]noerr!I15</f>
        <v>400000.411188</v>
      </c>
      <c r="L19" s="33">
        <f>[12]noerr!J15</f>
        <v>10940.047329999999</v>
      </c>
      <c r="M19" s="3">
        <f>[12]noerr!K15</f>
        <v>400000.411188</v>
      </c>
      <c r="N19" s="3">
        <f>[12]noerr!L15</f>
        <v>36.987071999999998</v>
      </c>
      <c r="O19" s="33">
        <f>[12]noerr!M15</f>
        <v>310.98045500000001</v>
      </c>
      <c r="P19" s="3">
        <f>[12]noerr!N15</f>
        <v>36.021577999999998</v>
      </c>
      <c r="Q19" s="3">
        <f>[12]noerr!O15</f>
        <v>35.014494999999997</v>
      </c>
      <c r="R19" s="11">
        <f>[12]noerr!P15</f>
        <v>10934.779012000001</v>
      </c>
      <c r="S19" s="11">
        <f>[12]noerr!Q15</f>
        <v>10629.066875</v>
      </c>
      <c r="T19" s="3">
        <f>[12]noerr!R15</f>
        <v>135.83505</v>
      </c>
      <c r="U19" s="3">
        <f>[12]noerr!S15</f>
        <v>139.74192400000001</v>
      </c>
      <c r="V19" s="3">
        <f>[12]noerr!T15</f>
        <v>37.004891999999998</v>
      </c>
      <c r="W19" s="3">
        <f>[12]noerr!U15</f>
        <v>38.069223000000001</v>
      </c>
      <c r="X19" s="72">
        <f>[12]noerr!V15</f>
        <v>1.7819999999999999E-2</v>
      </c>
      <c r="Y19" s="3">
        <f>[12]noerr!W15</f>
        <v>1.0821510000000001</v>
      </c>
      <c r="Z19" s="33">
        <f>[12]noerr!X15</f>
        <v>400000.411188</v>
      </c>
      <c r="AA19" s="3">
        <f>[12]noerr!Y15</f>
        <v>399807.78594799998</v>
      </c>
      <c r="AB19" s="3">
        <f>[12]noerr!Z15</f>
        <v>388630.04813100002</v>
      </c>
      <c r="AC19">
        <f t="shared" si="1"/>
        <v>477.675792</v>
      </c>
      <c r="AD19" s="20">
        <f t="shared" si="2"/>
        <v>1.099971</v>
      </c>
      <c r="AE19">
        <f t="shared" si="3"/>
        <v>29485.3826376</v>
      </c>
      <c r="AF19" s="31">
        <f t="shared" si="8"/>
        <v>858.69490546300494</v>
      </c>
      <c r="AG19" s="102">
        <f t="shared" si="0"/>
        <v>4.0377050467989761</v>
      </c>
      <c r="AH19" s="102">
        <f t="shared" si="4"/>
        <v>108233.10640247463</v>
      </c>
      <c r="AI19" s="32">
        <f t="shared" si="9"/>
        <v>1140.2324354989394</v>
      </c>
      <c r="AJ19" s="31">
        <f>K18-AA19</f>
        <v>192.62524000002304</v>
      </c>
      <c r="AK19" s="113">
        <f t="shared" si="5"/>
        <v>11370.36305699998</v>
      </c>
      <c r="AL19" s="38">
        <f t="shared" si="6"/>
        <v>11562.988297000004</v>
      </c>
      <c r="AM19" s="26">
        <f t="shared" si="7"/>
        <v>86098.010859462025</v>
      </c>
      <c r="AN19" s="31">
        <f t="shared" si="10"/>
        <v>339.12001782155625</v>
      </c>
      <c r="AP19" s="11">
        <f>Z18-((L19-(O19-O18))*Z18/L19)</f>
        <v>192.62521474569803</v>
      </c>
      <c r="AQ19">
        <f>Z19-((L19-O19)*Z19/L19)</f>
        <v>11370.363044986152</v>
      </c>
      <c r="AR19" s="3">
        <f>AP19+AQ19</f>
        <v>11562.98825973185</v>
      </c>
    </row>
    <row r="20" spans="1:45" s="109" customFormat="1" x14ac:dyDescent="0.2">
      <c r="B20" s="109">
        <v>20</v>
      </c>
      <c r="C20" s="109">
        <v>20</v>
      </c>
      <c r="D20" s="110"/>
      <c r="E20" s="110">
        <f>[12]noerr!C16</f>
        <v>40.982267999999998</v>
      </c>
      <c r="F20" s="110">
        <f>[12]noerr!D16</f>
        <v>7.7799999999999994E-2</v>
      </c>
      <c r="G20" s="110">
        <f>[12]noerr!E16</f>
        <v>37.255218999999997</v>
      </c>
      <c r="H20" s="110">
        <f>[12]noerr!F16</f>
        <v>0.250058</v>
      </c>
      <c r="I20" s="110">
        <f>[12]noerr!G16</f>
        <v>546.85956399999998</v>
      </c>
      <c r="J20" s="110">
        <f>[12]noerr!H16</f>
        <v>315.90747900000002</v>
      </c>
      <c r="K20" s="110">
        <f>[12]noerr!I16</f>
        <v>400000.59276500001</v>
      </c>
      <c r="L20" s="33">
        <f>[12]noerr!J16</f>
        <v>11174.114592</v>
      </c>
      <c r="M20" s="110">
        <f>[12]noerr!K16</f>
        <v>400000.59276500001</v>
      </c>
      <c r="N20" s="110">
        <f>[12]noerr!L16</f>
        <v>37.255218999999997</v>
      </c>
      <c r="O20" s="33">
        <f>[12]noerr!M16</f>
        <v>325.27497399999999</v>
      </c>
      <c r="P20" s="110">
        <f>[12]noerr!N16</f>
        <v>35.779556999999997</v>
      </c>
      <c r="Q20" s="110">
        <f>[12]noerr!O16</f>
        <v>34.738025</v>
      </c>
      <c r="R20" s="11">
        <f>[12]noerr!P16</f>
        <v>11174.114592</v>
      </c>
      <c r="S20" s="11">
        <f>[12]noerr!Q16</f>
        <v>10848.839618</v>
      </c>
      <c r="T20" s="110">
        <f>[12]noerr!R16</f>
        <v>136.74669800000001</v>
      </c>
      <c r="U20" s="110">
        <f>[12]noerr!S16</f>
        <v>140.84670199999999</v>
      </c>
      <c r="V20" s="110">
        <f>[12]noerr!T16</f>
        <v>37.255218999999997</v>
      </c>
      <c r="W20" s="110">
        <f>[12]noerr!U16</f>
        <v>38.372222000000001</v>
      </c>
      <c r="X20" s="111">
        <f>[12]noerr!V16</f>
        <v>0</v>
      </c>
      <c r="Y20" s="110">
        <f>[12]noerr!W16</f>
        <v>1.117003</v>
      </c>
      <c r="Z20" s="33">
        <f>[12]noerr!X16</f>
        <v>400000.59276500001</v>
      </c>
      <c r="AA20" s="110">
        <f>[12]noerr!Y16</f>
        <v>400000.59276500001</v>
      </c>
      <c r="AB20" s="110">
        <f>[12]noerr!Z16</f>
        <v>388356.70085700002</v>
      </c>
      <c r="AC20" s="109">
        <f t="shared" si="1"/>
        <v>0</v>
      </c>
      <c r="AD20" s="112">
        <f t="shared" si="2"/>
        <v>1.117003</v>
      </c>
      <c r="AE20" s="109">
        <f t="shared" si="3"/>
        <v>29941.935616799998</v>
      </c>
      <c r="AF20" s="113">
        <f t="shared" si="8"/>
        <v>871.99097565926093</v>
      </c>
      <c r="AG20" s="114">
        <f t="shared" si="0"/>
        <v>4.0999993136676949</v>
      </c>
      <c r="AH20" s="114">
        <f t="shared" si="4"/>
        <v>109902.94160245075</v>
      </c>
      <c r="AI20" s="115">
        <f t="shared" si="9"/>
        <v>1157.8240977937498</v>
      </c>
      <c r="AJ20" s="31">
        <f>(K20-AA20)</f>
        <v>0</v>
      </c>
      <c r="AK20" s="113">
        <f t="shared" si="5"/>
        <v>11643.891907999991</v>
      </c>
      <c r="AL20" s="116">
        <f t="shared" si="6"/>
        <v>11643.891907999991</v>
      </c>
      <c r="AM20" s="117">
        <f t="shared" si="7"/>
        <v>86700.419146967921</v>
      </c>
      <c r="AN20" s="113">
        <f t="shared" si="10"/>
        <v>341.49276380204486</v>
      </c>
      <c r="AP20" s="110"/>
    </row>
    <row r="21" spans="1:45" x14ac:dyDescent="0.2">
      <c r="B21"/>
      <c r="C21" s="34">
        <f>C20+$J$1</f>
        <v>33</v>
      </c>
      <c r="E21" s="3">
        <f>[12]noerr!C17</f>
        <v>40.982267999999998</v>
      </c>
      <c r="F21" s="3">
        <f>[12]noerr!D17</f>
        <v>7.7799999999999994E-2</v>
      </c>
      <c r="G21" s="3">
        <f>[12]noerr!E17</f>
        <v>37.255218999999997</v>
      </c>
      <c r="H21" s="3">
        <f>[12]noerr!F17</f>
        <v>0.250058</v>
      </c>
      <c r="I21" s="3">
        <f>[12]noerr!G17</f>
        <v>546.85956399999998</v>
      </c>
      <c r="J21" s="3">
        <f>[12]noerr!H17</f>
        <v>315.90747900000002</v>
      </c>
      <c r="K21" s="3">
        <f>[12]noerr!I17</f>
        <v>400000.59276500001</v>
      </c>
      <c r="L21" s="33">
        <f>[12]noerr!J17</f>
        <v>11174.114592</v>
      </c>
      <c r="M21" s="3">
        <f>[12]noerr!K17</f>
        <v>400000.59276500001</v>
      </c>
      <c r="N21" s="3">
        <f>[12]noerr!L17</f>
        <v>37.255218999999997</v>
      </c>
      <c r="O21" s="33">
        <f>[12]noerr!M17</f>
        <v>331.27215000000001</v>
      </c>
      <c r="P21" s="3">
        <f>[12]noerr!N17</f>
        <v>35.760354</v>
      </c>
      <c r="Q21" s="3">
        <f>[12]noerr!O17</f>
        <v>34.718822000000003</v>
      </c>
      <c r="R21" s="11">
        <f>[12]noerr!P17</f>
        <v>11168.117415999999</v>
      </c>
      <c r="S21" s="11">
        <f>[12]noerr!Q17</f>
        <v>10842.842441999999</v>
      </c>
      <c r="T21" s="3">
        <f>[12]noerr!R17</f>
        <v>136.82013000000001</v>
      </c>
      <c r="U21" s="3">
        <f>[12]noerr!S17</f>
        <v>140.92460399999999</v>
      </c>
      <c r="V21" s="3">
        <f>[12]noerr!T17</f>
        <v>37.275224000000001</v>
      </c>
      <c r="W21" s="3">
        <f>[12]noerr!U17</f>
        <v>38.393445999999997</v>
      </c>
      <c r="X21" s="72">
        <f>[12]noerr!V17</f>
        <v>2.0005999999999999E-2</v>
      </c>
      <c r="Y21" s="3">
        <f>[12]noerr!W17</f>
        <v>1.1382270000000001</v>
      </c>
      <c r="Z21" s="33">
        <f>[12]noerr!X17</f>
        <v>400000.59276500001</v>
      </c>
      <c r="AA21" s="3">
        <f>[12]noerr!Y17</f>
        <v>399785.91142199998</v>
      </c>
      <c r="AB21" s="3">
        <f>[12]noerr!Z17</f>
        <v>388142.01951499999</v>
      </c>
      <c r="AC21">
        <f t="shared" si="1"/>
        <v>536.2728335999999</v>
      </c>
      <c r="AD21" s="20">
        <f t="shared" si="2"/>
        <v>1.1582330000000001</v>
      </c>
      <c r="AE21">
        <f t="shared" si="3"/>
        <v>31047.130504800003</v>
      </c>
      <c r="AF21" s="31">
        <f t="shared" si="8"/>
        <v>904.17727052725274</v>
      </c>
      <c r="AG21" s="102">
        <f t="shared" si="0"/>
        <v>4.2513354978163136</v>
      </c>
      <c r="AH21" s="102">
        <f t="shared" si="4"/>
        <v>113959.59882026496</v>
      </c>
      <c r="AI21" s="32">
        <f t="shared" si="9"/>
        <v>1200.560856380833</v>
      </c>
      <c r="AJ21" s="31">
        <f>K20-AA21</f>
        <v>214.68134300003294</v>
      </c>
      <c r="AK21" s="113">
        <f t="shared" si="5"/>
        <v>11858.573250000016</v>
      </c>
      <c r="AL21" s="38">
        <f t="shared" si="6"/>
        <v>12073.254593000049</v>
      </c>
      <c r="AM21" s="26">
        <f t="shared" si="7"/>
        <v>89897.45369947837</v>
      </c>
      <c r="AN21" s="31">
        <f t="shared" si="10"/>
        <v>354.08513851083092</v>
      </c>
      <c r="AP21" s="11">
        <f>Z20-((L21-(O21-O20))*Z20/L21)</f>
        <v>214.68134545831708</v>
      </c>
      <c r="AQ21">
        <f>Z21-((L21-O21)*Z21/L21)</f>
        <v>11858.573247620428</v>
      </c>
      <c r="AR21" s="3">
        <f>AP21+AQ21</f>
        <v>12073.254593078746</v>
      </c>
    </row>
    <row r="22" spans="1:45" s="109" customFormat="1" x14ac:dyDescent="0.2">
      <c r="B22" s="118">
        <v>25</v>
      </c>
      <c r="C22" s="109">
        <v>25</v>
      </c>
      <c r="D22" s="110"/>
      <c r="E22" s="110">
        <f>[12]noerr!C18</f>
        <v>45.213053000000002</v>
      </c>
      <c r="F22" s="110">
        <f>[12]noerr!D18</f>
        <v>9.7000000000000003E-2</v>
      </c>
      <c r="G22" s="110">
        <f>[12]noerr!E18</f>
        <v>37.523645000000002</v>
      </c>
      <c r="H22" s="110">
        <f>[12]noerr!F18</f>
        <v>0.25616299999999997</v>
      </c>
      <c r="I22" s="110">
        <f>[12]noerr!G18</f>
        <v>537.64443700000004</v>
      </c>
      <c r="J22" s="110">
        <f>[12]noerr!H18</f>
        <v>321.48393399999998</v>
      </c>
      <c r="K22" s="110">
        <f>[12]noerr!I18</f>
        <v>400000.11810700002</v>
      </c>
      <c r="L22" s="33">
        <f>[12]noerr!J18</f>
        <v>11403.623645</v>
      </c>
      <c r="M22" s="110">
        <f>[12]noerr!K18</f>
        <v>400000.11810700002</v>
      </c>
      <c r="N22" s="110">
        <f>[12]noerr!L18</f>
        <v>37.523645000000002</v>
      </c>
      <c r="O22" s="33">
        <f>[12]noerr!M18</f>
        <v>343.22576800000002</v>
      </c>
      <c r="P22" s="110">
        <f>[12]noerr!N18</f>
        <v>35.523564999999998</v>
      </c>
      <c r="Q22" s="110">
        <f>[12]noerr!O18</f>
        <v>34.454377999999998</v>
      </c>
      <c r="R22" s="11">
        <f>[12]noerr!P18</f>
        <v>11403.623645</v>
      </c>
      <c r="S22" s="11">
        <f>[12]noerr!Q18</f>
        <v>11060.397876000001</v>
      </c>
      <c r="T22" s="110">
        <f>[12]noerr!R18</f>
        <v>137.72467</v>
      </c>
      <c r="U22" s="110">
        <f>[12]noerr!S18</f>
        <v>141.998536</v>
      </c>
      <c r="V22" s="110">
        <f>[12]noerr!T18</f>
        <v>37.523645000000002</v>
      </c>
      <c r="W22" s="110">
        <f>[12]noerr!U18</f>
        <v>38.688077</v>
      </c>
      <c r="X22" s="111">
        <f>[12]noerr!V18</f>
        <v>0</v>
      </c>
      <c r="Y22" s="110">
        <f>[12]noerr!W18</f>
        <v>1.1644319999999999</v>
      </c>
      <c r="Z22" s="33">
        <f>[12]noerr!X18</f>
        <v>400000.11810700002</v>
      </c>
      <c r="AA22" s="110">
        <f>[12]noerr!Y18</f>
        <v>400000.11810700002</v>
      </c>
      <c r="AB22" s="110">
        <f>[12]noerr!Z18</f>
        <v>387960.93195100001</v>
      </c>
      <c r="AC22" s="109">
        <f t="shared" si="1"/>
        <v>0</v>
      </c>
      <c r="AD22" s="112">
        <f t="shared" si="2"/>
        <v>1.1644319999999999</v>
      </c>
      <c r="AE22" s="109">
        <f t="shared" si="3"/>
        <v>31213.298419199997</v>
      </c>
      <c r="AF22" s="113">
        <f t="shared" si="8"/>
        <v>909.01653421599087</v>
      </c>
      <c r="AG22" s="114">
        <f t="shared" si="0"/>
        <v>4.2738637278355043</v>
      </c>
      <c r="AH22" s="114">
        <f t="shared" si="4"/>
        <v>114563.48154286739</v>
      </c>
      <c r="AI22" s="115">
        <f t="shared" si="9"/>
        <v>1206.9227422255228</v>
      </c>
      <c r="AJ22" s="31">
        <f>(K22-AA22)</f>
        <v>0</v>
      </c>
      <c r="AK22" s="113">
        <f t="shared" si="5"/>
        <v>12039.186156000011</v>
      </c>
      <c r="AL22" s="116">
        <f t="shared" si="6"/>
        <v>12039.186156000011</v>
      </c>
      <c r="AM22" s="117">
        <f t="shared" si="7"/>
        <v>89643.780117576069</v>
      </c>
      <c r="AN22" s="113">
        <f t="shared" si="10"/>
        <v>353.0859773367593</v>
      </c>
      <c r="AP22" s="110"/>
    </row>
    <row r="23" spans="1:45" x14ac:dyDescent="0.2">
      <c r="C23" s="34">
        <f>C22+$J$1</f>
        <v>38</v>
      </c>
      <c r="E23" s="3">
        <f>[12]noerr!C19</f>
        <v>45.213053000000002</v>
      </c>
      <c r="F23" s="3">
        <f>[12]noerr!D19</f>
        <v>9.7000000000000003E-2</v>
      </c>
      <c r="G23" s="3">
        <f>[12]noerr!E19</f>
        <v>37.523645000000002</v>
      </c>
      <c r="H23" s="3">
        <f>[12]noerr!F19</f>
        <v>0.25616299999999997</v>
      </c>
      <c r="I23" s="3">
        <f>[12]noerr!G19</f>
        <v>537.64443700000004</v>
      </c>
      <c r="J23" s="3">
        <f>[12]noerr!H19</f>
        <v>321.48393399999998</v>
      </c>
      <c r="K23" s="3">
        <f>[12]noerr!I19</f>
        <v>400000.11810700002</v>
      </c>
      <c r="L23" s="33">
        <f>[12]noerr!J19</f>
        <v>11403.623645</v>
      </c>
      <c r="M23" s="3">
        <f>[12]noerr!K19</f>
        <v>400000.11810700002</v>
      </c>
      <c r="N23" s="3">
        <f>[12]noerr!L19</f>
        <v>37.523645000000002</v>
      </c>
      <c r="O23" s="33">
        <f>[12]noerr!M19</f>
        <v>349.90425800000003</v>
      </c>
      <c r="P23" s="3">
        <f>[12]noerr!N19</f>
        <v>35.502761</v>
      </c>
      <c r="Q23" s="3">
        <f>[12]noerr!O19</f>
        <v>34.433574</v>
      </c>
      <c r="R23" s="11">
        <f>[12]noerr!P19</f>
        <v>11396.945154999999</v>
      </c>
      <c r="S23" s="11">
        <f>[12]noerr!Q19</f>
        <v>11053.719386999999</v>
      </c>
      <c r="T23" s="3">
        <f>[12]noerr!R19</f>
        <v>137.805375</v>
      </c>
      <c r="U23" s="3">
        <f>[12]noerr!S19</f>
        <v>142.084329</v>
      </c>
      <c r="V23" s="3">
        <f>[12]noerr!T19</f>
        <v>37.545633000000002</v>
      </c>
      <c r="W23" s="3">
        <f>[12]noerr!U19</f>
        <v>38.711450999999997</v>
      </c>
      <c r="X23" s="72">
        <f>[12]noerr!V19</f>
        <v>2.1988000000000001E-2</v>
      </c>
      <c r="Y23" s="3">
        <f>[12]noerr!W19</f>
        <v>1.1878070000000001</v>
      </c>
      <c r="Z23" s="33">
        <f>[12]noerr!X19</f>
        <v>400000.11810700002</v>
      </c>
      <c r="AA23" s="3">
        <f>[12]noerr!Y19</f>
        <v>399765.85953199997</v>
      </c>
      <c r="AB23" s="3">
        <f>[12]noerr!Z19</f>
        <v>387726.67337500001</v>
      </c>
      <c r="AC23">
        <f t="shared" si="1"/>
        <v>589.40153280000004</v>
      </c>
      <c r="AD23" s="20">
        <f t="shared" si="2"/>
        <v>1.209795</v>
      </c>
      <c r="AE23">
        <f t="shared" si="3"/>
        <v>32429.280852</v>
      </c>
      <c r="AF23" s="31">
        <f t="shared" si="8"/>
        <v>944.42926509391259</v>
      </c>
      <c r="AG23" s="102">
        <f t="shared" si="0"/>
        <v>4.4403614540108549</v>
      </c>
      <c r="AH23" s="102">
        <f t="shared" si="4"/>
        <v>119026.55299163338</v>
      </c>
      <c r="AI23" s="32">
        <f t="shared" si="9"/>
        <v>1253.9410621923223</v>
      </c>
      <c r="AJ23" s="31">
        <f>K22-AA23</f>
        <v>234.25857500004349</v>
      </c>
      <c r="AK23" s="113">
        <f t="shared" si="5"/>
        <v>12273.444732000004</v>
      </c>
      <c r="AL23" s="38">
        <f t="shared" si="6"/>
        <v>12507.703307000047</v>
      </c>
      <c r="AM23" s="26">
        <f t="shared" si="7"/>
        <v>93132.358823922346</v>
      </c>
      <c r="AN23" s="31">
        <f t="shared" si="10"/>
        <v>366.82667658472616</v>
      </c>
      <c r="AP23" s="11">
        <f>Z22-((L23-(O23-O22))*Z22/L23)</f>
        <v>234.25858936936129</v>
      </c>
      <c r="AQ23">
        <f>Z23-((L23-O23)*Z23/L23)</f>
        <v>12273.444729782001</v>
      </c>
      <c r="AR23" s="3">
        <f>AP23+AQ23</f>
        <v>12507.703319151362</v>
      </c>
    </row>
    <row r="24" spans="1:45" s="109" customFormat="1" x14ac:dyDescent="0.2">
      <c r="A24" s="109" t="s">
        <v>56</v>
      </c>
      <c r="B24" s="109">
        <v>15</v>
      </c>
      <c r="C24" s="109">
        <v>15</v>
      </c>
      <c r="D24" s="110"/>
      <c r="E24" s="110">
        <f>[12]noerr!C20</f>
        <v>38.021256000000001</v>
      </c>
      <c r="F24" s="110">
        <f>[12]noerr!D20</f>
        <v>6.6400000000000001E-2</v>
      </c>
      <c r="G24" s="110">
        <f>[12]noerr!E20</f>
        <v>37.113188999999998</v>
      </c>
      <c r="H24" s="110">
        <f>[12]noerr!F20</f>
        <v>0.244889</v>
      </c>
      <c r="I24" s="110">
        <f>[12]noerr!G20</f>
        <v>556.30003899999997</v>
      </c>
      <c r="J24" s="110">
        <f>[12]noerr!H20</f>
        <v>312.02577200000002</v>
      </c>
      <c r="K24" s="110">
        <f>[12]noerr!I20</f>
        <v>400001.06323700002</v>
      </c>
      <c r="L24" s="33">
        <f>[12]noerr!J20</f>
        <v>11012.114818</v>
      </c>
      <c r="M24" s="110">
        <f>[12]noerr!K20</f>
        <v>400001.06323700002</v>
      </c>
      <c r="N24" s="110">
        <f>[12]noerr!L20</f>
        <v>37.113188999999998</v>
      </c>
      <c r="O24" s="33">
        <f>[12]noerr!M20</f>
        <v>0</v>
      </c>
      <c r="P24" s="110">
        <f>[12]noerr!N20</f>
        <v>35.916525</v>
      </c>
      <c r="Q24" s="110">
        <f>[12]noerr!O20</f>
        <v>35.198194000000001</v>
      </c>
      <c r="R24" s="11">
        <f>[12]noerr!P20</f>
        <v>11012.114818</v>
      </c>
      <c r="S24" s="11">
        <f>[12]noerr!Q20</f>
        <v>10791.872522</v>
      </c>
      <c r="T24" s="110">
        <f>[12]noerr!R20</f>
        <v>136.23170500000001</v>
      </c>
      <c r="U24" s="110">
        <f>[12]noerr!S20</f>
        <v>139.011944</v>
      </c>
      <c r="V24" s="110">
        <f>[12]noerr!T20</f>
        <v>37.113188999999998</v>
      </c>
      <c r="W24" s="110">
        <f>[12]noerr!U20</f>
        <v>37.870601000000001</v>
      </c>
      <c r="X24" s="111">
        <f>[12]noerr!V20</f>
        <v>0</v>
      </c>
      <c r="Y24" s="110">
        <f>[12]noerr!W20</f>
        <v>0.75741199999999997</v>
      </c>
      <c r="Z24" s="33">
        <f>[12]noerr!X20</f>
        <v>400001.06323700002</v>
      </c>
      <c r="AA24" s="110">
        <f>[12]noerr!Y20</f>
        <v>400001.06323700002</v>
      </c>
      <c r="AB24" s="110">
        <f>[12]noerr!Z20</f>
        <v>392001.04197199998</v>
      </c>
      <c r="AC24" s="109">
        <f t="shared" si="1"/>
        <v>0</v>
      </c>
      <c r="AD24" s="112">
        <f t="shared" si="2"/>
        <v>0.75741199999999997</v>
      </c>
      <c r="AE24" s="109">
        <f t="shared" si="3"/>
        <v>20302.883107199999</v>
      </c>
      <c r="AF24" s="113">
        <f>AE24*$AF$6/$AE$6</f>
        <v>591.27542974909841</v>
      </c>
      <c r="AG24" s="114">
        <f t="shared" si="0"/>
        <v>2.7802399302032939</v>
      </c>
      <c r="AH24" s="114">
        <f t="shared" si="4"/>
        <v>74525.999473057411</v>
      </c>
      <c r="AI24" s="115">
        <f t="shared" si="9"/>
        <v>785.12910431640364</v>
      </c>
      <c r="AJ24" s="31">
        <f>(K24-AA24)</f>
        <v>0</v>
      </c>
      <c r="AK24" s="113">
        <f t="shared" si="5"/>
        <v>8000.0212650000467</v>
      </c>
      <c r="AL24" s="116">
        <f t="shared" si="6"/>
        <v>8000.0212650000467</v>
      </c>
      <c r="AM24" s="117">
        <f t="shared" si="7"/>
        <v>59568.158339190348</v>
      </c>
      <c r="AN24" s="113">
        <f t="shared" si="10"/>
        <v>234.62510592210137</v>
      </c>
      <c r="AP24" s="110"/>
    </row>
    <row r="25" spans="1:45" x14ac:dyDescent="0.2">
      <c r="C25" s="34">
        <f>C24+$J$1</f>
        <v>28</v>
      </c>
      <c r="E25" s="3">
        <f>[12]noerr!C21</f>
        <v>51.097718</v>
      </c>
      <c r="F25" s="3">
        <f>[12]noerr!D21</f>
        <v>0.13039999999999999</v>
      </c>
      <c r="G25" s="3">
        <f>[12]noerr!E21</f>
        <v>37.113188999999998</v>
      </c>
      <c r="H25" s="3">
        <f>[12]noerr!F21</f>
        <v>0.244889</v>
      </c>
      <c r="I25" s="3">
        <f>[12]noerr!G21</f>
        <v>556.30003899999997</v>
      </c>
      <c r="J25" s="3">
        <f>[12]noerr!H21</f>
        <v>317.41443099999998</v>
      </c>
      <c r="K25" s="3">
        <f>[12]noerr!I21</f>
        <v>385425.59173099999</v>
      </c>
      <c r="L25" s="33">
        <f>[12]noerr!J21</f>
        <v>11297.56163</v>
      </c>
      <c r="M25" s="3">
        <f>[12]noerr!K21</f>
        <v>400001.06323700002</v>
      </c>
      <c r="N25" s="3">
        <f>[12]noerr!L21</f>
        <v>37.113188999999998</v>
      </c>
      <c r="O25" s="33">
        <f>[12]noerr!M21</f>
        <v>0</v>
      </c>
      <c r="P25" s="3">
        <f>[12]noerr!N21</f>
        <v>34.607776999999999</v>
      </c>
      <c r="Q25" s="3">
        <f>[12]noerr!O21</f>
        <v>33.915621999999999</v>
      </c>
      <c r="R25" s="11">
        <f>[12]noerr!P21</f>
        <v>11297.56163</v>
      </c>
      <c r="S25" s="11">
        <f>[12]noerr!Q21</f>
        <v>11071.610397</v>
      </c>
      <c r="T25" s="3">
        <f>[12]noerr!R21</f>
        <v>141.38352</v>
      </c>
      <c r="U25" s="3">
        <f>[12]noerr!S21</f>
        <v>144.26889800000001</v>
      </c>
      <c r="V25" s="3">
        <f>[12]noerr!T21</f>
        <v>38.516683</v>
      </c>
      <c r="W25" s="3">
        <f>[12]noerr!U21</f>
        <v>39.302737999999998</v>
      </c>
      <c r="X25" s="72">
        <f>[12]noerr!V21</f>
        <v>1.4034930000000001</v>
      </c>
      <c r="Y25" s="3">
        <f>[12]noerr!W21</f>
        <v>2.1895479999999998</v>
      </c>
      <c r="Z25" s="33">
        <f>[12]noerr!X21</f>
        <v>385425.59173099999</v>
      </c>
      <c r="AA25" s="3">
        <f>[12]noerr!Y21</f>
        <v>385425.59173099999</v>
      </c>
      <c r="AB25" s="3">
        <f>[12]noerr!Z21</f>
        <v>377717.07989699999</v>
      </c>
      <c r="AC25">
        <f t="shared" si="1"/>
        <v>37621.471960800001</v>
      </c>
      <c r="AD25" s="20">
        <f t="shared" si="2"/>
        <v>3.5930409999999999</v>
      </c>
      <c r="AE25">
        <f t="shared" si="3"/>
        <v>96313.619829599993</v>
      </c>
      <c r="AF25" s="31">
        <f t="shared" si="8"/>
        <v>2804.9157676154196</v>
      </c>
      <c r="AG25" s="102">
        <f t="shared" si="0"/>
        <v>13.189012134818995</v>
      </c>
      <c r="AH25" s="102">
        <f t="shared" si="4"/>
        <v>353539.38368110399</v>
      </c>
      <c r="AI25" s="32">
        <f t="shared" si="9"/>
        <v>3724.5264956220672</v>
      </c>
      <c r="AJ25" s="31">
        <f>K24-AA25</f>
        <v>14575.471506000031</v>
      </c>
      <c r="AK25" s="113">
        <f t="shared" si="5"/>
        <v>7708.5118340000045</v>
      </c>
      <c r="AL25" s="38">
        <f t="shared" si="6"/>
        <v>22283.983340000035</v>
      </c>
      <c r="AM25" s="26">
        <f t="shared" si="7"/>
        <v>165926.53994964025</v>
      </c>
      <c r="AN25" s="31">
        <f t="shared" si="10"/>
        <v>653.54600673224843</v>
      </c>
      <c r="AP25" s="131">
        <f>Z24-Z25</f>
        <v>14575.471506000031</v>
      </c>
      <c r="AQ25">
        <f>Z25-((L25-L25*$AQ$1)*Z25/L25)</f>
        <v>7708.5118346200325</v>
      </c>
      <c r="AR25" s="3">
        <f>AP25+AQ25</f>
        <v>22283.983340620063</v>
      </c>
      <c r="AS25" s="3"/>
    </row>
    <row r="26" spans="1:45" s="109" customFormat="1" x14ac:dyDescent="0.2">
      <c r="B26" s="109">
        <v>20</v>
      </c>
      <c r="C26" s="109">
        <v>20</v>
      </c>
      <c r="D26" s="110"/>
      <c r="E26" s="110">
        <f>[12]noerr!C22</f>
        <v>43.021569999999997</v>
      </c>
      <c r="F26" s="110">
        <f>[12]noerr!D22</f>
        <v>8.6599999999999996E-2</v>
      </c>
      <c r="G26" s="110">
        <f>[12]noerr!E22</f>
        <v>37.444699999999997</v>
      </c>
      <c r="H26" s="110">
        <f>[12]noerr!F22</f>
        <v>0.25124099999999999</v>
      </c>
      <c r="I26" s="110">
        <f>[12]noerr!G22</f>
        <v>547.04904499999998</v>
      </c>
      <c r="J26" s="110">
        <f>[12]noerr!H22</f>
        <v>318.51264200000003</v>
      </c>
      <c r="K26" s="110">
        <f>[12]noerr!I22</f>
        <v>400000.36374200002</v>
      </c>
      <c r="L26" s="33">
        <f>[12]noerr!J22</f>
        <v>11281.078674</v>
      </c>
      <c r="M26" s="110">
        <f>[12]noerr!K22</f>
        <v>400000.36374200002</v>
      </c>
      <c r="N26" s="110">
        <f>[12]noerr!L22</f>
        <v>37.444699999999997</v>
      </c>
      <c r="O26" s="33">
        <f>[12]noerr!M22</f>
        <v>0</v>
      </c>
      <c r="P26" s="110">
        <f>[12]noerr!N22</f>
        <v>35.598481999999997</v>
      </c>
      <c r="Q26" s="110">
        <f>[12]noerr!O22</f>
        <v>34.886512000000003</v>
      </c>
      <c r="R26" s="11">
        <f>[12]noerr!P22</f>
        <v>11281.078674</v>
      </c>
      <c r="S26" s="11">
        <f>[12]noerr!Q22</f>
        <v>11055.457101</v>
      </c>
      <c r="T26" s="110">
        <f>[12]noerr!R22</f>
        <v>137.44091599999999</v>
      </c>
      <c r="U26" s="110">
        <f>[12]noerr!S22</f>
        <v>140.245833</v>
      </c>
      <c r="V26" s="110">
        <f>[12]noerr!T22</f>
        <v>37.444699999999997</v>
      </c>
      <c r="W26" s="110">
        <f>[12]noerr!U22</f>
        <v>38.208877000000001</v>
      </c>
      <c r="X26" s="111">
        <f>[12]noerr!V22</f>
        <v>0</v>
      </c>
      <c r="Y26" s="110">
        <f>[12]noerr!W22</f>
        <v>0.76417800000000002</v>
      </c>
      <c r="Z26" s="33">
        <f>[12]noerr!X22</f>
        <v>400000.36374200002</v>
      </c>
      <c r="AA26" s="110">
        <f>[12]noerr!Y22</f>
        <v>400000.36374200002</v>
      </c>
      <c r="AB26" s="110">
        <f>[12]noerr!Z22</f>
        <v>392000.35646799998</v>
      </c>
      <c r="AC26" s="109">
        <f t="shared" si="1"/>
        <v>0</v>
      </c>
      <c r="AD26" s="112">
        <f t="shared" si="2"/>
        <v>0.76417800000000002</v>
      </c>
      <c r="AE26" s="109">
        <f t="shared" si="3"/>
        <v>20484.249796800003</v>
      </c>
      <c r="AF26" s="113">
        <f t="shared" si="8"/>
        <v>596.55732329934915</v>
      </c>
      <c r="AG26" s="114">
        <f t="shared" si="0"/>
        <v>2.8049230584911697</v>
      </c>
      <c r="AH26" s="114">
        <f t="shared" si="4"/>
        <v>75187.645536690892</v>
      </c>
      <c r="AI26" s="115">
        <f t="shared" si="9"/>
        <v>792.09952517607735</v>
      </c>
      <c r="AJ26" s="31">
        <f>(K26-AA26)</f>
        <v>0</v>
      </c>
      <c r="AK26" s="113">
        <f t="shared" si="5"/>
        <v>8000.0072740000323</v>
      </c>
      <c r="AL26" s="116">
        <f t="shared" si="6"/>
        <v>8000.0072740000323</v>
      </c>
      <c r="AM26" s="117">
        <f t="shared" si="7"/>
        <v>59568.054162204229</v>
      </c>
      <c r="AN26" s="113">
        <f t="shared" si="10"/>
        <v>234.62469559320951</v>
      </c>
      <c r="AP26" s="110"/>
    </row>
    <row r="27" spans="1:45" x14ac:dyDescent="0.2">
      <c r="B27"/>
      <c r="C27" s="34">
        <f>C26+$J$1</f>
        <v>33</v>
      </c>
      <c r="E27" s="3">
        <f>[12]noerr!C23</f>
        <v>56.035302999999999</v>
      </c>
      <c r="F27" s="3">
        <f>[12]noerr!D23</f>
        <v>0.1656</v>
      </c>
      <c r="G27" s="3">
        <f>[12]noerr!E23</f>
        <v>37.444699999999997</v>
      </c>
      <c r="H27" s="3">
        <f>[12]noerr!F23</f>
        <v>0.25124099999999999</v>
      </c>
      <c r="I27" s="3">
        <f>[12]noerr!G23</f>
        <v>547.04904499999998</v>
      </c>
      <c r="J27" s="3">
        <f>[12]noerr!H23</f>
        <v>319.999999</v>
      </c>
      <c r="K27" s="3">
        <f>[12]noerr!I23</f>
        <v>380551.670682</v>
      </c>
      <c r="L27" s="33">
        <f>[12]noerr!J23</f>
        <v>11418.948560000001</v>
      </c>
      <c r="M27" s="3">
        <f>[12]noerr!K23</f>
        <v>400000.36374200002</v>
      </c>
      <c r="N27" s="3">
        <f>[12]noerr!L23</f>
        <v>37.444699999999997</v>
      </c>
      <c r="O27" s="33">
        <f>[12]noerr!M23</f>
        <v>0</v>
      </c>
      <c r="P27" s="3">
        <f>[12]noerr!N23</f>
        <v>33.867623000000002</v>
      </c>
      <c r="Q27" s="3">
        <f>[12]noerr!O23</f>
        <v>33.190271000000003</v>
      </c>
      <c r="R27" s="11">
        <f>[12]noerr!P23</f>
        <v>11418.948560000001</v>
      </c>
      <c r="S27" s="11">
        <f>[12]noerr!Q23</f>
        <v>11190.569588</v>
      </c>
      <c r="T27" s="3">
        <f>[12]noerr!R23</f>
        <v>144.46505099999999</v>
      </c>
      <c r="U27" s="3">
        <f>[12]noerr!S23</f>
        <v>147.413318</v>
      </c>
      <c r="V27" s="3">
        <f>[12]noerr!T23</f>
        <v>39.358370000000001</v>
      </c>
      <c r="W27" s="3">
        <f>[12]noerr!U23</f>
        <v>40.161602000000002</v>
      </c>
      <c r="X27" s="72">
        <f>[12]noerr!V23</f>
        <v>1.91367</v>
      </c>
      <c r="Y27" s="3">
        <f>[12]noerr!W23</f>
        <v>2.7169020000000002</v>
      </c>
      <c r="Z27" s="33">
        <f>[12]noerr!X23</f>
        <v>380551.670682</v>
      </c>
      <c r="AA27" s="3">
        <f>[12]noerr!Y23</f>
        <v>380551.670682</v>
      </c>
      <c r="AB27" s="3">
        <f>[12]noerr!Z23</f>
        <v>372940.63726799999</v>
      </c>
      <c r="AC27">
        <f t="shared" si="1"/>
        <v>51297.072551999991</v>
      </c>
      <c r="AD27" s="20">
        <f t="shared" si="2"/>
        <v>4.6305719999999999</v>
      </c>
      <c r="AE27">
        <f t="shared" si="3"/>
        <v>124125.26080319998</v>
      </c>
      <c r="AF27" s="31">
        <f t="shared" si="8"/>
        <v>3614.8667426501584</v>
      </c>
      <c r="AG27" s="102">
        <f t="shared" si="0"/>
        <v>16.996561242018942</v>
      </c>
      <c r="AH27" s="102">
        <f t="shared" si="4"/>
        <v>455603.02202906291</v>
      </c>
      <c r="AI27" s="32">
        <f t="shared" si="9"/>
        <v>4799.7637755779833</v>
      </c>
      <c r="AJ27" s="31">
        <f>K26-AA27</f>
        <v>19448.69306000002</v>
      </c>
      <c r="AK27" s="113">
        <f t="shared" si="5"/>
        <v>7611.033414000005</v>
      </c>
      <c r="AL27" s="38">
        <f t="shared" si="6"/>
        <v>27059.726474000025</v>
      </c>
      <c r="AM27" s="26">
        <f t="shared" si="7"/>
        <v>201486.72332540419</v>
      </c>
      <c r="AN27" s="31">
        <f t="shared" si="10"/>
        <v>793.60928926047177</v>
      </c>
      <c r="AP27" s="131">
        <f>Z26-Z27</f>
        <v>19448.69306000002</v>
      </c>
      <c r="AQ27">
        <f>Z27-((L27-L27*$AQ$1)*Z27/L27)</f>
        <v>7611.0334136399906</v>
      </c>
      <c r="AR27" s="3">
        <f>AP27+AQ27</f>
        <v>27059.72647364001</v>
      </c>
      <c r="AS27" s="3">
        <f>AR27+(Z22-Z26)</f>
        <v>27059.480838640011</v>
      </c>
    </row>
    <row r="28" spans="1:45" s="109" customFormat="1" x14ac:dyDescent="0.2">
      <c r="B28" s="118">
        <v>25</v>
      </c>
      <c r="C28" s="109">
        <v>25</v>
      </c>
      <c r="D28" s="110"/>
      <c r="E28" s="110">
        <f>[12]noerr!C24</f>
        <v>48.041918000000003</v>
      </c>
      <c r="F28" s="110">
        <f>[12]noerr!D24</f>
        <v>0.112</v>
      </c>
      <c r="G28" s="110">
        <f>[12]noerr!E24</f>
        <v>33.752436000000003</v>
      </c>
      <c r="H28" s="110">
        <f>[12]noerr!F24</f>
        <v>0.23209199999999999</v>
      </c>
      <c r="I28" s="110">
        <f>[12]noerr!G24</f>
        <v>533.87322900000004</v>
      </c>
      <c r="J28" s="110">
        <f>[12]noerr!H24</f>
        <v>287.34620000000001</v>
      </c>
      <c r="K28" s="110">
        <f>[12]noerr!I24</f>
        <v>353394.447858</v>
      </c>
      <c r="L28" s="33">
        <f>[12]noerr!J24</f>
        <v>10209.479891999999</v>
      </c>
      <c r="M28" s="110">
        <f>[12]noerr!K24</f>
        <v>353394.447858</v>
      </c>
      <c r="N28" s="110">
        <f>[12]noerr!L24</f>
        <v>33.752436000000003</v>
      </c>
      <c r="O28" s="33">
        <f>[12]noerr!M24</f>
        <v>0</v>
      </c>
      <c r="P28" s="110">
        <f>[12]noerr!N24</f>
        <v>34.891210999999998</v>
      </c>
      <c r="Q28" s="110">
        <f>[12]noerr!O24</f>
        <v>34.193385999999997</v>
      </c>
      <c r="R28" s="11">
        <f>[12]noerr!P24</f>
        <v>10209.479891999999</v>
      </c>
      <c r="S28" s="11">
        <f>[12]noerr!Q24</f>
        <v>10005.290294</v>
      </c>
      <c r="T28" s="110">
        <f>[12]noerr!R24</f>
        <v>123.90788000000001</v>
      </c>
      <c r="U28" s="110">
        <f>[12]noerr!S24</f>
        <v>126.436612</v>
      </c>
      <c r="V28" s="110">
        <f>[12]noerr!T24</f>
        <v>33.752436000000003</v>
      </c>
      <c r="W28" s="110">
        <f>[12]noerr!U24</f>
        <v>34.441260999999997</v>
      </c>
      <c r="X28" s="111">
        <f>[12]noerr!V24</f>
        <v>0</v>
      </c>
      <c r="Y28" s="110">
        <f>[12]noerr!W24</f>
        <v>0.68882500000000002</v>
      </c>
      <c r="Z28" s="33">
        <f>[12]noerr!X24</f>
        <v>353394.447858</v>
      </c>
      <c r="AA28" s="110">
        <f>[12]noerr!Y24</f>
        <v>353394.447858</v>
      </c>
      <c r="AB28" s="110">
        <f>[12]noerr!Z24</f>
        <v>346326.5589</v>
      </c>
      <c r="AC28" s="109">
        <f t="shared" si="1"/>
        <v>0</v>
      </c>
      <c r="AD28" s="112">
        <f t="shared" si="2"/>
        <v>0.68882500000000002</v>
      </c>
      <c r="AE28" s="109">
        <f t="shared" si="3"/>
        <v>18464.367419999999</v>
      </c>
      <c r="AF28" s="113">
        <f t="shared" si="8"/>
        <v>537.73282955237403</v>
      </c>
      <c r="AG28" s="114">
        <f t="shared" si="0"/>
        <v>2.5287278588418189</v>
      </c>
      <c r="AH28" s="114">
        <f t="shared" si="4"/>
        <v>67784.06749297028</v>
      </c>
      <c r="AI28" s="115">
        <f t="shared" si="9"/>
        <v>714.10305898571949</v>
      </c>
      <c r="AJ28" s="31">
        <f>(K28-AA28)</f>
        <v>0</v>
      </c>
      <c r="AK28" s="113">
        <f t="shared" si="5"/>
        <v>7067.8889579999959</v>
      </c>
      <c r="AL28" s="116">
        <f t="shared" si="6"/>
        <v>7067.8889579999959</v>
      </c>
      <c r="AM28" s="117">
        <f t="shared" si="7"/>
        <v>52627.501181267959</v>
      </c>
      <c r="AN28" s="113">
        <f t="shared" si="10"/>
        <v>207.28747343103342</v>
      </c>
      <c r="AP28" s="110"/>
    </row>
    <row r="29" spans="1:45" x14ac:dyDescent="0.2">
      <c r="C29" s="34">
        <f>C28+$J$1</f>
        <v>38</v>
      </c>
      <c r="E29" s="3">
        <f>[12]noerr!C25</f>
        <v>61.013195000000003</v>
      </c>
      <c r="F29" s="3">
        <f>[12]noerr!D25</f>
        <v>0.20899999999999999</v>
      </c>
      <c r="G29" s="3">
        <f>[12]noerr!E25</f>
        <v>33.752436000000003</v>
      </c>
      <c r="H29" s="3">
        <f>[12]noerr!F25</f>
        <v>0.23209199999999999</v>
      </c>
      <c r="I29" s="3">
        <f>[12]noerr!G25</f>
        <v>533.87322900000004</v>
      </c>
      <c r="J29" s="3">
        <f>[12]noerr!H25</f>
        <v>292.33855499999999</v>
      </c>
      <c r="K29" s="3">
        <f>[12]noerr!I25</f>
        <v>340342.62271999998</v>
      </c>
      <c r="L29" s="33">
        <f>[12]noerr!J25</f>
        <v>10455.751499</v>
      </c>
      <c r="M29" s="3">
        <f>[12]noerr!K25</f>
        <v>353394.447858</v>
      </c>
      <c r="N29" s="3">
        <f>[12]noerr!L25</f>
        <v>33.752436000000003</v>
      </c>
      <c r="O29" s="33">
        <f>[12]noerr!M25</f>
        <v>0</v>
      </c>
      <c r="P29" s="3">
        <f>[12]noerr!N25</f>
        <v>33.602583000000003</v>
      </c>
      <c r="Q29" s="3">
        <f>[12]noerr!O25</f>
        <v>32.930531000000002</v>
      </c>
      <c r="R29" s="11">
        <f>[12]noerr!P25</f>
        <v>10455.751499</v>
      </c>
      <c r="S29" s="11">
        <f>[12]noerr!Q25</f>
        <v>10246.636468999999</v>
      </c>
      <c r="T29" s="3">
        <f>[12]noerr!R25</f>
        <v>128.65963300000001</v>
      </c>
      <c r="U29" s="3">
        <f>[12]noerr!S25</f>
        <v>131.28533899999999</v>
      </c>
      <c r="V29" s="3">
        <f>[12]noerr!T25</f>
        <v>35.046810999999998</v>
      </c>
      <c r="W29" s="3">
        <f>[12]noerr!U25</f>
        <v>35.762051999999997</v>
      </c>
      <c r="X29" s="72">
        <f>[12]noerr!V25</f>
        <v>1.2943750000000001</v>
      </c>
      <c r="Y29" s="3">
        <f>[12]noerr!W25</f>
        <v>2.0096159999999998</v>
      </c>
      <c r="Z29" s="33">
        <f>[12]noerr!X25</f>
        <v>340342.62271999998</v>
      </c>
      <c r="AA29" s="3">
        <f>[12]noerr!Y25</f>
        <v>340342.62271999998</v>
      </c>
      <c r="AB29" s="3">
        <f>[12]noerr!Z25</f>
        <v>333535.77026600001</v>
      </c>
      <c r="AC29">
        <f t="shared" si="1"/>
        <v>34696.498500000002</v>
      </c>
      <c r="AD29" s="20">
        <f t="shared" si="2"/>
        <v>3.3039909999999999</v>
      </c>
      <c r="AE29">
        <f>AD29*3600*$AG$1/1000</f>
        <v>88565.4611496</v>
      </c>
      <c r="AF29" s="31">
        <f t="shared" si="8"/>
        <v>2579.2682165217257</v>
      </c>
      <c r="AG29" s="102">
        <f t="shared" si="0"/>
        <v>12.129196947065822</v>
      </c>
      <c r="AH29" s="102">
        <f t="shared" si="4"/>
        <v>325130.40168426756</v>
      </c>
      <c r="AI29" s="32">
        <f t="shared" si="9"/>
        <v>3425.2387470856575</v>
      </c>
      <c r="AJ29" s="31">
        <f>K28-AA29</f>
        <v>13051.825138000015</v>
      </c>
      <c r="AK29" s="113">
        <f t="shared" si="5"/>
        <v>6806.852453999978</v>
      </c>
      <c r="AL29" s="38">
        <f>AK29+AJ29</f>
        <v>19858.677591999993</v>
      </c>
      <c r="AM29" s="26">
        <f t="shared" si="7"/>
        <v>147867.71335003193</v>
      </c>
      <c r="AN29" s="31">
        <f t="shared" si="10"/>
        <v>582.41649355113714</v>
      </c>
      <c r="AP29" s="131">
        <f>Z28-Z29</f>
        <v>13051.825138000015</v>
      </c>
      <c r="AQ29">
        <f>Z29-((L29-L29*$AQ$1)*Z29/L29)</f>
        <v>6806.8524543999811</v>
      </c>
      <c r="AR29" s="3">
        <f>AP29+AQ29</f>
        <v>19858.677592399996</v>
      </c>
      <c r="AS29" s="3">
        <f>AR29+(Z24-Z28)</f>
        <v>66465.29297140002</v>
      </c>
    </row>
    <row r="30" spans="1:45" x14ac:dyDescent="0.2">
      <c r="AS30" s="3">
        <f>AR30+(Z25-Z29)</f>
        <v>45082.969011000008</v>
      </c>
    </row>
    <row r="31" spans="1:45" x14ac:dyDescent="0.2">
      <c r="AP31" s="134" t="s">
        <v>102</v>
      </c>
      <c r="AQ31" s="132"/>
      <c r="AR31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O3" zoomScale="150" zoomScaleNormal="150" workbookViewId="0">
      <selection activeCell="AS26" sqref="AS26"/>
    </sheetView>
  </sheetViews>
  <sheetFormatPr baseColWidth="10" defaultColWidth="8.83203125" defaultRowHeight="15" x14ac:dyDescent="0.2"/>
  <cols>
    <col min="2" max="2" width="9.1640625" style="10" customWidth="1"/>
    <col min="3" max="3" width="10.5" customWidth="1"/>
    <col min="4" max="4" width="11.83203125" style="3" hidden="1" customWidth="1"/>
    <col min="5" max="6" width="10.83203125" style="3" hidden="1" customWidth="1"/>
    <col min="7" max="7" width="10" style="34" hidden="1" customWidth="1"/>
    <col min="8" max="8" width="8.5" style="3" hidden="1" customWidth="1"/>
    <col min="9" max="9" width="8.5" style="34" hidden="1" customWidth="1"/>
    <col min="10" max="10" width="16.33203125" style="34" hidden="1" customWidth="1"/>
    <col min="11" max="11" width="10" style="34" hidden="1" customWidth="1"/>
    <col min="12" max="12" width="16.33203125" style="34" customWidth="1"/>
    <col min="13" max="13" width="9.1640625" style="3" customWidth="1"/>
    <col min="14" max="14" width="12" style="3" hidden="1" customWidth="1"/>
    <col min="15" max="15" width="16.33203125" style="42" customWidth="1"/>
    <col min="16" max="16" width="14.83203125" style="34" hidden="1" customWidth="1"/>
    <col min="17" max="17" width="21.1640625" style="39" hidden="1" customWidth="1"/>
    <col min="18" max="18" width="15.6640625" style="34" hidden="1" customWidth="1"/>
    <col min="19" max="19" width="20.33203125" style="3" hidden="1" customWidth="1"/>
    <col min="20" max="20" width="14.1640625" style="17" hidden="1" customWidth="1"/>
    <col min="21" max="21" width="21" style="3" hidden="1" customWidth="1"/>
    <col min="22" max="22" width="11.33203125" style="20" hidden="1" customWidth="1"/>
    <col min="23" max="23" width="18" style="23" hidden="1" customWidth="1"/>
    <col min="24" max="24" width="12.33203125" style="72" hidden="1" customWidth="1"/>
    <col min="25" max="25" width="19" style="20" hidden="1" customWidth="1"/>
    <col min="26" max="26" width="11.6640625" style="20" customWidth="1"/>
    <col min="27" max="28" width="20" style="3" customWidth="1"/>
    <col min="29" max="29" width="12.6640625" style="20" hidden="1" customWidth="1"/>
    <col min="30" max="30" width="10.83203125" style="20" hidden="1" customWidth="1"/>
    <col min="31" max="31" width="10.83203125" hidden="1" customWidth="1"/>
    <col min="32" max="32" width="8.6640625" style="31" hidden="1" customWidth="1"/>
    <col min="33" max="34" width="18.1640625" style="102" hidden="1" customWidth="1"/>
    <col min="35" max="35" width="18" style="32" hidden="1" customWidth="1"/>
    <col min="36" max="37" width="18" style="31" customWidth="1"/>
    <col min="39" max="39" width="12" hidden="1" customWidth="1"/>
    <col min="40" max="40" width="8.6640625" style="31" hidden="1" customWidth="1"/>
  </cols>
  <sheetData>
    <row r="1" spans="1:45" ht="16" x14ac:dyDescent="0.2">
      <c r="B1" s="8"/>
      <c r="C1" s="19" t="s">
        <v>19</v>
      </c>
      <c r="D1" s="33">
        <v>30</v>
      </c>
      <c r="F1" s="11"/>
      <c r="G1" s="38"/>
      <c r="I1" s="37" t="s">
        <v>21</v>
      </c>
      <c r="J1" s="37">
        <v>15</v>
      </c>
      <c r="L1" s="34" t="s">
        <v>96</v>
      </c>
      <c r="O1" s="34" t="s">
        <v>97</v>
      </c>
      <c r="AC1" s="46"/>
      <c r="AD1" s="26"/>
      <c r="AE1" t="s">
        <v>39</v>
      </c>
      <c r="AG1" s="102">
        <f>365*24*0.85</f>
        <v>7446</v>
      </c>
      <c r="AQ1">
        <v>0.02</v>
      </c>
    </row>
    <row r="2" spans="1:45" x14ac:dyDescent="0.2">
      <c r="B2" s="9"/>
      <c r="L2" s="34" t="s">
        <v>99</v>
      </c>
      <c r="O2" s="42" t="s">
        <v>98</v>
      </c>
      <c r="P2" s="34" t="s">
        <v>22</v>
      </c>
      <c r="AC2" s="47"/>
      <c r="AD2" s="27"/>
      <c r="AG2" s="103"/>
    </row>
    <row r="3" spans="1:45" s="1" customFormat="1" ht="16" x14ac:dyDescent="0.2">
      <c r="B3" s="12" t="s">
        <v>9</v>
      </c>
      <c r="C3" s="2" t="s">
        <v>0</v>
      </c>
      <c r="D3" s="4" t="s">
        <v>1</v>
      </c>
      <c r="E3" s="4" t="s">
        <v>2</v>
      </c>
      <c r="F3" s="4" t="s">
        <v>3</v>
      </c>
      <c r="G3" s="35" t="s">
        <v>18</v>
      </c>
      <c r="H3" s="16" t="s">
        <v>16</v>
      </c>
      <c r="I3" s="35" t="s">
        <v>17</v>
      </c>
      <c r="J3" s="35" t="s">
        <v>23</v>
      </c>
      <c r="K3" s="35" t="s">
        <v>24</v>
      </c>
      <c r="L3" s="125" t="s">
        <v>25</v>
      </c>
      <c r="M3" s="16" t="s">
        <v>34</v>
      </c>
      <c r="N3" s="16" t="s">
        <v>35</v>
      </c>
      <c r="O3" s="122" t="s">
        <v>36</v>
      </c>
      <c r="P3" s="4" t="s">
        <v>11</v>
      </c>
      <c r="Q3" s="4" t="s">
        <v>26</v>
      </c>
      <c r="R3" s="126" t="s">
        <v>12</v>
      </c>
      <c r="S3" s="40" t="s">
        <v>27</v>
      </c>
      <c r="T3" s="40" t="s">
        <v>13</v>
      </c>
      <c r="U3" s="40" t="s">
        <v>28</v>
      </c>
      <c r="V3" s="22" t="s">
        <v>14</v>
      </c>
      <c r="W3" s="22" t="s">
        <v>29</v>
      </c>
      <c r="X3" s="99" t="s">
        <v>15</v>
      </c>
      <c r="Y3" s="22" t="s">
        <v>30</v>
      </c>
      <c r="Z3" s="119" t="s">
        <v>31</v>
      </c>
      <c r="AA3" s="5" t="s">
        <v>32</v>
      </c>
      <c r="AB3" s="5" t="s">
        <v>33</v>
      </c>
      <c r="AC3" s="24" t="s">
        <v>43</v>
      </c>
      <c r="AD3" s="24" t="s">
        <v>44</v>
      </c>
      <c r="AE3" s="24" t="s">
        <v>37</v>
      </c>
      <c r="AF3" s="51"/>
      <c r="AG3" s="50" t="s">
        <v>41</v>
      </c>
      <c r="AH3" s="50" t="s">
        <v>41</v>
      </c>
      <c r="AI3" s="106" t="s">
        <v>41</v>
      </c>
      <c r="AJ3" s="51" t="s">
        <v>94</v>
      </c>
      <c r="AK3" s="51" t="s">
        <v>95</v>
      </c>
      <c r="AL3" s="14" t="s">
        <v>45</v>
      </c>
      <c r="AM3" s="14" t="s">
        <v>42</v>
      </c>
      <c r="AN3" s="51"/>
      <c r="AP3" s="51" t="s">
        <v>94</v>
      </c>
      <c r="AQ3" s="51" t="s">
        <v>95</v>
      </c>
      <c r="AR3" s="14" t="s">
        <v>45</v>
      </c>
      <c r="AS3" s="14" t="s">
        <v>103</v>
      </c>
    </row>
    <row r="4" spans="1:45" s="1" customFormat="1" ht="16" x14ac:dyDescent="0.2">
      <c r="B4" s="13" t="s">
        <v>4</v>
      </c>
      <c r="C4" s="2" t="s">
        <v>4</v>
      </c>
      <c r="D4" s="4" t="s">
        <v>4</v>
      </c>
      <c r="E4" s="4" t="s">
        <v>4</v>
      </c>
      <c r="F4" s="4" t="s">
        <v>5</v>
      </c>
      <c r="G4" s="36" t="s">
        <v>6</v>
      </c>
      <c r="H4" s="16" t="s">
        <v>7</v>
      </c>
      <c r="I4" s="36" t="s">
        <v>6</v>
      </c>
      <c r="J4" s="36" t="s">
        <v>6</v>
      </c>
      <c r="K4" s="35" t="s">
        <v>10</v>
      </c>
      <c r="L4" s="123" t="s">
        <v>6</v>
      </c>
      <c r="M4" s="35" t="s">
        <v>10</v>
      </c>
      <c r="N4" s="36" t="s">
        <v>6</v>
      </c>
      <c r="O4" s="123" t="s">
        <v>6</v>
      </c>
      <c r="P4" s="4" t="s">
        <v>7</v>
      </c>
      <c r="Q4" s="4" t="s">
        <v>7</v>
      </c>
      <c r="R4" s="126" t="s">
        <v>6</v>
      </c>
      <c r="S4" s="40" t="s">
        <v>6</v>
      </c>
      <c r="T4" s="36" t="s">
        <v>6</v>
      </c>
      <c r="U4" s="36" t="s">
        <v>6</v>
      </c>
      <c r="V4" s="21" t="s">
        <v>6</v>
      </c>
      <c r="W4" s="22" t="s">
        <v>6</v>
      </c>
      <c r="X4" s="100" t="s">
        <v>6</v>
      </c>
      <c r="Y4" s="22" t="s">
        <v>6</v>
      </c>
      <c r="Z4" s="120" t="s">
        <v>10</v>
      </c>
      <c r="AA4" s="4" t="s">
        <v>10</v>
      </c>
      <c r="AB4" s="4" t="s">
        <v>10</v>
      </c>
      <c r="AC4" s="21" t="s">
        <v>40</v>
      </c>
      <c r="AD4" s="21" t="s">
        <v>38</v>
      </c>
      <c r="AE4" s="21" t="s">
        <v>40</v>
      </c>
      <c r="AF4" s="52"/>
      <c r="AG4" s="104" t="s">
        <v>38</v>
      </c>
      <c r="AH4" s="104" t="s">
        <v>40</v>
      </c>
      <c r="AI4" s="107" t="s">
        <v>46</v>
      </c>
      <c r="AJ4" s="52" t="s">
        <v>100</v>
      </c>
      <c r="AK4" s="52" t="s">
        <v>100</v>
      </c>
      <c r="AL4" s="14" t="s">
        <v>10</v>
      </c>
      <c r="AM4" s="48" t="s">
        <v>8</v>
      </c>
      <c r="AN4" s="52" t="s">
        <v>46</v>
      </c>
      <c r="AP4" s="52" t="s">
        <v>101</v>
      </c>
      <c r="AQ4" s="52" t="s">
        <v>101</v>
      </c>
      <c r="AR4" s="14" t="s">
        <v>10</v>
      </c>
    </row>
    <row r="5" spans="1:45" s="1" customFormat="1" ht="16" x14ac:dyDescent="0.2">
      <c r="C5" s="2"/>
      <c r="D5" s="4"/>
      <c r="E5" s="4"/>
      <c r="F5" s="4"/>
      <c r="G5" s="36"/>
      <c r="H5" s="4"/>
      <c r="I5" s="36"/>
      <c r="J5" s="36"/>
      <c r="K5" s="36"/>
      <c r="L5" s="123"/>
      <c r="M5" s="4"/>
      <c r="N5" s="4"/>
      <c r="O5" s="124"/>
      <c r="P5" s="36"/>
      <c r="Q5" s="41"/>
      <c r="R5" s="40"/>
      <c r="S5" s="127"/>
      <c r="T5" s="18"/>
      <c r="U5" s="6"/>
      <c r="V5" s="45"/>
      <c r="W5" s="44"/>
      <c r="X5" s="101"/>
      <c r="Y5" s="25"/>
      <c r="Z5" s="121"/>
      <c r="AA5" s="43"/>
      <c r="AB5" s="43"/>
      <c r="AD5" s="24"/>
      <c r="AF5" s="53"/>
      <c r="AG5" s="105"/>
      <c r="AH5" s="105"/>
      <c r="AI5" s="108"/>
      <c r="AJ5" s="53"/>
      <c r="AK5" s="53"/>
      <c r="AN5" s="53"/>
    </row>
    <row r="6" spans="1:45" s="109" customFormat="1" x14ac:dyDescent="0.2">
      <c r="A6" s="109" t="s">
        <v>49</v>
      </c>
      <c r="B6" s="109">
        <v>15</v>
      </c>
      <c r="C6" s="109">
        <v>15</v>
      </c>
      <c r="D6" s="110"/>
      <c r="E6" s="110">
        <f>[13]noerr!C2</f>
        <v>38.598111000000003</v>
      </c>
      <c r="F6" s="110">
        <f>[13]noerr!D2</f>
        <v>6.8500000000000005E-2</v>
      </c>
      <c r="G6" s="110">
        <f>[13]noerr!E2</f>
        <v>14.918587</v>
      </c>
      <c r="H6" s="110">
        <f>[13]noerr!F2</f>
        <v>6.4144000000000007E-2</v>
      </c>
      <c r="I6" s="110">
        <f>[13]noerr!G2</f>
        <v>642.93177500000002</v>
      </c>
      <c r="J6" s="110">
        <f>[13]noerr!H2</f>
        <v>75.194235000000006</v>
      </c>
      <c r="K6" s="110">
        <f>[13]noerr!I2</f>
        <v>400002.15647599997</v>
      </c>
      <c r="L6" s="33">
        <f>[13]noerr!J2</f>
        <v>2614.6648890000001</v>
      </c>
      <c r="M6" s="110">
        <f>[13]noerr!K2</f>
        <v>400002.15644400002</v>
      </c>
      <c r="N6" s="110">
        <f>[13]noerr!L2</f>
        <v>14.918587</v>
      </c>
      <c r="O6" s="33">
        <f>[13]noerr!M2</f>
        <v>79.602209000000002</v>
      </c>
      <c r="P6" s="110">
        <f>[13]noerr!N2</f>
        <v>53.608589000000002</v>
      </c>
      <c r="Q6" s="110">
        <f>[13]noerr!O2</f>
        <v>53.112318999999999</v>
      </c>
      <c r="R6" s="11">
        <f>[13]noerr!P2</f>
        <v>2614.6648890000001</v>
      </c>
      <c r="S6" s="11">
        <f>[13]noerr!Q2</f>
        <v>2535.06268</v>
      </c>
      <c r="T6" s="110">
        <f>[13]noerr!R2</f>
        <v>41.240291999999997</v>
      </c>
      <c r="U6" s="110">
        <f>[13]noerr!S2</f>
        <v>41.625632000000003</v>
      </c>
      <c r="V6" s="110">
        <f>[13]noerr!T2</f>
        <v>14.918587</v>
      </c>
      <c r="W6" s="110">
        <f>[13]noerr!U2</f>
        <v>15.057983</v>
      </c>
      <c r="X6" s="111">
        <f>[13]noerr!V2</f>
        <v>0</v>
      </c>
      <c r="Y6" s="110">
        <f>[13]noerr!W2</f>
        <v>0.13939599999999999</v>
      </c>
      <c r="Z6" s="33">
        <f>[13]noerr!X2</f>
        <v>121628.85494400001</v>
      </c>
      <c r="AA6" s="110">
        <f>[13]noerr!Y2</f>
        <v>400002.15647500003</v>
      </c>
      <c r="AB6" s="110">
        <f>[13]noerr!Z2</f>
        <v>396299.22478500003</v>
      </c>
      <c r="AC6" s="109">
        <f>X6*3600*$AG$1/1000</f>
        <v>0</v>
      </c>
      <c r="AD6" s="112">
        <f>X6+Y6</f>
        <v>0.13939599999999999</v>
      </c>
      <c r="AE6" s="109">
        <f>AD6*3600*$AG$1/1000</f>
        <v>3736.5934175999996</v>
      </c>
      <c r="AF6" s="113">
        <f>100</f>
        <v>100</v>
      </c>
      <c r="AG6" s="114">
        <f t="shared" ref="AG6:AG29" si="0">(H6*I6*(AD6+N6)/N6)-(H6*I6)</f>
        <v>0.38533951762693874</v>
      </c>
      <c r="AH6" s="114">
        <f>AG6*3600*$AG$1/1000</f>
        <v>10329.256973700669</v>
      </c>
      <c r="AI6" s="115">
        <f>100</f>
        <v>100</v>
      </c>
      <c r="AJ6" s="113">
        <f>(K6-AA6)</f>
        <v>9.9994940683245659E-7</v>
      </c>
      <c r="AK6" s="113">
        <f>(K6-AB6)</f>
        <v>3702.931690999947</v>
      </c>
      <c r="AL6" s="116">
        <f>AK6+AJ6</f>
        <v>3702.9316919998964</v>
      </c>
      <c r="AM6" s="117">
        <f>AL6/1000*24*365*0.85</f>
        <v>27572.029378631229</v>
      </c>
      <c r="AN6" s="113">
        <f>100</f>
        <v>100</v>
      </c>
      <c r="AP6" s="110"/>
    </row>
    <row r="7" spans="1:45" x14ac:dyDescent="0.2">
      <c r="C7" s="34">
        <f>C6+$J$1</f>
        <v>30</v>
      </c>
      <c r="E7" s="3">
        <f>[13]noerr!C3</f>
        <v>38.598111000000003</v>
      </c>
      <c r="F7" s="3">
        <f>[13]noerr!D3</f>
        <v>6.8500000000000005E-2</v>
      </c>
      <c r="G7" s="3">
        <f>[13]noerr!E3</f>
        <v>14.918587</v>
      </c>
      <c r="H7" s="3">
        <f>[13]noerr!F3</f>
        <v>6.4144000000000007E-2</v>
      </c>
      <c r="I7" s="3">
        <f>[13]noerr!G3</f>
        <v>642.93177500000002</v>
      </c>
      <c r="J7" s="3">
        <f>[13]noerr!H3</f>
        <v>75.194235000000006</v>
      </c>
      <c r="K7" s="3">
        <f>[13]noerr!I3</f>
        <v>400002.15647599997</v>
      </c>
      <c r="L7" s="33">
        <f>[13]noerr!J3</f>
        <v>2614.6648890000001</v>
      </c>
      <c r="M7" s="3">
        <f>[13]noerr!K3</f>
        <v>400002.15644400002</v>
      </c>
      <c r="N7" s="3">
        <f>[13]noerr!L3</f>
        <v>14.918587</v>
      </c>
      <c r="O7" s="33">
        <f>[13]noerr!M3</f>
        <v>81.180869000000001</v>
      </c>
      <c r="P7" s="3">
        <f>[13]noerr!N3</f>
        <v>53.598747000000003</v>
      </c>
      <c r="Q7" s="3">
        <f>[13]noerr!O3</f>
        <v>53.102477</v>
      </c>
      <c r="R7" s="11">
        <f>[13]noerr!P3</f>
        <v>2613.086229</v>
      </c>
      <c r="S7" s="11">
        <f>[13]noerr!Q3</f>
        <v>2533.4840199999999</v>
      </c>
      <c r="T7" s="3">
        <f>[13]noerr!R3</f>
        <v>41.247864</v>
      </c>
      <c r="U7" s="3">
        <f>[13]noerr!S3</f>
        <v>41.633346000000003</v>
      </c>
      <c r="V7" s="3">
        <f>[13]noerr!T3</f>
        <v>14.921326000000001</v>
      </c>
      <c r="W7" s="3">
        <f>[13]noerr!U3</f>
        <v>15.060774</v>
      </c>
      <c r="X7" s="72">
        <f>[13]noerr!V3</f>
        <v>2.7390000000000001E-3</v>
      </c>
      <c r="Y7" s="3">
        <f>[13]noerr!W3</f>
        <v>0.14218700000000001</v>
      </c>
      <c r="Z7" s="33">
        <f>[13]noerr!X3</f>
        <v>121628.85494400001</v>
      </c>
      <c r="AA7" s="3">
        <f>[13]noerr!Y3</f>
        <v>399928.72042999999</v>
      </c>
      <c r="AB7" s="3">
        <f>[13]noerr!Z3</f>
        <v>396225.78873899998</v>
      </c>
      <c r="AC7">
        <f t="shared" ref="AC7:AC29" si="1">X7*3600*$AG$1/1000</f>
        <v>73.420538399999998</v>
      </c>
      <c r="AD7" s="20">
        <f t="shared" ref="AD7:AD29" si="2">X7+Y7</f>
        <v>0.144926</v>
      </c>
      <c r="AE7">
        <f t="shared" ref="AE7:AE28" si="3">AD7*3600*$AG$1/1000</f>
        <v>3884.8283856000003</v>
      </c>
      <c r="AF7" s="31">
        <f>AE7*$AF$6/$AE$6</f>
        <v>103.96711526873082</v>
      </c>
      <c r="AG7" s="102">
        <f t="shared" si="0"/>
        <v>0.40062638046716614</v>
      </c>
      <c r="AH7" s="102">
        <f t="shared" ref="AH7:AH29" si="4">AG7*3600*$AG$1/1000</f>
        <v>10739.03050425067</v>
      </c>
      <c r="AI7" s="32">
        <f>AH7*$AI$6/$AH$6</f>
        <v>103.96711526872966</v>
      </c>
      <c r="AJ7" s="31">
        <f>(K6-AA7)</f>
        <v>73.436045999987982</v>
      </c>
      <c r="AK7" s="113">
        <f t="shared" ref="AK7:AK29" si="5">(K7-AB7)</f>
        <v>3776.3677369999932</v>
      </c>
      <c r="AL7" s="38">
        <f t="shared" ref="AL7:AL29" si="6">AK7+AJ7</f>
        <v>3849.8037829999812</v>
      </c>
      <c r="AM7" s="26">
        <f t="shared" ref="AM7:AM29" si="7">AL7/1000*24*365*0.85</f>
        <v>28665.63896821786</v>
      </c>
      <c r="AN7" s="31">
        <f>AM7*$AN$6/$AM$6</f>
        <v>103.9663732203702</v>
      </c>
      <c r="AP7" s="11">
        <f>Z6-((L7-(O7-O6))*Z6/L7)</f>
        <v>73.436029585936922</v>
      </c>
      <c r="AQ7">
        <f>Z7-((L7-O7)*Z7/L7)</f>
        <v>3776.3677408025978</v>
      </c>
      <c r="AR7" s="3">
        <f>AP7+AQ7</f>
        <v>3849.8037703885348</v>
      </c>
    </row>
    <row r="8" spans="1:45" s="109" customFormat="1" x14ac:dyDescent="0.2">
      <c r="B8" s="109">
        <v>20</v>
      </c>
      <c r="C8" s="109">
        <v>20</v>
      </c>
      <c r="D8" s="110"/>
      <c r="E8" s="110">
        <f>[13]noerr!C4</f>
        <v>42.888342999999999</v>
      </c>
      <c r="F8" s="110">
        <f>[13]noerr!D4</f>
        <v>8.5999999999999993E-2</v>
      </c>
      <c r="G8" s="110">
        <f>[13]noerr!E4</f>
        <v>14.923469000000001</v>
      </c>
      <c r="H8" s="110">
        <f>[13]noerr!F4</f>
        <v>6.4928E-2</v>
      </c>
      <c r="I8" s="110">
        <f>[13]noerr!G4</f>
        <v>635.31932200000006</v>
      </c>
      <c r="J8" s="110">
        <f>[13]noerr!H4</f>
        <v>77.696445999999995</v>
      </c>
      <c r="K8" s="110">
        <f>[13]noerr!I4</f>
        <v>400002.38807400002</v>
      </c>
      <c r="L8" s="33">
        <f>[13]noerr!J4</f>
        <v>2712.4639980000002</v>
      </c>
      <c r="M8" s="110">
        <f>[13]noerr!K4</f>
        <v>400002.38805800001</v>
      </c>
      <c r="N8" s="110">
        <f>[13]noerr!L4</f>
        <v>14.923469000000001</v>
      </c>
      <c r="O8" s="33">
        <f>[13]noerr!M4</f>
        <v>86.134152</v>
      </c>
      <c r="P8" s="110">
        <f>[13]noerr!N4</f>
        <v>53.591082999999998</v>
      </c>
      <c r="Q8" s="110">
        <f>[13]noerr!O4</f>
        <v>53.066822000000002</v>
      </c>
      <c r="R8" s="11">
        <f>[13]noerr!P4</f>
        <v>2712.4639980000002</v>
      </c>
      <c r="S8" s="11">
        <f>[13]noerr!Q4</f>
        <v>2626.3298460000001</v>
      </c>
      <c r="T8" s="110">
        <f>[13]noerr!R4</f>
        <v>41.249876</v>
      </c>
      <c r="U8" s="110">
        <f>[13]noerr!S4</f>
        <v>41.657392999999999</v>
      </c>
      <c r="V8" s="110">
        <f>[13]noerr!T4</f>
        <v>14.923469000000001</v>
      </c>
      <c r="W8" s="110">
        <f>[13]noerr!U4</f>
        <v>15.070900999999999</v>
      </c>
      <c r="X8" s="111">
        <f>[13]noerr!V4</f>
        <v>0</v>
      </c>
      <c r="Y8" s="110">
        <f>[13]noerr!W4</f>
        <v>0.14743300000000001</v>
      </c>
      <c r="Z8" s="33">
        <f>[13]noerr!X4</f>
        <v>123226.92765</v>
      </c>
      <c r="AA8" s="110">
        <f>[13]noerr!Y4</f>
        <v>400002.38807400002</v>
      </c>
      <c r="AB8" s="110">
        <f>[13]noerr!Z4</f>
        <v>396089.32344299997</v>
      </c>
      <c r="AC8" s="109">
        <f t="shared" si="1"/>
        <v>0</v>
      </c>
      <c r="AD8" s="112">
        <f t="shared" si="2"/>
        <v>0.14743300000000001</v>
      </c>
      <c r="AE8" s="109">
        <f t="shared" si="3"/>
        <v>3952.0300248000008</v>
      </c>
      <c r="AF8" s="113">
        <f t="shared" ref="AF8:AF29" si="8">AE8*$AF$6/$AE$6</f>
        <v>105.76558868260211</v>
      </c>
      <c r="AG8" s="114">
        <f t="shared" si="0"/>
        <v>0.40752007174796034</v>
      </c>
      <c r="AH8" s="114">
        <f t="shared" si="4"/>
        <v>10923.820035247127</v>
      </c>
      <c r="AI8" s="115">
        <f t="shared" ref="AI8:AI29" si="9">AH8*$AI$6/$AH$6</f>
        <v>105.75610678541813</v>
      </c>
      <c r="AJ8" s="113">
        <f>(K8-AA8)</f>
        <v>0</v>
      </c>
      <c r="AK8" s="113">
        <f t="shared" si="5"/>
        <v>3913.0646310000448</v>
      </c>
      <c r="AL8" s="116">
        <f t="shared" si="6"/>
        <v>3913.0646310000448</v>
      </c>
      <c r="AM8" s="117">
        <f t="shared" si="7"/>
        <v>29136.679242426337</v>
      </c>
      <c r="AN8" s="113">
        <f t="shared" ref="AN8:AN29" si="10">AM8*$AN$6/$AM$6</f>
        <v>105.6747722204581</v>
      </c>
      <c r="AP8" s="110"/>
    </row>
    <row r="9" spans="1:45" s="73" customFormat="1" x14ac:dyDescent="0.2">
      <c r="A9"/>
      <c r="B9"/>
      <c r="C9" s="34">
        <f>C8+$J$1</f>
        <v>35</v>
      </c>
      <c r="D9" s="11"/>
      <c r="E9" s="3">
        <f>[13]noerr!C5</f>
        <v>42.888342999999999</v>
      </c>
      <c r="F9" s="3">
        <f>[13]noerr!D5</f>
        <v>8.5999999999999993E-2</v>
      </c>
      <c r="G9" s="3">
        <f>[13]noerr!E5</f>
        <v>14.923469000000001</v>
      </c>
      <c r="H9" s="3">
        <f>[13]noerr!F5</f>
        <v>6.4928E-2</v>
      </c>
      <c r="I9" s="3">
        <f>[13]noerr!G5</f>
        <v>635.31932200000006</v>
      </c>
      <c r="J9" s="3">
        <f>[13]noerr!H5</f>
        <v>77.696445999999995</v>
      </c>
      <c r="K9" s="3">
        <f>[13]noerr!I5</f>
        <v>400002.38807400002</v>
      </c>
      <c r="L9" s="33">
        <f>[13]noerr!J5</f>
        <v>2712.4639980000002</v>
      </c>
      <c r="M9" s="3">
        <f>[13]noerr!K5</f>
        <v>400002.38805800001</v>
      </c>
      <c r="N9" s="3">
        <f>[13]noerr!L5</f>
        <v>14.923469000000001</v>
      </c>
      <c r="O9" s="33">
        <f>[13]noerr!M5</f>
        <v>87.959764000000007</v>
      </c>
      <c r="P9" s="3">
        <f>[13]noerr!N5</f>
        <v>53.579971</v>
      </c>
      <c r="Q9" s="3">
        <f>[13]noerr!O5</f>
        <v>53.055711000000002</v>
      </c>
      <c r="R9" s="11">
        <f>[13]noerr!P5</f>
        <v>2710.6383860000001</v>
      </c>
      <c r="S9" s="11">
        <f>[13]noerr!Q5</f>
        <v>2624.504234</v>
      </c>
      <c r="T9" s="3">
        <f>[13]noerr!R5</f>
        <v>41.258429999999997</v>
      </c>
      <c r="U9" s="3">
        <f>[13]noerr!S5</f>
        <v>41.666117999999997</v>
      </c>
      <c r="V9" s="3">
        <f>[13]noerr!T5</f>
        <v>14.926564000000001</v>
      </c>
      <c r="W9" s="3">
        <f>[13]noerr!U5</f>
        <v>15.074058000000001</v>
      </c>
      <c r="X9" s="72">
        <f>[13]noerr!V5</f>
        <v>3.0950000000000001E-3</v>
      </c>
      <c r="Y9" s="3">
        <f>[13]noerr!W5</f>
        <v>0.150589</v>
      </c>
      <c r="Z9" s="33">
        <f>[13]noerr!X5</f>
        <v>123226.92765</v>
      </c>
      <c r="AA9" s="3">
        <f>[13]noerr!Y5</f>
        <v>399919.45072700002</v>
      </c>
      <c r="AB9" s="3">
        <f>[13]noerr!Z5</f>
        <v>396006.38609599997</v>
      </c>
      <c r="AC9">
        <f t="shared" si="1"/>
        <v>82.963331999999994</v>
      </c>
      <c r="AD9" s="20">
        <f t="shared" si="2"/>
        <v>0.15368399999999999</v>
      </c>
      <c r="AE9">
        <f t="shared" si="3"/>
        <v>4119.5918303999997</v>
      </c>
      <c r="AF9" s="54">
        <f t="shared" si="8"/>
        <v>110.24993543573704</v>
      </c>
      <c r="AG9" s="102">
        <f t="shared" si="0"/>
        <v>0.42479848274479792</v>
      </c>
      <c r="AH9" s="102">
        <f t="shared" si="4"/>
        <v>11386.978209063955</v>
      </c>
      <c r="AI9" s="32">
        <f t="shared" si="9"/>
        <v>110.24005151635158</v>
      </c>
      <c r="AJ9" s="31">
        <f>(K8-AA9)</f>
        <v>82.937346999999136</v>
      </c>
      <c r="AK9" s="113">
        <f t="shared" si="5"/>
        <v>3996.0019780000439</v>
      </c>
      <c r="AL9" s="38">
        <f t="shared" si="6"/>
        <v>4078.939325000043</v>
      </c>
      <c r="AM9" s="26">
        <f>AL9/1000*24*365*0.85</f>
        <v>30371.782213950319</v>
      </c>
      <c r="AN9" s="31">
        <f t="shared" si="10"/>
        <v>110.15432269011343</v>
      </c>
      <c r="AP9" s="11">
        <f>Z8-((L9-(O9-O8))*Z8/L9)</f>
        <v>82.937343318408239</v>
      </c>
      <c r="AQ9">
        <f>Z9-((L9-O9)*Z9/L9)</f>
        <v>3996.0019681481936</v>
      </c>
      <c r="AR9" s="3">
        <f>AP9+AQ9</f>
        <v>4078.9393114666018</v>
      </c>
      <c r="AS9"/>
    </row>
    <row r="10" spans="1:45" s="109" customFormat="1" x14ac:dyDescent="0.2">
      <c r="B10" s="118">
        <v>25</v>
      </c>
      <c r="C10" s="109">
        <v>25</v>
      </c>
      <c r="D10" s="110"/>
      <c r="E10" s="110">
        <f>[13]noerr!C6</f>
        <v>47.229294000000003</v>
      </c>
      <c r="F10" s="110">
        <f>[13]noerr!D6</f>
        <v>0.1075</v>
      </c>
      <c r="G10" s="110">
        <f>[13]noerr!E6</f>
        <v>14.963832999999999</v>
      </c>
      <c r="H10" s="110">
        <f>[13]noerr!F6</f>
        <v>6.5536999999999998E-2</v>
      </c>
      <c r="I10" s="110">
        <f>[13]noerr!G6</f>
        <v>631.06952899999999</v>
      </c>
      <c r="J10" s="110">
        <f>[13]noerr!H6</f>
        <v>79.949473999999995</v>
      </c>
      <c r="K10" s="110">
        <f>[13]noerr!I6</f>
        <v>400004.20945800003</v>
      </c>
      <c r="L10" s="33">
        <f>[13]noerr!J6</f>
        <v>2801.5446969999998</v>
      </c>
      <c r="M10" s="110">
        <f>[13]noerr!K6</f>
        <v>400003.18725900003</v>
      </c>
      <c r="N10" s="110">
        <f>[13]noerr!L6</f>
        <v>14.963801</v>
      </c>
      <c r="O10" s="33">
        <f>[13]noerr!M6</f>
        <v>92.090168000000006</v>
      </c>
      <c r="P10" s="110">
        <f>[13]noerr!N6</f>
        <v>53.446764000000002</v>
      </c>
      <c r="Q10" s="110">
        <f>[13]noerr!O6</f>
        <v>52.900972000000003</v>
      </c>
      <c r="R10" s="11">
        <f>[13]noerr!P6</f>
        <v>2801.5443749999999</v>
      </c>
      <c r="S10" s="11">
        <f>[13]noerr!Q6</f>
        <v>2709.4545290000001</v>
      </c>
      <c r="T10" s="110">
        <f>[13]noerr!R6</f>
        <v>41.358358000000003</v>
      </c>
      <c r="U10" s="110">
        <f>[13]noerr!S6</f>
        <v>41.785062000000003</v>
      </c>
      <c r="V10" s="110">
        <f>[13]noerr!T6</f>
        <v>14.963794999999999</v>
      </c>
      <c r="W10" s="110">
        <f>[13]noerr!U6</f>
        <v>15.118180000000001</v>
      </c>
      <c r="X10" s="111">
        <f>[13]noerr!V6</f>
        <v>-6.0000000000000002E-6</v>
      </c>
      <c r="Y10" s="110">
        <f>[13]noerr!W6</f>
        <v>0.15437899999999999</v>
      </c>
      <c r="Z10" s="33">
        <f>[13]noerr!X6</f>
        <v>124267.05184299999</v>
      </c>
      <c r="AA10" s="110">
        <f>[13]noerr!Y6</f>
        <v>400004.19517399999</v>
      </c>
      <c r="AB10" s="110">
        <f>[13]noerr!Z6</f>
        <v>395919.40092799999</v>
      </c>
      <c r="AC10" s="109">
        <f t="shared" si="1"/>
        <v>-0.16083360000000002</v>
      </c>
      <c r="AD10" s="112">
        <f t="shared" si="2"/>
        <v>0.15437299999999998</v>
      </c>
      <c r="AE10" s="109">
        <f t="shared" si="3"/>
        <v>4138.0608887999997</v>
      </c>
      <c r="AF10" s="113">
        <f t="shared" si="8"/>
        <v>110.74421073775432</v>
      </c>
      <c r="AG10" s="114">
        <f t="shared" si="0"/>
        <v>0.42667106156969226</v>
      </c>
      <c r="AH10" s="114">
        <f t="shared" si="4"/>
        <v>11437.173808012543</v>
      </c>
      <c r="AI10" s="115">
        <f t="shared" si="9"/>
        <v>110.72600708001305</v>
      </c>
      <c r="AJ10" s="113">
        <f>(K10-AA10)</f>
        <v>1.4284000033512712E-2</v>
      </c>
      <c r="AK10" s="113">
        <f t="shared" si="5"/>
        <v>4084.8085300000384</v>
      </c>
      <c r="AL10" s="116">
        <f t="shared" si="6"/>
        <v>4084.822814000072</v>
      </c>
      <c r="AM10" s="117">
        <f t="shared" si="7"/>
        <v>30415.590673044535</v>
      </c>
      <c r="AN10" s="113">
        <f t="shared" si="10"/>
        <v>110.31321001208968</v>
      </c>
      <c r="AP10" s="110"/>
    </row>
    <row r="11" spans="1:45" x14ac:dyDescent="0.2">
      <c r="C11" s="34">
        <f>C10+$J$1</f>
        <v>40</v>
      </c>
      <c r="E11" s="3">
        <f>[13]noerr!C7</f>
        <v>47.229294000000003</v>
      </c>
      <c r="F11" s="3">
        <f>[13]noerr!D7</f>
        <v>0.1075</v>
      </c>
      <c r="G11" s="3">
        <f>[13]noerr!E7</f>
        <v>14.963832999999999</v>
      </c>
      <c r="H11" s="3">
        <f>[13]noerr!F7</f>
        <v>6.5536999999999998E-2</v>
      </c>
      <c r="I11" s="3">
        <f>[13]noerr!G7</f>
        <v>631.06952899999999</v>
      </c>
      <c r="J11" s="3">
        <f>[13]noerr!H7</f>
        <v>79.949473999999995</v>
      </c>
      <c r="K11" s="3">
        <f>[13]noerr!I7</f>
        <v>400004.20945800003</v>
      </c>
      <c r="L11" s="33">
        <f>[13]noerr!J7</f>
        <v>2801.5446969999998</v>
      </c>
      <c r="M11" s="3">
        <f>[13]noerr!K7</f>
        <v>400003.18725900003</v>
      </c>
      <c r="N11" s="3">
        <f>[13]noerr!L7</f>
        <v>14.963801</v>
      </c>
      <c r="O11" s="33">
        <f>[13]noerr!M7</f>
        <v>94.148949999999999</v>
      </c>
      <c r="P11" s="3">
        <f>[13]noerr!N7</f>
        <v>53.434562</v>
      </c>
      <c r="Q11" s="3">
        <f>[13]noerr!O7</f>
        <v>52.888770000000001</v>
      </c>
      <c r="R11" s="11">
        <f>[13]noerr!P7</f>
        <v>2799.4855929999999</v>
      </c>
      <c r="S11" s="11">
        <f>[13]noerr!Q7</f>
        <v>2707.395747</v>
      </c>
      <c r="T11" s="3">
        <f>[13]noerr!R7</f>
        <v>41.367803000000002</v>
      </c>
      <c r="U11" s="3">
        <f>[13]noerr!S7</f>
        <v>41.794702999999998</v>
      </c>
      <c r="V11" s="3">
        <f>[13]noerr!T7</f>
        <v>14.967212</v>
      </c>
      <c r="W11" s="3">
        <f>[13]noerr!U7</f>
        <v>15.121668</v>
      </c>
      <c r="X11" s="72">
        <f>[13]noerr!V7</f>
        <v>3.411E-3</v>
      </c>
      <c r="Y11" s="3">
        <f>[13]noerr!W7</f>
        <v>0.15786700000000001</v>
      </c>
      <c r="Z11" s="33">
        <f>[13]noerr!X7</f>
        <v>124267.05184299999</v>
      </c>
      <c r="AA11" s="3">
        <f>[13]noerr!Y7</f>
        <v>399912.87457400002</v>
      </c>
      <c r="AB11" s="3">
        <f>[13]noerr!Z7</f>
        <v>395828.080327</v>
      </c>
      <c r="AC11">
        <f t="shared" si="1"/>
        <v>91.433901599999999</v>
      </c>
      <c r="AD11" s="20">
        <f t="shared" si="2"/>
        <v>0.161278</v>
      </c>
      <c r="AE11">
        <f t="shared" si="3"/>
        <v>4323.1535567999999</v>
      </c>
      <c r="AF11" s="31">
        <f t="shared" si="8"/>
        <v>115.6977244684209</v>
      </c>
      <c r="AG11" s="102">
        <f t="shared" si="0"/>
        <v>0.44575576990688859</v>
      </c>
      <c r="AH11" s="102">
        <f t="shared" si="4"/>
        <v>11948.750865816093</v>
      </c>
      <c r="AI11" s="32">
        <f t="shared" si="9"/>
        <v>115.67870657336552</v>
      </c>
      <c r="AJ11" s="31">
        <f>(K10-AA11)</f>
        <v>91.334884000010788</v>
      </c>
      <c r="AK11" s="113">
        <f t="shared" si="5"/>
        <v>4176.1291310000233</v>
      </c>
      <c r="AL11" s="38">
        <f t="shared" si="6"/>
        <v>4267.4640150000341</v>
      </c>
      <c r="AM11" s="26">
        <f t="shared" si="7"/>
        <v>31775.537055690256</v>
      </c>
      <c r="AN11" s="31">
        <f t="shared" si="10"/>
        <v>115.2455505517371</v>
      </c>
      <c r="AP11" s="11">
        <f>Z10-((L11-(O11-O10))*Z10/L11)</f>
        <v>91.32060959134833</v>
      </c>
      <c r="AQ11">
        <f>Z11-((L11-O11)*Z11/L11)</f>
        <v>4176.1291415919113</v>
      </c>
      <c r="AR11" s="3">
        <f>AP11+AQ11</f>
        <v>4267.4497511832597</v>
      </c>
    </row>
    <row r="12" spans="1:45" s="109" customFormat="1" x14ac:dyDescent="0.2">
      <c r="A12" s="109" t="s">
        <v>50</v>
      </c>
      <c r="B12" s="109">
        <v>15</v>
      </c>
      <c r="C12" s="109">
        <v>15</v>
      </c>
      <c r="D12" s="110"/>
      <c r="E12" s="110">
        <f>[13]noerr!C8</f>
        <v>40.039518000000001</v>
      </c>
      <c r="F12" s="110">
        <f>[13]noerr!D8</f>
        <v>7.3999999999999996E-2</v>
      </c>
      <c r="G12" s="110">
        <f>[13]noerr!E8</f>
        <v>14.932207999999999</v>
      </c>
      <c r="H12" s="110">
        <f>[13]noerr!F8</f>
        <v>6.4198000000000005E-2</v>
      </c>
      <c r="I12" s="110">
        <f>[13]noerr!G8</f>
        <v>642.97188200000005</v>
      </c>
      <c r="J12" s="110">
        <f>[13]noerr!H8</f>
        <v>75.508967999999996</v>
      </c>
      <c r="K12" s="110">
        <f>[13]noerr!I8</f>
        <v>400001.60597400001</v>
      </c>
      <c r="L12" s="33">
        <f>[13]noerr!J8</f>
        <v>2629.0365489999999</v>
      </c>
      <c r="M12" s="110">
        <f>[13]noerr!K8</f>
        <v>400001.62567500002</v>
      </c>
      <c r="N12" s="110">
        <f>[13]noerr!L8</f>
        <v>14.932207999999999</v>
      </c>
      <c r="O12" s="33">
        <f>[13]noerr!M8</f>
        <v>2629.0369049999999</v>
      </c>
      <c r="P12" s="110">
        <f>[13]noerr!N8</f>
        <v>53.559614000000003</v>
      </c>
      <c r="Q12" s="110">
        <f>[13]noerr!O8</f>
        <v>53.234636000000002</v>
      </c>
      <c r="R12" s="11">
        <f>[13]noerr!P8</f>
        <v>2629.0365489999999</v>
      </c>
      <c r="S12" s="11">
        <f>[13]noerr!Q8</f>
        <v>2576.4558179999999</v>
      </c>
      <c r="T12" s="110">
        <f>[13]noerr!R8</f>
        <v>41.277673999999998</v>
      </c>
      <c r="U12" s="110">
        <f>[13]noerr!S8</f>
        <v>41.529657999999998</v>
      </c>
      <c r="V12" s="110">
        <f>[13]noerr!T8</f>
        <v>14.932209</v>
      </c>
      <c r="W12" s="110">
        <f>[13]noerr!U8</f>
        <v>15.023364000000001</v>
      </c>
      <c r="X12" s="111">
        <f>[13]noerr!V8</f>
        <v>9.9999999999999995E-7</v>
      </c>
      <c r="Y12" s="110">
        <f>[13]noerr!W8</f>
        <v>9.1156000000000001E-2</v>
      </c>
      <c r="Z12" s="33">
        <f>[13]noerr!X8</f>
        <v>121352.036974</v>
      </c>
      <c r="AA12" s="110">
        <f>[13]noerr!Y8</f>
        <v>400001.60597400001</v>
      </c>
      <c r="AB12" s="110">
        <f>[13]noerr!Z8</f>
        <v>397574.56523399998</v>
      </c>
      <c r="AC12" s="109">
        <f t="shared" si="1"/>
        <v>2.6805599999999999E-2</v>
      </c>
      <c r="AD12" s="112">
        <f t="shared" si="2"/>
        <v>9.1157000000000002E-2</v>
      </c>
      <c r="AE12" s="109">
        <f t="shared" si="3"/>
        <v>2443.5180792000001</v>
      </c>
      <c r="AF12" s="113">
        <f t="shared" si="8"/>
        <v>65.394272432494489</v>
      </c>
      <c r="AG12" s="114">
        <f t="shared" si="0"/>
        <v>0.2519877754872013</v>
      </c>
      <c r="AH12" s="114">
        <f t="shared" si="4"/>
        <v>6754.6835145997238</v>
      </c>
      <c r="AI12" s="115">
        <f t="shared" si="9"/>
        <v>65.393701907095831</v>
      </c>
      <c r="AJ12" s="31">
        <f>(Z12-Z12)</f>
        <v>0</v>
      </c>
      <c r="AK12" s="113">
        <f t="shared" si="5"/>
        <v>2427.0407400000258</v>
      </c>
      <c r="AL12" s="116">
        <f t="shared" si="6"/>
        <v>2427.0407400000258</v>
      </c>
      <c r="AM12" s="117">
        <f t="shared" si="7"/>
        <v>18071.745350040193</v>
      </c>
      <c r="AN12" s="113">
        <f t="shared" si="10"/>
        <v>65.543762128898962</v>
      </c>
      <c r="AP12" s="110"/>
    </row>
    <row r="13" spans="1:45" s="73" customFormat="1" x14ac:dyDescent="0.2">
      <c r="B13" s="10"/>
      <c r="C13" s="34">
        <f>C12+$J$1</f>
        <v>30</v>
      </c>
      <c r="D13" s="11"/>
      <c r="E13" s="3">
        <f>[13]noerr!C9</f>
        <v>55.051043</v>
      </c>
      <c r="F13" s="3">
        <f>[13]noerr!D9</f>
        <v>0.158</v>
      </c>
      <c r="G13" s="3">
        <f>[13]noerr!E9</f>
        <v>14.932207999999999</v>
      </c>
      <c r="H13" s="3">
        <f>[13]noerr!F9</f>
        <v>6.4198000000000005E-2</v>
      </c>
      <c r="I13" s="3">
        <f>[13]noerr!G9</f>
        <v>642.97188200000005</v>
      </c>
      <c r="J13" s="3">
        <f>[13]noerr!H9</f>
        <v>77.265229000000005</v>
      </c>
      <c r="K13" s="3">
        <f>[13]noerr!I9</f>
        <v>394390.231539</v>
      </c>
      <c r="L13" s="33">
        <f>[13]noerr!J9</f>
        <v>2723.815474</v>
      </c>
      <c r="M13" s="3">
        <f>[13]noerr!K9</f>
        <v>400001.62567500002</v>
      </c>
      <c r="N13" s="3">
        <f>[13]noerr!L9</f>
        <v>14.932207999999999</v>
      </c>
      <c r="O13" s="33">
        <f>[13]noerr!M9</f>
        <v>2629.0369049999999</v>
      </c>
      <c r="P13" s="3">
        <f>[13]noerr!N9</f>
        <v>52.808259</v>
      </c>
      <c r="Q13" s="3">
        <f>[13]noerr!O9</f>
        <v>52.498308999999999</v>
      </c>
      <c r="R13" s="11">
        <f>[13]noerr!P9</f>
        <v>2723.815474</v>
      </c>
      <c r="S13" s="11">
        <f>[13]noerr!Q9</f>
        <v>2669.3391649999999</v>
      </c>
      <c r="T13" s="3">
        <f>[13]noerr!R9</f>
        <v>41.864970999999997</v>
      </c>
      <c r="U13" s="3">
        <f>[13]noerr!S9</f>
        <v>42.112141999999999</v>
      </c>
      <c r="V13" s="3">
        <f>[13]noerr!T9</f>
        <v>15.144664000000001</v>
      </c>
      <c r="W13" s="3">
        <f>[13]noerr!U9</f>
        <v>15.234078</v>
      </c>
      <c r="X13" s="72">
        <f>[13]noerr!V9</f>
        <v>0.21245600000000001</v>
      </c>
      <c r="Y13" s="3">
        <f>[13]noerr!W9</f>
        <v>0.30187000000000003</v>
      </c>
      <c r="Z13" s="33">
        <f>[13]noerr!X9</f>
        <v>115740.662539</v>
      </c>
      <c r="AA13" s="3">
        <f>[13]noerr!Y9</f>
        <v>394390.231539</v>
      </c>
      <c r="AB13" s="3">
        <f>[13]noerr!Z9</f>
        <v>392075.41828799999</v>
      </c>
      <c r="AC13">
        <f t="shared" si="1"/>
        <v>5695.0105536000001</v>
      </c>
      <c r="AD13" s="20">
        <f t="shared" si="2"/>
        <v>0.51432600000000006</v>
      </c>
      <c r="AE13">
        <f t="shared" si="3"/>
        <v>13786.817025600001</v>
      </c>
      <c r="AF13" s="54">
        <f t="shared" si="8"/>
        <v>368.96754569715063</v>
      </c>
      <c r="AG13" s="102">
        <f t="shared" si="0"/>
        <v>1.4217653566399591</v>
      </c>
      <c r="AH13" s="102">
        <f t="shared" si="4"/>
        <v>38111.273443948092</v>
      </c>
      <c r="AI13" s="32">
        <f t="shared" si="9"/>
        <v>368.96432667890093</v>
      </c>
      <c r="AJ13" s="31">
        <f>Z12-Z13</f>
        <v>5611.3744350000052</v>
      </c>
      <c r="AK13" s="113">
        <f t="shared" si="5"/>
        <v>2314.8132510000141</v>
      </c>
      <c r="AL13" s="38">
        <f t="shared" si="6"/>
        <v>7926.1876860000193</v>
      </c>
      <c r="AM13" s="26">
        <f t="shared" si="7"/>
        <v>59018.393509956135</v>
      </c>
      <c r="AN13" s="31">
        <f t="shared" si="10"/>
        <v>214.05168513165864</v>
      </c>
      <c r="AP13" s="131">
        <f>Z12-Z13</f>
        <v>5611.3744350000052</v>
      </c>
      <c r="AQ13">
        <f>Z13-((L13-L13*$AQ$1)*Z13/L13)</f>
        <v>2314.8132507799892</v>
      </c>
      <c r="AR13" s="3">
        <f>AP13+AQ13</f>
        <v>7926.1876857799944</v>
      </c>
    </row>
    <row r="14" spans="1:45" s="109" customFormat="1" x14ac:dyDescent="0.2">
      <c r="B14" s="109">
        <v>20</v>
      </c>
      <c r="C14" s="109">
        <v>20</v>
      </c>
      <c r="D14" s="110"/>
      <c r="E14" s="110">
        <f>[13]noerr!C10</f>
        <v>45.011369999999999</v>
      </c>
      <c r="F14" s="110">
        <f>[13]noerr!D10</f>
        <v>9.6000000000000002E-2</v>
      </c>
      <c r="G14" s="110">
        <f>[13]noerr!E10</f>
        <v>14.945823000000001</v>
      </c>
      <c r="H14" s="110">
        <f>[13]noerr!F10</f>
        <v>6.5006999999999995E-2</v>
      </c>
      <c r="I14" s="110">
        <f>[13]noerr!G10</f>
        <v>635.49021700000003</v>
      </c>
      <c r="J14" s="110">
        <f>[13]noerr!H10</f>
        <v>78.172786000000002</v>
      </c>
      <c r="K14" s="110">
        <f>[13]noerr!I10</f>
        <v>400002.81310000003</v>
      </c>
      <c r="L14" s="33">
        <f>[13]noerr!J10</f>
        <v>2733.989857</v>
      </c>
      <c r="M14" s="110">
        <f>[13]noerr!K10</f>
        <v>400002.80658999999</v>
      </c>
      <c r="N14" s="110">
        <f>[13]noerr!L10</f>
        <v>14.945823000000001</v>
      </c>
      <c r="O14" s="33">
        <f>[13]noerr!M10</f>
        <v>2733.9895270000002</v>
      </c>
      <c r="P14" s="110">
        <f>[13]noerr!N10</f>
        <v>53.510984999999998</v>
      </c>
      <c r="Q14" s="110">
        <f>[13]noerr!O10</f>
        <v>53.182470000000002</v>
      </c>
      <c r="R14" s="11">
        <f>[13]noerr!P10</f>
        <v>2733.989857</v>
      </c>
      <c r="S14" s="11">
        <f>[13]noerr!Q10</f>
        <v>2679.3100599999998</v>
      </c>
      <c r="T14" s="110">
        <f>[13]noerr!R10</f>
        <v>41.311273</v>
      </c>
      <c r="U14" s="110">
        <f>[13]noerr!S10</f>
        <v>41.566457999999997</v>
      </c>
      <c r="V14" s="110">
        <f>[13]noerr!T10</f>
        <v>14.945822</v>
      </c>
      <c r="W14" s="110">
        <f>[13]noerr!U10</f>
        <v>15.038145</v>
      </c>
      <c r="X14" s="111">
        <f>[13]noerr!V10</f>
        <v>0</v>
      </c>
      <c r="Y14" s="110">
        <f>[13]noerr!W10</f>
        <v>9.2322000000000001E-2</v>
      </c>
      <c r="Z14" s="33">
        <f>[13]noerr!X10</f>
        <v>122785.20909999999</v>
      </c>
      <c r="AA14" s="110">
        <f>[13]noerr!Y10</f>
        <v>400002.81310000003</v>
      </c>
      <c r="AB14" s="110">
        <f>[13]noerr!Z10</f>
        <v>397547.10891800001</v>
      </c>
      <c r="AC14" s="109">
        <f t="shared" si="1"/>
        <v>0</v>
      </c>
      <c r="AD14" s="112">
        <f t="shared" si="2"/>
        <v>9.2322000000000001E-2</v>
      </c>
      <c r="AE14" s="109">
        <f t="shared" si="3"/>
        <v>2474.7466031999998</v>
      </c>
      <c r="AF14" s="113">
        <f t="shared" si="8"/>
        <v>66.230020947516422</v>
      </c>
      <c r="AG14" s="114">
        <f t="shared" si="0"/>
        <v>0.25518454192830831</v>
      </c>
      <c r="AH14" s="114">
        <f t="shared" si="4"/>
        <v>6840.3747571134618</v>
      </c>
      <c r="AI14" s="115">
        <f t="shared" si="9"/>
        <v>66.2232992608253</v>
      </c>
      <c r="AJ14" s="31">
        <f>(Z14-Z14)</f>
        <v>0</v>
      </c>
      <c r="AK14" s="113">
        <f t="shared" si="5"/>
        <v>2455.7041820000159</v>
      </c>
      <c r="AL14" s="116">
        <f t="shared" si="6"/>
        <v>2455.7041820000159</v>
      </c>
      <c r="AM14" s="117">
        <f t="shared" si="7"/>
        <v>18285.173339172117</v>
      </c>
      <c r="AN14" s="113">
        <f t="shared" si="10"/>
        <v>66.317836413388648</v>
      </c>
      <c r="AP14" s="110"/>
    </row>
    <row r="15" spans="1:45" x14ac:dyDescent="0.2">
      <c r="B15"/>
      <c r="C15" s="34">
        <f>C14+$J$1</f>
        <v>35</v>
      </c>
      <c r="E15" s="3">
        <f>[13]noerr!C11</f>
        <v>60.058643000000004</v>
      </c>
      <c r="F15" s="3">
        <f>[13]noerr!D11</f>
        <v>0.2</v>
      </c>
      <c r="G15" s="3">
        <f>[13]noerr!E11</f>
        <v>14.945823000000001</v>
      </c>
      <c r="H15" s="3">
        <f>[13]noerr!F11</f>
        <v>6.5006999999999995E-2</v>
      </c>
      <c r="I15" s="3">
        <f>[13]noerr!G11</f>
        <v>635.49021700000003</v>
      </c>
      <c r="J15" s="3">
        <f>[13]noerr!H11</f>
        <v>80.010041999999999</v>
      </c>
      <c r="K15" s="3">
        <f>[13]noerr!I11</f>
        <v>394200.47476999997</v>
      </c>
      <c r="L15" s="33">
        <f>[13]noerr!J11</f>
        <v>2830.4719599999999</v>
      </c>
      <c r="M15" s="3">
        <f>[13]noerr!K11</f>
        <v>400002.80658999999</v>
      </c>
      <c r="N15" s="3">
        <f>[13]noerr!L11</f>
        <v>14.945823000000001</v>
      </c>
      <c r="O15" s="33">
        <f>[13]noerr!M11</f>
        <v>2733.9895270000002</v>
      </c>
      <c r="P15" s="3">
        <f>[13]noerr!N11</f>
        <v>52.734769</v>
      </c>
      <c r="Q15" s="3">
        <f>[13]noerr!O11</f>
        <v>52.421776999999999</v>
      </c>
      <c r="R15" s="11">
        <f>[13]noerr!P11</f>
        <v>2830.4719599999999</v>
      </c>
      <c r="S15" s="11">
        <f>[13]noerr!Q11</f>
        <v>2773.862521</v>
      </c>
      <c r="T15" s="3">
        <f>[13]noerr!R11</f>
        <v>41.919344000000002</v>
      </c>
      <c r="U15" s="3">
        <f>[13]noerr!S11</f>
        <v>42.169629</v>
      </c>
      <c r="V15" s="3">
        <f>[13]noerr!T11</f>
        <v>15.165813999999999</v>
      </c>
      <c r="W15" s="3">
        <f>[13]noerr!U11</f>
        <v>15.256363</v>
      </c>
      <c r="X15" s="72">
        <f>[13]noerr!V11</f>
        <v>0.21999099999999999</v>
      </c>
      <c r="Y15" s="3">
        <f>[13]noerr!W11</f>
        <v>0.31054100000000001</v>
      </c>
      <c r="Z15" s="33">
        <f>[13]noerr!X11</f>
        <v>116982.87076999999</v>
      </c>
      <c r="AA15" s="3">
        <f>[13]noerr!Y11</f>
        <v>394200.47476999997</v>
      </c>
      <c r="AB15" s="3">
        <f>[13]noerr!Z11</f>
        <v>391860.81735500001</v>
      </c>
      <c r="AC15">
        <f t="shared" si="1"/>
        <v>5896.9907495999996</v>
      </c>
      <c r="AD15" s="20">
        <f t="shared" si="2"/>
        <v>0.530532</v>
      </c>
      <c r="AE15">
        <f t="shared" si="3"/>
        <v>14221.2285792</v>
      </c>
      <c r="AF15" s="31">
        <f t="shared" si="8"/>
        <v>380.59341731470062</v>
      </c>
      <c r="AG15" s="102">
        <f t="shared" si="0"/>
        <v>1.4664279954756978</v>
      </c>
      <c r="AH15" s="102">
        <f t="shared" si="4"/>
        <v>39308.482275523362</v>
      </c>
      <c r="AI15" s="32">
        <f t="shared" si="9"/>
        <v>380.55479087805372</v>
      </c>
      <c r="AJ15" s="31">
        <f>Z14-Z15</f>
        <v>5802.3383299999987</v>
      </c>
      <c r="AK15" s="113">
        <f t="shared" si="5"/>
        <v>2339.6574149999651</v>
      </c>
      <c r="AL15" s="38">
        <f t="shared" si="6"/>
        <v>8141.9957449999638</v>
      </c>
      <c r="AM15" s="26">
        <f t="shared" si="7"/>
        <v>60625.300317269721</v>
      </c>
      <c r="AN15" s="31">
        <f t="shared" si="10"/>
        <v>219.8797175381487</v>
      </c>
      <c r="AP15" s="131">
        <f>Z14-Z15</f>
        <v>5802.3383299999987</v>
      </c>
      <c r="AQ15">
        <f>Z15-((L15-L15*$AQ$1)*Z15/L15)</f>
        <v>2339.6574153999973</v>
      </c>
      <c r="AR15" s="3">
        <f>AP15+AQ15</f>
        <v>8141.9957453999959</v>
      </c>
    </row>
    <row r="16" spans="1:45" s="109" customFormat="1" x14ac:dyDescent="0.2">
      <c r="B16" s="118">
        <v>25</v>
      </c>
      <c r="C16" s="109">
        <v>25</v>
      </c>
      <c r="D16" s="110"/>
      <c r="E16" s="110">
        <f>[13]noerr!C12</f>
        <v>50.079369999999997</v>
      </c>
      <c r="F16" s="110">
        <f>[13]noerr!D12</f>
        <v>0.124</v>
      </c>
      <c r="G16" s="110">
        <f>[13]noerr!E12</f>
        <v>14.996919</v>
      </c>
      <c r="H16" s="110">
        <f>[13]noerr!F12</f>
        <v>6.5639000000000003E-2</v>
      </c>
      <c r="I16" s="110">
        <f>[13]noerr!G12</f>
        <v>631.47314700000004</v>
      </c>
      <c r="J16" s="110">
        <f>[13]noerr!H12</f>
        <v>80.600601999999995</v>
      </c>
      <c r="K16" s="110">
        <f>[13]noerr!I12</f>
        <v>400003.21928100003</v>
      </c>
      <c r="L16" s="33">
        <f>[13]noerr!J12</f>
        <v>2830.6902749999999</v>
      </c>
      <c r="M16" s="110">
        <f>[13]noerr!K12</f>
        <v>400003.21928100003</v>
      </c>
      <c r="N16" s="110">
        <f>[13]noerr!L12</f>
        <v>14.996919</v>
      </c>
      <c r="O16" s="33">
        <f>[13]noerr!M12</f>
        <v>2830.6902749999999</v>
      </c>
      <c r="P16" s="110">
        <f>[13]noerr!N12</f>
        <v>53.328721999999999</v>
      </c>
      <c r="Q16" s="110">
        <f>[13]noerr!O12</f>
        <v>52.999077</v>
      </c>
      <c r="R16" s="11">
        <f>[13]noerr!P12</f>
        <v>2830.6902749999999</v>
      </c>
      <c r="S16" s="11">
        <f>[13]noerr!Q12</f>
        <v>2774.0764690000001</v>
      </c>
      <c r="T16" s="110">
        <f>[13]noerr!R12</f>
        <v>41.449412000000002</v>
      </c>
      <c r="U16" s="110">
        <f>[13]noerr!S12</f>
        <v>41.70722</v>
      </c>
      <c r="V16" s="110">
        <f>[13]noerr!T12</f>
        <v>14.996919</v>
      </c>
      <c r="W16" s="110">
        <f>[13]noerr!U12</f>
        <v>15.090197</v>
      </c>
      <c r="X16" s="111">
        <f>[13]noerr!V12</f>
        <v>0</v>
      </c>
      <c r="Y16" s="110">
        <f>[13]noerr!W12</f>
        <v>9.3278E-2</v>
      </c>
      <c r="Z16" s="33">
        <f>[13]noerr!X12</f>
        <v>123628.438281</v>
      </c>
      <c r="AA16" s="110">
        <f>[13]noerr!Y12</f>
        <v>400003.21928100003</v>
      </c>
      <c r="AB16" s="110">
        <f>[13]noerr!Z12</f>
        <v>397530.65051499999</v>
      </c>
      <c r="AC16" s="109">
        <f t="shared" si="1"/>
        <v>0</v>
      </c>
      <c r="AD16" s="112">
        <f t="shared" si="2"/>
        <v>9.3278E-2</v>
      </c>
      <c r="AE16" s="109">
        <f t="shared" si="3"/>
        <v>2500.3727567999999</v>
      </c>
      <c r="AF16" s="113">
        <f t="shared" si="8"/>
        <v>66.915836896324151</v>
      </c>
      <c r="AG16" s="114">
        <f t="shared" si="0"/>
        <v>0.25780659509068471</v>
      </c>
      <c r="AH16" s="114">
        <f t="shared" si="4"/>
        <v>6910.6604653628583</v>
      </c>
      <c r="AI16" s="115">
        <f t="shared" si="9"/>
        <v>66.903751963554569</v>
      </c>
      <c r="AJ16" s="31">
        <f>(Z16-Z16)</f>
        <v>0</v>
      </c>
      <c r="AK16" s="113">
        <f t="shared" si="5"/>
        <v>2472.5687660000403</v>
      </c>
      <c r="AL16" s="116">
        <f t="shared" si="6"/>
        <v>2472.5687660000403</v>
      </c>
      <c r="AM16" s="117">
        <f t="shared" si="7"/>
        <v>18410.7470316363</v>
      </c>
      <c r="AN16" s="113">
        <f t="shared" si="10"/>
        <v>66.77327511447136</v>
      </c>
      <c r="AP16" s="110"/>
    </row>
    <row r="17" spans="1:45" x14ac:dyDescent="0.2">
      <c r="C17" s="34">
        <f>C16+$J$1</f>
        <v>40</v>
      </c>
      <c r="E17" s="3">
        <f>[13]noerr!C13</f>
        <v>65.052535000000006</v>
      </c>
      <c r="F17" s="3">
        <f>[13]noerr!D13</f>
        <v>0.251</v>
      </c>
      <c r="G17" s="3">
        <f>[13]noerr!E13</f>
        <v>14.996919</v>
      </c>
      <c r="H17" s="3">
        <f>[13]noerr!F13</f>
        <v>6.5639000000000003E-2</v>
      </c>
      <c r="I17" s="3">
        <f>[13]noerr!G13</f>
        <v>631.47314700000004</v>
      </c>
      <c r="J17" s="3">
        <f>[13]noerr!H13</f>
        <v>82.501129000000006</v>
      </c>
      <c r="K17" s="3">
        <f>[13]noerr!I13</f>
        <v>394071.10443499999</v>
      </c>
      <c r="L17" s="33">
        <f>[13]noerr!J13</f>
        <v>2927.9779010000002</v>
      </c>
      <c r="M17" s="3">
        <f>[13]noerr!K13</f>
        <v>400003.21928100003</v>
      </c>
      <c r="N17" s="3">
        <f>[13]noerr!L13</f>
        <v>14.996919</v>
      </c>
      <c r="O17" s="33">
        <f>[13]noerr!M13</f>
        <v>2830.6902749999999</v>
      </c>
      <c r="P17" s="3">
        <f>[13]noerr!N13</f>
        <v>52.537847999999997</v>
      </c>
      <c r="Q17" s="3">
        <f>[13]noerr!O13</f>
        <v>52.224021</v>
      </c>
      <c r="R17" s="11">
        <f>[13]noerr!P13</f>
        <v>2927.9779010000002</v>
      </c>
      <c r="S17" s="11">
        <f>[13]noerr!Q13</f>
        <v>2869.4183429999998</v>
      </c>
      <c r="T17" s="3">
        <f>[13]noerr!R13</f>
        <v>42.073366999999998</v>
      </c>
      <c r="U17" s="3">
        <f>[13]noerr!S13</f>
        <v>42.326196000000003</v>
      </c>
      <c r="V17" s="3">
        <f>[13]noerr!T13</f>
        <v>15.222674</v>
      </c>
      <c r="W17" s="3">
        <f>[13]noerr!U13</f>
        <v>15.31415</v>
      </c>
      <c r="X17" s="72">
        <f>[13]noerr!V13</f>
        <v>0.22575500000000001</v>
      </c>
      <c r="Y17" s="3">
        <f>[13]noerr!W13</f>
        <v>0.31723200000000001</v>
      </c>
      <c r="Z17" s="33">
        <f>[13]noerr!X13</f>
        <v>117696.323435</v>
      </c>
      <c r="AA17" s="3">
        <f>[13]noerr!Y13</f>
        <v>394071.10443499999</v>
      </c>
      <c r="AB17" s="3">
        <f>[13]noerr!Z13</f>
        <v>391717.17796599999</v>
      </c>
      <c r="AC17">
        <f t="shared" si="1"/>
        <v>6051.4982280000004</v>
      </c>
      <c r="AD17" s="20">
        <f t="shared" si="2"/>
        <v>0.542987</v>
      </c>
      <c r="AE17">
        <f t="shared" si="3"/>
        <v>14555.0923272</v>
      </c>
      <c r="AF17" s="31">
        <f t="shared" si="8"/>
        <v>389.52839392808977</v>
      </c>
      <c r="AG17" s="102">
        <f t="shared" si="0"/>
        <v>1.5007357538595087</v>
      </c>
      <c r="AH17" s="102">
        <f t="shared" si="4"/>
        <v>40228.122323656447</v>
      </c>
      <c r="AI17" s="32">
        <f t="shared" si="9"/>
        <v>389.45804549234572</v>
      </c>
      <c r="AJ17" s="31">
        <f>Z16-Z17</f>
        <v>5932.1148459999968</v>
      </c>
      <c r="AK17" s="113">
        <f t="shared" si="5"/>
        <v>2353.9264689999982</v>
      </c>
      <c r="AL17" s="38">
        <f t="shared" si="6"/>
        <v>8286.0413149999949</v>
      </c>
      <c r="AM17" s="26">
        <f t="shared" si="7"/>
        <v>61697.863631489963</v>
      </c>
      <c r="AN17" s="31">
        <f t="shared" si="10"/>
        <v>223.76975878063882</v>
      </c>
      <c r="AP17" s="131">
        <f>Z16-Z17</f>
        <v>5932.1148459999968</v>
      </c>
      <c r="AQ17">
        <f>Z17-((L17-L17*$AQ$1)*Z17/L17)</f>
        <v>2353.9264687000104</v>
      </c>
      <c r="AR17" s="3">
        <f>AP17+AQ17</f>
        <v>8286.0413147000072</v>
      </c>
    </row>
    <row r="18" spans="1:45" s="109" customFormat="1" x14ac:dyDescent="0.2">
      <c r="A18" s="109" t="s">
        <v>93</v>
      </c>
      <c r="B18" s="109">
        <v>15</v>
      </c>
      <c r="C18" s="109">
        <v>15</v>
      </c>
      <c r="D18" s="110"/>
      <c r="E18" s="110">
        <f>[13]noerr!C14</f>
        <v>38.598111000000003</v>
      </c>
      <c r="F18" s="110">
        <f>[13]noerr!D14</f>
        <v>6.8500000000000005E-2</v>
      </c>
      <c r="G18" s="110">
        <f>[13]noerr!E14</f>
        <v>37.173589</v>
      </c>
      <c r="H18" s="110">
        <f>[13]noerr!F14</f>
        <v>0.24526000000000001</v>
      </c>
      <c r="I18" s="110">
        <f>[13]noerr!G14</f>
        <v>556.36043800000004</v>
      </c>
      <c r="J18" s="110">
        <f>[13]noerr!H14</f>
        <v>312.818375</v>
      </c>
      <c r="K18" s="110">
        <f>[13]noerr!I14</f>
        <v>400000.91310800001</v>
      </c>
      <c r="L18" s="33">
        <f>[13]noerr!J14</f>
        <v>9571.2411549999997</v>
      </c>
      <c r="M18" s="110">
        <f>[13]noerr!K14</f>
        <v>400000.91310800001</v>
      </c>
      <c r="N18" s="110">
        <f>[13]noerr!L14</f>
        <v>37.173589</v>
      </c>
      <c r="O18" s="33">
        <f>[13]noerr!M14</f>
        <v>291.39253600000001</v>
      </c>
      <c r="P18" s="110">
        <f>[13]noerr!N14</f>
        <v>35.858153999999999</v>
      </c>
      <c r="Q18" s="110">
        <f>[13]noerr!O14</f>
        <v>34.766466999999999</v>
      </c>
      <c r="R18" s="11">
        <f>[13]noerr!P14</f>
        <v>9571.2411549999997</v>
      </c>
      <c r="S18" s="11">
        <f>[13]noerr!Q14</f>
        <v>9279.848618</v>
      </c>
      <c r="T18" s="110">
        <f>[13]noerr!R14</f>
        <v>136.45298600000001</v>
      </c>
      <c r="U18" s="110">
        <f>[13]noerr!S14</f>
        <v>140.73768699999999</v>
      </c>
      <c r="V18" s="110">
        <f>[13]noerr!T14</f>
        <v>37.173589</v>
      </c>
      <c r="W18" s="110">
        <f>[13]noerr!U14</f>
        <v>38.340860999999997</v>
      </c>
      <c r="X18" s="111">
        <f>[13]noerr!V14</f>
        <v>0</v>
      </c>
      <c r="Y18" s="110">
        <f>[13]noerr!W14</f>
        <v>1.1672720000000001</v>
      </c>
      <c r="Z18" s="33">
        <f>[13]noerr!X14</f>
        <v>400000.91310800001</v>
      </c>
      <c r="AA18" s="110">
        <f>[13]noerr!Y14</f>
        <v>400000.91310800001</v>
      </c>
      <c r="AB18" s="110">
        <f>[13]noerr!Z14</f>
        <v>387823.04831699998</v>
      </c>
      <c r="AC18" s="109">
        <f t="shared" si="1"/>
        <v>0</v>
      </c>
      <c r="AD18" s="112">
        <f t="shared" si="2"/>
        <v>1.1672720000000001</v>
      </c>
      <c r="AE18" s="109">
        <f t="shared" si="3"/>
        <v>31289.426323200001</v>
      </c>
      <c r="AF18" s="113">
        <f t="shared" si="8"/>
        <v>837.37840397141974</v>
      </c>
      <c r="AG18" s="114">
        <f t="shared" si="0"/>
        <v>4.2847011818058718</v>
      </c>
      <c r="AH18" s="114">
        <f t="shared" si="4"/>
        <v>114853.98599901548</v>
      </c>
      <c r="AI18" s="115">
        <f t="shared" si="9"/>
        <v>1111.9288279054856</v>
      </c>
      <c r="AJ18" s="31">
        <f>(K18-AA18)</f>
        <v>0</v>
      </c>
      <c r="AK18" s="113">
        <f t="shared" si="5"/>
        <v>12177.864791000029</v>
      </c>
      <c r="AL18" s="116">
        <f t="shared" si="6"/>
        <v>12177.864791000029</v>
      </c>
      <c r="AM18" s="117">
        <f t="shared" si="7"/>
        <v>90676.381233786204</v>
      </c>
      <c r="AN18" s="113">
        <f t="shared" si="10"/>
        <v>328.87090024668936</v>
      </c>
      <c r="AP18" s="110"/>
    </row>
    <row r="19" spans="1:45" x14ac:dyDescent="0.2">
      <c r="C19" s="34">
        <f>C18+$J$1</f>
        <v>30</v>
      </c>
      <c r="E19" s="3">
        <f>[13]noerr!C15</f>
        <v>38.598111000000003</v>
      </c>
      <c r="F19" s="3">
        <f>[13]noerr!D15</f>
        <v>6.8500000000000005E-2</v>
      </c>
      <c r="G19" s="3">
        <f>[13]noerr!E15</f>
        <v>37.173589</v>
      </c>
      <c r="H19" s="3">
        <f>[13]noerr!F15</f>
        <v>0.24526000000000001</v>
      </c>
      <c r="I19" s="3">
        <f>[13]noerr!G15</f>
        <v>556.36043800000004</v>
      </c>
      <c r="J19" s="3">
        <f>[13]noerr!H15</f>
        <v>312.818375</v>
      </c>
      <c r="K19" s="3">
        <f>[13]noerr!I15</f>
        <v>400000.91310800001</v>
      </c>
      <c r="L19" s="33">
        <f>[13]noerr!J15</f>
        <v>9571.2411549999997</v>
      </c>
      <c r="M19" s="3">
        <f>[13]noerr!K15</f>
        <v>400000.91310800001</v>
      </c>
      <c r="N19" s="3">
        <f>[13]noerr!L15</f>
        <v>37.173589</v>
      </c>
      <c r="O19" s="33">
        <f>[13]noerr!M15</f>
        <v>297.17139300000002</v>
      </c>
      <c r="P19" s="3">
        <f>[13]noerr!N15</f>
        <v>35.836503999999998</v>
      </c>
      <c r="Q19" s="3">
        <f>[13]noerr!O15</f>
        <v>34.744816999999998</v>
      </c>
      <c r="R19" s="11">
        <f>[13]noerr!P15</f>
        <v>9565.4622990000007</v>
      </c>
      <c r="S19" s="11">
        <f>[13]noerr!Q15</f>
        <v>9274.0697619999992</v>
      </c>
      <c r="T19" s="3">
        <f>[13]noerr!R15</f>
        <v>136.53542200000001</v>
      </c>
      <c r="U19" s="3">
        <f>[13]noerr!S15</f>
        <v>140.82538400000001</v>
      </c>
      <c r="V19" s="3">
        <f>[13]noerr!T15</f>
        <v>37.196047</v>
      </c>
      <c r="W19" s="3">
        <f>[13]noerr!U15</f>
        <v>38.364752000000003</v>
      </c>
      <c r="X19" s="72">
        <f>[13]noerr!V15</f>
        <v>2.2457999999999999E-2</v>
      </c>
      <c r="Y19" s="3">
        <f>[13]noerr!W15</f>
        <v>1.191163</v>
      </c>
      <c r="Z19" s="33">
        <f>[13]noerr!X15</f>
        <v>400000.91310800001</v>
      </c>
      <c r="AA19" s="3">
        <f>[13]noerr!Y15</f>
        <v>399759.403384</v>
      </c>
      <c r="AB19" s="3">
        <f>[13]noerr!Z15</f>
        <v>387581.53859299998</v>
      </c>
      <c r="AC19">
        <f t="shared" si="1"/>
        <v>602.00016479999999</v>
      </c>
      <c r="AD19" s="20">
        <f t="shared" si="2"/>
        <v>1.2136210000000001</v>
      </c>
      <c r="AE19">
        <f t="shared" si="3"/>
        <v>32531.839077600001</v>
      </c>
      <c r="AF19" s="31">
        <f t="shared" si="8"/>
        <v>870.62828201670084</v>
      </c>
      <c r="AG19" s="102">
        <f t="shared" si="0"/>
        <v>4.4548342913772103</v>
      </c>
      <c r="AH19" s="102">
        <f t="shared" si="4"/>
        <v>119414.50608094095</v>
      </c>
      <c r="AI19" s="32">
        <f t="shared" si="9"/>
        <v>1156.0803103745247</v>
      </c>
      <c r="AJ19" s="31">
        <f>K18-AA19</f>
        <v>241.50972400000319</v>
      </c>
      <c r="AK19" s="113">
        <f t="shared" si="5"/>
        <v>12419.374515000032</v>
      </c>
      <c r="AL19" s="38">
        <f t="shared" si="6"/>
        <v>12660.884239000035</v>
      </c>
      <c r="AM19" s="26">
        <f t="shared" si="7"/>
        <v>94272.944043594267</v>
      </c>
      <c r="AN19" s="31">
        <f t="shared" si="10"/>
        <v>341.91514432614571</v>
      </c>
      <c r="AP19" s="11">
        <f>Z18-((L19-(O19-O18))*Z18/L19)</f>
        <v>241.50975190009922</v>
      </c>
      <c r="AQ19">
        <f>Z19-((L19-O19)*Z19/L19)</f>
        <v>12419.374522548693</v>
      </c>
      <c r="AR19" s="3">
        <f>AP19+AQ19</f>
        <v>12660.884274448792</v>
      </c>
    </row>
    <row r="20" spans="1:45" s="109" customFormat="1" x14ac:dyDescent="0.2">
      <c r="B20" s="109">
        <v>20</v>
      </c>
      <c r="C20" s="109">
        <v>20</v>
      </c>
      <c r="D20" s="110"/>
      <c r="E20" s="110">
        <f>[13]noerr!C16</f>
        <v>42.888342999999999</v>
      </c>
      <c r="F20" s="110">
        <f>[13]noerr!D16</f>
        <v>8.5999999999999993E-2</v>
      </c>
      <c r="G20" s="110">
        <f>[13]noerr!E16</f>
        <v>37.437885000000001</v>
      </c>
      <c r="H20" s="110">
        <f>[13]noerr!F16</f>
        <v>0.25119799999999998</v>
      </c>
      <c r="I20" s="110">
        <f>[13]noerr!G16</f>
        <v>547.04223000000002</v>
      </c>
      <c r="J20" s="110">
        <f>[13]noerr!H16</f>
        <v>318.39378799999997</v>
      </c>
      <c r="K20" s="110">
        <f>[13]noerr!I16</f>
        <v>400000.65956</v>
      </c>
      <c r="L20" s="33">
        <f>[13]noerr!J16</f>
        <v>9771.950519</v>
      </c>
      <c r="M20" s="110">
        <f>[13]noerr!K16</f>
        <v>400000.65956</v>
      </c>
      <c r="N20" s="110">
        <f>[13]noerr!L16</f>
        <v>37.437885000000001</v>
      </c>
      <c r="O20" s="33">
        <f>[13]noerr!M16</f>
        <v>310.30839200000003</v>
      </c>
      <c r="P20" s="110">
        <f>[13]noerr!N16</f>
        <v>35.604987999999999</v>
      </c>
      <c r="Q20" s="110">
        <f>[13]noerr!O16</f>
        <v>34.474350999999999</v>
      </c>
      <c r="R20" s="11">
        <f>[13]noerr!P16</f>
        <v>9771.950519</v>
      </c>
      <c r="S20" s="11">
        <f>[13]noerr!Q16</f>
        <v>9461.6421269999992</v>
      </c>
      <c r="T20" s="110">
        <f>[13]noerr!R16</f>
        <v>137.415943</v>
      </c>
      <c r="U20" s="110">
        <f>[13]noerr!S16</f>
        <v>141.92269999999999</v>
      </c>
      <c r="V20" s="110">
        <f>[13]noerr!T16</f>
        <v>37.437885000000001</v>
      </c>
      <c r="W20" s="110">
        <f>[13]noerr!U16</f>
        <v>38.665714999999999</v>
      </c>
      <c r="X20" s="111">
        <f>[13]noerr!V16</f>
        <v>0</v>
      </c>
      <c r="Y20" s="110">
        <f>[13]noerr!W16</f>
        <v>1.22783</v>
      </c>
      <c r="Z20" s="33">
        <f>[13]noerr!X16</f>
        <v>400000.65956</v>
      </c>
      <c r="AA20" s="110">
        <f>[13]noerr!Y16</f>
        <v>400000.65956</v>
      </c>
      <c r="AB20" s="110">
        <f>[13]noerr!Z16</f>
        <v>387298.63438200002</v>
      </c>
      <c r="AC20" s="109">
        <f t="shared" si="1"/>
        <v>0</v>
      </c>
      <c r="AD20" s="112">
        <f t="shared" si="2"/>
        <v>1.22783</v>
      </c>
      <c r="AE20" s="109">
        <f t="shared" si="3"/>
        <v>32912.719848000001</v>
      </c>
      <c r="AF20" s="113">
        <f t="shared" si="8"/>
        <v>880.8215443771702</v>
      </c>
      <c r="AG20" s="114">
        <f t="shared" si="0"/>
        <v>4.5067551705716085</v>
      </c>
      <c r="AH20" s="114">
        <f t="shared" si="4"/>
        <v>120806.27640027431</v>
      </c>
      <c r="AI20" s="115">
        <f t="shared" si="9"/>
        <v>1169.5543707341126</v>
      </c>
      <c r="AJ20" s="31">
        <f>(K20-AA20)</f>
        <v>0</v>
      </c>
      <c r="AK20" s="113">
        <f t="shared" si="5"/>
        <v>12702.025177999982</v>
      </c>
      <c r="AL20" s="116">
        <f t="shared" si="6"/>
        <v>12702.025177999982</v>
      </c>
      <c r="AM20" s="117">
        <f t="shared" si="7"/>
        <v>94579.279475387855</v>
      </c>
      <c r="AN20" s="113">
        <f t="shared" si="10"/>
        <v>343.02618126719511</v>
      </c>
      <c r="AP20" s="110"/>
    </row>
    <row r="21" spans="1:45" x14ac:dyDescent="0.2">
      <c r="B21"/>
      <c r="C21" s="34">
        <f>C20+$J$1</f>
        <v>35</v>
      </c>
      <c r="E21" s="3">
        <f>[13]noerr!C17</f>
        <v>42.888342999999999</v>
      </c>
      <c r="F21" s="3">
        <f>[13]noerr!D17</f>
        <v>8.5999999999999993E-2</v>
      </c>
      <c r="G21" s="3">
        <f>[13]noerr!E17</f>
        <v>37.437885000000001</v>
      </c>
      <c r="H21" s="3">
        <f>[13]noerr!F17</f>
        <v>0.25119799999999998</v>
      </c>
      <c r="I21" s="3">
        <f>[13]noerr!G17</f>
        <v>547.04223000000002</v>
      </c>
      <c r="J21" s="3">
        <f>[13]noerr!H17</f>
        <v>318.39378799999997</v>
      </c>
      <c r="K21" s="3">
        <f>[13]noerr!I17</f>
        <v>400000.65956</v>
      </c>
      <c r="L21" s="33">
        <f>[13]noerr!J17</f>
        <v>9771.950519</v>
      </c>
      <c r="M21" s="3">
        <f>[13]noerr!K17</f>
        <v>400000.65956</v>
      </c>
      <c r="N21" s="3">
        <f>[13]noerr!L17</f>
        <v>37.437885000000001</v>
      </c>
      <c r="O21" s="33">
        <f>[13]noerr!M17</f>
        <v>316.88536900000003</v>
      </c>
      <c r="P21" s="3">
        <f>[13]noerr!N17</f>
        <v>35.581023999999999</v>
      </c>
      <c r="Q21" s="3">
        <f>[13]noerr!O17</f>
        <v>34.450386999999999</v>
      </c>
      <c r="R21" s="11">
        <f>[13]noerr!P17</f>
        <v>9765.3735419999994</v>
      </c>
      <c r="S21" s="11">
        <f>[13]noerr!Q17</f>
        <v>9455.0651500000004</v>
      </c>
      <c r="T21" s="3">
        <f>[13]noerr!R17</f>
        <v>137.50849199999999</v>
      </c>
      <c r="U21" s="3">
        <f>[13]noerr!S17</f>
        <v>142.021421</v>
      </c>
      <c r="V21" s="3">
        <f>[13]noerr!T17</f>
        <v>37.463099</v>
      </c>
      <c r="W21" s="3">
        <f>[13]noerr!U17</f>
        <v>38.692610999999999</v>
      </c>
      <c r="X21" s="72">
        <f>[13]noerr!V17</f>
        <v>2.5214E-2</v>
      </c>
      <c r="Y21" s="3">
        <f>[13]noerr!W17</f>
        <v>1.254726</v>
      </c>
      <c r="Z21" s="33">
        <f>[13]noerr!X17</f>
        <v>400000.65956</v>
      </c>
      <c r="AA21" s="3">
        <f>[13]noerr!Y17</f>
        <v>399731.44050800003</v>
      </c>
      <c r="AB21" s="3">
        <f>[13]noerr!Z17</f>
        <v>387029.41532999999</v>
      </c>
      <c r="AC21">
        <f t="shared" si="1"/>
        <v>675.87639839999997</v>
      </c>
      <c r="AD21" s="20">
        <f t="shared" si="2"/>
        <v>1.2799400000000001</v>
      </c>
      <c r="AE21">
        <f t="shared" si="3"/>
        <v>34309.559664000008</v>
      </c>
      <c r="AF21" s="31">
        <f t="shared" si="8"/>
        <v>918.20425263278742</v>
      </c>
      <c r="AG21" s="102">
        <f t="shared" si="0"/>
        <v>4.6980251443778229</v>
      </c>
      <c r="AH21" s="102">
        <f t="shared" si="4"/>
        <v>125933.38281013418</v>
      </c>
      <c r="AI21" s="32">
        <f t="shared" si="9"/>
        <v>1219.1911105588067</v>
      </c>
      <c r="AJ21" s="31">
        <f>K20-AA21</f>
        <v>269.21905199997127</v>
      </c>
      <c r="AK21" s="113">
        <f t="shared" si="5"/>
        <v>12971.244230000011</v>
      </c>
      <c r="AL21" s="38">
        <f t="shared" si="6"/>
        <v>13240.463281999982</v>
      </c>
      <c r="AM21" s="26">
        <f t="shared" si="7"/>
        <v>98588.48959777187</v>
      </c>
      <c r="AN21" s="31">
        <f t="shared" si="10"/>
        <v>357.56704101795117</v>
      </c>
      <c r="AP21" s="11">
        <f>Z20-((L21-(O21-O20))*Z20/L21)</f>
        <v>269.2190400264808</v>
      </c>
      <c r="AQ21">
        <f>Z21-((L21-O21)*Z21/L21)</f>
        <v>12971.244211527694</v>
      </c>
      <c r="AR21" s="3">
        <f>AP21+AQ21</f>
        <v>13240.463251554174</v>
      </c>
    </row>
    <row r="22" spans="1:45" s="109" customFormat="1" x14ac:dyDescent="0.2">
      <c r="B22" s="118">
        <v>25</v>
      </c>
      <c r="C22" s="109">
        <v>25</v>
      </c>
      <c r="D22" s="110"/>
      <c r="E22" s="110">
        <f>[13]noerr!C18</f>
        <v>47.229294000000003</v>
      </c>
      <c r="F22" s="110">
        <f>[13]noerr!D18</f>
        <v>0.1075</v>
      </c>
      <c r="G22" s="110">
        <f>[13]noerr!E18</f>
        <v>37.721048000000003</v>
      </c>
      <c r="H22" s="110">
        <f>[13]noerr!F18</f>
        <v>0.25741399999999998</v>
      </c>
      <c r="I22" s="110">
        <f>[13]noerr!G18</f>
        <v>537.84184100000004</v>
      </c>
      <c r="J22" s="110">
        <f>[13]noerr!H18</f>
        <v>324.18325900000002</v>
      </c>
      <c r="K22" s="110">
        <f>[13]noerr!I18</f>
        <v>400000.263393</v>
      </c>
      <c r="L22" s="33">
        <f>[13]noerr!J18</f>
        <v>9977.5797970000003</v>
      </c>
      <c r="M22" s="110">
        <f>[13]noerr!K18</f>
        <v>400000.263393</v>
      </c>
      <c r="N22" s="110">
        <f>[13]noerr!L18</f>
        <v>37.721048000000003</v>
      </c>
      <c r="O22" s="33">
        <f>[13]noerr!M18</f>
        <v>327.976066</v>
      </c>
      <c r="P22" s="110">
        <f>[13]noerr!N18</f>
        <v>35.337674</v>
      </c>
      <c r="Q22" s="110">
        <f>[13]noerr!O18</f>
        <v>34.176079000000001</v>
      </c>
      <c r="R22" s="11">
        <f>[13]noerr!P18</f>
        <v>9977.5797970000003</v>
      </c>
      <c r="S22" s="11">
        <f>[13]noerr!Q18</f>
        <v>9649.6037309999992</v>
      </c>
      <c r="T22" s="110">
        <f>[13]noerr!R18</f>
        <v>138.44790699999999</v>
      </c>
      <c r="U22" s="110">
        <f>[13]noerr!S18</f>
        <v>143.15355099999999</v>
      </c>
      <c r="V22" s="110">
        <f>[13]noerr!T18</f>
        <v>37.721048000000003</v>
      </c>
      <c r="W22" s="110">
        <f>[13]noerr!U18</f>
        <v>39.003132000000001</v>
      </c>
      <c r="X22" s="111">
        <f>[13]noerr!V18</f>
        <v>0</v>
      </c>
      <c r="Y22" s="110">
        <f>[13]noerr!W18</f>
        <v>1.282084</v>
      </c>
      <c r="Z22" s="33">
        <f>[13]noerr!X18</f>
        <v>400000.263393</v>
      </c>
      <c r="AA22" s="110">
        <f>[13]noerr!Y18</f>
        <v>400000.263393</v>
      </c>
      <c r="AB22" s="110">
        <f>[13]noerr!Z18</f>
        <v>386851.73283300002</v>
      </c>
      <c r="AC22" s="109">
        <f t="shared" si="1"/>
        <v>0</v>
      </c>
      <c r="AD22" s="112">
        <f t="shared" si="2"/>
        <v>1.282084</v>
      </c>
      <c r="AE22" s="109">
        <f t="shared" si="3"/>
        <v>34367.030870400005</v>
      </c>
      <c r="AF22" s="113">
        <f t="shared" si="8"/>
        <v>919.74231685270763</v>
      </c>
      <c r="AG22" s="114">
        <f t="shared" si="0"/>
        <v>4.7056484442508406</v>
      </c>
      <c r="AH22" s="114">
        <f t="shared" si="4"/>
        <v>126137.72993721032</v>
      </c>
      <c r="AI22" s="115">
        <f t="shared" si="9"/>
        <v>1221.1694438270797</v>
      </c>
      <c r="AJ22" s="31">
        <f>(K22-AA22)</f>
        <v>0</v>
      </c>
      <c r="AK22" s="113">
        <f t="shared" si="5"/>
        <v>13148.530559999985</v>
      </c>
      <c r="AL22" s="116">
        <f t="shared" si="6"/>
        <v>13148.530559999985</v>
      </c>
      <c r="AM22" s="117">
        <f t="shared" si="7"/>
        <v>97903.958549759889</v>
      </c>
      <c r="AN22" s="113">
        <f t="shared" si="10"/>
        <v>355.08434002191024</v>
      </c>
      <c r="AP22" s="110"/>
    </row>
    <row r="23" spans="1:45" x14ac:dyDescent="0.2">
      <c r="C23" s="34">
        <f>C22+$J$1</f>
        <v>40</v>
      </c>
      <c r="E23" s="3">
        <f>[13]noerr!C19</f>
        <v>47.229294000000003</v>
      </c>
      <c r="F23" s="3">
        <f>[13]noerr!D19</f>
        <v>0.1075</v>
      </c>
      <c r="G23" s="3">
        <f>[13]noerr!E19</f>
        <v>37.721048000000003</v>
      </c>
      <c r="H23" s="3">
        <f>[13]noerr!F19</f>
        <v>0.25741399999999998</v>
      </c>
      <c r="I23" s="3">
        <f>[13]noerr!G19</f>
        <v>537.84184100000004</v>
      </c>
      <c r="J23" s="3">
        <f>[13]noerr!H19</f>
        <v>324.18325900000002</v>
      </c>
      <c r="K23" s="3">
        <f>[13]noerr!I19</f>
        <v>400000.263393</v>
      </c>
      <c r="L23" s="33">
        <f>[13]noerr!J19</f>
        <v>9977.5797970000003</v>
      </c>
      <c r="M23" s="3">
        <f>[13]noerr!K19</f>
        <v>400000.263393</v>
      </c>
      <c r="N23" s="3">
        <f>[13]noerr!L19</f>
        <v>37.721048000000003</v>
      </c>
      <c r="O23" s="33">
        <f>[13]noerr!M19</f>
        <v>335.30834700000003</v>
      </c>
      <c r="P23" s="3">
        <f>[13]noerr!N19</f>
        <v>35.311705000000003</v>
      </c>
      <c r="Q23" s="3">
        <f>[13]noerr!O19</f>
        <v>34.150109999999998</v>
      </c>
      <c r="R23" s="11">
        <f>[13]noerr!P19</f>
        <v>9970.2475169999998</v>
      </c>
      <c r="S23" s="11">
        <f>[13]noerr!Q19</f>
        <v>9642.2714500000002</v>
      </c>
      <c r="T23" s="3">
        <f>[13]noerr!R19</f>
        <v>138.549724</v>
      </c>
      <c r="U23" s="3">
        <f>[13]noerr!S19</f>
        <v>143.26240899999999</v>
      </c>
      <c r="V23" s="3">
        <f>[13]noerr!T19</f>
        <v>37.748789000000002</v>
      </c>
      <c r="W23" s="3">
        <f>[13]noerr!U19</f>
        <v>39.032791000000003</v>
      </c>
      <c r="X23" s="72">
        <f>[13]noerr!V19</f>
        <v>2.7740999999999998E-2</v>
      </c>
      <c r="Y23" s="3">
        <f>[13]noerr!W19</f>
        <v>1.3117430000000001</v>
      </c>
      <c r="Z23" s="33">
        <f>[13]noerr!X19</f>
        <v>400000.263393</v>
      </c>
      <c r="AA23" s="3">
        <f>[13]noerr!Y19</f>
        <v>399706.31293900002</v>
      </c>
      <c r="AB23" s="3">
        <f>[13]noerr!Z19</f>
        <v>386557.78237899998</v>
      </c>
      <c r="AC23">
        <f t="shared" si="1"/>
        <v>743.61414960000002</v>
      </c>
      <c r="AD23" s="20">
        <f t="shared" si="2"/>
        <v>1.3394840000000001</v>
      </c>
      <c r="AE23">
        <f t="shared" si="3"/>
        <v>35905.672310400005</v>
      </c>
      <c r="AF23" s="31">
        <f t="shared" si="8"/>
        <v>960.91996900915399</v>
      </c>
      <c r="AG23" s="102">
        <f t="shared" si="0"/>
        <v>4.9163243599475095</v>
      </c>
      <c r="AH23" s="102">
        <f t="shared" si="4"/>
        <v>131785.02426300896</v>
      </c>
      <c r="AI23" s="32">
        <f t="shared" si="9"/>
        <v>1275.8422469161812</v>
      </c>
      <c r="AJ23" s="31">
        <f>K22-AA23</f>
        <v>293.95045399997616</v>
      </c>
      <c r="AK23" s="113">
        <f t="shared" si="5"/>
        <v>13442.481014000019</v>
      </c>
      <c r="AL23" s="38">
        <f t="shared" si="6"/>
        <v>13736.431467999995</v>
      </c>
      <c r="AM23" s="26">
        <f t="shared" si="7"/>
        <v>102281.46871072798</v>
      </c>
      <c r="AN23" s="31">
        <f t="shared" si="10"/>
        <v>370.96097391364953</v>
      </c>
      <c r="AP23" s="11">
        <f>Z22-((L23-(O23-O22))*Z22/L23)</f>
        <v>293.95047606166918</v>
      </c>
      <c r="AQ23">
        <f>Z23-((L23-O23)*Z23/L23)</f>
        <v>13442.481027132308</v>
      </c>
      <c r="AR23" s="3">
        <f>AP23+AQ23</f>
        <v>13736.431503193977</v>
      </c>
    </row>
    <row r="24" spans="1:45" s="109" customFormat="1" x14ac:dyDescent="0.2">
      <c r="A24" s="109" t="s">
        <v>56</v>
      </c>
      <c r="B24" s="109">
        <v>15</v>
      </c>
      <c r="C24" s="109">
        <v>15</v>
      </c>
      <c r="D24" s="110"/>
      <c r="E24" s="110">
        <f>[13]noerr!C20</f>
        <v>40.039518000000001</v>
      </c>
      <c r="F24" s="110">
        <f>[13]noerr!D20</f>
        <v>7.3999999999999996E-2</v>
      </c>
      <c r="G24" s="110">
        <f>[13]noerr!E20</f>
        <v>37.304744999999997</v>
      </c>
      <c r="H24" s="110">
        <f>[13]noerr!F20</f>
        <v>0.24606600000000001</v>
      </c>
      <c r="I24" s="110">
        <f>[13]noerr!G20</f>
        <v>556.49159399999996</v>
      </c>
      <c r="J24" s="110">
        <f>[13]noerr!H20</f>
        <v>314.62087200000002</v>
      </c>
      <c r="K24" s="110">
        <f>[13]noerr!I20</f>
        <v>400000.89632699999</v>
      </c>
      <c r="L24" s="33">
        <f>[13]noerr!J20</f>
        <v>9635.9278749999994</v>
      </c>
      <c r="M24" s="110">
        <f>[13]noerr!K20</f>
        <v>400000.89632699999</v>
      </c>
      <c r="N24" s="110">
        <f>[13]noerr!L20</f>
        <v>37.304744999999997</v>
      </c>
      <c r="O24" s="33">
        <f>[13]noerr!M20</f>
        <v>0</v>
      </c>
      <c r="P24" s="110">
        <f>[13]noerr!N20</f>
        <v>35.732081999999998</v>
      </c>
      <c r="Q24" s="110">
        <f>[13]noerr!O20</f>
        <v>35.017440999999998</v>
      </c>
      <c r="R24" s="11">
        <f>[13]noerr!P20</f>
        <v>9635.9278749999994</v>
      </c>
      <c r="S24" s="11">
        <f>[13]noerr!Q20</f>
        <v>9443.2093179999993</v>
      </c>
      <c r="T24" s="110">
        <f>[13]noerr!R20</f>
        <v>136.93351799999999</v>
      </c>
      <c r="U24" s="110">
        <f>[13]noerr!S20</f>
        <v>139.72808000000001</v>
      </c>
      <c r="V24" s="110">
        <f>[13]noerr!T20</f>
        <v>37.304744999999997</v>
      </c>
      <c r="W24" s="110">
        <f>[13]noerr!U20</f>
        <v>38.066065999999999</v>
      </c>
      <c r="X24" s="111">
        <f>[13]noerr!V20</f>
        <v>0</v>
      </c>
      <c r="Y24" s="110">
        <f>[13]noerr!W20</f>
        <v>0.76132100000000003</v>
      </c>
      <c r="Z24" s="33">
        <f>[13]noerr!X20</f>
        <v>400000.89632699999</v>
      </c>
      <c r="AA24" s="110">
        <f>[13]noerr!Y20</f>
        <v>400000.89632699999</v>
      </c>
      <c r="AB24" s="110">
        <f>[13]noerr!Z20</f>
        <v>392000.87839999999</v>
      </c>
      <c r="AC24" s="109">
        <f t="shared" si="1"/>
        <v>0</v>
      </c>
      <c r="AD24" s="112">
        <f t="shared" si="2"/>
        <v>0.76132100000000003</v>
      </c>
      <c r="AE24" s="109">
        <f t="shared" si="3"/>
        <v>20407.6661976</v>
      </c>
      <c r="AF24" s="113">
        <f>AE24*$AF$6/$AE$6</f>
        <v>546.15699159229825</v>
      </c>
      <c r="AG24" s="114">
        <f t="shared" si="0"/>
        <v>2.7945633028240024</v>
      </c>
      <c r="AH24" s="114">
        <f t="shared" si="4"/>
        <v>74909.946070179096</v>
      </c>
      <c r="AI24" s="115">
        <f t="shared" si="9"/>
        <v>725.22105182306314</v>
      </c>
      <c r="AJ24" s="31">
        <f>(K24-AA24)</f>
        <v>0</v>
      </c>
      <c r="AK24" s="113">
        <f t="shared" si="5"/>
        <v>8000.0179270000081</v>
      </c>
      <c r="AL24" s="116">
        <f t="shared" si="6"/>
        <v>8000.0179270000081</v>
      </c>
      <c r="AM24" s="117">
        <f t="shared" si="7"/>
        <v>59568.133484442063</v>
      </c>
      <c r="AN24" s="113">
        <f t="shared" si="10"/>
        <v>216.04551723932349</v>
      </c>
      <c r="AP24" s="110"/>
    </row>
    <row r="25" spans="1:45" x14ac:dyDescent="0.2">
      <c r="C25" s="34">
        <f>C24+$J$1</f>
        <v>30</v>
      </c>
      <c r="E25" s="3">
        <f>[13]noerr!C21</f>
        <v>55.051043</v>
      </c>
      <c r="F25" s="3">
        <f>[13]noerr!D21</f>
        <v>0.158</v>
      </c>
      <c r="G25" s="3">
        <f>[13]noerr!E21</f>
        <v>37.304744999999997</v>
      </c>
      <c r="H25" s="3">
        <f>[13]noerr!F21</f>
        <v>0.24606600000000001</v>
      </c>
      <c r="I25" s="3">
        <f>[13]noerr!G21</f>
        <v>556.49159399999996</v>
      </c>
      <c r="J25" s="3">
        <f>[13]noerr!H21</f>
        <v>319.999999</v>
      </c>
      <c r="K25" s="3">
        <f>[13]noerr!I21</f>
        <v>382142.25591800001</v>
      </c>
      <c r="L25" s="33">
        <f>[13]noerr!J21</f>
        <v>9891.284619</v>
      </c>
      <c r="M25" s="3">
        <f>[13]noerr!K21</f>
        <v>400000.89632699999</v>
      </c>
      <c r="N25" s="3">
        <f>[13]noerr!L21</f>
        <v>37.304744999999997</v>
      </c>
      <c r="O25" s="33">
        <f>[13]noerr!M21</f>
        <v>0</v>
      </c>
      <c r="P25" s="3">
        <f>[13]noerr!N21</f>
        <v>34.136769999999999</v>
      </c>
      <c r="Q25" s="3">
        <f>[13]noerr!O21</f>
        <v>33.454034999999998</v>
      </c>
      <c r="R25" s="11">
        <f>[13]noerr!P21</f>
        <v>9891.284619</v>
      </c>
      <c r="S25" s="11">
        <f>[13]noerr!Q21</f>
        <v>9693.4589269999997</v>
      </c>
      <c r="T25" s="3">
        <f>[13]noerr!R21</f>
        <v>143.33282800000001</v>
      </c>
      <c r="U25" s="3">
        <f>[13]noerr!S21</f>
        <v>146.25798700000001</v>
      </c>
      <c r="V25" s="3">
        <f>[13]noerr!T21</f>
        <v>39.048105999999997</v>
      </c>
      <c r="W25" s="3">
        <f>[13]noerr!U21</f>
        <v>39.845007000000003</v>
      </c>
      <c r="X25" s="72">
        <f>[13]noerr!V21</f>
        <v>1.7433609999999999</v>
      </c>
      <c r="Y25" s="3">
        <f>[13]noerr!W21</f>
        <v>2.5402610000000001</v>
      </c>
      <c r="Z25" s="33">
        <f>[13]noerr!X21</f>
        <v>382142.25591800001</v>
      </c>
      <c r="AA25" s="3">
        <f>[13]noerr!Y21</f>
        <v>382142.25591800001</v>
      </c>
      <c r="AB25" s="3">
        <f>[13]noerr!Z21</f>
        <v>374499.41080000001</v>
      </c>
      <c r="AC25">
        <f t="shared" si="1"/>
        <v>46731.837621599996</v>
      </c>
      <c r="AD25" s="20">
        <f t="shared" si="2"/>
        <v>4.2836220000000003</v>
      </c>
      <c r="AE25">
        <f t="shared" si="3"/>
        <v>114825.0578832</v>
      </c>
      <c r="AF25" s="31">
        <f t="shared" si="8"/>
        <v>3072.9877471376517</v>
      </c>
      <c r="AG25" s="102">
        <f t="shared" si="0"/>
        <v>15.723791730911842</v>
      </c>
      <c r="AH25" s="102">
        <f t="shared" si="4"/>
        <v>421485.67162213044</v>
      </c>
      <c r="AI25" s="32">
        <f t="shared" si="9"/>
        <v>4080.5032994655426</v>
      </c>
      <c r="AJ25" s="31">
        <f>K24-AA25</f>
        <v>17858.640408999985</v>
      </c>
      <c r="AK25" s="113">
        <f t="shared" si="5"/>
        <v>7642.8451179999975</v>
      </c>
      <c r="AL25" s="38">
        <f t="shared" si="6"/>
        <v>25501.485526999983</v>
      </c>
      <c r="AM25" s="26">
        <f t="shared" si="7"/>
        <v>189884.06123404187</v>
      </c>
      <c r="AN25" s="31">
        <f t="shared" si="10"/>
        <v>688.68366062748032</v>
      </c>
      <c r="AP25" s="131">
        <f>Z24-Z25</f>
        <v>17858.640408999985</v>
      </c>
      <c r="AQ25">
        <f>Z25-((L25-L25*$AQ$1)*Z25/L25)</f>
        <v>7642.8451183600118</v>
      </c>
      <c r="AR25" s="3">
        <f>AP25+AQ25</f>
        <v>25501.485527359997</v>
      </c>
      <c r="AS25" s="3"/>
    </row>
    <row r="26" spans="1:45" s="109" customFormat="1" x14ac:dyDescent="0.2">
      <c r="B26" s="109">
        <v>20</v>
      </c>
      <c r="C26" s="109">
        <v>20</v>
      </c>
      <c r="D26" s="110"/>
      <c r="E26" s="110">
        <f>[13]noerr!C22</f>
        <v>45.011369999999999</v>
      </c>
      <c r="F26" s="110">
        <f>[13]noerr!D22</f>
        <v>9.6000000000000002E-2</v>
      </c>
      <c r="G26" s="110">
        <f>[13]noerr!E22</f>
        <v>34.187072000000001</v>
      </c>
      <c r="H26" s="110">
        <f>[13]noerr!F22</f>
        <v>0.230798</v>
      </c>
      <c r="I26" s="110">
        <f>[13]noerr!G22</f>
        <v>543.79141700000002</v>
      </c>
      <c r="J26" s="110">
        <f>[13]noerr!H22</f>
        <v>314.038161</v>
      </c>
      <c r="K26" s="110">
        <f>[13]noerr!I22</f>
        <v>391140.48334999999</v>
      </c>
      <c r="L26" s="33">
        <f>[13]noerr!J22</f>
        <v>9651.0867999999991</v>
      </c>
      <c r="M26" s="110">
        <f>[13]noerr!K22</f>
        <v>391140.48334999999</v>
      </c>
      <c r="N26" s="110">
        <f>[13]noerr!L22</f>
        <v>34.187072000000001</v>
      </c>
      <c r="O26" s="33">
        <f>[13]noerr!M22</f>
        <v>0</v>
      </c>
      <c r="P26" s="110">
        <f>[13]noerr!N22</f>
        <v>38.12697</v>
      </c>
      <c r="Q26" s="110">
        <f>[13]noerr!O22</f>
        <v>37.364431000000003</v>
      </c>
      <c r="R26" s="11">
        <f>[13]noerr!P22</f>
        <v>9651.0867999999991</v>
      </c>
      <c r="S26" s="11">
        <f>[13]noerr!Q22</f>
        <v>9458.0650640000003</v>
      </c>
      <c r="T26" s="110">
        <f>[13]noerr!R22</f>
        <v>125.505758</v>
      </c>
      <c r="U26" s="110">
        <f>[13]noerr!S22</f>
        <v>128.06710000000001</v>
      </c>
      <c r="V26" s="110">
        <f>[13]noerr!T22</f>
        <v>34.187072000000001</v>
      </c>
      <c r="W26" s="110">
        <f>[13]noerr!U22</f>
        <v>34.884768000000001</v>
      </c>
      <c r="X26" s="111">
        <f>[13]noerr!V22</f>
        <v>0</v>
      </c>
      <c r="Y26" s="110">
        <f>[13]noerr!W22</f>
        <v>0.69769499999999995</v>
      </c>
      <c r="Z26" s="33">
        <f>[13]noerr!X22</f>
        <v>391140.48334999999</v>
      </c>
      <c r="AA26" s="110">
        <f>[13]noerr!Y22</f>
        <v>391140.48334999999</v>
      </c>
      <c r="AB26" s="110">
        <f>[13]noerr!Z22</f>
        <v>383317.67368299997</v>
      </c>
      <c r="AC26" s="109">
        <f t="shared" si="1"/>
        <v>0</v>
      </c>
      <c r="AD26" s="112">
        <f t="shared" si="2"/>
        <v>0.69769499999999995</v>
      </c>
      <c r="AE26" s="109">
        <f t="shared" si="3"/>
        <v>18702.133091999996</v>
      </c>
      <c r="AF26" s="113">
        <f t="shared" si="8"/>
        <v>500.51292720020655</v>
      </c>
      <c r="AG26" s="114">
        <f t="shared" si="0"/>
        <v>2.5613450826768371</v>
      </c>
      <c r="AH26" s="114">
        <f t="shared" si="4"/>
        <v>68658.391748202223</v>
      </c>
      <c r="AI26" s="115">
        <f t="shared" si="9"/>
        <v>664.6982636119269</v>
      </c>
      <c r="AJ26" s="31">
        <f>(K26-AA26)</f>
        <v>0</v>
      </c>
      <c r="AK26" s="113">
        <f t="shared" si="5"/>
        <v>7822.8096670000232</v>
      </c>
      <c r="AL26" s="116">
        <f t="shared" si="6"/>
        <v>7822.8096670000232</v>
      </c>
      <c r="AM26" s="117">
        <f t="shared" si="7"/>
        <v>58248.640780482172</v>
      </c>
      <c r="AN26" s="113">
        <f t="shared" si="10"/>
        <v>211.25989668945374</v>
      </c>
      <c r="AP26" s="110"/>
    </row>
    <row r="27" spans="1:45" x14ac:dyDescent="0.2">
      <c r="B27"/>
      <c r="C27" s="34">
        <f>C26+$J$1</f>
        <v>35</v>
      </c>
      <c r="E27" s="3">
        <f>[13]noerr!C23</f>
        <v>50.079369999999997</v>
      </c>
      <c r="F27" s="3">
        <f>[13]noerr!D23</f>
        <v>0.124</v>
      </c>
      <c r="G27" s="3">
        <f>[13]noerr!E23</f>
        <v>37.118169999999999</v>
      </c>
      <c r="H27" s="3">
        <f>[13]noerr!F23</f>
        <v>0.25359100000000001</v>
      </c>
      <c r="I27" s="3">
        <f>[13]noerr!G23</f>
        <v>537.23896300000001</v>
      </c>
      <c r="J27" s="3">
        <f>[13]noerr!H23</f>
        <v>319.73843299999999</v>
      </c>
      <c r="K27" s="3">
        <f>[13]noerr!I23</f>
        <v>389911.38069700002</v>
      </c>
      <c r="L27" s="33">
        <f>[13]noerr!J23</f>
        <v>9856.6462329999995</v>
      </c>
      <c r="M27" s="3">
        <f>[13]noerr!K23</f>
        <v>389911.38069700002</v>
      </c>
      <c r="N27" s="3">
        <f>[13]noerr!L23</f>
        <v>37.118169999999999</v>
      </c>
      <c r="O27" s="33">
        <f>[13]noerr!M23</f>
        <v>0</v>
      </c>
      <c r="P27" s="3">
        <f>[13]noerr!N23</f>
        <v>35.005862999999998</v>
      </c>
      <c r="Q27" s="3">
        <f>[13]noerr!O23</f>
        <v>34.305745999999999</v>
      </c>
      <c r="R27" s="11">
        <f>[13]noerr!P23</f>
        <v>9856.6462329999995</v>
      </c>
      <c r="S27" s="11">
        <f>[13]noerr!Q23</f>
        <v>9659.5133089999999</v>
      </c>
      <c r="T27" s="3">
        <f>[13]noerr!R23</f>
        <v>136.239115</v>
      </c>
      <c r="U27" s="3">
        <f>[13]noerr!S23</f>
        <v>139.01950500000001</v>
      </c>
      <c r="V27" s="3">
        <f>[13]noerr!T23</f>
        <v>37.118169999999999</v>
      </c>
      <c r="W27" s="3">
        <f>[13]noerr!U23</f>
        <v>37.875684</v>
      </c>
      <c r="X27" s="72">
        <f>[13]noerr!V23</f>
        <v>0</v>
      </c>
      <c r="Y27" s="3">
        <f>[13]noerr!W23</f>
        <v>0.75751400000000002</v>
      </c>
      <c r="Z27" s="33">
        <f>[13]noerr!X23</f>
        <v>389911.38069700002</v>
      </c>
      <c r="AA27" s="3">
        <f>[13]noerr!Y23</f>
        <v>389911.38069700002</v>
      </c>
      <c r="AB27" s="3">
        <f>[13]noerr!Z23</f>
        <v>382113.15308299998</v>
      </c>
      <c r="AC27">
        <f t="shared" si="1"/>
        <v>0</v>
      </c>
      <c r="AD27" s="20">
        <f t="shared" si="2"/>
        <v>0.75751400000000002</v>
      </c>
      <c r="AE27">
        <f t="shared" si="3"/>
        <v>20305.617278400001</v>
      </c>
      <c r="AF27" s="31">
        <f t="shared" si="8"/>
        <v>543.42592326896045</v>
      </c>
      <c r="AG27" s="102">
        <f t="shared" si="0"/>
        <v>2.7803882569942857</v>
      </c>
      <c r="AH27" s="102">
        <f t="shared" si="4"/>
        <v>74529.975461686015</v>
      </c>
      <c r="AI27" s="32">
        <f t="shared" si="9"/>
        <v>721.54246574992624</v>
      </c>
      <c r="AJ27" s="31">
        <f>K26-AA27</f>
        <v>1229.1026529999799</v>
      </c>
      <c r="AK27" s="113">
        <f t="shared" si="5"/>
        <v>7798.2276140000322</v>
      </c>
      <c r="AL27" s="38">
        <f t="shared" si="6"/>
        <v>9027.3302670000121</v>
      </c>
      <c r="AM27" s="26">
        <f t="shared" si="7"/>
        <v>67217.50116808209</v>
      </c>
      <c r="AN27" s="31">
        <f t="shared" si="10"/>
        <v>243.7887333029492</v>
      </c>
      <c r="AP27" s="131">
        <f>Z26-Z27</f>
        <v>1229.1026529999799</v>
      </c>
      <c r="AQ27">
        <f>Z27-((L27-L27*$AQ$1)*Z27/L27)</f>
        <v>7798.2276139400201</v>
      </c>
      <c r="AR27" s="3">
        <f>AP27+AQ27</f>
        <v>9027.33026694</v>
      </c>
      <c r="AS27" s="3">
        <f>AR27+(Z22-Z26)</f>
        <v>17887.110309940006</v>
      </c>
    </row>
    <row r="28" spans="1:45" s="109" customFormat="1" x14ac:dyDescent="0.2">
      <c r="B28" s="118">
        <v>25</v>
      </c>
      <c r="C28" s="109">
        <v>25</v>
      </c>
      <c r="D28" s="110"/>
      <c r="E28" s="110">
        <f>[13]noerr!C24</f>
        <v>65.052535000000006</v>
      </c>
      <c r="F28" s="110">
        <f>[13]noerr!D24</f>
        <v>0.251</v>
      </c>
      <c r="G28" s="110">
        <f>[13]noerr!E24</f>
        <v>37.118169999999999</v>
      </c>
      <c r="H28" s="110">
        <f>[13]noerr!F24</f>
        <v>0.25359100000000001</v>
      </c>
      <c r="I28" s="110">
        <f>[13]noerr!G24</f>
        <v>537.23896300000001</v>
      </c>
      <c r="J28" s="110">
        <f>[13]noerr!H24</f>
        <v>319.999999</v>
      </c>
      <c r="K28" s="110">
        <f>[13]noerr!I24</f>
        <v>366141.50611800002</v>
      </c>
      <c r="L28" s="33">
        <f>[13]noerr!J24</f>
        <v>9935.6285000000007</v>
      </c>
      <c r="M28" s="110">
        <f>[13]noerr!K24</f>
        <v>389911.38069700002</v>
      </c>
      <c r="N28" s="110">
        <f>[13]noerr!L24</f>
        <v>37.118169999999999</v>
      </c>
      <c r="O28" s="33">
        <f>[13]noerr!M24</f>
        <v>0</v>
      </c>
      <c r="P28" s="110">
        <f>[13]noerr!N24</f>
        <v>32.871827000000003</v>
      </c>
      <c r="Q28" s="110">
        <f>[13]noerr!O24</f>
        <v>32.214390999999999</v>
      </c>
      <c r="R28" s="11">
        <f>[13]noerr!P24</f>
        <v>9935.6285000000007</v>
      </c>
      <c r="S28" s="11">
        <f>[13]noerr!Q24</f>
        <v>9736.9159299999992</v>
      </c>
      <c r="T28" s="110">
        <f>[13]noerr!R24</f>
        <v>145.08374599999999</v>
      </c>
      <c r="U28" s="110">
        <f>[13]noerr!S24</f>
        <v>148.04463899999999</v>
      </c>
      <c r="V28" s="110">
        <f>[13]noerr!T24</f>
        <v>39.527878000000001</v>
      </c>
      <c r="W28" s="110">
        <f>[13]noerr!U24</f>
        <v>40.334569999999999</v>
      </c>
      <c r="X28" s="111">
        <f>[13]noerr!V24</f>
        <v>2.4097080000000002</v>
      </c>
      <c r="Y28" s="110">
        <f>[13]noerr!W24</f>
        <v>3.2164000000000001</v>
      </c>
      <c r="Z28" s="33">
        <f>[13]noerr!X24</f>
        <v>366141.50611800002</v>
      </c>
      <c r="AA28" s="110">
        <f>[13]noerr!Y24</f>
        <v>366141.50611800002</v>
      </c>
      <c r="AB28" s="110">
        <f>[13]noerr!Z24</f>
        <v>358818.675995</v>
      </c>
      <c r="AC28" s="109">
        <f t="shared" si="1"/>
        <v>64593.668764800001</v>
      </c>
      <c r="AD28" s="112">
        <f t="shared" si="2"/>
        <v>5.6261080000000003</v>
      </c>
      <c r="AE28" s="109">
        <f t="shared" si="3"/>
        <v>150811.20060480002</v>
      </c>
      <c r="AF28" s="113">
        <f t="shared" si="8"/>
        <v>4036.0612930069738</v>
      </c>
      <c r="AG28" s="114">
        <f t="shared" si="0"/>
        <v>20.650132691648821</v>
      </c>
      <c r="AH28" s="114">
        <f t="shared" si="4"/>
        <v>553539.19687926164</v>
      </c>
      <c r="AI28" s="115">
        <f t="shared" si="9"/>
        <v>5358.9449685357649</v>
      </c>
      <c r="AJ28" s="31">
        <f>(K28-AA28)</f>
        <v>0</v>
      </c>
      <c r="AK28" s="113">
        <f t="shared" si="5"/>
        <v>7322.8301230000216</v>
      </c>
      <c r="AL28" s="116">
        <f t="shared" si="6"/>
        <v>7322.8301230000216</v>
      </c>
      <c r="AM28" s="117">
        <f t="shared" si="7"/>
        <v>54525.793095858164</v>
      </c>
      <c r="AN28" s="113">
        <f t="shared" si="10"/>
        <v>197.75763454726527</v>
      </c>
      <c r="AP28" s="110"/>
    </row>
    <row r="29" spans="1:45" x14ac:dyDescent="0.2">
      <c r="C29" s="34">
        <f>C28+$J$1</f>
        <v>40</v>
      </c>
      <c r="E29" s="3">
        <f>[13]noerr!C25</f>
        <v>0</v>
      </c>
      <c r="F29" s="3">
        <f>[13]noerr!D25</f>
        <v>0</v>
      </c>
      <c r="G29" s="3">
        <f>[13]noerr!E25</f>
        <v>0</v>
      </c>
      <c r="H29" s="3">
        <f>[13]noerr!F25</f>
        <v>0</v>
      </c>
      <c r="I29" s="3">
        <f>[13]noerr!G25</f>
        <v>0</v>
      </c>
      <c r="J29" s="3">
        <f>[13]noerr!H25</f>
        <v>0</v>
      </c>
      <c r="K29" s="3">
        <f>[13]noerr!I25</f>
        <v>0</v>
      </c>
      <c r="L29" s="33">
        <f>[13]noerr!J25</f>
        <v>0</v>
      </c>
      <c r="M29" s="3">
        <f>[13]noerr!K25</f>
        <v>0</v>
      </c>
      <c r="N29" s="3">
        <f>[13]noerr!L25</f>
        <v>0</v>
      </c>
      <c r="O29" s="33">
        <f>[13]noerr!M25</f>
        <v>0</v>
      </c>
      <c r="P29" s="3">
        <f>[13]noerr!N25</f>
        <v>0</v>
      </c>
      <c r="Q29" s="3">
        <f>[13]noerr!O25</f>
        <v>0</v>
      </c>
      <c r="R29" s="11">
        <f>[13]noerr!P25</f>
        <v>0</v>
      </c>
      <c r="S29" s="11">
        <f>[13]noerr!Q25</f>
        <v>0</v>
      </c>
      <c r="T29" s="3">
        <f>[13]noerr!R25</f>
        <v>0</v>
      </c>
      <c r="U29" s="3">
        <f>[13]noerr!S25</f>
        <v>0</v>
      </c>
      <c r="V29" s="3">
        <f>[13]noerr!T25</f>
        <v>0</v>
      </c>
      <c r="W29" s="3">
        <f>[13]noerr!U25</f>
        <v>0</v>
      </c>
      <c r="X29" s="72">
        <f>[13]noerr!V25</f>
        <v>0</v>
      </c>
      <c r="Y29" s="3">
        <f>[13]noerr!W25</f>
        <v>0</v>
      </c>
      <c r="Z29" s="33">
        <f>[13]noerr!X25</f>
        <v>0</v>
      </c>
      <c r="AA29" s="3">
        <f>[13]noerr!Y25</f>
        <v>0</v>
      </c>
      <c r="AB29" s="3">
        <f>[13]noerr!Z25</f>
        <v>0</v>
      </c>
      <c r="AC29">
        <f t="shared" si="1"/>
        <v>0</v>
      </c>
      <c r="AD29" s="20">
        <f t="shared" si="2"/>
        <v>0</v>
      </c>
      <c r="AE29">
        <f>AD29*3600*$AG$1/1000</f>
        <v>0</v>
      </c>
      <c r="AF29" s="31">
        <f t="shared" si="8"/>
        <v>0</v>
      </c>
      <c r="AG29" s="102" t="e">
        <f t="shared" si="0"/>
        <v>#DIV/0!</v>
      </c>
      <c r="AH29" s="102" t="e">
        <f t="shared" si="4"/>
        <v>#DIV/0!</v>
      </c>
      <c r="AI29" s="32" t="e">
        <f t="shared" si="9"/>
        <v>#DIV/0!</v>
      </c>
      <c r="AJ29" s="31">
        <f>K28-AA29</f>
        <v>366141.50611800002</v>
      </c>
      <c r="AK29" s="113">
        <f t="shared" si="5"/>
        <v>0</v>
      </c>
      <c r="AL29" s="38">
        <f>AK29+AJ29</f>
        <v>366141.50611800002</v>
      </c>
      <c r="AM29" s="26">
        <f t="shared" si="7"/>
        <v>2726289.6545546278</v>
      </c>
      <c r="AN29" s="31">
        <f t="shared" si="10"/>
        <v>9887.8817264990539</v>
      </c>
      <c r="AP29" s="131">
        <f>Z28-Z29</f>
        <v>366141.50611800002</v>
      </c>
      <c r="AQ29" t="e">
        <f>Z29-((L29-L29*$AQ$1)*Z29/L29)</f>
        <v>#DIV/0!</v>
      </c>
      <c r="AR29" s="3" t="e">
        <f>AP29+AQ29</f>
        <v>#DIV/0!</v>
      </c>
      <c r="AS29" s="3" t="e">
        <f>AR29+(Z24-Z28)</f>
        <v>#DIV/0!</v>
      </c>
    </row>
    <row r="30" spans="1:45" x14ac:dyDescent="0.2">
      <c r="AS30" s="3">
        <f>AR30+(Z25-Z29)</f>
        <v>382142.25591800001</v>
      </c>
    </row>
    <row r="31" spans="1:45" x14ac:dyDescent="0.2">
      <c r="AP31" s="134" t="s">
        <v>102</v>
      </c>
      <c r="AQ31" s="132"/>
      <c r="AR31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Points</vt:lpstr>
      <vt:lpstr>_RES_COAL_NG</vt:lpstr>
      <vt:lpstr>Results_DT3</vt:lpstr>
      <vt:lpstr>Results_DT5</vt:lpstr>
      <vt:lpstr>Results_DT7</vt:lpstr>
      <vt:lpstr>Results_DT9</vt:lpstr>
      <vt:lpstr>Results_DT11</vt:lpstr>
      <vt:lpstr>Results_DT13</vt:lpstr>
      <vt:lpstr>Results_DT15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2017-04-08T16:36:38Z</cp:lastPrinted>
  <dcterms:created xsi:type="dcterms:W3CDTF">2014-03-07T16:08:25Z</dcterms:created>
  <dcterms:modified xsi:type="dcterms:W3CDTF">2018-02-08T13:46:05Z</dcterms:modified>
</cp:coreProperties>
</file>