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Саша\Обучение\Обучение Бизнес аналитик\5. Стажировка\Стажировка ЭТАП 2\4. Приложения к ТЭО\"/>
    </mc:Choice>
  </mc:AlternateContent>
  <xr:revisionPtr revIDLastSave="0" documentId="13_ncr:1_{8DD61CCC-D86B-4171-8541-50C877B4DE1D}" xr6:coauthVersionLast="47" xr6:coauthVersionMax="47" xr10:uidLastSave="{00000000-0000-0000-0000-000000000000}"/>
  <bookViews>
    <workbookView xWindow="-120" yWindow="-120" windowWidth="29040" windowHeight="15840" tabRatio="680" xr2:uid="{00000000-000D-0000-FFFF-FFFF00000000}"/>
  </bookViews>
  <sheets>
    <sheet name="Формирование себестоимости" sheetId="1" r:id="rId1"/>
    <sheet name="В т. ч. постоянные" sheetId="5" r:id="rId2"/>
    <sheet name="Сводная себестоимость" sheetId="2" r:id="rId3"/>
    <sheet name="Анализ" sheetId="4" r:id="rId4"/>
    <sheet name="Ставки аренды" sheetId="3" r:id="rId5"/>
    <sheet name="для ФМ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G10" i="1"/>
  <c r="C2" i="5"/>
  <c r="C2" i="2" s="1"/>
  <c r="C2" i="7" s="1"/>
  <c r="E9" i="2"/>
  <c r="E9" i="7" s="1"/>
  <c r="D6" i="2"/>
  <c r="D6" i="7" s="1"/>
  <c r="E5" i="2"/>
  <c r="E5" i="7" s="1"/>
  <c r="D42" i="1"/>
  <c r="D17" i="1"/>
  <c r="D27" i="1" s="1"/>
  <c r="D37" i="1" s="1"/>
  <c r="D2" i="5" s="1"/>
  <c r="D2" i="2" s="1"/>
  <c r="D2" i="7" s="1"/>
  <c r="E17" i="1"/>
  <c r="E27" i="1" s="1"/>
  <c r="E37" i="1" s="1"/>
  <c r="E2" i="5" s="1"/>
  <c r="E2" i="2" s="1"/>
  <c r="E2" i="7" s="1"/>
  <c r="C17" i="1"/>
  <c r="C27" i="1" s="1"/>
  <c r="C37" i="1" s="1"/>
  <c r="D10" i="1" l="1"/>
  <c r="D11" i="1" l="1"/>
  <c r="D10" i="2"/>
  <c r="D10" i="7" s="1"/>
  <c r="D7" i="5"/>
  <c r="C10" i="1"/>
  <c r="C11" i="1" l="1"/>
  <c r="C7" i="5"/>
  <c r="C10" i="2"/>
  <c r="C10" i="7" s="1"/>
  <c r="E10" i="1"/>
  <c r="D40" i="1"/>
  <c r="D30" i="1"/>
  <c r="D20" i="1"/>
  <c r="D7" i="2" s="1"/>
  <c r="D7" i="7" s="1"/>
  <c r="E11" i="1" l="1"/>
  <c r="E7" i="5"/>
  <c r="E10" i="2"/>
  <c r="E10" i="7" s="1"/>
  <c r="G10" i="7"/>
  <c r="G2" i="7"/>
  <c r="E6" i="5" l="1"/>
  <c r="D5" i="5"/>
  <c r="D4" i="5"/>
  <c r="E3" i="5"/>
  <c r="E11" i="2" l="1"/>
  <c r="C19" i="4" l="1"/>
  <c r="E11" i="7"/>
  <c r="C3" i="2"/>
  <c r="C3" i="7" s="1"/>
  <c r="B13" i="3"/>
  <c r="A13" i="3"/>
  <c r="E40" i="1"/>
  <c r="E39" i="1"/>
  <c r="E30" i="1"/>
  <c r="E29" i="1"/>
  <c r="E20" i="1"/>
  <c r="E19" i="1"/>
  <c r="E7" i="2" l="1"/>
  <c r="E7" i="7" s="1"/>
  <c r="E6" i="2"/>
  <c r="E6" i="7" s="1"/>
  <c r="E33" i="1"/>
  <c r="C5" i="4" s="1"/>
  <c r="D8" i="5"/>
  <c r="D12" i="2"/>
  <c r="D12" i="7" s="1"/>
  <c r="G12" i="7" s="1"/>
  <c r="E42" i="1"/>
  <c r="E43" i="1" s="1"/>
  <c r="C6" i="4" s="1"/>
  <c r="E22" i="1"/>
  <c r="E4" i="5"/>
  <c r="E5" i="5"/>
  <c r="C14" i="4"/>
  <c r="C18" i="4"/>
  <c r="C3" i="4" l="1"/>
  <c r="E23" i="1"/>
  <c r="E8" i="5"/>
  <c r="E12" i="2"/>
  <c r="E9" i="5"/>
  <c r="C23" i="4" s="1"/>
  <c r="D18" i="1"/>
  <c r="D21" i="1"/>
  <c r="C20" i="1"/>
  <c r="C19" i="1"/>
  <c r="C21" i="1" l="1"/>
  <c r="C20" i="4"/>
  <c r="E12" i="7"/>
  <c r="E15" i="7"/>
  <c r="E15" i="2"/>
  <c r="C42" i="1"/>
  <c r="D32" i="1"/>
  <c r="D28" i="1"/>
  <c r="D31" i="1"/>
  <c r="C31" i="1" s="1"/>
  <c r="C30" i="1"/>
  <c r="C29" i="1"/>
  <c r="C18" i="1"/>
  <c r="D22" i="1"/>
  <c r="D23" i="1" s="1"/>
  <c r="C22" i="1" l="1"/>
  <c r="C23" i="1" s="1"/>
  <c r="C32" i="1"/>
  <c r="D11" i="2"/>
  <c r="D11" i="7" s="1"/>
  <c r="G11" i="7" s="1"/>
  <c r="C8" i="5"/>
  <c r="C12" i="2"/>
  <c r="C12" i="7" s="1"/>
  <c r="D38" i="1"/>
  <c r="D3" i="5" s="1"/>
  <c r="D41" i="1"/>
  <c r="D9" i="2" s="1"/>
  <c r="D9" i="7" s="1"/>
  <c r="C40" i="1"/>
  <c r="C39" i="1"/>
  <c r="C4" i="5" s="1"/>
  <c r="D33" i="1"/>
  <c r="C28" i="1"/>
  <c r="C33" i="1" s="1"/>
  <c r="C5" i="5" l="1"/>
  <c r="C7" i="2"/>
  <c r="C7" i="7" s="1"/>
  <c r="C6" i="2"/>
  <c r="C6" i="7" s="1"/>
  <c r="D5" i="2"/>
  <c r="D5" i="7" s="1"/>
  <c r="C11" i="2"/>
  <c r="C11" i="7" s="1"/>
  <c r="C41" i="1"/>
  <c r="D6" i="5"/>
  <c r="D9" i="5" s="1"/>
  <c r="D43" i="1"/>
  <c r="D45" i="1" s="1"/>
  <c r="C38" i="1"/>
  <c r="C5" i="2" s="1"/>
  <c r="C5" i="7" s="1"/>
  <c r="C6" i="5" l="1"/>
  <c r="C9" i="2"/>
  <c r="C9" i="7" s="1"/>
  <c r="C43" i="1"/>
  <c r="C45" i="1" s="1"/>
  <c r="C3" i="5"/>
  <c r="C9" i="5" s="1"/>
  <c r="D15" i="2"/>
  <c r="D15" i="7"/>
  <c r="G15" i="7" s="1"/>
  <c r="C15" i="2" l="1"/>
  <c r="C15" i="7"/>
  <c r="G6" i="7" l="1"/>
  <c r="C15" i="4"/>
  <c r="E8" i="2"/>
  <c r="E4" i="2"/>
  <c r="C17" i="4"/>
  <c r="C13" i="4"/>
  <c r="C4" i="2"/>
  <c r="C4" i="7" s="1"/>
  <c r="C2" i="4"/>
  <c r="C4" i="4" s="1"/>
  <c r="G9" i="7"/>
  <c r="E45" i="1"/>
  <c r="G5" i="7"/>
  <c r="C8" i="2"/>
  <c r="C8" i="7" s="1"/>
  <c r="E3" i="2"/>
  <c r="E3" i="7" s="1"/>
  <c r="D8" i="2"/>
  <c r="D8" i="7" s="1"/>
  <c r="G8" i="7" s="1"/>
  <c r="D3" i="2"/>
  <c r="D3" i="7" s="1"/>
  <c r="G3" i="7" s="1"/>
  <c r="D4" i="2"/>
  <c r="D4" i="7" s="1"/>
  <c r="G4" i="7" s="1"/>
  <c r="C12" i="4" l="1"/>
  <c r="E4" i="7"/>
  <c r="C16" i="4"/>
  <c r="E8" i="7"/>
  <c r="C13" i="2"/>
  <c r="C16" i="2" s="1"/>
  <c r="D13" i="2"/>
  <c r="D16" i="2" s="1"/>
  <c r="C13" i="7"/>
  <c r="C16" i="7" s="1"/>
  <c r="E13" i="7"/>
  <c r="E16" i="7" s="1"/>
  <c r="D13" i="7"/>
  <c r="D16" i="7" s="1"/>
  <c r="E13" i="2"/>
  <c r="E16" i="2" s="1"/>
  <c r="C11" i="4"/>
  <c r="G7" i="7"/>
  <c r="G13" i="7" s="1"/>
  <c r="G16" i="7" s="1"/>
  <c r="G18" i="7" s="1"/>
  <c r="C7" i="4" l="1"/>
  <c r="C21" i="4"/>
  <c r="D5" i="4" l="1"/>
  <c r="D6" i="4"/>
  <c r="D3" i="4"/>
  <c r="D2" i="4"/>
  <c r="D20" i="4"/>
  <c r="D14" i="4"/>
  <c r="D23" i="4"/>
  <c r="C24" i="4"/>
  <c r="D24" i="4" s="1"/>
  <c r="D18" i="4"/>
  <c r="D19" i="4"/>
  <c r="D16" i="4"/>
  <c r="D15" i="4"/>
  <c r="D13" i="4"/>
  <c r="D12" i="4"/>
  <c r="D17" i="4"/>
  <c r="D11" i="4"/>
  <c r="D4" i="4"/>
</calcChain>
</file>

<file path=xl/sharedStrings.xml><?xml version="1.0" encoding="utf-8"?>
<sst xmlns="http://schemas.openxmlformats.org/spreadsheetml/2006/main" count="152" uniqueCount="45">
  <si>
    <t xml:space="preserve">№ </t>
  </si>
  <si>
    <t>Показатель</t>
  </si>
  <si>
    <t>Себестоимость одного изделия, руб.</t>
  </si>
  <si>
    <t>Себестоимость в месяц, руб.</t>
  </si>
  <si>
    <t>Себестоимость в год, руб.</t>
  </si>
  <si>
    <t>Количество изделий</t>
  </si>
  <si>
    <t>Сырье и материалы</t>
  </si>
  <si>
    <t>Топливо</t>
  </si>
  <si>
    <t>Энергия*</t>
  </si>
  <si>
    <t>Затраты на оплату труда (рабочие)</t>
  </si>
  <si>
    <t>Страховые взносы в ПФ РФ</t>
  </si>
  <si>
    <t>Амортизация основных средств</t>
  </si>
  <si>
    <t>Прочие затраты**</t>
  </si>
  <si>
    <t>ПРЯМАЯ СЕБЕСТОИМОСТЬ</t>
  </si>
  <si>
    <t>* Включает в себя:  Стоимость силовой электроэнергии цеха, освещение производственных и складских помещений, отопление производственных и складских помещений цеха</t>
  </si>
  <si>
    <t>** Включает в себя: Стомость услуг подрядчиков на изготовление металлоконструкций и деталей</t>
  </si>
  <si>
    <t>Затраты на оплату труда</t>
  </si>
  <si>
    <t>Аренда помещения цеха (700 м2)</t>
  </si>
  <si>
    <t>Итого производственные расходы</t>
  </si>
  <si>
    <t>ПРОИЗВОДСТВЕННАЯ СЕБЕСТОИМОСТЬ</t>
  </si>
  <si>
    <t>Расходы на логистику</t>
  </si>
  <si>
    <t>Итого коммерческие расходы</t>
  </si>
  <si>
    <t>Аренда помещения офиса (130 м2)</t>
  </si>
  <si>
    <t>ПОЛНАЯ СЕБЕСТОИМОСТЬ</t>
  </si>
  <si>
    <t>Производство</t>
  </si>
  <si>
    <t>Офис</t>
  </si>
  <si>
    <t>Ставка за 1м2 в месяц</t>
  </si>
  <si>
    <t xml:space="preserve">Затраты на оплату труда </t>
  </si>
  <si>
    <t>Итого управленческие расходы</t>
  </si>
  <si>
    <t xml:space="preserve">% </t>
  </si>
  <si>
    <t>,</t>
  </si>
  <si>
    <t>Прочие затраты</t>
  </si>
  <si>
    <t>Энергия</t>
  </si>
  <si>
    <t>ПОСТОЯННЫЕ РАСХОДЫ</t>
  </si>
  <si>
    <t>В том числе</t>
  </si>
  <si>
    <t>постоянные расходы</t>
  </si>
  <si>
    <t>переменные расходы</t>
  </si>
  <si>
    <t>Себестоимость в квартал, руб.</t>
  </si>
  <si>
    <t>переменные расходы без ФОТ и ПФ</t>
  </si>
  <si>
    <t>Итого производственные одел</t>
  </si>
  <si>
    <t>Аренда помещения офиса (110 м2)</t>
  </si>
  <si>
    <t>Аренда помещения цеха (1000 м2)</t>
  </si>
  <si>
    <t>** Включает в себя: Стоимость водоснабжения, водоотведения и вывоза ТБО</t>
  </si>
  <si>
    <t>* Включает в себя: Стоимость освещения и отопления помещений</t>
  </si>
  <si>
    <t>Аренда помещения цеха (1100 м2)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</si>
</sst>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4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right" vertical="center"/>
    </xf>
    <xf numFmtId="4" fontId="7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 wrapText="1"/>
    </xf>
    <xf numFmtId="10" fontId="8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/>
    </xf>
    <xf numFmtId="0" fontId="1" fillId="0" borderId="0" xfId="0" applyFont="1"/>
    <xf numFmtId="4" fontId="1" fillId="0" borderId="0" xfId="0" applyNumberFormat="1" applyFont="1"/>
    <xf numFmtId="0" fontId="8" fillId="0" borderId="1" xfId="0" applyFont="1" applyBorder="1" applyAlignment="1">
      <alignment horizontal="left" vertical="center"/>
    </xf>
    <xf numFmtId="10" fontId="8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10" fontId="7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horizontal="right" vertical="center" wrapText="1"/>
    </xf>
    <xf numFmtId="4" fontId="8" fillId="0" borderId="1" xfId="0" applyNumberFormat="1" applyFont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4" fontId="8" fillId="0" borderId="0" xfId="0" applyNumberFormat="1" applyFont="1" applyAlignment="1">
      <alignment horizontal="left" vertical="center"/>
    </xf>
    <xf numFmtId="10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1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 wrapText="1"/>
    </xf>
    <xf numFmtId="164" fontId="8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'Формирование себестоимости'!$F$3:$F$9</c:f>
              <c:strCache>
                <c:ptCount val="7"/>
                <c:pt idx="0">
                  <c:v>Сырье и материалы</c:v>
                </c:pt>
                <c:pt idx="1">
                  <c:v>Топливо</c:v>
                </c:pt>
                <c:pt idx="2">
                  <c:v>Энергия*</c:v>
                </c:pt>
                <c:pt idx="3">
                  <c:v>Затраты на оплату труда (рабочие)</c:v>
                </c:pt>
                <c:pt idx="4">
                  <c:v>Страховые взносы в ПФ РФ</c:v>
                </c:pt>
                <c:pt idx="5">
                  <c:v>Амортизация основных средств</c:v>
                </c:pt>
                <c:pt idx="6">
                  <c:v>Прочие затраты**</c:v>
                </c:pt>
              </c:strCache>
            </c:strRef>
          </c:cat>
          <c:val>
            <c:numRef>
              <c:f>'Формирование себестоимости'!$G$3:$G$9</c:f>
              <c:numCache>
                <c:formatCode>0.0%</c:formatCode>
                <c:ptCount val="7"/>
                <c:pt idx="0">
                  <c:v>0.64800000000000002</c:v>
                </c:pt>
                <c:pt idx="1">
                  <c:v>7.0000000000000001E-3</c:v>
                </c:pt>
                <c:pt idx="2">
                  <c:v>1.6E-2</c:v>
                </c:pt>
                <c:pt idx="3">
                  <c:v>0.16099999999999998</c:v>
                </c:pt>
                <c:pt idx="4">
                  <c:v>4.4000000000000004E-2</c:v>
                </c:pt>
                <c:pt idx="5">
                  <c:v>3.5999999999999997E-2</c:v>
                </c:pt>
                <c:pt idx="6">
                  <c:v>8.8000000000000009E-2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8-4B88-8B7B-44BE32D08D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9</xdr:row>
      <xdr:rowOff>404812</xdr:rowOff>
    </xdr:from>
    <xdr:to>
      <xdr:col>11</xdr:col>
      <xdr:colOff>390525</xdr:colOff>
      <xdr:row>20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6032F8-29D8-3F83-0E64-77E11B095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vito.ru/moskovskaya_oblast/kommercheskaya_nedvizhimost/sdam/ofis-ASgBAgICAkSwCNRWnsMNhNk5?f=ASgBAgECA0SwCNRW9BKk2gGeww2E2TkBRbYTFXsiZnJvbSI6MTMwLCJ0byI6MTMwfQ" TargetMode="External"/><Relationship Id="rId1" Type="http://schemas.openxmlformats.org/officeDocument/2006/relationships/hyperlink" Target="https://www.avito.ru/moskovskaya_oblast/kommercheskaya_nedvizhimost/sdam/proizvodstvo-ASgBAgICAkSwCNRWnsMNjNk5?f=ASgBAgECA0SwCNRW9BKk2gGeww2M2TkBRbYTFXsiZnJvbSI6NzAwLCJ0byI6NzAw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55"/>
  <sheetViews>
    <sheetView tabSelected="1" workbookViewId="0">
      <selection activeCell="F3" sqref="F3:G9"/>
    </sheetView>
  </sheetViews>
  <sheetFormatPr defaultRowHeight="12.75" x14ac:dyDescent="0.2"/>
  <cols>
    <col min="1" max="1" width="4.5703125" style="37" customWidth="1"/>
    <col min="2" max="2" width="36.42578125" style="38" customWidth="1"/>
    <col min="3" max="6" width="15.85546875" style="38" customWidth="1"/>
    <col min="7" max="7" width="21.140625" style="38" customWidth="1"/>
    <col min="8" max="8" width="9.140625" style="38" customWidth="1"/>
    <col min="9" max="16384" width="9.140625" style="38"/>
  </cols>
  <sheetData>
    <row r="1" spans="1:7" s="29" customFormat="1" ht="38.2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43"/>
    </row>
    <row r="2" spans="1:7" s="29" customFormat="1" x14ac:dyDescent="0.2">
      <c r="A2" s="8"/>
      <c r="B2" s="9" t="s">
        <v>5</v>
      </c>
      <c r="C2" s="10">
        <v>1</v>
      </c>
      <c r="D2" s="10">
        <v>5.8867388842832584</v>
      </c>
      <c r="E2" s="10">
        <v>70.640866611399105</v>
      </c>
      <c r="F2" s="44"/>
    </row>
    <row r="3" spans="1:7" s="30" customFormat="1" x14ac:dyDescent="0.25">
      <c r="A3" s="13">
        <v>1</v>
      </c>
      <c r="B3" s="22" t="s">
        <v>6</v>
      </c>
      <c r="C3" s="11">
        <v>1807519.18</v>
      </c>
      <c r="D3" s="11">
        <v>10640393.440993791</v>
      </c>
      <c r="E3" s="11">
        <v>127684721.29192549</v>
      </c>
      <c r="F3" s="22" t="s">
        <v>6</v>
      </c>
      <c r="G3" s="42">
        <f>E3/$G$10</f>
        <v>0.64800000000000002</v>
      </c>
    </row>
    <row r="4" spans="1:7" s="30" customFormat="1" x14ac:dyDescent="0.25">
      <c r="A4" s="13">
        <v>2</v>
      </c>
      <c r="B4" s="22" t="s">
        <v>7</v>
      </c>
      <c r="C4" s="11">
        <v>19525.670154320986</v>
      </c>
      <c r="D4" s="11">
        <v>114942.52173913046</v>
      </c>
      <c r="E4" s="11">
        <v>1379310.2608695654</v>
      </c>
      <c r="F4" s="22" t="s">
        <v>7</v>
      </c>
      <c r="G4" s="42">
        <f t="shared" ref="G4:G9" si="0">E4/$G$10</f>
        <v>7.0000000000000001E-3</v>
      </c>
    </row>
    <row r="5" spans="1:7" s="30" customFormat="1" x14ac:dyDescent="0.25">
      <c r="A5" s="13">
        <v>3</v>
      </c>
      <c r="B5" s="22" t="s">
        <v>8</v>
      </c>
      <c r="C5" s="11">
        <v>44630.103209876535</v>
      </c>
      <c r="D5" s="11">
        <v>262725.76397515531</v>
      </c>
      <c r="E5" s="11">
        <v>3152709.1677018637</v>
      </c>
      <c r="F5" s="22" t="s">
        <v>8</v>
      </c>
      <c r="G5" s="42">
        <f t="shared" si="0"/>
        <v>1.6E-2</v>
      </c>
    </row>
    <row r="6" spans="1:7" s="30" customFormat="1" x14ac:dyDescent="0.25">
      <c r="A6" s="13">
        <v>4</v>
      </c>
      <c r="B6" s="22" t="s">
        <v>9</v>
      </c>
      <c r="C6" s="11">
        <v>449090.41354938265</v>
      </c>
      <c r="D6" s="11">
        <v>2643678</v>
      </c>
      <c r="E6" s="11">
        <v>31724136</v>
      </c>
      <c r="F6" s="22" t="s">
        <v>9</v>
      </c>
      <c r="G6" s="42">
        <f t="shared" si="0"/>
        <v>0.16099999999999998</v>
      </c>
    </row>
    <row r="7" spans="1:7" s="30" customFormat="1" x14ac:dyDescent="0.25">
      <c r="A7" s="13">
        <v>5</v>
      </c>
      <c r="B7" s="22" t="s">
        <v>10</v>
      </c>
      <c r="C7" s="11">
        <v>122732.78382716047</v>
      </c>
      <c r="D7" s="11">
        <v>722495.85093167715</v>
      </c>
      <c r="E7" s="11">
        <v>8669950.2111801263</v>
      </c>
      <c r="F7" s="22" t="s">
        <v>10</v>
      </c>
      <c r="G7" s="42">
        <f t="shared" si="0"/>
        <v>4.4000000000000004E-2</v>
      </c>
    </row>
    <row r="8" spans="1:7" s="30" customFormat="1" x14ac:dyDescent="0.25">
      <c r="A8" s="13">
        <v>6</v>
      </c>
      <c r="B8" s="22" t="s">
        <v>11</v>
      </c>
      <c r="C8" s="11">
        <v>100417.7322222222</v>
      </c>
      <c r="D8" s="11">
        <v>591132.96894409938</v>
      </c>
      <c r="E8" s="11">
        <v>7093595.6273291931</v>
      </c>
      <c r="F8" s="22" t="s">
        <v>11</v>
      </c>
      <c r="G8" s="42">
        <f t="shared" si="0"/>
        <v>3.5999999999999997E-2</v>
      </c>
    </row>
    <row r="9" spans="1:7" s="30" customFormat="1" x14ac:dyDescent="0.25">
      <c r="A9" s="13">
        <v>7</v>
      </c>
      <c r="B9" s="22" t="s">
        <v>12</v>
      </c>
      <c r="C9" s="11">
        <v>245465.56765432094</v>
      </c>
      <c r="D9" s="11">
        <v>1444991.7018633543</v>
      </c>
      <c r="E9" s="11">
        <v>17339900.422360253</v>
      </c>
      <c r="F9" s="22" t="s">
        <v>12</v>
      </c>
      <c r="G9" s="42">
        <f t="shared" si="0"/>
        <v>8.8000000000000009E-2</v>
      </c>
    </row>
    <row r="10" spans="1:7" s="30" customFormat="1" ht="38.25" x14ac:dyDescent="0.25">
      <c r="A10" s="13">
        <v>8</v>
      </c>
      <c r="B10" s="15" t="s">
        <v>41</v>
      </c>
      <c r="C10" s="11">
        <f>D10*C4/D4</f>
        <v>89370.364533173168</v>
      </c>
      <c r="D10" s="11">
        <f>1000*'Ставки аренды'!A13</f>
        <v>526100</v>
      </c>
      <c r="E10" s="11">
        <f>D10*12</f>
        <v>6313200</v>
      </c>
      <c r="F10" s="15" t="s">
        <v>44</v>
      </c>
      <c r="G10" s="42">
        <f>E11-E10</f>
        <v>197044322.98136649</v>
      </c>
    </row>
    <row r="11" spans="1:7" s="30" customFormat="1" x14ac:dyDescent="0.25">
      <c r="A11" s="13">
        <v>9</v>
      </c>
      <c r="B11" s="9" t="s">
        <v>13</v>
      </c>
      <c r="C11" s="12">
        <f>SUM(C3:C10)</f>
        <v>2878751.815150457</v>
      </c>
      <c r="D11" s="12">
        <f t="shared" ref="D11:E11" si="1">SUM(D3:D10)</f>
        <v>16946460.24844721</v>
      </c>
      <c r="E11" s="12">
        <f t="shared" si="1"/>
        <v>203357522.98136649</v>
      </c>
      <c r="F11" s="45"/>
      <c r="G11" s="30">
        <v>100</v>
      </c>
    </row>
    <row r="12" spans="1:7" s="30" customFormat="1" x14ac:dyDescent="0.25">
      <c r="A12" s="31"/>
      <c r="B12" s="32"/>
      <c r="C12" s="12"/>
      <c r="D12" s="12"/>
      <c r="E12" s="12"/>
      <c r="F12" s="45"/>
    </row>
    <row r="13" spans="1:7" s="30" customFormat="1" ht="42.75" customHeight="1" x14ac:dyDescent="0.25">
      <c r="A13" s="31"/>
      <c r="B13" s="46" t="s">
        <v>14</v>
      </c>
      <c r="C13" s="46"/>
      <c r="D13" s="46"/>
      <c r="E13" s="46"/>
      <c r="F13" s="32"/>
    </row>
    <row r="14" spans="1:7" s="30" customFormat="1" ht="30" customHeight="1" x14ac:dyDescent="0.25">
      <c r="A14" s="31"/>
      <c r="B14" s="46" t="s">
        <v>15</v>
      </c>
      <c r="C14" s="46"/>
      <c r="D14" s="46"/>
      <c r="E14" s="46"/>
      <c r="F14" s="32"/>
    </row>
    <row r="15" spans="1:7" s="30" customFormat="1" x14ac:dyDescent="0.25">
      <c r="A15" s="31"/>
      <c r="B15" s="32"/>
      <c r="C15" s="33"/>
      <c r="D15" s="33"/>
      <c r="E15" s="33"/>
      <c r="F15" s="33"/>
    </row>
    <row r="16" spans="1:7" s="30" customFormat="1" ht="38.25" x14ac:dyDescent="0.25">
      <c r="A16" s="8" t="s">
        <v>0</v>
      </c>
      <c r="B16" s="8" t="s">
        <v>1</v>
      </c>
      <c r="C16" s="8" t="s">
        <v>2</v>
      </c>
      <c r="D16" s="8" t="s">
        <v>3</v>
      </c>
      <c r="E16" s="8" t="s">
        <v>4</v>
      </c>
      <c r="F16" s="43"/>
    </row>
    <row r="17" spans="1:6" s="30" customFormat="1" x14ac:dyDescent="0.25">
      <c r="A17" s="8"/>
      <c r="B17" s="9" t="s">
        <v>5</v>
      </c>
      <c r="C17" s="10">
        <f>C2</f>
        <v>1</v>
      </c>
      <c r="D17" s="10">
        <f t="shared" ref="D17:E17" si="2">D2</f>
        <v>5.8867388842832584</v>
      </c>
      <c r="E17" s="10">
        <f t="shared" si="2"/>
        <v>70.640866611399105</v>
      </c>
      <c r="F17" s="44"/>
    </row>
    <row r="18" spans="1:6" s="30" customFormat="1" x14ac:dyDescent="0.25">
      <c r="A18" s="13">
        <v>10</v>
      </c>
      <c r="B18" s="22" t="s">
        <v>8</v>
      </c>
      <c r="C18" s="11">
        <f>D18*C17/D17</f>
        <v>2197.8323235200328</v>
      </c>
      <c r="D18" s="11">
        <f>E18*D17/E17</f>
        <v>12938.065000000001</v>
      </c>
      <c r="E18" s="11">
        <v>155256.78</v>
      </c>
      <c r="F18" s="33"/>
    </row>
    <row r="19" spans="1:6" s="30" customFormat="1" x14ac:dyDescent="0.25">
      <c r="A19" s="13">
        <v>11</v>
      </c>
      <c r="B19" s="22" t="s">
        <v>16</v>
      </c>
      <c r="C19" s="11">
        <f>D19*C17/D17</f>
        <v>128869.65345539803</v>
      </c>
      <c r="D19" s="11">
        <v>758622</v>
      </c>
      <c r="E19" s="11">
        <f>D19*12</f>
        <v>9103464</v>
      </c>
      <c r="F19" s="33"/>
    </row>
    <row r="20" spans="1:6" s="30" customFormat="1" x14ac:dyDescent="0.25">
      <c r="A20" s="13">
        <v>12</v>
      </c>
      <c r="B20" s="22" t="s">
        <v>10</v>
      </c>
      <c r="C20" s="11">
        <f>D20*C17/D17</f>
        <v>39949.592571173394</v>
      </c>
      <c r="D20" s="11">
        <f>D19*31%</f>
        <v>235172.82</v>
      </c>
      <c r="E20" s="11">
        <f>D20*12</f>
        <v>2822073.84</v>
      </c>
      <c r="F20" s="33"/>
    </row>
    <row r="21" spans="1:6" s="30" customFormat="1" x14ac:dyDescent="0.25">
      <c r="A21" s="13">
        <v>13</v>
      </c>
      <c r="B21" s="15" t="s">
        <v>12</v>
      </c>
      <c r="C21" s="11">
        <f>D21*C17/D17</f>
        <v>79.558197253105448</v>
      </c>
      <c r="D21" s="11">
        <f>E21*D17/E17</f>
        <v>468.33833333333337</v>
      </c>
      <c r="E21" s="11">
        <v>5620.06</v>
      </c>
      <c r="F21" s="33"/>
    </row>
    <row r="22" spans="1:6" s="30" customFormat="1" x14ac:dyDescent="0.25">
      <c r="A22" s="13">
        <v>14</v>
      </c>
      <c r="B22" s="9" t="s">
        <v>39</v>
      </c>
      <c r="C22" s="12">
        <f>SUM(C18:C21)</f>
        <v>171096.63654734456</v>
      </c>
      <c r="D22" s="12">
        <f>SUM(D18:D21)</f>
        <v>1007201.2233333334</v>
      </c>
      <c r="E22" s="12">
        <f>SUM(E18:E21)</f>
        <v>12086414.68</v>
      </c>
      <c r="F22" s="45"/>
    </row>
    <row r="23" spans="1:6" s="30" customFormat="1" ht="25.5" x14ac:dyDescent="0.25">
      <c r="A23" s="13">
        <v>15</v>
      </c>
      <c r="B23" s="9" t="s">
        <v>19</v>
      </c>
      <c r="C23" s="12">
        <f>C11+C22</f>
        <v>3049848.4516978017</v>
      </c>
      <c r="D23" s="12">
        <f t="shared" ref="D23:E23" si="3">D11+D22</f>
        <v>17953661.471780542</v>
      </c>
      <c r="E23" s="12">
        <f t="shared" si="3"/>
        <v>215443937.66136649</v>
      </c>
      <c r="F23" s="45"/>
    </row>
    <row r="24" spans="1:6" s="30" customFormat="1" x14ac:dyDescent="0.25">
      <c r="A24" s="31"/>
      <c r="B24" s="32"/>
      <c r="C24" s="33"/>
      <c r="D24" s="33"/>
      <c r="E24" s="33"/>
      <c r="F24" s="33"/>
    </row>
    <row r="25" spans="1:6" s="30" customFormat="1" x14ac:dyDescent="0.25">
      <c r="A25" s="31"/>
      <c r="B25" s="34"/>
      <c r="C25" s="34"/>
      <c r="D25" s="34"/>
      <c r="E25" s="34"/>
      <c r="F25" s="34"/>
    </row>
    <row r="26" spans="1:6" s="30" customFormat="1" ht="38.25" x14ac:dyDescent="0.25">
      <c r="A26" s="8" t="s">
        <v>0</v>
      </c>
      <c r="B26" s="8" t="s">
        <v>1</v>
      </c>
      <c r="C26" s="8" t="s">
        <v>2</v>
      </c>
      <c r="D26" s="8" t="s">
        <v>3</v>
      </c>
      <c r="E26" s="8" t="s">
        <v>4</v>
      </c>
      <c r="F26" s="43"/>
    </row>
    <row r="27" spans="1:6" s="30" customFormat="1" x14ac:dyDescent="0.25">
      <c r="A27" s="8"/>
      <c r="B27" s="9" t="s">
        <v>5</v>
      </c>
      <c r="C27" s="10">
        <f>C17</f>
        <v>1</v>
      </c>
      <c r="D27" s="10">
        <f>D17</f>
        <v>5.8867388842832584</v>
      </c>
      <c r="E27" s="10">
        <f>E17</f>
        <v>70.640866611399105</v>
      </c>
      <c r="F27" s="44"/>
    </row>
    <row r="28" spans="1:6" s="30" customFormat="1" x14ac:dyDescent="0.25">
      <c r="A28" s="13">
        <v>15</v>
      </c>
      <c r="B28" s="22" t="s">
        <v>8</v>
      </c>
      <c r="C28" s="11">
        <f>D28*C27/D27</f>
        <v>967.11469262999901</v>
      </c>
      <c r="D28" s="11">
        <f>E28*D27/E27</f>
        <v>5693.1516666666666</v>
      </c>
      <c r="E28" s="11">
        <v>68317.820000000007</v>
      </c>
      <c r="F28" s="33"/>
    </row>
    <row r="29" spans="1:6" s="30" customFormat="1" x14ac:dyDescent="0.25">
      <c r="A29" s="13">
        <v>16</v>
      </c>
      <c r="B29" s="22" t="s">
        <v>16</v>
      </c>
      <c r="C29" s="11">
        <f>D29*C27/D27</f>
        <v>36122.546656133964</v>
      </c>
      <c r="D29" s="11">
        <v>212644</v>
      </c>
      <c r="E29" s="11">
        <f>D29*12</f>
        <v>2551728</v>
      </c>
      <c r="F29" s="33"/>
    </row>
    <row r="30" spans="1:6" s="30" customFormat="1" x14ac:dyDescent="0.25">
      <c r="A30" s="13">
        <v>17</v>
      </c>
      <c r="B30" s="22" t="s">
        <v>10</v>
      </c>
      <c r="C30" s="11">
        <f>D30*C27/D27</f>
        <v>11197.989463401529</v>
      </c>
      <c r="D30" s="11">
        <f>D29*31%</f>
        <v>65919.64</v>
      </c>
      <c r="E30" s="11">
        <f>D30*12</f>
        <v>791035.67999999993</v>
      </c>
      <c r="F30" s="33"/>
    </row>
    <row r="31" spans="1:6" s="30" customFormat="1" x14ac:dyDescent="0.25">
      <c r="A31" s="13">
        <v>18</v>
      </c>
      <c r="B31" s="15" t="s">
        <v>12</v>
      </c>
      <c r="C31" s="11">
        <f>D31*C27/D27</f>
        <v>31.823222276795281</v>
      </c>
      <c r="D31" s="11">
        <f>E31*D27/E27</f>
        <v>187.33499999999998</v>
      </c>
      <c r="E31" s="11">
        <v>2248.02</v>
      </c>
      <c r="F31" s="33"/>
    </row>
    <row r="32" spans="1:6" s="30" customFormat="1" x14ac:dyDescent="0.25">
      <c r="A32" s="13">
        <v>19</v>
      </c>
      <c r="B32" s="15" t="s">
        <v>20</v>
      </c>
      <c r="C32" s="11">
        <f>D32*C27/D27</f>
        <v>56180.292093976022</v>
      </c>
      <c r="D32" s="11">
        <f>E32*D27/E27</f>
        <v>330718.70999999996</v>
      </c>
      <c r="E32" s="11">
        <v>3968624.52</v>
      </c>
      <c r="F32" s="33"/>
    </row>
    <row r="33" spans="1:7" s="30" customFormat="1" x14ac:dyDescent="0.25">
      <c r="A33" s="13">
        <v>20</v>
      </c>
      <c r="B33" s="9" t="s">
        <v>21</v>
      </c>
      <c r="C33" s="12">
        <f>SUM(C28:C32)</f>
        <v>104499.76612841831</v>
      </c>
      <c r="D33" s="12">
        <f t="shared" ref="D33:E33" si="4">SUM(D28:D32)</f>
        <v>615162.83666666667</v>
      </c>
      <c r="E33" s="12">
        <f t="shared" si="4"/>
        <v>7381954.04</v>
      </c>
      <c r="F33" s="45"/>
    </row>
    <row r="34" spans="1:7" s="30" customFormat="1" x14ac:dyDescent="0.25">
      <c r="A34" s="31"/>
      <c r="B34" s="32"/>
      <c r="C34" s="33"/>
      <c r="D34" s="33"/>
      <c r="E34" s="33"/>
      <c r="F34" s="33"/>
    </row>
    <row r="35" spans="1:7" s="30" customFormat="1" x14ac:dyDescent="0.25">
      <c r="A35" s="31"/>
      <c r="B35" s="34"/>
      <c r="C35" s="34"/>
      <c r="D35" s="34"/>
      <c r="E35" s="34"/>
      <c r="F35" s="34"/>
    </row>
    <row r="36" spans="1:7" s="30" customFormat="1" ht="38.25" x14ac:dyDescent="0.25">
      <c r="A36" s="8" t="s">
        <v>0</v>
      </c>
      <c r="B36" s="8" t="s">
        <v>1</v>
      </c>
      <c r="C36" s="8" t="s">
        <v>2</v>
      </c>
      <c r="D36" s="8" t="s">
        <v>3</v>
      </c>
      <c r="E36" s="8" t="s">
        <v>4</v>
      </c>
      <c r="F36" s="43"/>
    </row>
    <row r="37" spans="1:7" s="30" customFormat="1" x14ac:dyDescent="0.25">
      <c r="A37" s="8"/>
      <c r="B37" s="9" t="s">
        <v>5</v>
      </c>
      <c r="C37" s="10">
        <f>C27</f>
        <v>1</v>
      </c>
      <c r="D37" s="10">
        <f>D27</f>
        <v>5.8867388842832584</v>
      </c>
      <c r="E37" s="10">
        <f>E27</f>
        <v>70.640866611399105</v>
      </c>
      <c r="F37" s="44"/>
    </row>
    <row r="38" spans="1:7" s="30" customFormat="1" x14ac:dyDescent="0.25">
      <c r="A38" s="13">
        <v>21</v>
      </c>
      <c r="B38" s="22" t="s">
        <v>8</v>
      </c>
      <c r="C38" s="11">
        <f>D38*C37/D37</f>
        <v>3209.9686891922879</v>
      </c>
      <c r="D38" s="11">
        <f>E38*D37/E37</f>
        <v>18896.247500000001</v>
      </c>
      <c r="E38" s="11">
        <v>226754.97</v>
      </c>
      <c r="F38" s="33"/>
      <c r="G38" s="35"/>
    </row>
    <row r="39" spans="1:7" s="30" customFormat="1" x14ac:dyDescent="0.25">
      <c r="A39" s="13">
        <v>22</v>
      </c>
      <c r="B39" s="22" t="s">
        <v>16</v>
      </c>
      <c r="C39" s="11">
        <f>D39*C37/D37</f>
        <v>190765.72310659397</v>
      </c>
      <c r="D39" s="11">
        <v>1122988</v>
      </c>
      <c r="E39" s="11">
        <f>D39*12</f>
        <v>13475856</v>
      </c>
      <c r="F39" s="33"/>
    </row>
    <row r="40" spans="1:7" s="30" customFormat="1" x14ac:dyDescent="0.25">
      <c r="A40" s="13">
        <v>23</v>
      </c>
      <c r="B40" s="22" t="s">
        <v>10</v>
      </c>
      <c r="C40" s="11">
        <f>D40*C37/D37</f>
        <v>59137.374163044129</v>
      </c>
      <c r="D40" s="11">
        <f>D39*31%</f>
        <v>348126.27999999997</v>
      </c>
      <c r="E40" s="11">
        <f>D40*12</f>
        <v>4177515.3599999994</v>
      </c>
      <c r="F40" s="33"/>
    </row>
    <row r="41" spans="1:7" s="30" customFormat="1" x14ac:dyDescent="0.25">
      <c r="A41" s="13">
        <v>24</v>
      </c>
      <c r="B41" s="15" t="s">
        <v>12</v>
      </c>
      <c r="C41" s="11">
        <f>D41*C37/D37</f>
        <v>161.8755622422498</v>
      </c>
      <c r="D41" s="11">
        <f>E41*D37/E37</f>
        <v>952.9191666666668</v>
      </c>
      <c r="E41" s="11">
        <v>11435.03</v>
      </c>
      <c r="F41" s="33"/>
    </row>
    <row r="42" spans="1:7" s="30" customFormat="1" x14ac:dyDescent="0.25">
      <c r="A42" s="13">
        <v>25</v>
      </c>
      <c r="B42" s="15" t="s">
        <v>40</v>
      </c>
      <c r="C42" s="11">
        <f>D42*C37/D37</f>
        <v>13695.018852499314</v>
      </c>
      <c r="D42" s="11">
        <f>110*'Ставки аренды'!B13</f>
        <v>80619</v>
      </c>
      <c r="E42" s="11">
        <f>D42*12</f>
        <v>967428</v>
      </c>
      <c r="F42" s="33"/>
    </row>
    <row r="43" spans="1:7" s="30" customFormat="1" x14ac:dyDescent="0.25">
      <c r="A43" s="13">
        <v>26</v>
      </c>
      <c r="B43" s="9" t="s">
        <v>28</v>
      </c>
      <c r="C43" s="12">
        <f>SUM(C38:C42)</f>
        <v>266969.96037357196</v>
      </c>
      <c r="D43" s="12">
        <f t="shared" ref="D43:E43" si="5">SUM(D38:D42)</f>
        <v>1571582.4466666668</v>
      </c>
      <c r="E43" s="12">
        <f t="shared" si="5"/>
        <v>18858989.359999999</v>
      </c>
      <c r="F43" s="45"/>
    </row>
    <row r="44" spans="1:7" s="30" customFormat="1" x14ac:dyDescent="0.25">
      <c r="A44" s="13"/>
      <c r="B44" s="9"/>
      <c r="C44" s="12"/>
      <c r="D44" s="12"/>
      <c r="E44" s="12"/>
      <c r="F44" s="45"/>
    </row>
    <row r="45" spans="1:7" s="30" customFormat="1" x14ac:dyDescent="0.25">
      <c r="A45" s="13">
        <v>27</v>
      </c>
      <c r="B45" s="9" t="s">
        <v>23</v>
      </c>
      <c r="C45" s="12">
        <f>C23+C33+C43</f>
        <v>3421318.1781997923</v>
      </c>
      <c r="D45" s="12">
        <f>D23+D33+D43</f>
        <v>20140406.755113874</v>
      </c>
      <c r="E45" s="12">
        <f>E23+E33+E43</f>
        <v>241684881.0613665</v>
      </c>
      <c r="F45" s="45"/>
    </row>
    <row r="46" spans="1:7" s="30" customFormat="1" x14ac:dyDescent="0.25">
      <c r="A46" s="31"/>
      <c r="B46" s="34"/>
      <c r="C46" s="34"/>
      <c r="D46" s="34"/>
      <c r="E46" s="34"/>
      <c r="F46" s="34"/>
    </row>
    <row r="47" spans="1:7" s="30" customFormat="1" ht="12.75" customHeight="1" x14ac:dyDescent="0.25">
      <c r="A47" s="31"/>
      <c r="B47" s="46" t="s">
        <v>43</v>
      </c>
      <c r="C47" s="46"/>
      <c r="D47" s="46"/>
      <c r="E47" s="46"/>
      <c r="F47" s="32"/>
    </row>
    <row r="48" spans="1:7" s="30" customFormat="1" ht="12.75" customHeight="1" x14ac:dyDescent="0.25">
      <c r="A48" s="31"/>
      <c r="B48" s="46" t="s">
        <v>42</v>
      </c>
      <c r="C48" s="46"/>
      <c r="D48" s="46"/>
      <c r="E48" s="46"/>
      <c r="F48" s="32"/>
    </row>
    <row r="49" spans="1:6" s="30" customFormat="1" x14ac:dyDescent="0.25">
      <c r="A49" s="31"/>
      <c r="B49" s="34"/>
      <c r="C49" s="34"/>
      <c r="D49" s="34"/>
      <c r="E49" s="36"/>
      <c r="F49" s="36"/>
    </row>
    <row r="50" spans="1:6" s="30" customFormat="1" x14ac:dyDescent="0.25">
      <c r="A50" s="31"/>
      <c r="B50" s="36"/>
      <c r="C50" s="34"/>
      <c r="D50" s="34"/>
      <c r="E50" s="34"/>
      <c r="F50" s="34"/>
    </row>
    <row r="51" spans="1:6" s="30" customFormat="1" x14ac:dyDescent="0.25">
      <c r="A51" s="31"/>
      <c r="B51" s="34"/>
      <c r="C51" s="34"/>
      <c r="D51" s="34"/>
      <c r="E51" s="34"/>
      <c r="F51" s="34"/>
    </row>
    <row r="52" spans="1:6" s="30" customFormat="1" x14ac:dyDescent="0.25">
      <c r="A52" s="31"/>
      <c r="B52" s="34"/>
      <c r="C52" s="34"/>
      <c r="D52" s="41"/>
      <c r="E52" s="34"/>
      <c r="F52" s="34"/>
    </row>
    <row r="53" spans="1:6" s="30" customFormat="1" x14ac:dyDescent="0.25">
      <c r="A53" s="31"/>
      <c r="B53" s="34"/>
      <c r="C53" s="34"/>
      <c r="D53" s="34"/>
      <c r="E53" s="34"/>
      <c r="F53" s="34"/>
    </row>
    <row r="54" spans="1:6" s="30" customFormat="1" x14ac:dyDescent="0.25">
      <c r="A54" s="31"/>
      <c r="B54" s="34"/>
      <c r="C54" s="34"/>
      <c r="D54" s="34"/>
      <c r="E54" s="34"/>
      <c r="F54" s="34"/>
    </row>
    <row r="55" spans="1:6" s="30" customFormat="1" x14ac:dyDescent="0.25">
      <c r="A55" s="31"/>
      <c r="B55" s="34"/>
      <c r="C55" s="34"/>
      <c r="D55" s="34"/>
      <c r="E55" s="34"/>
      <c r="F55" s="34"/>
    </row>
  </sheetData>
  <mergeCells count="4">
    <mergeCell ref="B47:E47"/>
    <mergeCell ref="B48:E48"/>
    <mergeCell ref="B13:E13"/>
    <mergeCell ref="B14:E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B005-BDAF-4FE7-8236-8404156A1BFA}">
  <sheetPr>
    <tabColor rgb="FF00B050"/>
  </sheetPr>
  <dimension ref="A1:E11"/>
  <sheetViews>
    <sheetView workbookViewId="0">
      <selection activeCell="C2" sqref="C2:E2"/>
    </sheetView>
  </sheetViews>
  <sheetFormatPr defaultRowHeight="12.75" x14ac:dyDescent="0.2"/>
  <cols>
    <col min="1" max="1" width="4" style="38" customWidth="1"/>
    <col min="2" max="2" width="36.42578125" style="38" customWidth="1"/>
    <col min="3" max="5" width="15.85546875" style="38" customWidth="1"/>
    <col min="6" max="6" width="9.140625" style="38"/>
    <col min="7" max="7" width="19.7109375" style="38" customWidth="1"/>
    <col min="8" max="8" width="16.42578125" style="38" customWidth="1"/>
    <col min="9" max="16384" width="9.140625" style="38"/>
  </cols>
  <sheetData>
    <row r="1" spans="1:5" s="29" customFormat="1" ht="38.2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s="29" customFormat="1" x14ac:dyDescent="0.2">
      <c r="A2" s="8"/>
      <c r="B2" s="9" t="s">
        <v>5</v>
      </c>
      <c r="C2" s="10">
        <f>'Формирование себестоимости'!C37</f>
        <v>1</v>
      </c>
      <c r="D2" s="10">
        <f>'Формирование себестоимости'!D37</f>
        <v>5.8867388842832584</v>
      </c>
      <c r="E2" s="10">
        <f>'Формирование себестоимости'!E37</f>
        <v>70.640866611399105</v>
      </c>
    </row>
    <row r="3" spans="1:5" s="30" customFormat="1" x14ac:dyDescent="0.25">
      <c r="A3" s="13">
        <v>1</v>
      </c>
      <c r="B3" s="22" t="s">
        <v>32</v>
      </c>
      <c r="C3" s="11">
        <f>'Формирование себестоимости'!C18+'Формирование себестоимости'!C28+'Формирование себестоимости'!C38</f>
        <v>6374.9157053423196</v>
      </c>
      <c r="D3" s="11">
        <f>'Формирование себестоимости'!D18+'Формирование себестоимости'!D28+'Формирование себестоимости'!D38</f>
        <v>37527.464166666672</v>
      </c>
      <c r="E3" s="11">
        <f>'Формирование себестоимости'!E18+'Формирование себестоимости'!E28+'Формирование себестоимости'!E38</f>
        <v>450329.57</v>
      </c>
    </row>
    <row r="4" spans="1:5" s="30" customFormat="1" x14ac:dyDescent="0.25">
      <c r="A4" s="13">
        <v>2</v>
      </c>
      <c r="B4" s="22" t="s">
        <v>16</v>
      </c>
      <c r="C4" s="11">
        <f>'Формирование себестоимости'!C39+'Формирование себестоимости'!C29+'Формирование себестоимости'!C19</f>
        <v>355757.92321812594</v>
      </c>
      <c r="D4" s="11">
        <f>'Формирование себестоимости'!D39+'Формирование себестоимости'!D29+'Формирование себестоимости'!D19</f>
        <v>2094254</v>
      </c>
      <c r="E4" s="11">
        <f>'Формирование себестоимости'!E39+'Формирование себестоимости'!E29+'Формирование себестоимости'!E19</f>
        <v>25131048</v>
      </c>
    </row>
    <row r="5" spans="1:5" s="30" customFormat="1" x14ac:dyDescent="0.25">
      <c r="A5" s="13">
        <v>3</v>
      </c>
      <c r="B5" s="22" t="s">
        <v>10</v>
      </c>
      <c r="C5" s="11">
        <f>'Формирование себестоимости'!C40+'Формирование себестоимости'!C30+'Формирование себестоимости'!C20</f>
        <v>110284.95619761906</v>
      </c>
      <c r="D5" s="11">
        <f>'Формирование себестоимости'!D40+'Формирование себестоимости'!D30+'Формирование себестоимости'!D20</f>
        <v>649218.74</v>
      </c>
      <c r="E5" s="11">
        <f>'Формирование себестоимости'!E40+'Формирование себестоимости'!E30+'Формирование себестоимости'!E20</f>
        <v>7790624.879999999</v>
      </c>
    </row>
    <row r="6" spans="1:5" s="30" customFormat="1" x14ac:dyDescent="0.25">
      <c r="A6" s="13">
        <v>4</v>
      </c>
      <c r="B6" s="22" t="s">
        <v>31</v>
      </c>
      <c r="C6" s="11">
        <f>'Формирование себестоимости'!C41+'Формирование себестоимости'!C31+'Формирование себестоимости'!C21</f>
        <v>273.25698177215054</v>
      </c>
      <c r="D6" s="11">
        <f>'Формирование себестоимости'!D41+'Формирование себестоимости'!D31+'Формирование себестоимости'!D21</f>
        <v>1608.5925000000002</v>
      </c>
      <c r="E6" s="11">
        <f>'Формирование себестоимости'!E41+'Формирование себестоимости'!E31+'Формирование себестоимости'!E21</f>
        <v>19303.11</v>
      </c>
    </row>
    <row r="7" spans="1:5" s="30" customFormat="1" x14ac:dyDescent="0.25">
      <c r="A7" s="13">
        <v>5</v>
      </c>
      <c r="B7" s="15" t="s">
        <v>41</v>
      </c>
      <c r="C7" s="11">
        <f>'Формирование себестоимости'!C10</f>
        <v>89370.364533173168</v>
      </c>
      <c r="D7" s="11">
        <f>'Формирование себестоимости'!D10</f>
        <v>526100</v>
      </c>
      <c r="E7" s="11">
        <f>'Формирование себестоимости'!E10</f>
        <v>6313200</v>
      </c>
    </row>
    <row r="8" spans="1:5" s="30" customFormat="1" x14ac:dyDescent="0.25">
      <c r="A8" s="13">
        <v>6</v>
      </c>
      <c r="B8" s="15" t="s">
        <v>40</v>
      </c>
      <c r="C8" s="11">
        <f>'Формирование себестоимости'!C42</f>
        <v>13695.018852499314</v>
      </c>
      <c r="D8" s="11">
        <f>'Формирование себестоимости'!D42</f>
        <v>80619</v>
      </c>
      <c r="E8" s="11">
        <f>'Формирование себестоимости'!E42</f>
        <v>967428</v>
      </c>
    </row>
    <row r="9" spans="1:5" s="30" customFormat="1" x14ac:dyDescent="0.25">
      <c r="A9" s="13">
        <v>7</v>
      </c>
      <c r="B9" s="9" t="s">
        <v>33</v>
      </c>
      <c r="C9" s="12">
        <f>SUM(C3:C8)</f>
        <v>575756.43548853195</v>
      </c>
      <c r="D9" s="12">
        <f>SUM(D3:D8)</f>
        <v>3389327.7966666664</v>
      </c>
      <c r="E9" s="12">
        <f>SUM(E3:E8)</f>
        <v>40671933.560000002</v>
      </c>
    </row>
    <row r="10" spans="1:5" s="30" customFormat="1" x14ac:dyDescent="0.25">
      <c r="A10" s="31"/>
      <c r="B10" s="32"/>
      <c r="C10" s="33"/>
      <c r="D10" s="33"/>
      <c r="E10" s="33"/>
    </row>
    <row r="11" spans="1:5" x14ac:dyDescent="0.2">
      <c r="C11" s="39"/>
      <c r="D11" s="39"/>
      <c r="E1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B348-C0F3-4C4F-BF3B-19245F556A7B}">
  <sheetPr>
    <tabColor rgb="FF00B050"/>
  </sheetPr>
  <dimension ref="A1:H17"/>
  <sheetViews>
    <sheetView workbookViewId="0">
      <selection activeCell="E3" sqref="E3"/>
    </sheetView>
  </sheetViews>
  <sheetFormatPr defaultRowHeight="12.75" x14ac:dyDescent="0.2"/>
  <cols>
    <col min="1" max="1" width="4" style="20" customWidth="1"/>
    <col min="2" max="2" width="36.42578125" style="20" customWidth="1"/>
    <col min="3" max="5" width="17.5703125" style="20" customWidth="1"/>
    <col min="6" max="6" width="8.42578125" style="20" customWidth="1"/>
    <col min="7" max="7" width="20" style="20" customWidth="1"/>
    <col min="8" max="8" width="17.7109375" style="20" customWidth="1"/>
    <col min="9" max="16384" width="9.140625" style="20"/>
  </cols>
  <sheetData>
    <row r="1" spans="1:8" s="1" customFormat="1" ht="38.2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8" s="1" customFormat="1" x14ac:dyDescent="0.2">
      <c r="A2" s="8"/>
      <c r="B2" s="9" t="s">
        <v>5</v>
      </c>
      <c r="C2" s="10">
        <f>'В т. ч. постоянные'!C2</f>
        <v>1</v>
      </c>
      <c r="D2" s="10">
        <f>'В т. ч. постоянные'!D2</f>
        <v>5.8867388842832584</v>
      </c>
      <c r="E2" s="10">
        <f>'В т. ч. постоянные'!E2</f>
        <v>70.640866611399105</v>
      </c>
    </row>
    <row r="3" spans="1:8" s="2" customFormat="1" x14ac:dyDescent="0.25">
      <c r="A3" s="13">
        <v>1</v>
      </c>
      <c r="B3" s="22" t="s">
        <v>6</v>
      </c>
      <c r="C3" s="11">
        <f>'Формирование себестоимости'!C3</f>
        <v>1807519.18</v>
      </c>
      <c r="D3" s="11">
        <f>'Формирование себестоимости'!D3</f>
        <v>10640393.440993791</v>
      </c>
      <c r="E3" s="11">
        <f>'Формирование себестоимости'!E3</f>
        <v>127684721.29192549</v>
      </c>
    </row>
    <row r="4" spans="1:8" s="2" customFormat="1" x14ac:dyDescent="0.25">
      <c r="A4" s="13">
        <v>3</v>
      </c>
      <c r="B4" s="22" t="s">
        <v>7</v>
      </c>
      <c r="C4" s="11">
        <f>'Формирование себестоимости'!C4</f>
        <v>19525.670154320986</v>
      </c>
      <c r="D4" s="11">
        <f>'Формирование себестоимости'!D4</f>
        <v>114942.52173913046</v>
      </c>
      <c r="E4" s="11">
        <f>'Формирование себестоимости'!E4</f>
        <v>1379310.2608695654</v>
      </c>
    </row>
    <row r="5" spans="1:8" s="2" customFormat="1" x14ac:dyDescent="0.25">
      <c r="A5" s="13">
        <v>4</v>
      </c>
      <c r="B5" s="22" t="s">
        <v>8</v>
      </c>
      <c r="C5" s="11">
        <f>'Формирование себестоимости'!C5+'Формирование себестоимости'!C18+'Формирование себестоимости'!C28+'Формирование себестоимости'!C38</f>
        <v>51005.018915218854</v>
      </c>
      <c r="D5" s="11">
        <f>'Формирование себестоимости'!D5+'Формирование себестоимости'!D18+'Формирование себестоимости'!D28+'Формирование себестоимости'!D38</f>
        <v>300253.22814182198</v>
      </c>
      <c r="E5" s="11">
        <f>'Формирование себестоимости'!E5+'Формирование себестоимости'!E18+'Формирование себестоимости'!E28+'Формирование себестоимости'!E38</f>
        <v>3603038.7377018635</v>
      </c>
    </row>
    <row r="6" spans="1:8" s="2" customFormat="1" x14ac:dyDescent="0.25">
      <c r="A6" s="13">
        <v>5</v>
      </c>
      <c r="B6" s="22" t="s">
        <v>27</v>
      </c>
      <c r="C6" s="11">
        <f>'Формирование себестоимости'!C6+'Формирование себестоимости'!C19+'Формирование себестоимости'!C29+'Формирование себестоимости'!C39</f>
        <v>804848.33676750853</v>
      </c>
      <c r="D6" s="11">
        <f>'Формирование себестоимости'!D6+'Формирование себестоимости'!D19+'Формирование себестоимости'!D29+'Формирование себестоимости'!D39</f>
        <v>4737932</v>
      </c>
      <c r="E6" s="11">
        <f>'Формирование себестоимости'!E6+'Формирование себестоимости'!E19+'Формирование себестоимости'!E29+'Формирование себестоимости'!E39</f>
        <v>56855184</v>
      </c>
      <c r="H6" s="40"/>
    </row>
    <row r="7" spans="1:8" s="2" customFormat="1" x14ac:dyDescent="0.25">
      <c r="A7" s="13">
        <v>6</v>
      </c>
      <c r="B7" s="22" t="s">
        <v>10</v>
      </c>
      <c r="C7" s="11">
        <f>'Формирование себестоимости'!C7+'Формирование себестоимости'!C20+'Формирование себестоимости'!C30+'Формирование себестоимости'!C40</f>
        <v>233017.74002477952</v>
      </c>
      <c r="D7" s="11">
        <f>'Формирование себестоимости'!D7+'Формирование себестоимости'!D20+'Формирование себестоимости'!D30+'Формирование себестоимости'!D40</f>
        <v>1371714.590931677</v>
      </c>
      <c r="E7" s="11">
        <f>'Формирование себестоимости'!E7+'Формирование себестоимости'!E20+'Формирование себестоимости'!E30+'Формирование себестоимости'!E40</f>
        <v>16460575.091180125</v>
      </c>
    </row>
    <row r="8" spans="1:8" s="2" customFormat="1" x14ac:dyDescent="0.25">
      <c r="A8" s="13">
        <v>7</v>
      </c>
      <c r="B8" s="22" t="s">
        <v>11</v>
      </c>
      <c r="C8" s="11">
        <f>'Формирование себестоимости'!C8</f>
        <v>100417.7322222222</v>
      </c>
      <c r="D8" s="11">
        <f>'Формирование себестоимости'!D8</f>
        <v>591132.96894409938</v>
      </c>
      <c r="E8" s="11">
        <f>'Формирование себестоимости'!E8</f>
        <v>7093595.6273291931</v>
      </c>
    </row>
    <row r="9" spans="1:8" s="2" customFormat="1" x14ac:dyDescent="0.25">
      <c r="A9" s="13">
        <v>8</v>
      </c>
      <c r="B9" s="22" t="s">
        <v>12</v>
      </c>
      <c r="C9" s="11">
        <f>'Формирование себестоимости'!C9+'Формирование себестоимости'!C21+'Формирование себестоимости'!C31+'Формирование себестоимости'!C41</f>
        <v>245738.82463609308</v>
      </c>
      <c r="D9" s="11">
        <f>'Формирование себестоимости'!D9+'Формирование себестоимости'!D21+'Формирование себестоимости'!D31+'Формирование себестоимости'!D41</f>
        <v>1446600.2943633543</v>
      </c>
      <c r="E9" s="11">
        <f>'Формирование себестоимости'!E9+'Формирование себестоимости'!E21+'Формирование себестоимости'!E31+'Формирование себестоимости'!E41</f>
        <v>17359203.532360252</v>
      </c>
    </row>
    <row r="10" spans="1:8" s="2" customFormat="1" x14ac:dyDescent="0.25">
      <c r="A10" s="13">
        <v>9</v>
      </c>
      <c r="B10" s="15" t="s">
        <v>17</v>
      </c>
      <c r="C10" s="11">
        <f>'Формирование себестоимости'!C10</f>
        <v>89370.364533173168</v>
      </c>
      <c r="D10" s="11">
        <f>'Формирование себестоимости'!D10</f>
        <v>526100</v>
      </c>
      <c r="E10" s="11">
        <f>'Формирование себестоимости'!E10</f>
        <v>6313200</v>
      </c>
    </row>
    <row r="11" spans="1:8" s="2" customFormat="1" x14ac:dyDescent="0.25">
      <c r="A11" s="13">
        <v>10</v>
      </c>
      <c r="B11" s="15" t="s">
        <v>20</v>
      </c>
      <c r="C11" s="11">
        <f>'Формирование себестоимости'!C32</f>
        <v>56180.292093976022</v>
      </c>
      <c r="D11" s="11">
        <f>'Формирование себестоимости'!D32</f>
        <v>330718.70999999996</v>
      </c>
      <c r="E11" s="11">
        <f>'Формирование себестоимости'!E32</f>
        <v>3968624.52</v>
      </c>
    </row>
    <row r="12" spans="1:8" s="2" customFormat="1" x14ac:dyDescent="0.25">
      <c r="A12" s="13">
        <v>11</v>
      </c>
      <c r="B12" s="15" t="s">
        <v>22</v>
      </c>
      <c r="C12" s="11">
        <f>'Формирование себестоимости'!C42</f>
        <v>13695.018852499314</v>
      </c>
      <c r="D12" s="11">
        <f>'Формирование себестоимости'!D42</f>
        <v>80619</v>
      </c>
      <c r="E12" s="11">
        <f>'Формирование себестоимости'!E42</f>
        <v>967428</v>
      </c>
    </row>
    <row r="13" spans="1:8" s="2" customFormat="1" x14ac:dyDescent="0.25">
      <c r="A13" s="13">
        <v>12</v>
      </c>
      <c r="B13" s="9" t="s">
        <v>23</v>
      </c>
      <c r="C13" s="12">
        <f>SUM(C3:C12)</f>
        <v>3421318.1781997913</v>
      </c>
      <c r="D13" s="12">
        <f>SUM(D3:D12)</f>
        <v>20140406.755113874</v>
      </c>
      <c r="E13" s="12">
        <f>SUM(E3:E12)</f>
        <v>241684881.0613665</v>
      </c>
    </row>
    <row r="14" spans="1:8" s="2" customFormat="1" x14ac:dyDescent="0.25">
      <c r="A14" s="13"/>
      <c r="B14" s="15" t="s">
        <v>34</v>
      </c>
      <c r="C14" s="11"/>
      <c r="D14" s="11"/>
      <c r="E14" s="11"/>
    </row>
    <row r="15" spans="1:8" x14ac:dyDescent="0.2">
      <c r="A15" s="13">
        <v>13</v>
      </c>
      <c r="B15" s="27" t="s">
        <v>35</v>
      </c>
      <c r="C15" s="28">
        <f>'В т. ч. постоянные'!C9</f>
        <v>575756.43548853195</v>
      </c>
      <c r="D15" s="28">
        <f>'В т. ч. постоянные'!D9</f>
        <v>3389327.7966666664</v>
      </c>
      <c r="E15" s="28">
        <f>'В т. ч. постоянные'!E9</f>
        <v>40671933.560000002</v>
      </c>
      <c r="G15" s="21"/>
    </row>
    <row r="16" spans="1:8" x14ac:dyDescent="0.2">
      <c r="A16" s="13">
        <v>14</v>
      </c>
      <c r="B16" s="27" t="s">
        <v>36</v>
      </c>
      <c r="C16" s="28">
        <f>C13-C15</f>
        <v>2845561.7427112595</v>
      </c>
      <c r="D16" s="28">
        <f t="shared" ref="D16:E16" si="0">D13-D15</f>
        <v>16751078.958447207</v>
      </c>
      <c r="E16" s="28">
        <f t="shared" si="0"/>
        <v>201012947.5013665</v>
      </c>
    </row>
    <row r="17" spans="1:5" x14ac:dyDescent="0.2">
      <c r="A17" s="38"/>
      <c r="B17" s="38"/>
      <c r="C17" s="38"/>
      <c r="D17" s="38"/>
      <c r="E1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E847-8747-4241-934B-631104248562}">
  <sheetPr>
    <tabColor rgb="FF00B050"/>
  </sheetPr>
  <dimension ref="A1:D24"/>
  <sheetViews>
    <sheetView workbookViewId="0">
      <selection sqref="A1:D24"/>
    </sheetView>
  </sheetViews>
  <sheetFormatPr defaultRowHeight="12.75" x14ac:dyDescent="0.2"/>
  <cols>
    <col min="1" max="1" width="4" style="20" customWidth="1"/>
    <col min="2" max="2" width="44.28515625" style="20" customWidth="1"/>
    <col min="3" max="3" width="17.7109375" style="20" customWidth="1"/>
    <col min="4" max="4" width="15.85546875" style="20" customWidth="1"/>
    <col min="5" max="16384" width="9.140625" style="20"/>
  </cols>
  <sheetData>
    <row r="1" spans="1:4" s="1" customFormat="1" ht="25.5" x14ac:dyDescent="0.2">
      <c r="A1" s="8" t="s">
        <v>0</v>
      </c>
      <c r="B1" s="8" t="s">
        <v>1</v>
      </c>
      <c r="C1" s="8" t="s">
        <v>4</v>
      </c>
      <c r="D1" s="8" t="s">
        <v>29</v>
      </c>
    </row>
    <row r="2" spans="1:4" s="2" customFormat="1" ht="15" customHeight="1" x14ac:dyDescent="0.25">
      <c r="A2" s="13">
        <v>1</v>
      </c>
      <c r="B2" s="9" t="s">
        <v>13</v>
      </c>
      <c r="C2" s="12">
        <f>'Формирование себестоимости'!E11</f>
        <v>203357522.98136649</v>
      </c>
      <c r="D2" s="14">
        <f>C2/$C$7</f>
        <v>0.84141598799360451</v>
      </c>
    </row>
    <row r="3" spans="1:4" s="2" customFormat="1" ht="15" customHeight="1" x14ac:dyDescent="0.25">
      <c r="A3" s="13">
        <v>4</v>
      </c>
      <c r="B3" s="15" t="s">
        <v>18</v>
      </c>
      <c r="C3" s="11">
        <f>'Формирование себестоимости'!E22</f>
        <v>12086414.68</v>
      </c>
      <c r="D3" s="16">
        <f>C3/$C$7</f>
        <v>5.0008981227630554E-2</v>
      </c>
    </row>
    <row r="4" spans="1:4" s="2" customFormat="1" ht="15" customHeight="1" x14ac:dyDescent="0.25">
      <c r="A4" s="13">
        <v>5</v>
      </c>
      <c r="B4" s="9" t="s">
        <v>19</v>
      </c>
      <c r="C4" s="12">
        <f>C2+C3</f>
        <v>215443937.66136649</v>
      </c>
      <c r="D4" s="14">
        <f>C4/$C$7</f>
        <v>0.89142496922123504</v>
      </c>
    </row>
    <row r="5" spans="1:4" s="2" customFormat="1" ht="15" customHeight="1" x14ac:dyDescent="0.25">
      <c r="A5" s="13">
        <v>6</v>
      </c>
      <c r="B5" s="15" t="s">
        <v>21</v>
      </c>
      <c r="C5" s="11">
        <f>'Формирование себестоимости'!E33</f>
        <v>7381954.04</v>
      </c>
      <c r="D5" s="16">
        <f>C5/$C$7</f>
        <v>3.0543714640245283E-2</v>
      </c>
    </row>
    <row r="6" spans="1:4" s="2" customFormat="1" ht="15" customHeight="1" x14ac:dyDescent="0.25">
      <c r="A6" s="13">
        <v>7</v>
      </c>
      <c r="B6" s="15" t="s">
        <v>28</v>
      </c>
      <c r="C6" s="11">
        <f>'Формирование себестоимости'!E43</f>
        <v>18858989.359999999</v>
      </c>
      <c r="D6" s="16">
        <f>C6/$C$7</f>
        <v>7.8031316138519602E-2</v>
      </c>
    </row>
    <row r="7" spans="1:4" s="2" customFormat="1" ht="15" customHeight="1" x14ac:dyDescent="0.25">
      <c r="A7" s="13">
        <v>8</v>
      </c>
      <c r="B7" s="9" t="s">
        <v>23</v>
      </c>
      <c r="C7" s="12">
        <f>C4+C5+C6</f>
        <v>241684881.0613665</v>
      </c>
      <c r="D7" s="14">
        <v>1</v>
      </c>
    </row>
    <row r="8" spans="1:4" s="2" customFormat="1" x14ac:dyDescent="0.25">
      <c r="A8" s="17"/>
      <c r="B8" s="18"/>
      <c r="C8" s="19"/>
      <c r="D8" s="19" t="s">
        <v>30</v>
      </c>
    </row>
    <row r="9" spans="1:4" x14ac:dyDescent="0.2">
      <c r="C9" s="21"/>
    </row>
    <row r="10" spans="1:4" ht="25.5" x14ac:dyDescent="0.2">
      <c r="A10" s="8" t="s">
        <v>0</v>
      </c>
      <c r="B10" s="8" t="s">
        <v>1</v>
      </c>
      <c r="C10" s="8" t="s">
        <v>4</v>
      </c>
      <c r="D10" s="8" t="s">
        <v>29</v>
      </c>
    </row>
    <row r="11" spans="1:4" x14ac:dyDescent="0.2">
      <c r="A11" s="13">
        <v>1</v>
      </c>
      <c r="B11" s="22" t="s">
        <v>6</v>
      </c>
      <c r="C11" s="11">
        <f>'Сводная себестоимость'!E3</f>
        <v>127684721.29192549</v>
      </c>
      <c r="D11" s="23">
        <f t="shared" ref="D11:D20" si="0">C11/$C$21</f>
        <v>0.52831075212977396</v>
      </c>
    </row>
    <row r="12" spans="1:4" x14ac:dyDescent="0.2">
      <c r="A12" s="13">
        <v>3</v>
      </c>
      <c r="B12" s="22" t="s">
        <v>7</v>
      </c>
      <c r="C12" s="11">
        <f>'Сводная себестоимость'!E4</f>
        <v>1379310.2608695654</v>
      </c>
      <c r="D12" s="23">
        <f t="shared" si="0"/>
        <v>5.7070605939944716E-3</v>
      </c>
    </row>
    <row r="13" spans="1:4" x14ac:dyDescent="0.2">
      <c r="A13" s="13">
        <v>4</v>
      </c>
      <c r="B13" s="22" t="s">
        <v>32</v>
      </c>
      <c r="C13" s="11">
        <f>'Сводная себестоимость'!E5</f>
        <v>3603038.7377018635</v>
      </c>
      <c r="D13" s="23">
        <f t="shared" si="0"/>
        <v>1.4908002196409679E-2</v>
      </c>
    </row>
    <row r="14" spans="1:4" x14ac:dyDescent="0.2">
      <c r="A14" s="13">
        <v>5</v>
      </c>
      <c r="B14" s="22" t="s">
        <v>27</v>
      </c>
      <c r="C14" s="11">
        <f>'Сводная себестоимость'!E6</f>
        <v>56855184</v>
      </c>
      <c r="D14" s="23">
        <f t="shared" si="0"/>
        <v>0.235245099943028</v>
      </c>
    </row>
    <row r="15" spans="1:4" x14ac:dyDescent="0.2">
      <c r="A15" s="13">
        <v>6</v>
      </c>
      <c r="B15" s="22" t="s">
        <v>10</v>
      </c>
      <c r="C15" s="11">
        <f>'Сводная себестоимость'!E7</f>
        <v>16460575.091180125</v>
      </c>
      <c r="D15" s="23">
        <f t="shared" si="0"/>
        <v>6.8107591252266217E-2</v>
      </c>
    </row>
    <row r="16" spans="1:4" x14ac:dyDescent="0.2">
      <c r="A16" s="13">
        <v>7</v>
      </c>
      <c r="B16" s="22" t="s">
        <v>11</v>
      </c>
      <c r="C16" s="11">
        <f>'Сводная себестоимость'!E8</f>
        <v>7093595.6273291931</v>
      </c>
      <c r="D16" s="23">
        <f t="shared" si="0"/>
        <v>2.9350597340542992E-2</v>
      </c>
    </row>
    <row r="17" spans="1:4" x14ac:dyDescent="0.2">
      <c r="A17" s="13">
        <v>8</v>
      </c>
      <c r="B17" s="22" t="s">
        <v>31</v>
      </c>
      <c r="C17" s="11">
        <f>'Сводная себестоимость'!E9</f>
        <v>17359203.532360252</v>
      </c>
      <c r="D17" s="23">
        <f t="shared" si="0"/>
        <v>7.1825773528434139E-2</v>
      </c>
    </row>
    <row r="18" spans="1:4" x14ac:dyDescent="0.2">
      <c r="A18" s="13">
        <v>9</v>
      </c>
      <c r="B18" s="15" t="s">
        <v>17</v>
      </c>
      <c r="C18" s="11">
        <f>'Сводная себестоимость'!E10</f>
        <v>6313200</v>
      </c>
      <c r="D18" s="23">
        <f t="shared" si="0"/>
        <v>2.6121617422965766E-2</v>
      </c>
    </row>
    <row r="19" spans="1:4" x14ac:dyDescent="0.2">
      <c r="A19" s="13">
        <v>10</v>
      </c>
      <c r="B19" s="15" t="s">
        <v>20</v>
      </c>
      <c r="C19" s="11">
        <f>'Сводная себестоимость'!E11</f>
        <v>3968624.52</v>
      </c>
      <c r="D19" s="23">
        <f t="shared" si="0"/>
        <v>1.6420656942096108E-2</v>
      </c>
    </row>
    <row r="20" spans="1:4" x14ac:dyDescent="0.2">
      <c r="A20" s="13">
        <v>11</v>
      </c>
      <c r="B20" s="15" t="s">
        <v>22</v>
      </c>
      <c r="C20" s="11">
        <f>'Сводная себестоимость'!E12</f>
        <v>967428</v>
      </c>
      <c r="D20" s="23">
        <f t="shared" si="0"/>
        <v>4.0028486504886471E-3</v>
      </c>
    </row>
    <row r="21" spans="1:4" x14ac:dyDescent="0.2">
      <c r="A21" s="24">
        <v>12</v>
      </c>
      <c r="B21" s="9" t="s">
        <v>23</v>
      </c>
      <c r="C21" s="12">
        <f>SUM(C11:C20)</f>
        <v>241684881.0613665</v>
      </c>
      <c r="D21" s="25">
        <v>1</v>
      </c>
    </row>
    <row r="22" spans="1:4" x14ac:dyDescent="0.2">
      <c r="A22" s="13"/>
      <c r="B22" s="15" t="s">
        <v>34</v>
      </c>
      <c r="C22" s="26"/>
      <c r="D22" s="26"/>
    </row>
    <row r="23" spans="1:4" x14ac:dyDescent="0.2">
      <c r="A23" s="13">
        <v>13</v>
      </c>
      <c r="B23" s="27" t="s">
        <v>35</v>
      </c>
      <c r="C23" s="28">
        <f>'В т. ч. постоянные'!E9</f>
        <v>40671933.560000002</v>
      </c>
      <c r="D23" s="23">
        <f>C23/C21</f>
        <v>0.16828497248726512</v>
      </c>
    </row>
    <row r="24" spans="1:4" x14ac:dyDescent="0.2">
      <c r="A24" s="13">
        <v>14</v>
      </c>
      <c r="B24" s="27" t="s">
        <v>36</v>
      </c>
      <c r="C24" s="28">
        <f>C21-C23</f>
        <v>201012947.5013665</v>
      </c>
      <c r="D24" s="23">
        <f>C24/C21</f>
        <v>0.83171502751273485</v>
      </c>
    </row>
  </sheetData>
  <pageMargins left="0.7" right="0.7" top="0.75" bottom="0.75" header="0.3" footer="0.3"/>
  <ignoredErrors>
    <ignoredError sqref="C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B40D-C83A-4ABA-9E4A-D239B8DBE382}">
  <sheetPr>
    <tabColor rgb="FF00B050"/>
  </sheetPr>
  <dimension ref="A1:B13"/>
  <sheetViews>
    <sheetView workbookViewId="0"/>
  </sheetViews>
  <sheetFormatPr defaultRowHeight="15" x14ac:dyDescent="0.25"/>
  <cols>
    <col min="1" max="1" width="16" customWidth="1"/>
    <col min="2" max="2" width="17" customWidth="1"/>
  </cols>
  <sheetData>
    <row r="1" spans="1:2" x14ac:dyDescent="0.25">
      <c r="A1" s="3" t="s">
        <v>24</v>
      </c>
      <c r="B1" s="3" t="s">
        <v>25</v>
      </c>
    </row>
    <row r="2" spans="1:2" ht="48" customHeight="1" x14ac:dyDescent="0.25">
      <c r="A2" s="4" t="s">
        <v>26</v>
      </c>
      <c r="B2" s="4" t="s">
        <v>26</v>
      </c>
    </row>
    <row r="3" spans="1:2" x14ac:dyDescent="0.25">
      <c r="A3" s="5">
        <v>929</v>
      </c>
      <c r="B3" s="6">
        <v>615</v>
      </c>
    </row>
    <row r="4" spans="1:2" x14ac:dyDescent="0.25">
      <c r="A4" s="5">
        <v>500</v>
      </c>
      <c r="B4" s="6">
        <v>738</v>
      </c>
    </row>
    <row r="5" spans="1:2" x14ac:dyDescent="0.25">
      <c r="A5" s="5">
        <v>214</v>
      </c>
      <c r="B5" s="6">
        <v>923</v>
      </c>
    </row>
    <row r="6" spans="1:2" x14ac:dyDescent="0.25">
      <c r="A6" s="5">
        <v>476</v>
      </c>
      <c r="B6" s="6">
        <v>800</v>
      </c>
    </row>
    <row r="7" spans="1:2" x14ac:dyDescent="0.25">
      <c r="A7" s="5">
        <v>350</v>
      </c>
      <c r="B7" s="6">
        <v>615</v>
      </c>
    </row>
    <row r="8" spans="1:2" x14ac:dyDescent="0.25">
      <c r="A8" s="5">
        <v>650</v>
      </c>
      <c r="B8" s="6">
        <v>100</v>
      </c>
    </row>
    <row r="9" spans="1:2" x14ac:dyDescent="0.25">
      <c r="A9" s="5">
        <v>400</v>
      </c>
      <c r="B9" s="6">
        <v>1115</v>
      </c>
    </row>
    <row r="10" spans="1:2" x14ac:dyDescent="0.25">
      <c r="A10" s="5">
        <v>206</v>
      </c>
      <c r="B10" s="6">
        <v>1000</v>
      </c>
    </row>
    <row r="11" spans="1:2" x14ac:dyDescent="0.25">
      <c r="A11" s="5">
        <v>1036</v>
      </c>
      <c r="B11" s="6">
        <v>615</v>
      </c>
    </row>
    <row r="12" spans="1:2" x14ac:dyDescent="0.25">
      <c r="A12" s="5">
        <v>500</v>
      </c>
      <c r="B12" s="6">
        <v>808</v>
      </c>
    </row>
    <row r="13" spans="1:2" ht="15.75" x14ac:dyDescent="0.25">
      <c r="A13" s="7">
        <f>AVERAGE(A3:A12)</f>
        <v>526.1</v>
      </c>
      <c r="B13" s="7">
        <f>AVERAGE(B3:B12)</f>
        <v>732.9</v>
      </c>
    </row>
  </sheetData>
  <hyperlinks>
    <hyperlink ref="A1" r:id="rId1" xr:uid="{8414ECC1-C1A1-4701-9C87-F98F8055DD8A}"/>
    <hyperlink ref="B1" r:id="rId2" xr:uid="{03D2D5E3-38BA-44D6-A4AD-71051CA7A5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32E5-5EF7-4F59-94B9-86A899E96D9E}">
  <dimension ref="A1:I18"/>
  <sheetViews>
    <sheetView workbookViewId="0">
      <selection activeCell="D27" sqref="D27"/>
    </sheetView>
  </sheetViews>
  <sheetFormatPr defaultRowHeight="12.75" x14ac:dyDescent="0.2"/>
  <cols>
    <col min="1" max="1" width="4" style="20" customWidth="1"/>
    <col min="2" max="2" width="36.42578125" style="20" customWidth="1"/>
    <col min="3" max="5" width="17.5703125" style="20" customWidth="1"/>
    <col min="6" max="6" width="8.42578125" style="20" customWidth="1"/>
    <col min="7" max="7" width="18" style="20" customWidth="1"/>
    <col min="8" max="8" width="48.85546875" style="20" customWidth="1"/>
    <col min="9" max="9" width="17.7109375" style="20" customWidth="1"/>
    <col min="10" max="16384" width="9.140625" style="20"/>
  </cols>
  <sheetData>
    <row r="1" spans="1:9" s="1" customFormat="1" ht="38.2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G1" s="8" t="s">
        <v>37</v>
      </c>
    </row>
    <row r="2" spans="1:9" s="1" customFormat="1" x14ac:dyDescent="0.2">
      <c r="A2" s="8"/>
      <c r="B2" s="9" t="s">
        <v>5</v>
      </c>
      <c r="C2" s="10">
        <f>'Сводная себестоимость'!C2</f>
        <v>1</v>
      </c>
      <c r="D2" s="10">
        <f>'Сводная себестоимость'!D2</f>
        <v>5.8867388842832584</v>
      </c>
      <c r="E2" s="10">
        <f>'Сводная себестоимость'!E2</f>
        <v>70.640866611399105</v>
      </c>
      <c r="G2" s="10">
        <f>D2*3</f>
        <v>17.660216652849776</v>
      </c>
    </row>
    <row r="3" spans="1:9" s="2" customFormat="1" x14ac:dyDescent="0.25">
      <c r="A3" s="13">
        <v>1</v>
      </c>
      <c r="B3" s="22" t="s">
        <v>6</v>
      </c>
      <c r="C3" s="11">
        <f>'Сводная себестоимость'!C3</f>
        <v>1807519.18</v>
      </c>
      <c r="D3" s="11">
        <f>'Сводная себестоимость'!D3</f>
        <v>10640393.440993791</v>
      </c>
      <c r="E3" s="11">
        <f>'Сводная себестоимость'!E3</f>
        <v>127684721.29192549</v>
      </c>
      <c r="G3" s="11">
        <f t="shared" ref="G3:G15" si="0">D3*3</f>
        <v>31921180.322981372</v>
      </c>
    </row>
    <row r="4" spans="1:9" s="2" customFormat="1" x14ac:dyDescent="0.25">
      <c r="A4" s="13">
        <v>3</v>
      </c>
      <c r="B4" s="22" t="s">
        <v>7</v>
      </c>
      <c r="C4" s="11">
        <f>'Сводная себестоимость'!C4</f>
        <v>19525.670154320986</v>
      </c>
      <c r="D4" s="11">
        <f>'Сводная себестоимость'!D4</f>
        <v>114942.52173913046</v>
      </c>
      <c r="E4" s="11">
        <f>'Сводная себестоимость'!E4</f>
        <v>1379310.2608695654</v>
      </c>
      <c r="G4" s="11">
        <f t="shared" si="0"/>
        <v>344827.56521739135</v>
      </c>
    </row>
    <row r="5" spans="1:9" s="2" customFormat="1" x14ac:dyDescent="0.25">
      <c r="A5" s="13">
        <v>4</v>
      </c>
      <c r="B5" s="22" t="s">
        <v>8</v>
      </c>
      <c r="C5" s="11">
        <f>'Сводная себестоимость'!C5</f>
        <v>51005.018915218854</v>
      </c>
      <c r="D5" s="11">
        <f>'Сводная себестоимость'!D5</f>
        <v>300253.22814182198</v>
      </c>
      <c r="E5" s="11">
        <f>'Сводная себестоимость'!E5</f>
        <v>3603038.7377018635</v>
      </c>
      <c r="G5" s="11">
        <f t="shared" si="0"/>
        <v>900759.684425466</v>
      </c>
    </row>
    <row r="6" spans="1:9" s="2" customFormat="1" x14ac:dyDescent="0.25">
      <c r="A6" s="13">
        <v>5</v>
      </c>
      <c r="B6" s="22" t="s">
        <v>27</v>
      </c>
      <c r="C6" s="11">
        <f>'Сводная себестоимость'!C6</f>
        <v>804848.33676750853</v>
      </c>
      <c r="D6" s="11">
        <f>'Сводная себестоимость'!D6</f>
        <v>4737932</v>
      </c>
      <c r="E6" s="11">
        <f>'Сводная себестоимость'!E6</f>
        <v>56855184</v>
      </c>
      <c r="G6" s="11">
        <f t="shared" si="0"/>
        <v>14213796</v>
      </c>
      <c r="I6" s="40"/>
    </row>
    <row r="7" spans="1:9" s="2" customFormat="1" x14ac:dyDescent="0.25">
      <c r="A7" s="13">
        <v>6</v>
      </c>
      <c r="B7" s="22" t="s">
        <v>10</v>
      </c>
      <c r="C7" s="11">
        <f>'Сводная себестоимость'!C7</f>
        <v>233017.74002477952</v>
      </c>
      <c r="D7" s="11">
        <f>'Сводная себестоимость'!D7</f>
        <v>1371714.590931677</v>
      </c>
      <c r="E7" s="11">
        <f>'Сводная себестоимость'!E7</f>
        <v>16460575.091180125</v>
      </c>
      <c r="G7" s="11">
        <f t="shared" si="0"/>
        <v>4115143.7727950308</v>
      </c>
    </row>
    <row r="8" spans="1:9" s="2" customFormat="1" x14ac:dyDescent="0.25">
      <c r="A8" s="13">
        <v>7</v>
      </c>
      <c r="B8" s="22" t="s">
        <v>11</v>
      </c>
      <c r="C8" s="11">
        <f>'Сводная себестоимость'!C8</f>
        <v>100417.7322222222</v>
      </c>
      <c r="D8" s="11">
        <f>'Сводная себестоимость'!D8</f>
        <v>591132.96894409938</v>
      </c>
      <c r="E8" s="11">
        <f>'Сводная себестоимость'!E8</f>
        <v>7093595.6273291931</v>
      </c>
      <c r="G8" s="11">
        <f t="shared" si="0"/>
        <v>1773398.9068322983</v>
      </c>
    </row>
    <row r="9" spans="1:9" s="2" customFormat="1" x14ac:dyDescent="0.25">
      <c r="A9" s="13">
        <v>8</v>
      </c>
      <c r="B9" s="22" t="s">
        <v>12</v>
      </c>
      <c r="C9" s="11">
        <f>'Сводная себестоимость'!C9</f>
        <v>245738.82463609308</v>
      </c>
      <c r="D9" s="11">
        <f>'Сводная себестоимость'!D9</f>
        <v>1446600.2943633543</v>
      </c>
      <c r="E9" s="11">
        <f>'Сводная себестоимость'!E9</f>
        <v>17359203.532360252</v>
      </c>
      <c r="G9" s="11">
        <f t="shared" si="0"/>
        <v>4339800.883090063</v>
      </c>
    </row>
    <row r="10" spans="1:9" s="2" customFormat="1" x14ac:dyDescent="0.25">
      <c r="A10" s="13">
        <v>9</v>
      </c>
      <c r="B10" s="15" t="s">
        <v>41</v>
      </c>
      <c r="C10" s="11">
        <f>'Сводная себестоимость'!C10</f>
        <v>89370.364533173168</v>
      </c>
      <c r="D10" s="11">
        <f>'Сводная себестоимость'!D10</f>
        <v>526100</v>
      </c>
      <c r="E10" s="11">
        <f>'Сводная себестоимость'!E10</f>
        <v>6313200</v>
      </c>
      <c r="G10" s="11">
        <f t="shared" si="0"/>
        <v>1578300</v>
      </c>
    </row>
    <row r="11" spans="1:9" s="2" customFormat="1" x14ac:dyDescent="0.25">
      <c r="A11" s="13">
        <v>10</v>
      </c>
      <c r="B11" s="15" t="s">
        <v>20</v>
      </c>
      <c r="C11" s="11">
        <f>'Сводная себестоимость'!C11</f>
        <v>56180.292093976022</v>
      </c>
      <c r="D11" s="11">
        <f>'Сводная себестоимость'!D11</f>
        <v>330718.70999999996</v>
      </c>
      <c r="E11" s="11">
        <f>'Сводная себестоимость'!E11</f>
        <v>3968624.52</v>
      </c>
      <c r="G11" s="11">
        <f t="shared" si="0"/>
        <v>992156.12999999989</v>
      </c>
    </row>
    <row r="12" spans="1:9" s="2" customFormat="1" x14ac:dyDescent="0.25">
      <c r="A12" s="13">
        <v>11</v>
      </c>
      <c r="B12" s="15" t="s">
        <v>40</v>
      </c>
      <c r="C12" s="11">
        <f>'Сводная себестоимость'!C12</f>
        <v>13695.018852499314</v>
      </c>
      <c r="D12" s="11">
        <f>'Сводная себестоимость'!D12</f>
        <v>80619</v>
      </c>
      <c r="E12" s="11">
        <f>'Сводная себестоимость'!E12</f>
        <v>967428</v>
      </c>
      <c r="G12" s="11">
        <f t="shared" si="0"/>
        <v>241857</v>
      </c>
    </row>
    <row r="13" spans="1:9" s="2" customFormat="1" x14ac:dyDescent="0.25">
      <c r="A13" s="13">
        <v>12</v>
      </c>
      <c r="B13" s="9" t="s">
        <v>23</v>
      </c>
      <c r="C13" s="12">
        <f>SUM(C3:C12)</f>
        <v>3421318.1781997913</v>
      </c>
      <c r="D13" s="12">
        <f>SUM(D3:D12)</f>
        <v>20140406.755113874</v>
      </c>
      <c r="E13" s="12">
        <f>SUM(E3:E12)</f>
        <v>241684881.0613665</v>
      </c>
      <c r="G13" s="12">
        <f>SUM(G3:G12)</f>
        <v>60421220.265341625</v>
      </c>
    </row>
    <row r="14" spans="1:9" s="2" customFormat="1" x14ac:dyDescent="0.25">
      <c r="A14" s="13"/>
      <c r="B14" s="15" t="s">
        <v>34</v>
      </c>
      <c r="C14" s="11"/>
      <c r="D14" s="11"/>
      <c r="E14" s="11"/>
      <c r="G14" s="11"/>
    </row>
    <row r="15" spans="1:9" x14ac:dyDescent="0.2">
      <c r="A15" s="13">
        <v>13</v>
      </c>
      <c r="B15" s="27" t="s">
        <v>35</v>
      </c>
      <c r="C15" s="28">
        <f>'В т. ч. постоянные'!C9</f>
        <v>575756.43548853195</v>
      </c>
      <c r="D15" s="28">
        <f>'В т. ч. постоянные'!D9</f>
        <v>3389327.7966666664</v>
      </c>
      <c r="E15" s="28">
        <f>'В т. ч. постоянные'!E9</f>
        <v>40671933.560000002</v>
      </c>
      <c r="G15" s="28">
        <f t="shared" si="0"/>
        <v>10167983.389999999</v>
      </c>
      <c r="H15" s="21"/>
    </row>
    <row r="16" spans="1:9" x14ac:dyDescent="0.2">
      <c r="A16" s="13">
        <v>14</v>
      </c>
      <c r="B16" s="27" t="s">
        <v>36</v>
      </c>
      <c r="C16" s="28">
        <f>C13-C15</f>
        <v>2845561.7427112595</v>
      </c>
      <c r="D16" s="28">
        <f t="shared" ref="D16:E16" si="1">D13-D15</f>
        <v>16751078.958447207</v>
      </c>
      <c r="E16" s="28">
        <f t="shared" si="1"/>
        <v>201012947.5013665</v>
      </c>
      <c r="G16" s="28">
        <f>G13-G15</f>
        <v>50253236.875341624</v>
      </c>
    </row>
    <row r="17" spans="1:8" x14ac:dyDescent="0.2">
      <c r="A17" s="38"/>
      <c r="B17" s="38"/>
      <c r="C17" s="38"/>
      <c r="D17" s="38"/>
      <c r="E17" s="38"/>
    </row>
    <row r="18" spans="1:8" x14ac:dyDescent="0.2">
      <c r="G18" s="28">
        <f>G16-G6-G7</f>
        <v>31924297.102546595</v>
      </c>
      <c r="H18" s="2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Формирование себестоимости</vt:lpstr>
      <vt:lpstr>В т. ч. постоянные</vt:lpstr>
      <vt:lpstr>Сводная себестоимость</vt:lpstr>
      <vt:lpstr>Анализ</vt:lpstr>
      <vt:lpstr>Ставки аренды</vt:lpstr>
      <vt:lpstr>для ФМ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2024-05-21T14:16:12Z</dcterms:modified>
</cp:coreProperties>
</file>