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Александр\Documents\Саша\Бизнес Анализ\Печи Вигор-3\1.3 Бизнес план (со шкафом, собств. пр-во)\"/>
    </mc:Choice>
  </mc:AlternateContent>
  <xr:revisionPtr revIDLastSave="0" documentId="13_ncr:1_{2109A032-E872-4F2B-B40C-AA45A6CC0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борудование и мебель" sheetId="1" r:id="rId1"/>
    <sheet name="Расчет площади помещений" sheetId="2" r:id="rId2"/>
    <sheet name="Расчет ресурсов" sheetId="3" r:id="rId3"/>
    <sheet name="Для Ф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4" l="1"/>
  <c r="E16" i="3"/>
  <c r="H18" i="4" l="1"/>
  <c r="H15" i="4"/>
  <c r="F40" i="4"/>
  <c r="F34" i="4"/>
  <c r="F35" i="4" s="1"/>
  <c r="F36" i="4" s="1"/>
  <c r="F28" i="4"/>
  <c r="F22" i="4"/>
  <c r="F23" i="4" s="1"/>
  <c r="F24" i="4" s="1"/>
  <c r="G18" i="4"/>
  <c r="F18" i="4"/>
  <c r="E18" i="4"/>
  <c r="G16" i="4"/>
  <c r="E16" i="4"/>
  <c r="E17" i="4" s="1"/>
  <c r="G17" i="4" s="1"/>
  <c r="E15" i="4"/>
  <c r="G15" i="4" s="1"/>
  <c r="E14" i="4"/>
  <c r="E13" i="4"/>
  <c r="E12" i="4" s="1"/>
  <c r="G12" i="4" s="1"/>
  <c r="F12" i="4"/>
  <c r="F13" i="4" s="1"/>
  <c r="F14" i="4" s="1"/>
  <c r="F8" i="4"/>
  <c r="F3" i="4"/>
  <c r="F4" i="4" s="1"/>
  <c r="F2" i="4"/>
  <c r="C12" i="2"/>
  <c r="E26" i="3" s="1"/>
  <c r="C7" i="2"/>
  <c r="C2" i="2"/>
  <c r="E6" i="4" s="1"/>
  <c r="C14" i="1"/>
  <c r="E26" i="4" l="1"/>
  <c r="E27" i="4" s="1"/>
  <c r="G27" i="4" s="1"/>
  <c r="E7" i="4"/>
  <c r="G6" i="4"/>
  <c r="E6" i="3"/>
  <c r="G14" i="4"/>
  <c r="G19" i="4"/>
  <c r="G7" i="4"/>
  <c r="G13" i="4"/>
  <c r="E39" i="4" l="1"/>
  <c r="G39" i="4" s="1"/>
  <c r="G26" i="4"/>
  <c r="E38" i="4"/>
  <c r="G38" i="4" s="1"/>
  <c r="H38" i="4"/>
  <c r="F40" i="3" l="1"/>
  <c r="F34" i="3"/>
  <c r="F35" i="3" s="1"/>
  <c r="F36" i="3" s="1"/>
  <c r="E27" i="3"/>
  <c r="G27" i="3" s="1"/>
  <c r="E13" i="3"/>
  <c r="F28" i="3"/>
  <c r="F22" i="3"/>
  <c r="F23" i="3" s="1"/>
  <c r="F24" i="3" s="1"/>
  <c r="E17" i="3"/>
  <c r="G17" i="3" s="1"/>
  <c r="F18" i="3"/>
  <c r="F12" i="3"/>
  <c r="F13" i="3" s="1"/>
  <c r="F14" i="3" s="1"/>
  <c r="E7" i="3"/>
  <c r="F2" i="3"/>
  <c r="F3" i="3" s="1"/>
  <c r="F4" i="3" s="1"/>
  <c r="F8" i="3"/>
  <c r="E39" i="3" l="1"/>
  <c r="G39" i="3" s="1"/>
  <c r="E38" i="3"/>
  <c r="G38" i="3" s="1"/>
  <c r="H39" i="4"/>
  <c r="I39" i="4" s="1"/>
  <c r="G26" i="3"/>
  <c r="G16" i="3"/>
  <c r="G13" i="3"/>
  <c r="G6" i="3"/>
  <c r="G7" i="3"/>
  <c r="D29" i="2" l="1"/>
  <c r="D28" i="2"/>
  <c r="D26" i="2"/>
  <c r="D25" i="2"/>
  <c r="D23" i="2"/>
  <c r="D22" i="2"/>
  <c r="G26" i="2"/>
  <c r="C17" i="2" l="1"/>
  <c r="D14" i="2"/>
  <c r="D9" i="2"/>
  <c r="D4" i="2"/>
  <c r="D24" i="2" l="1"/>
  <c r="D27" i="2"/>
  <c r="D21" i="2" l="1"/>
  <c r="C26" i="1" l="1"/>
  <c r="L26" i="1" s="1"/>
  <c r="C25" i="1"/>
  <c r="L25" i="1" s="1"/>
  <c r="C24" i="1"/>
  <c r="L24" i="1" s="1"/>
  <c r="C22" i="1"/>
  <c r="C21" i="1"/>
  <c r="I21" i="1" s="1"/>
  <c r="L17" i="1"/>
  <c r="E17" i="1"/>
  <c r="C16" i="1"/>
  <c r="L16" i="1" s="1"/>
  <c r="C15" i="1"/>
  <c r="L15" i="1" s="1"/>
  <c r="L18" i="1" s="1"/>
  <c r="I14" i="1"/>
  <c r="E14" i="1"/>
  <c r="C13" i="1"/>
  <c r="I13" i="1" s="1"/>
  <c r="C12" i="1"/>
  <c r="I12" i="1" s="1"/>
  <c r="I18" i="1" s="1"/>
  <c r="D8" i="2" s="1"/>
  <c r="D10" i="2" s="1"/>
  <c r="D7" i="2" s="1"/>
  <c r="C7" i="1"/>
  <c r="L7" i="1" s="1"/>
  <c r="C6" i="1"/>
  <c r="L6" i="1" s="1"/>
  <c r="L9" i="1" s="1"/>
  <c r="C4" i="1"/>
  <c r="C3" i="1"/>
  <c r="E3" i="1" s="1"/>
  <c r="L8" i="1"/>
  <c r="E8" i="1"/>
  <c r="L27" i="1" l="1"/>
  <c r="E23" i="4" s="1"/>
  <c r="G23" i="4" s="1"/>
  <c r="E3" i="4"/>
  <c r="E3" i="3"/>
  <c r="I4" i="1"/>
  <c r="C5" i="1"/>
  <c r="I22" i="1"/>
  <c r="C23" i="1"/>
  <c r="E23" i="1" s="1"/>
  <c r="E23" i="3"/>
  <c r="G23" i="3" s="1"/>
  <c r="E15" i="3"/>
  <c r="G15" i="3" s="1"/>
  <c r="E18" i="3"/>
  <c r="G18" i="3" s="1"/>
  <c r="E14" i="3"/>
  <c r="L29" i="1"/>
  <c r="I3" i="1"/>
  <c r="E25" i="1"/>
  <c r="E26" i="1"/>
  <c r="I23" i="1"/>
  <c r="I27" i="1" s="1"/>
  <c r="D13" i="2" s="1"/>
  <c r="D15" i="2" s="1"/>
  <c r="D12" i="2" s="1"/>
  <c r="E21" i="1"/>
  <c r="E24" i="1"/>
  <c r="E22" i="1"/>
  <c r="E15" i="1"/>
  <c r="E12" i="1"/>
  <c r="E16" i="1"/>
  <c r="E13" i="1"/>
  <c r="E7" i="1"/>
  <c r="E6" i="1"/>
  <c r="E4" i="1"/>
  <c r="E35" i="3" l="1"/>
  <c r="I5" i="1"/>
  <c r="I9" i="1" s="1"/>
  <c r="E5" i="1"/>
  <c r="E9" i="1"/>
  <c r="E35" i="4"/>
  <c r="G3" i="4"/>
  <c r="G14" i="3"/>
  <c r="E12" i="3"/>
  <c r="G12" i="3" s="1"/>
  <c r="G19" i="3" s="1"/>
  <c r="G3" i="3"/>
  <c r="E27" i="1"/>
  <c r="E18" i="1"/>
  <c r="D3" i="2" l="1"/>
  <c r="I29" i="1"/>
  <c r="G35" i="4"/>
  <c r="E29" i="1"/>
  <c r="E31" i="1" s="1"/>
  <c r="G35" i="3"/>
  <c r="E13" i="2"/>
  <c r="D5" i="2"/>
  <c r="D2" i="2" s="1"/>
  <c r="E4" i="4" l="1"/>
  <c r="E8" i="4"/>
  <c r="E5" i="4"/>
  <c r="E30" i="1"/>
  <c r="E32" i="1"/>
  <c r="E8" i="3"/>
  <c r="E4" i="3"/>
  <c r="E5" i="3"/>
  <c r="D17" i="2"/>
  <c r="G5" i="4" l="1"/>
  <c r="G9" i="4" s="1"/>
  <c r="G8" i="4"/>
  <c r="H8" i="4" s="1"/>
  <c r="G4" i="4"/>
  <c r="E2" i="4"/>
  <c r="G2" i="4" s="1"/>
  <c r="D19" i="2"/>
  <c r="G5" i="3"/>
  <c r="G4" i="3"/>
  <c r="E2" i="3"/>
  <c r="G2" i="3" s="1"/>
  <c r="G8" i="3"/>
  <c r="D33" i="2" l="1"/>
  <c r="E28" i="4"/>
  <c r="E24" i="4"/>
  <c r="E25" i="4"/>
  <c r="G9" i="3"/>
  <c r="E25" i="3"/>
  <c r="E37" i="3" s="1"/>
  <c r="E24" i="3"/>
  <c r="E36" i="3" s="1"/>
  <c r="E28" i="3"/>
  <c r="E40" i="3" s="1"/>
  <c r="G25" i="4" l="1"/>
  <c r="E37" i="4"/>
  <c r="G37" i="4" s="1"/>
  <c r="H37" i="4" s="1"/>
  <c r="G24" i="4"/>
  <c r="E22" i="4"/>
  <c r="G22" i="4" s="1"/>
  <c r="E36" i="4"/>
  <c r="G28" i="4"/>
  <c r="H28" i="4" s="1"/>
  <c r="E40" i="4"/>
  <c r="G40" i="4" s="1"/>
  <c r="I40" i="4" s="1"/>
  <c r="G28" i="3"/>
  <c r="G40" i="3"/>
  <c r="G25" i="3"/>
  <c r="G37" i="3"/>
  <c r="G24" i="3"/>
  <c r="E22" i="3"/>
  <c r="G22" i="3" s="1"/>
  <c r="G29" i="3" l="1"/>
  <c r="G36" i="4"/>
  <c r="E34" i="4"/>
  <c r="G34" i="4" s="1"/>
  <c r="G41" i="4" s="1"/>
  <c r="G29" i="4"/>
  <c r="H25" i="4"/>
  <c r="G36" i="3"/>
  <c r="E34" i="3"/>
  <c r="G34" i="3" s="1"/>
  <c r="G41" i="3" s="1"/>
  <c r="H34" i="4" l="1"/>
  <c r="I37" i="4" s="1"/>
</calcChain>
</file>

<file path=xl/sharedStrings.xml><?xml version="1.0" encoding="utf-8"?>
<sst xmlns="http://schemas.openxmlformats.org/spreadsheetml/2006/main" count="288" uniqueCount="75">
  <si>
    <t xml:space="preserve">№ </t>
  </si>
  <si>
    <t>Участок/оборудование</t>
  </si>
  <si>
    <t>Кол-во</t>
  </si>
  <si>
    <t>Цена, руб.</t>
  </si>
  <si>
    <t>Стоимость, руб.</t>
  </si>
  <si>
    <t>Длина, м</t>
  </si>
  <si>
    <t>Ширина, м</t>
  </si>
  <si>
    <t>Высота, м</t>
  </si>
  <si>
    <t>Общая площадь, м2</t>
  </si>
  <si>
    <t xml:space="preserve">Напряжение, В </t>
  </si>
  <si>
    <t>Мощность, кВт</t>
  </si>
  <si>
    <t>Общая мощность, кВт</t>
  </si>
  <si>
    <t>Письменный стол</t>
  </si>
  <si>
    <t>Офисный стул</t>
  </si>
  <si>
    <t>Стеллаж</t>
  </si>
  <si>
    <t>Компьютер</t>
  </si>
  <si>
    <t>Монитор</t>
  </si>
  <si>
    <t>Принтер/сканер</t>
  </si>
  <si>
    <t>ВСЕГО оборудование и инструмент</t>
  </si>
  <si>
    <t>Отдел продаж</t>
  </si>
  <si>
    <t>Администрация</t>
  </si>
  <si>
    <t>Итого</t>
  </si>
  <si>
    <t>Итого оборудование и мебель</t>
  </si>
  <si>
    <t>Канцелярские принадлежности (5% от итого)</t>
  </si>
  <si>
    <t>Прочее оборудование (5% от итого)</t>
  </si>
  <si>
    <t>Участок</t>
  </si>
  <si>
    <t>Кол-во рабочих мест</t>
  </si>
  <si>
    <t>Площадь, м2</t>
  </si>
  <si>
    <t>Площадь рабочих мест (1,2м*1,6м)</t>
  </si>
  <si>
    <t>Площадь проходов</t>
  </si>
  <si>
    <t>мужчины</t>
  </si>
  <si>
    <t>женщины</t>
  </si>
  <si>
    <t>Санузлы</t>
  </si>
  <si>
    <t>Ширина проходов санузлах</t>
  </si>
  <si>
    <t>Тамбуры</t>
  </si>
  <si>
    <t>Чайная комната</t>
  </si>
  <si>
    <t>Площадь под мебелью</t>
  </si>
  <si>
    <t>мужчины 2 унитаза, 1 писсуар</t>
  </si>
  <si>
    <t>женщины 2 унитаза</t>
  </si>
  <si>
    <t>ОБЩАЯ ПЛОЩАДЬ ОФИСА</t>
  </si>
  <si>
    <t>Конторская площадь</t>
  </si>
  <si>
    <t>Вспомогательные помещения</t>
  </si>
  <si>
    <t>Показатель</t>
  </si>
  <si>
    <t>Норма</t>
  </si>
  <si>
    <t>Ед. изм.</t>
  </si>
  <si>
    <t>Кол-во в год</t>
  </si>
  <si>
    <t>Тариф* , руб.</t>
  </si>
  <si>
    <t>Стоимость  в год, руб.</t>
  </si>
  <si>
    <t>Электроэнергия</t>
  </si>
  <si>
    <t>МВт</t>
  </si>
  <si>
    <t>Силовая электроэнергия</t>
  </si>
  <si>
    <t>кВт</t>
  </si>
  <si>
    <t>20 Вт/м2</t>
  </si>
  <si>
    <t>кВТ</t>
  </si>
  <si>
    <t>Гкал</t>
  </si>
  <si>
    <t>Водоснабжение</t>
  </si>
  <si>
    <t>м3</t>
  </si>
  <si>
    <t>Водоотведение</t>
  </si>
  <si>
    <t>Вывоз ТБО (с 1м2)</t>
  </si>
  <si>
    <t>* Для расчета использовались тарифы Московской области</t>
  </si>
  <si>
    <t>Освещение (2100ч/год)</t>
  </si>
  <si>
    <t>Отопление (отопительный сезон 214 дня, h=3м)</t>
  </si>
  <si>
    <t>25 л/чел в сутки</t>
  </si>
  <si>
    <t>41 Вт/ч на 1м3</t>
  </si>
  <si>
    <t>0,12 м3/год</t>
  </si>
  <si>
    <t>ИТОГО стоимость ресурсов ОТДЕЛА ПРОДАЖ в год</t>
  </si>
  <si>
    <t>ИТОГО стоимость ресурсов АДМИНИСТРАЦИИ в год</t>
  </si>
  <si>
    <t>Энергия</t>
  </si>
  <si>
    <t>Вода</t>
  </si>
  <si>
    <t>Ресурсы в месяц</t>
  </si>
  <si>
    <t>ИТОГО общая стоимость ресурсов ОФИСА в год</t>
  </si>
  <si>
    <t>Производственный отдел</t>
  </si>
  <si>
    <t>ИТОГО стоимость ресурсов ПО в год</t>
  </si>
  <si>
    <t>энергия</t>
  </si>
  <si>
    <t>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</si>
</sst>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b/>
      <u/>
      <sz val="9"/>
      <name val="Arial"/>
      <family val="2"/>
      <charset val="204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333333"/>
      <name val="Arial"/>
      <family val="2"/>
      <charset val="204"/>
    </font>
    <font>
      <b/>
      <sz val="9"/>
      <name val="Arial"/>
      <family val="2"/>
      <charset val="204"/>
    </font>
    <font>
      <b/>
      <sz val="9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u/>
      <sz val="10"/>
      <name val="Arial"/>
      <family val="2"/>
      <charset val="204"/>
    </font>
    <font>
      <sz val="10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vertical="center" wrapText="1"/>
    </xf>
    <xf numFmtId="0" fontId="6" fillId="0" borderId="0" xfId="1" applyFont="1" applyFill="1"/>
    <xf numFmtId="0" fontId="9" fillId="0" borderId="1" xfId="0" applyFont="1" applyBorder="1" applyAlignment="1">
      <alignment horizontal="left" vertical="center" wrapText="1"/>
    </xf>
    <xf numFmtId="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" fontId="9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4" fontId="9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4" fontId="8" fillId="0" borderId="1" xfId="0" applyNumberFormat="1" applyFont="1" applyBorder="1" applyAlignment="1">
      <alignment vertical="center"/>
    </xf>
    <xf numFmtId="4" fontId="8" fillId="0" borderId="1" xfId="0" applyNumberFormat="1" applyFont="1" applyBorder="1" applyAlignment="1">
      <alignment horizontal="right" vertical="center" wrapText="1"/>
    </xf>
    <xf numFmtId="0" fontId="11" fillId="0" borderId="1" xfId="1" applyFont="1" applyBorder="1" applyAlignment="1">
      <alignment vertical="center" wrapText="1"/>
    </xf>
    <xf numFmtId="4" fontId="11" fillId="0" borderId="1" xfId="0" applyNumberFormat="1" applyFont="1" applyBorder="1" applyAlignment="1">
      <alignment horizontal="right" vertical="center" wrapText="1"/>
    </xf>
    <xf numFmtId="4" fontId="1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/>
    </xf>
    <xf numFmtId="3" fontId="15" fillId="0" borderId="1" xfId="0" applyNumberFormat="1" applyFont="1" applyBorder="1" applyAlignment="1">
      <alignment horizontal="right"/>
    </xf>
    <xf numFmtId="3" fontId="15" fillId="0" borderId="1" xfId="0" applyNumberFormat="1" applyFont="1" applyBorder="1"/>
    <xf numFmtId="0" fontId="15" fillId="0" borderId="1" xfId="0" applyFont="1" applyBorder="1" applyAlignment="1">
      <alignment horizontal="right" wrapText="1"/>
    </xf>
    <xf numFmtId="164" fontId="15" fillId="0" borderId="1" xfId="0" applyNumberFormat="1" applyFont="1" applyBorder="1"/>
    <xf numFmtId="0" fontId="15" fillId="0" borderId="0" xfId="0" applyFont="1"/>
    <xf numFmtId="0" fontId="16" fillId="0" borderId="1" xfId="1" applyFont="1" applyFill="1" applyBorder="1" applyAlignment="1">
      <alignment horizontal="right" wrapText="1"/>
    </xf>
    <xf numFmtId="0" fontId="15" fillId="0" borderId="1" xfId="0" applyFont="1" applyBorder="1" applyAlignment="1">
      <alignment horizontal="center" vertical="center"/>
    </xf>
    <xf numFmtId="2" fontId="15" fillId="0" borderId="1" xfId="0" applyNumberFormat="1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0" fontId="14" fillId="0" borderId="1" xfId="0" applyFont="1" applyBorder="1"/>
    <xf numFmtId="3" fontId="14" fillId="0" borderId="1" xfId="0" applyNumberFormat="1" applyFont="1" applyBorder="1" applyAlignment="1">
      <alignment horizontal="right"/>
    </xf>
    <xf numFmtId="3" fontId="14" fillId="0" borderId="1" xfId="0" applyNumberFormat="1" applyFont="1" applyBorder="1"/>
    <xf numFmtId="2" fontId="14" fillId="0" borderId="1" xfId="0" applyNumberFormat="1" applyFont="1" applyBorder="1" applyAlignment="1">
      <alignment horizontal="right" wrapText="1"/>
    </xf>
    <xf numFmtId="164" fontId="14" fillId="0" borderId="1" xfId="0" applyNumberFormat="1" applyFont="1" applyBorder="1"/>
    <xf numFmtId="0" fontId="15" fillId="0" borderId="1" xfId="0" applyFont="1" applyBorder="1" applyAlignment="1">
      <alignment wrapText="1"/>
    </xf>
    <xf numFmtId="0" fontId="15" fillId="0" borderId="1" xfId="0" applyFont="1" applyBorder="1"/>
    <xf numFmtId="1" fontId="15" fillId="0" borderId="1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/>
    </xf>
    <xf numFmtId="3" fontId="14" fillId="0" borderId="1" xfId="0" applyNumberFormat="1" applyFont="1" applyBorder="1" applyAlignment="1">
      <alignment horizontal="right" wrapText="1"/>
    </xf>
    <xf numFmtId="165" fontId="14" fillId="0" borderId="1" xfId="0" applyNumberFormat="1" applyFont="1" applyBorder="1"/>
    <xf numFmtId="165" fontId="14" fillId="0" borderId="1" xfId="0" applyNumberFormat="1" applyFont="1" applyBorder="1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3" fontId="4" fillId="0" borderId="1" xfId="0" applyNumberFormat="1" applyFont="1" applyBorder="1"/>
    <xf numFmtId="0" fontId="4" fillId="0" borderId="0" xfId="0" applyFont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3" fontId="4" fillId="0" borderId="0" xfId="0" applyNumberFormat="1" applyFont="1"/>
    <xf numFmtId="0" fontId="15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/>
    </xf>
    <xf numFmtId="3" fontId="15" fillId="0" borderId="0" xfId="0" applyNumberFormat="1" applyFont="1"/>
    <xf numFmtId="0" fontId="15" fillId="0" borderId="0" xfId="0" applyFont="1" applyAlignment="1">
      <alignment wrapText="1"/>
    </xf>
    <xf numFmtId="0" fontId="17" fillId="0" borderId="0" xfId="0" applyFont="1"/>
    <xf numFmtId="2" fontId="4" fillId="0" borderId="1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17" fontId="18" fillId="0" borderId="0" xfId="0" applyNumberFormat="1" applyFont="1" applyAlignment="1">
      <alignment horizontal="left" vertical="center" wrapText="1"/>
    </xf>
    <xf numFmtId="16" fontId="18" fillId="0" borderId="0" xfId="0" applyNumberFormat="1" applyFont="1" applyAlignment="1">
      <alignment horizontal="left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2" fontId="17" fillId="0" borderId="0" xfId="0" applyNumberFormat="1" applyFont="1"/>
    <xf numFmtId="0" fontId="4" fillId="0" borderId="1" xfId="1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wrapText="1"/>
    </xf>
    <xf numFmtId="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4" fontId="14" fillId="0" borderId="1" xfId="0" applyNumberFormat="1" applyFont="1" applyBorder="1" applyAlignment="1">
      <alignment horizontal="center" vertical="center" wrapText="1"/>
    </xf>
    <xf numFmtId="4" fontId="14" fillId="0" borderId="1" xfId="0" applyNumberFormat="1" applyFont="1" applyBorder="1" applyAlignment="1">
      <alignment vertical="center" wrapText="1"/>
    </xf>
    <xf numFmtId="0" fontId="19" fillId="0" borderId="0" xfId="1" applyFont="1" applyFill="1"/>
    <xf numFmtId="0" fontId="15" fillId="0" borderId="1" xfId="0" applyFont="1" applyBorder="1" applyAlignment="1">
      <alignment horizontal="left" vertical="center" wrapText="1"/>
    </xf>
    <xf numFmtId="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4" fontId="15" fillId="0" borderId="1" xfId="0" applyNumberFormat="1" applyFont="1" applyBorder="1" applyAlignment="1">
      <alignment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4" fontId="15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4" fontId="14" fillId="0" borderId="1" xfId="0" applyNumberFormat="1" applyFont="1" applyBorder="1" applyAlignment="1">
      <alignment vertical="center"/>
    </xf>
    <xf numFmtId="4" fontId="14" fillId="0" borderId="1" xfId="0" applyNumberFormat="1" applyFont="1" applyBorder="1" applyAlignment="1">
      <alignment horizontal="right" vertical="center" wrapText="1"/>
    </xf>
    <xf numFmtId="0" fontId="4" fillId="0" borderId="1" xfId="1" applyFont="1" applyBorder="1" applyAlignment="1">
      <alignment vertical="center" wrapText="1"/>
    </xf>
    <xf numFmtId="4" fontId="4" fillId="0" borderId="1" xfId="0" applyNumberFormat="1" applyFont="1" applyBorder="1" applyAlignment="1">
      <alignment horizontal="right" vertical="center" wrapText="1"/>
    </xf>
    <xf numFmtId="4" fontId="4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" fontId="15" fillId="0" borderId="0" xfId="0" applyNumberFormat="1" applyFont="1" applyAlignment="1">
      <alignment vertical="center" wrapText="1"/>
    </xf>
    <xf numFmtId="4" fontId="0" fillId="0" borderId="1" xfId="0" applyNumberFormat="1" applyBorder="1"/>
    <xf numFmtId="0" fontId="0" fillId="0" borderId="1" xfId="0" quotePrefix="1" applyBorder="1"/>
    <xf numFmtId="0" fontId="14" fillId="0" borderId="1" xfId="0" applyFont="1" applyBorder="1" applyAlignment="1">
      <alignment horizontal="right" wrapText="1"/>
    </xf>
    <xf numFmtId="0" fontId="15" fillId="0" borderId="1" xfId="0" applyFont="1" applyBorder="1" applyAlignment="1">
      <alignment horizontal="right" wrapText="1"/>
    </xf>
    <xf numFmtId="0" fontId="15" fillId="0" borderId="2" xfId="0" applyFont="1" applyBorder="1" applyAlignment="1">
      <alignment horizontal="right" wrapText="1"/>
    </xf>
    <xf numFmtId="0" fontId="15" fillId="0" borderId="3" xfId="0" applyFont="1" applyBorder="1" applyAlignment="1">
      <alignment horizontal="right" wrapText="1"/>
    </xf>
    <xf numFmtId="0" fontId="15" fillId="0" borderId="4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11" fillId="0" borderId="2" xfId="1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instrumenti.ru/product/stul-utfc-standart-bl-s11-chernyj-standartbl02-5013726/" TargetMode="External"/><Relationship Id="rId13" Type="http://schemas.openxmlformats.org/officeDocument/2006/relationships/hyperlink" Target="https://www.vseinstrumenti.ru/product/pismennyj-stol-ventall-sp-3-dub-sonoma-art-ven-00448-2085404/" TargetMode="External"/><Relationship Id="rId18" Type="http://schemas.openxmlformats.org/officeDocument/2006/relationships/hyperlink" Target="https://www.dns-shop.ru/product/546872b665cc3332/mfu-lazernoe-pantum-m6502/" TargetMode="External"/><Relationship Id="rId3" Type="http://schemas.openxmlformats.org/officeDocument/2006/relationships/hyperlink" Target="https://www.vseinstrumenti.ru/product/stellazh-ar-shelving-coolour-30-lilovyj-5-polok-na-boltah-k1pp030bc4009genr-8880824/" TargetMode="External"/><Relationship Id="rId7" Type="http://schemas.openxmlformats.org/officeDocument/2006/relationships/hyperlink" Target="https://www.vseinstrumenti.ru/product/pismennyj-stol-ventall-sp-3-dub-sonoma-art-ven-00448-2085404/" TargetMode="External"/><Relationship Id="rId12" Type="http://schemas.openxmlformats.org/officeDocument/2006/relationships/hyperlink" Target="https://www.dns-shop.ru/product/546872b665cc3332/mfu-lazernoe-pantum-m6502/" TargetMode="External"/><Relationship Id="rId17" Type="http://schemas.openxmlformats.org/officeDocument/2006/relationships/hyperlink" Target="https://www.dns-shop.ru/product/0b3e1a4e330bed20/214-monitor-dexp-df22n1-serebristyj/" TargetMode="External"/><Relationship Id="rId2" Type="http://schemas.openxmlformats.org/officeDocument/2006/relationships/hyperlink" Target="https://www.vseinstrumenti.ru/product/stul-utfc-standart-bl-s11-chernyj-standartbl02-5013726/" TargetMode="External"/><Relationship Id="rId16" Type="http://schemas.openxmlformats.org/officeDocument/2006/relationships/hyperlink" Target="https://www.dns-shop.ru/product/89c5de2b96eded20/pk-dexp-aquilon-o287/" TargetMode="External"/><Relationship Id="rId1" Type="http://schemas.openxmlformats.org/officeDocument/2006/relationships/hyperlink" Target="https://www.vseinstrumenti.ru/product/pismennyj-stol-ventall-sp-3-dub-sonoma-art-ven-00448-2085404/" TargetMode="External"/><Relationship Id="rId6" Type="http://schemas.openxmlformats.org/officeDocument/2006/relationships/hyperlink" Target="https://www.dns-shop.ru/product/546872b665cc3332/mfu-lazernoe-pantum-m6502/" TargetMode="External"/><Relationship Id="rId11" Type="http://schemas.openxmlformats.org/officeDocument/2006/relationships/hyperlink" Target="https://www.dns-shop.ru/product/0b3e1a4e330bed20/214-monitor-dexp-df22n1-serebristyj/" TargetMode="External"/><Relationship Id="rId5" Type="http://schemas.openxmlformats.org/officeDocument/2006/relationships/hyperlink" Target="https://www.dns-shop.ru/product/0b3e1a4e330bed20/214-monitor-dexp-df22n1-serebristyj/" TargetMode="External"/><Relationship Id="rId15" Type="http://schemas.openxmlformats.org/officeDocument/2006/relationships/hyperlink" Target="https://www.vseinstrumenti.ru/product/stellazh-ar-shelving-coolour-30-lilovyj-5-polok-na-boltah-k1pp030bc4009genr-8880824/" TargetMode="External"/><Relationship Id="rId10" Type="http://schemas.openxmlformats.org/officeDocument/2006/relationships/hyperlink" Target="https://www.dns-shop.ru/product/89c5de2b96eded20/pk-dexp-aquilon-o287/" TargetMode="External"/><Relationship Id="rId4" Type="http://schemas.openxmlformats.org/officeDocument/2006/relationships/hyperlink" Target="https://www.dns-shop.ru/product/89c5de2b96eded20/pk-dexp-aquilon-o287/" TargetMode="External"/><Relationship Id="rId9" Type="http://schemas.openxmlformats.org/officeDocument/2006/relationships/hyperlink" Target="https://www.vseinstrumenti.ru/product/stellazh-ar-shelving-coolour-30-lilovyj-5-polok-na-boltah-k1pp030bc4009genr-8880824/" TargetMode="External"/><Relationship Id="rId14" Type="http://schemas.openxmlformats.org/officeDocument/2006/relationships/hyperlink" Target="https://www.vseinstrumenti.ru/product/stul-utfc-standart-bl-s11-chernyj-standartbl02-501372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w.ru/article/25081-normy-tbo" TargetMode="External"/><Relationship Id="rId3" Type="http://schemas.openxmlformats.org/officeDocument/2006/relationships/hyperlink" Target="https://www.mosenergosbyt.ru/legals/tariffs-n-prices/more-10MW.php" TargetMode="External"/><Relationship Id="rId7" Type="http://schemas.openxmlformats.org/officeDocument/2006/relationships/hyperlink" Target="https://infopedia.su/7x2709.html" TargetMode="External"/><Relationship Id="rId12" Type="http://schemas.openxmlformats.org/officeDocument/2006/relationships/hyperlink" Target="https://www.mosenergosbyt.ru/legals/tariffs-n-prices/more-10MW.php" TargetMode="External"/><Relationship Id="rId2" Type="http://schemas.openxmlformats.org/officeDocument/2006/relationships/hyperlink" Target="https://www.law.ru/article/25081-normy-tbo" TargetMode="External"/><Relationship Id="rId1" Type="http://schemas.openxmlformats.org/officeDocument/2006/relationships/hyperlink" Target="https://infopedia.su/7x2709.html" TargetMode="External"/><Relationship Id="rId6" Type="http://schemas.openxmlformats.org/officeDocument/2006/relationships/hyperlink" Target="https://www.mosenergosbyt.ru/legals/tariffs-n-prices/more-10MW.php" TargetMode="External"/><Relationship Id="rId11" Type="http://schemas.openxmlformats.org/officeDocument/2006/relationships/hyperlink" Target="https://www.law.ru/article/25081-normy-tbo" TargetMode="External"/><Relationship Id="rId5" Type="http://schemas.openxmlformats.org/officeDocument/2006/relationships/hyperlink" Target="https://www.law.ru/article/25081-normy-tbo" TargetMode="External"/><Relationship Id="rId10" Type="http://schemas.openxmlformats.org/officeDocument/2006/relationships/hyperlink" Target="https://infopedia.su/7x2709.html" TargetMode="External"/><Relationship Id="rId4" Type="http://schemas.openxmlformats.org/officeDocument/2006/relationships/hyperlink" Target="https://infopedia.su/7x2709.html" TargetMode="External"/><Relationship Id="rId9" Type="http://schemas.openxmlformats.org/officeDocument/2006/relationships/hyperlink" Target="https://www.mosenergosbyt.ru/legals/tariffs-n-prices/more-10MW.ph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w.ru/article/25081-normy-tbo" TargetMode="External"/><Relationship Id="rId3" Type="http://schemas.openxmlformats.org/officeDocument/2006/relationships/hyperlink" Target="https://www.mosenergosbyt.ru/legals/tariffs-n-prices/more-10MW.php" TargetMode="External"/><Relationship Id="rId7" Type="http://schemas.openxmlformats.org/officeDocument/2006/relationships/hyperlink" Target="https://infopedia.su/7x2709.html" TargetMode="External"/><Relationship Id="rId12" Type="http://schemas.openxmlformats.org/officeDocument/2006/relationships/hyperlink" Target="https://www.mosenergosbyt.ru/legals/tariffs-n-prices/more-10MW.php" TargetMode="External"/><Relationship Id="rId2" Type="http://schemas.openxmlformats.org/officeDocument/2006/relationships/hyperlink" Target="https://www.law.ru/article/25081-normy-tbo" TargetMode="External"/><Relationship Id="rId1" Type="http://schemas.openxmlformats.org/officeDocument/2006/relationships/hyperlink" Target="https://infopedia.su/7x2709.html" TargetMode="External"/><Relationship Id="rId6" Type="http://schemas.openxmlformats.org/officeDocument/2006/relationships/hyperlink" Target="https://www.mosenergosbyt.ru/legals/tariffs-n-prices/more-10MW.php" TargetMode="External"/><Relationship Id="rId11" Type="http://schemas.openxmlformats.org/officeDocument/2006/relationships/hyperlink" Target="https://www.law.ru/article/25081-normy-tbo" TargetMode="External"/><Relationship Id="rId5" Type="http://schemas.openxmlformats.org/officeDocument/2006/relationships/hyperlink" Target="https://www.law.ru/article/25081-normy-tbo" TargetMode="External"/><Relationship Id="rId10" Type="http://schemas.openxmlformats.org/officeDocument/2006/relationships/hyperlink" Target="https://infopedia.su/7x2709.html" TargetMode="External"/><Relationship Id="rId4" Type="http://schemas.openxmlformats.org/officeDocument/2006/relationships/hyperlink" Target="https://infopedia.su/7x2709.html" TargetMode="External"/><Relationship Id="rId9" Type="http://schemas.openxmlformats.org/officeDocument/2006/relationships/hyperlink" Target="https://www.mosenergosbyt.ru/legals/tariffs-n-prices/more-10M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L47"/>
  <sheetViews>
    <sheetView tabSelected="1" workbookViewId="0">
      <selection activeCell="H34" sqref="H34"/>
    </sheetView>
  </sheetViews>
  <sheetFormatPr defaultRowHeight="12.75" x14ac:dyDescent="0.2"/>
  <cols>
    <col min="1" max="1" width="3" style="81" bestFit="1" customWidth="1"/>
    <col min="2" max="2" width="38.85546875" style="87" customWidth="1"/>
    <col min="3" max="3" width="7.28515625" style="84" bestFit="1" customWidth="1"/>
    <col min="4" max="4" width="7" style="85" bestFit="1" customWidth="1"/>
    <col min="5" max="5" width="12" style="56" bestFit="1" customWidth="1"/>
    <col min="6" max="6" width="9.28515625" style="74" bestFit="1" customWidth="1"/>
    <col min="7" max="7" width="10.85546875" style="74" bestFit="1" customWidth="1"/>
    <col min="8" max="8" width="10.42578125" style="74" bestFit="1" customWidth="1"/>
    <col min="9" max="9" width="12.7109375" style="74" bestFit="1" customWidth="1"/>
    <col min="10" max="10" width="15.42578125" style="74" bestFit="1" customWidth="1"/>
    <col min="11" max="11" width="11.5703125" style="56" bestFit="1" customWidth="1"/>
    <col min="12" max="12" width="11.28515625" style="56" bestFit="1" customWidth="1"/>
    <col min="13" max="16384" width="9.140625" style="56"/>
  </cols>
  <sheetData>
    <row r="1" spans="1:12" s="48" customFormat="1" ht="38.25" x14ac:dyDescent="0.2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7" t="s">
        <v>10</v>
      </c>
      <c r="L1" s="47" t="s">
        <v>11</v>
      </c>
    </row>
    <row r="2" spans="1:12" x14ac:dyDescent="0.2">
      <c r="A2" s="49"/>
      <c r="B2" s="50" t="s">
        <v>71</v>
      </c>
      <c r="C2" s="51">
        <v>5</v>
      </c>
      <c r="D2" s="52"/>
      <c r="E2" s="53"/>
      <c r="F2" s="54"/>
      <c r="G2" s="54"/>
      <c r="H2" s="54"/>
      <c r="I2" s="54"/>
      <c r="J2" s="54"/>
      <c r="K2" s="55"/>
      <c r="L2" s="55"/>
    </row>
    <row r="3" spans="1:12" x14ac:dyDescent="0.2">
      <c r="A3" s="49">
        <v>1</v>
      </c>
      <c r="B3" s="57" t="s">
        <v>12</v>
      </c>
      <c r="C3" s="58">
        <f>C2</f>
        <v>5</v>
      </c>
      <c r="D3" s="52">
        <v>2999</v>
      </c>
      <c r="E3" s="53">
        <f t="shared" ref="E3:E8" si="0">C3*D3</f>
        <v>14995</v>
      </c>
      <c r="F3" s="54">
        <v>1.2</v>
      </c>
      <c r="G3" s="54">
        <v>0.6</v>
      </c>
      <c r="H3" s="54">
        <v>0.75</v>
      </c>
      <c r="I3" s="59">
        <f t="shared" ref="I3:I5" si="1">F3*G3*C3</f>
        <v>3.5999999999999996</v>
      </c>
      <c r="J3" s="54"/>
      <c r="K3" s="55"/>
      <c r="L3" s="55"/>
    </row>
    <row r="4" spans="1:12" x14ac:dyDescent="0.2">
      <c r="A4" s="49">
        <v>2</v>
      </c>
      <c r="B4" s="57" t="s">
        <v>13</v>
      </c>
      <c r="C4" s="58">
        <f>C2</f>
        <v>5</v>
      </c>
      <c r="D4" s="52">
        <v>1502</v>
      </c>
      <c r="E4" s="53">
        <f t="shared" si="0"/>
        <v>7510</v>
      </c>
      <c r="F4" s="54">
        <v>0.83</v>
      </c>
      <c r="G4" s="54">
        <v>0.49</v>
      </c>
      <c r="H4" s="54">
        <v>0.56000000000000005</v>
      </c>
      <c r="I4" s="59">
        <f t="shared" si="1"/>
        <v>2.0334999999999996</v>
      </c>
      <c r="J4" s="54"/>
      <c r="K4" s="55"/>
      <c r="L4" s="55"/>
    </row>
    <row r="5" spans="1:12" x14ac:dyDescent="0.2">
      <c r="A5" s="49">
        <v>3</v>
      </c>
      <c r="B5" s="57" t="s">
        <v>14</v>
      </c>
      <c r="C5" s="58">
        <f>C4</f>
        <v>5</v>
      </c>
      <c r="D5" s="52">
        <v>2860</v>
      </c>
      <c r="E5" s="53">
        <f t="shared" si="0"/>
        <v>14300</v>
      </c>
      <c r="F5" s="54">
        <v>0.9</v>
      </c>
      <c r="G5" s="54">
        <v>0.3</v>
      </c>
      <c r="H5" s="54">
        <v>1.75</v>
      </c>
      <c r="I5" s="59">
        <f t="shared" si="1"/>
        <v>1.35</v>
      </c>
      <c r="J5" s="54"/>
      <c r="K5" s="55"/>
      <c r="L5" s="55"/>
    </row>
    <row r="6" spans="1:12" x14ac:dyDescent="0.2">
      <c r="A6" s="49">
        <v>4</v>
      </c>
      <c r="B6" s="57" t="s">
        <v>15</v>
      </c>
      <c r="C6" s="58">
        <f>C2</f>
        <v>5</v>
      </c>
      <c r="D6" s="52">
        <v>15899</v>
      </c>
      <c r="E6" s="53">
        <f t="shared" si="0"/>
        <v>79495</v>
      </c>
      <c r="F6" s="54"/>
      <c r="G6" s="54"/>
      <c r="H6" s="54"/>
      <c r="I6" s="54"/>
      <c r="J6" s="54">
        <v>220</v>
      </c>
      <c r="K6" s="55">
        <v>0.5</v>
      </c>
      <c r="L6" s="55">
        <f>C6*K6</f>
        <v>2.5</v>
      </c>
    </row>
    <row r="7" spans="1:12" x14ac:dyDescent="0.2">
      <c r="A7" s="49">
        <v>5</v>
      </c>
      <c r="B7" s="57" t="s">
        <v>16</v>
      </c>
      <c r="C7" s="58">
        <f>C2</f>
        <v>5</v>
      </c>
      <c r="D7" s="52">
        <v>7499</v>
      </c>
      <c r="E7" s="53">
        <f t="shared" si="0"/>
        <v>37495</v>
      </c>
      <c r="F7" s="54"/>
      <c r="G7" s="54"/>
      <c r="H7" s="54"/>
      <c r="I7" s="54"/>
      <c r="J7" s="54">
        <v>220</v>
      </c>
      <c r="K7" s="55">
        <v>0.5</v>
      </c>
      <c r="L7" s="55">
        <f t="shared" ref="L7:L8" si="2">C7*K7</f>
        <v>2.5</v>
      </c>
    </row>
    <row r="8" spans="1:12" x14ac:dyDescent="0.2">
      <c r="A8" s="49">
        <v>6</v>
      </c>
      <c r="B8" s="57" t="s">
        <v>17</v>
      </c>
      <c r="C8" s="58">
        <v>1</v>
      </c>
      <c r="D8" s="52">
        <v>12499</v>
      </c>
      <c r="E8" s="53">
        <f t="shared" si="0"/>
        <v>12499</v>
      </c>
      <c r="F8" s="54"/>
      <c r="G8" s="54"/>
      <c r="H8" s="54"/>
      <c r="I8" s="54"/>
      <c r="J8" s="54">
        <v>220</v>
      </c>
      <c r="K8" s="55">
        <v>0.5</v>
      </c>
      <c r="L8" s="55">
        <f t="shared" si="2"/>
        <v>0.5</v>
      </c>
    </row>
    <row r="9" spans="1:12" x14ac:dyDescent="0.2">
      <c r="A9" s="49">
        <v>7</v>
      </c>
      <c r="B9" s="60" t="s">
        <v>21</v>
      </c>
      <c r="C9" s="61"/>
      <c r="D9" s="62"/>
      <c r="E9" s="63">
        <f>SUM(E3:E8)</f>
        <v>166294</v>
      </c>
      <c r="F9" s="60"/>
      <c r="G9" s="60"/>
      <c r="H9" s="60"/>
      <c r="I9" s="64">
        <f>SUM(I3:I8)</f>
        <v>6.9834999999999994</v>
      </c>
      <c r="J9" s="60">
        <v>220</v>
      </c>
      <c r="K9" s="65"/>
      <c r="L9" s="65">
        <f>SUM(L3:L8)</f>
        <v>5.5</v>
      </c>
    </row>
    <row r="10" spans="1:12" x14ac:dyDescent="0.2">
      <c r="A10" s="49"/>
      <c r="B10" s="66"/>
      <c r="C10" s="67"/>
      <c r="D10" s="52"/>
      <c r="E10" s="53"/>
      <c r="F10" s="54"/>
      <c r="G10" s="54"/>
      <c r="H10" s="54"/>
      <c r="I10" s="54"/>
      <c r="J10" s="54"/>
      <c r="K10" s="55"/>
      <c r="L10" s="55"/>
    </row>
    <row r="11" spans="1:12" x14ac:dyDescent="0.2">
      <c r="A11" s="49"/>
      <c r="B11" s="50" t="s">
        <v>19</v>
      </c>
      <c r="C11" s="51">
        <v>2</v>
      </c>
      <c r="D11" s="52"/>
      <c r="E11" s="53"/>
      <c r="F11" s="54"/>
      <c r="G11" s="54"/>
      <c r="H11" s="54"/>
      <c r="I11" s="54"/>
      <c r="J11" s="54"/>
      <c r="K11" s="55"/>
      <c r="L11" s="55"/>
    </row>
    <row r="12" spans="1:12" x14ac:dyDescent="0.2">
      <c r="A12" s="49">
        <v>3</v>
      </c>
      <c r="B12" s="57" t="s">
        <v>12</v>
      </c>
      <c r="C12" s="58">
        <f>C11</f>
        <v>2</v>
      </c>
      <c r="D12" s="52">
        <v>2999</v>
      </c>
      <c r="E12" s="53">
        <f t="shared" ref="E12:E17" si="3">C12*D12</f>
        <v>5998</v>
      </c>
      <c r="F12" s="54">
        <v>1.2</v>
      </c>
      <c r="G12" s="54">
        <v>0.6</v>
      </c>
      <c r="H12" s="54">
        <v>0.75</v>
      </c>
      <c r="I12" s="59">
        <f t="shared" ref="I12:I14" si="4">F12*G12*C12</f>
        <v>1.44</v>
      </c>
      <c r="J12" s="54"/>
      <c r="K12" s="55"/>
      <c r="L12" s="55"/>
    </row>
    <row r="13" spans="1:12" x14ac:dyDescent="0.2">
      <c r="A13" s="49">
        <v>4</v>
      </c>
      <c r="B13" s="57" t="s">
        <v>13</v>
      </c>
      <c r="C13" s="58">
        <f>C11</f>
        <v>2</v>
      </c>
      <c r="D13" s="52">
        <v>1502</v>
      </c>
      <c r="E13" s="53">
        <f t="shared" si="3"/>
        <v>3004</v>
      </c>
      <c r="F13" s="54">
        <v>0.83</v>
      </c>
      <c r="G13" s="54">
        <v>0.49</v>
      </c>
      <c r="H13" s="54">
        <v>0.56000000000000005</v>
      </c>
      <c r="I13" s="59">
        <f t="shared" si="4"/>
        <v>0.8133999999999999</v>
      </c>
      <c r="J13" s="54"/>
      <c r="K13" s="55"/>
      <c r="L13" s="55"/>
    </row>
    <row r="14" spans="1:12" x14ac:dyDescent="0.2">
      <c r="A14" s="49">
        <v>5</v>
      </c>
      <c r="B14" s="57" t="s">
        <v>14</v>
      </c>
      <c r="C14" s="58">
        <f>C13</f>
        <v>2</v>
      </c>
      <c r="D14" s="52">
        <v>2860</v>
      </c>
      <c r="E14" s="53">
        <f t="shared" si="3"/>
        <v>5720</v>
      </c>
      <c r="F14" s="54">
        <v>0.9</v>
      </c>
      <c r="G14" s="54">
        <v>0.3</v>
      </c>
      <c r="H14" s="54">
        <v>1.75</v>
      </c>
      <c r="I14" s="59">
        <f t="shared" si="4"/>
        <v>0.54</v>
      </c>
      <c r="J14" s="54"/>
      <c r="K14" s="55"/>
      <c r="L14" s="55"/>
    </row>
    <row r="15" spans="1:12" x14ac:dyDescent="0.2">
      <c r="A15" s="49">
        <v>6</v>
      </c>
      <c r="B15" s="57" t="s">
        <v>15</v>
      </c>
      <c r="C15" s="58">
        <f>C11</f>
        <v>2</v>
      </c>
      <c r="D15" s="52">
        <v>15899</v>
      </c>
      <c r="E15" s="53">
        <f t="shared" si="3"/>
        <v>31798</v>
      </c>
      <c r="F15" s="54"/>
      <c r="G15" s="54"/>
      <c r="H15" s="54"/>
      <c r="I15" s="54"/>
      <c r="J15" s="54">
        <v>220</v>
      </c>
      <c r="K15" s="55">
        <v>0.5</v>
      </c>
      <c r="L15" s="55">
        <f>C15*K15</f>
        <v>1</v>
      </c>
    </row>
    <row r="16" spans="1:12" x14ac:dyDescent="0.2">
      <c r="A16" s="49">
        <v>7</v>
      </c>
      <c r="B16" s="57" t="s">
        <v>16</v>
      </c>
      <c r="C16" s="58">
        <f>C11</f>
        <v>2</v>
      </c>
      <c r="D16" s="52">
        <v>7499</v>
      </c>
      <c r="E16" s="53">
        <f t="shared" si="3"/>
        <v>14998</v>
      </c>
      <c r="F16" s="54"/>
      <c r="G16" s="54"/>
      <c r="H16" s="54"/>
      <c r="I16" s="54"/>
      <c r="J16" s="54">
        <v>220</v>
      </c>
      <c r="K16" s="55">
        <v>0.5</v>
      </c>
      <c r="L16" s="55">
        <f t="shared" ref="L16:L17" si="5">C16*K16</f>
        <v>1</v>
      </c>
    </row>
    <row r="17" spans="1:12" x14ac:dyDescent="0.2">
      <c r="A17" s="49">
        <v>8</v>
      </c>
      <c r="B17" s="57" t="s">
        <v>17</v>
      </c>
      <c r="C17" s="58">
        <v>1</v>
      </c>
      <c r="D17" s="52">
        <v>12499</v>
      </c>
      <c r="E17" s="53">
        <f t="shared" si="3"/>
        <v>12499</v>
      </c>
      <c r="F17" s="54"/>
      <c r="G17" s="54"/>
      <c r="H17" s="54"/>
      <c r="I17" s="54"/>
      <c r="J17" s="54">
        <v>220</v>
      </c>
      <c r="K17" s="55">
        <v>0.5</v>
      </c>
      <c r="L17" s="55">
        <f t="shared" si="5"/>
        <v>0.5</v>
      </c>
    </row>
    <row r="18" spans="1:12" x14ac:dyDescent="0.2">
      <c r="A18" s="49">
        <v>9</v>
      </c>
      <c r="B18" s="60" t="s">
        <v>21</v>
      </c>
      <c r="C18" s="61"/>
      <c r="D18" s="62"/>
      <c r="E18" s="63">
        <f>SUM(E12:E17)</f>
        <v>74017</v>
      </c>
      <c r="F18" s="60"/>
      <c r="G18" s="60"/>
      <c r="H18" s="60"/>
      <c r="I18" s="64">
        <f>SUM(I12:I17)</f>
        <v>2.7934000000000001</v>
      </c>
      <c r="J18" s="60">
        <v>220</v>
      </c>
      <c r="K18" s="65"/>
      <c r="L18" s="65">
        <f>SUM(L12:L17)</f>
        <v>2.5</v>
      </c>
    </row>
    <row r="19" spans="1:12" x14ac:dyDescent="0.2">
      <c r="A19" s="49"/>
      <c r="B19" s="66"/>
      <c r="C19" s="67"/>
      <c r="D19" s="52"/>
      <c r="E19" s="53"/>
      <c r="F19" s="54"/>
      <c r="G19" s="54"/>
      <c r="H19" s="54"/>
      <c r="I19" s="54"/>
      <c r="J19" s="54"/>
      <c r="K19" s="55"/>
      <c r="L19" s="55"/>
    </row>
    <row r="20" spans="1:12" x14ac:dyDescent="0.2">
      <c r="A20" s="49"/>
      <c r="B20" s="50" t="s">
        <v>20</v>
      </c>
      <c r="C20" s="51">
        <v>5</v>
      </c>
      <c r="D20" s="52"/>
      <c r="E20" s="53"/>
      <c r="F20" s="54"/>
      <c r="G20" s="54"/>
      <c r="H20" s="54"/>
      <c r="I20" s="54"/>
      <c r="J20" s="54"/>
      <c r="K20" s="55"/>
      <c r="L20" s="55"/>
    </row>
    <row r="21" spans="1:12" x14ac:dyDescent="0.2">
      <c r="A21" s="49">
        <v>5</v>
      </c>
      <c r="B21" s="57" t="s">
        <v>12</v>
      </c>
      <c r="C21" s="58">
        <f>C20</f>
        <v>5</v>
      </c>
      <c r="D21" s="52">
        <v>2999</v>
      </c>
      <c r="E21" s="53">
        <f t="shared" ref="E21:E26" si="6">C21*D21</f>
        <v>14995</v>
      </c>
      <c r="F21" s="54">
        <v>1.2</v>
      </c>
      <c r="G21" s="54">
        <v>0.6</v>
      </c>
      <c r="H21" s="54">
        <v>0.75</v>
      </c>
      <c r="I21" s="59">
        <f t="shared" ref="I21:I23" si="7">F21*G21*C21</f>
        <v>3.5999999999999996</v>
      </c>
      <c r="J21" s="54"/>
      <c r="K21" s="55"/>
      <c r="L21" s="55"/>
    </row>
    <row r="22" spans="1:12" x14ac:dyDescent="0.2">
      <c r="A22" s="49">
        <v>6</v>
      </c>
      <c r="B22" s="57" t="s">
        <v>13</v>
      </c>
      <c r="C22" s="58">
        <f>C20</f>
        <v>5</v>
      </c>
      <c r="D22" s="52">
        <v>1502</v>
      </c>
      <c r="E22" s="53">
        <f t="shared" si="6"/>
        <v>7510</v>
      </c>
      <c r="F22" s="54">
        <v>0.83</v>
      </c>
      <c r="G22" s="54">
        <v>0.49</v>
      </c>
      <c r="H22" s="54">
        <v>0.56000000000000005</v>
      </c>
      <c r="I22" s="59">
        <f t="shared" si="7"/>
        <v>2.0334999999999996</v>
      </c>
      <c r="J22" s="54"/>
      <c r="K22" s="55"/>
      <c r="L22" s="55"/>
    </row>
    <row r="23" spans="1:12" x14ac:dyDescent="0.2">
      <c r="A23" s="49">
        <v>7</v>
      </c>
      <c r="B23" s="57" t="s">
        <v>14</v>
      </c>
      <c r="C23" s="58">
        <f>C22</f>
        <v>5</v>
      </c>
      <c r="D23" s="52">
        <v>2860</v>
      </c>
      <c r="E23" s="53">
        <f t="shared" si="6"/>
        <v>14300</v>
      </c>
      <c r="F23" s="54">
        <v>0.9</v>
      </c>
      <c r="G23" s="54">
        <v>0.3</v>
      </c>
      <c r="H23" s="54">
        <v>1.75</v>
      </c>
      <c r="I23" s="59">
        <f t="shared" si="7"/>
        <v>1.35</v>
      </c>
      <c r="J23" s="54"/>
      <c r="K23" s="55"/>
      <c r="L23" s="55"/>
    </row>
    <row r="24" spans="1:12" x14ac:dyDescent="0.2">
      <c r="A24" s="49">
        <v>8</v>
      </c>
      <c r="B24" s="57" t="s">
        <v>15</v>
      </c>
      <c r="C24" s="58">
        <f>C20</f>
        <v>5</v>
      </c>
      <c r="D24" s="52">
        <v>15899</v>
      </c>
      <c r="E24" s="53">
        <f t="shared" si="6"/>
        <v>79495</v>
      </c>
      <c r="F24" s="54"/>
      <c r="G24" s="54"/>
      <c r="H24" s="54"/>
      <c r="I24" s="54"/>
      <c r="J24" s="54">
        <v>220</v>
      </c>
      <c r="K24" s="55">
        <v>0.5</v>
      </c>
      <c r="L24" s="55">
        <f>C24*K24</f>
        <v>2.5</v>
      </c>
    </row>
    <row r="25" spans="1:12" x14ac:dyDescent="0.2">
      <c r="A25" s="49">
        <v>9</v>
      </c>
      <c r="B25" s="57" t="s">
        <v>16</v>
      </c>
      <c r="C25" s="58">
        <f>C20</f>
        <v>5</v>
      </c>
      <c r="D25" s="52">
        <v>7499</v>
      </c>
      <c r="E25" s="53">
        <f t="shared" si="6"/>
        <v>37495</v>
      </c>
      <c r="F25" s="54"/>
      <c r="G25" s="54"/>
      <c r="H25" s="54"/>
      <c r="I25" s="54"/>
      <c r="J25" s="54">
        <v>220</v>
      </c>
      <c r="K25" s="55">
        <v>0.5</v>
      </c>
      <c r="L25" s="55">
        <f t="shared" ref="L25:L26" si="8">C25*K25</f>
        <v>2.5</v>
      </c>
    </row>
    <row r="26" spans="1:12" x14ac:dyDescent="0.2">
      <c r="A26" s="49">
        <v>10</v>
      </c>
      <c r="B26" s="57" t="s">
        <v>17</v>
      </c>
      <c r="C26" s="68">
        <f>C20/5</f>
        <v>1</v>
      </c>
      <c r="D26" s="52">
        <v>12499</v>
      </c>
      <c r="E26" s="53">
        <f t="shared" si="6"/>
        <v>12499</v>
      </c>
      <c r="F26" s="54"/>
      <c r="G26" s="54"/>
      <c r="H26" s="54"/>
      <c r="I26" s="54"/>
      <c r="J26" s="54">
        <v>220</v>
      </c>
      <c r="K26" s="55">
        <v>0.5</v>
      </c>
      <c r="L26" s="55">
        <f t="shared" si="8"/>
        <v>0.5</v>
      </c>
    </row>
    <row r="27" spans="1:12" x14ac:dyDescent="0.2">
      <c r="A27" s="49">
        <v>11</v>
      </c>
      <c r="B27" s="60" t="s">
        <v>21</v>
      </c>
      <c r="C27" s="61"/>
      <c r="D27" s="62"/>
      <c r="E27" s="63">
        <f>SUM(E21:E26)</f>
        <v>166294</v>
      </c>
      <c r="F27" s="60"/>
      <c r="G27" s="60"/>
      <c r="H27" s="60"/>
      <c r="I27" s="64">
        <f>SUM(I21:I26)</f>
        <v>6.9834999999999994</v>
      </c>
      <c r="J27" s="60">
        <v>220</v>
      </c>
      <c r="K27" s="65"/>
      <c r="L27" s="65">
        <f>SUM(L21:L26)</f>
        <v>5.5</v>
      </c>
    </row>
    <row r="28" spans="1:12" x14ac:dyDescent="0.2">
      <c r="A28" s="49"/>
      <c r="B28" s="66"/>
      <c r="C28" s="67"/>
      <c r="D28" s="52"/>
      <c r="E28" s="53"/>
      <c r="F28" s="54"/>
      <c r="G28" s="54"/>
      <c r="H28" s="54"/>
      <c r="I28" s="54"/>
      <c r="J28" s="54"/>
      <c r="K28" s="55"/>
      <c r="L28" s="55"/>
    </row>
    <row r="29" spans="1:12" s="73" customFormat="1" x14ac:dyDescent="0.2">
      <c r="A29" s="49">
        <v>12</v>
      </c>
      <c r="B29" s="125" t="s">
        <v>22</v>
      </c>
      <c r="C29" s="125"/>
      <c r="D29" s="125"/>
      <c r="E29" s="62">
        <f>E9+E18+E27</f>
        <v>406605</v>
      </c>
      <c r="F29" s="60"/>
      <c r="G29" s="60"/>
      <c r="H29" s="60"/>
      <c r="I29" s="69">
        <f>I9+I18+I27</f>
        <v>16.760399999999997</v>
      </c>
      <c r="J29" s="70">
        <v>220</v>
      </c>
      <c r="K29" s="71"/>
      <c r="L29" s="72">
        <f>L9+L18+L27</f>
        <v>13.5</v>
      </c>
    </row>
    <row r="30" spans="1:12" x14ac:dyDescent="0.2">
      <c r="A30" s="49">
        <v>13</v>
      </c>
      <c r="B30" s="126" t="s">
        <v>23</v>
      </c>
      <c r="C30" s="126"/>
      <c r="D30" s="126"/>
      <c r="E30" s="52">
        <f>E29*5%</f>
        <v>20330.25</v>
      </c>
    </row>
    <row r="31" spans="1:12" x14ac:dyDescent="0.2">
      <c r="A31" s="49">
        <v>14</v>
      </c>
      <c r="B31" s="127" t="s">
        <v>24</v>
      </c>
      <c r="C31" s="128"/>
      <c r="D31" s="129"/>
      <c r="E31" s="52">
        <f>E29*5%</f>
        <v>20330.25</v>
      </c>
    </row>
    <row r="32" spans="1:12" s="78" customFormat="1" x14ac:dyDescent="0.2">
      <c r="A32" s="75">
        <v>15</v>
      </c>
      <c r="B32" s="130" t="s">
        <v>18</v>
      </c>
      <c r="C32" s="130"/>
      <c r="D32" s="130"/>
      <c r="E32" s="76">
        <f>SUM(E29:E31)</f>
        <v>447265.5</v>
      </c>
      <c r="F32" s="77"/>
      <c r="G32" s="77"/>
      <c r="H32" s="77"/>
      <c r="I32" s="77"/>
      <c r="J32" s="77"/>
    </row>
    <row r="33" spans="1:12" s="78" customFormat="1" x14ac:dyDescent="0.2">
      <c r="A33" s="79"/>
      <c r="B33" s="77"/>
      <c r="C33" s="77"/>
      <c r="D33" s="77"/>
      <c r="E33" s="80"/>
      <c r="F33" s="77"/>
      <c r="G33" s="77"/>
      <c r="H33" s="77"/>
      <c r="I33" s="77"/>
      <c r="J33" s="77"/>
    </row>
    <row r="34" spans="1:12" x14ac:dyDescent="0.2">
      <c r="B34" s="73"/>
      <c r="C34" s="82"/>
      <c r="D34" s="83"/>
      <c r="E34" s="73"/>
      <c r="F34" s="83"/>
      <c r="G34" s="83"/>
      <c r="H34" s="83"/>
      <c r="I34" s="83"/>
      <c r="J34" s="83"/>
      <c r="K34" s="73"/>
      <c r="L34" s="73"/>
    </row>
    <row r="35" spans="1:12" x14ac:dyDescent="0.2">
      <c r="A35" s="48"/>
      <c r="B35" s="56"/>
      <c r="E35" s="86"/>
      <c r="F35" s="85"/>
      <c r="G35" s="85"/>
      <c r="H35" s="85"/>
      <c r="I35" s="85"/>
      <c r="J35" s="85"/>
    </row>
    <row r="36" spans="1:12" x14ac:dyDescent="0.2">
      <c r="A36" s="48"/>
      <c r="B36" s="56"/>
      <c r="E36" s="86"/>
      <c r="F36" s="85"/>
      <c r="G36" s="85"/>
      <c r="H36" s="85"/>
      <c r="I36" s="85"/>
      <c r="J36" s="85"/>
    </row>
    <row r="37" spans="1:12" x14ac:dyDescent="0.2">
      <c r="A37" s="48"/>
      <c r="B37" s="56"/>
      <c r="F37" s="85"/>
      <c r="G37" s="85"/>
      <c r="H37" s="85"/>
      <c r="I37" s="85"/>
      <c r="J37" s="85"/>
    </row>
    <row r="38" spans="1:12" x14ac:dyDescent="0.2">
      <c r="A38" s="48"/>
      <c r="B38" s="56"/>
      <c r="F38" s="85"/>
      <c r="G38" s="85"/>
      <c r="H38" s="85"/>
      <c r="I38" s="85"/>
      <c r="J38" s="85"/>
    </row>
    <row r="39" spans="1:12" x14ac:dyDescent="0.2">
      <c r="A39" s="48"/>
      <c r="B39" s="73"/>
      <c r="F39" s="85"/>
      <c r="G39" s="85"/>
      <c r="H39" s="85"/>
      <c r="I39" s="85"/>
      <c r="J39" s="85"/>
    </row>
    <row r="40" spans="1:12" x14ac:dyDescent="0.2">
      <c r="A40" s="48"/>
      <c r="B40" s="56"/>
      <c r="F40" s="85"/>
      <c r="G40" s="85"/>
      <c r="H40" s="85"/>
      <c r="I40" s="85"/>
      <c r="J40" s="85"/>
    </row>
    <row r="41" spans="1:12" x14ac:dyDescent="0.2">
      <c r="A41" s="48"/>
      <c r="B41" s="56"/>
      <c r="F41" s="85"/>
      <c r="G41" s="85"/>
      <c r="H41" s="85"/>
      <c r="I41" s="85"/>
      <c r="J41" s="85"/>
    </row>
    <row r="42" spans="1:12" x14ac:dyDescent="0.2">
      <c r="A42" s="48"/>
      <c r="B42" s="56"/>
      <c r="F42" s="85"/>
      <c r="G42" s="85"/>
      <c r="H42" s="85"/>
      <c r="I42" s="85"/>
      <c r="J42" s="85"/>
    </row>
    <row r="43" spans="1:12" x14ac:dyDescent="0.2">
      <c r="A43" s="48"/>
      <c r="B43" s="56"/>
      <c r="F43" s="85"/>
      <c r="G43" s="85"/>
      <c r="H43" s="85"/>
      <c r="I43" s="85"/>
      <c r="J43" s="85"/>
    </row>
    <row r="44" spans="1:12" x14ac:dyDescent="0.2">
      <c r="A44" s="48"/>
      <c r="B44" s="56"/>
      <c r="F44" s="85"/>
      <c r="G44" s="85"/>
      <c r="H44" s="85"/>
      <c r="I44" s="85"/>
      <c r="J44" s="85"/>
    </row>
    <row r="45" spans="1:12" x14ac:dyDescent="0.2">
      <c r="A45" s="48"/>
      <c r="B45" s="56"/>
      <c r="F45" s="85"/>
      <c r="G45" s="85"/>
      <c r="H45" s="85"/>
      <c r="I45" s="85"/>
      <c r="J45" s="85"/>
    </row>
    <row r="46" spans="1:12" x14ac:dyDescent="0.2">
      <c r="A46" s="48"/>
      <c r="B46" s="56"/>
      <c r="F46" s="85"/>
      <c r="G46" s="85"/>
      <c r="H46" s="85"/>
      <c r="I46" s="85"/>
      <c r="J46" s="85"/>
    </row>
    <row r="47" spans="1:12" x14ac:dyDescent="0.2">
      <c r="A47" s="48"/>
      <c r="B47" s="56"/>
      <c r="F47" s="85"/>
      <c r="G47" s="85"/>
      <c r="H47" s="85"/>
      <c r="I47" s="85"/>
      <c r="J47" s="85"/>
    </row>
  </sheetData>
  <mergeCells count="4">
    <mergeCell ref="B29:D29"/>
    <mergeCell ref="B30:D30"/>
    <mergeCell ref="B31:D31"/>
    <mergeCell ref="B32:D32"/>
  </mergeCells>
  <hyperlinks>
    <hyperlink ref="B3" r:id="rId1" xr:uid="{494028BE-2DD5-4035-82E3-434CB878AEAC}"/>
    <hyperlink ref="B4" r:id="rId2" location="searchQuery=офисный+стул&amp;searchType=srp" xr:uid="{74794BE8-9E81-4594-A826-D65A1EB58418}"/>
    <hyperlink ref="B5" r:id="rId3" xr:uid="{0610C998-1C28-454D-B6BF-177BD99A9371}"/>
    <hyperlink ref="B6" r:id="rId4" xr:uid="{6E32BD30-13B6-4664-9015-235D212784F4}"/>
    <hyperlink ref="B7" r:id="rId5" xr:uid="{BCD819B4-CFFC-4968-9AD3-FB2F4B547595}"/>
    <hyperlink ref="B8" r:id="rId6" xr:uid="{6BFF11BC-E1E0-4F20-BB44-4B7B332331FA}"/>
    <hyperlink ref="B12" r:id="rId7" xr:uid="{F0E64A25-EF99-4C3D-8E32-5E5E0A323884}"/>
    <hyperlink ref="B13" r:id="rId8" location="searchQuery=офисный+стул&amp;searchType=srp" xr:uid="{535F267F-072A-4436-BDD8-D89C069503DB}"/>
    <hyperlink ref="B14" r:id="rId9" xr:uid="{612FFCDD-C772-4E00-B000-61F217A59706}"/>
    <hyperlink ref="B15" r:id="rId10" xr:uid="{F74A0FA9-405D-464C-AB21-03CE24A3363C}"/>
    <hyperlink ref="B16" r:id="rId11" xr:uid="{A0EE0AC9-2F5E-4009-B4A4-1101920EA635}"/>
    <hyperlink ref="B17" r:id="rId12" xr:uid="{CD0D0009-AEDB-458E-BA3D-AE8A29EB1F80}"/>
    <hyperlink ref="B21" r:id="rId13" xr:uid="{D9A0C9F0-D413-41E5-A9D4-A75F34236050}"/>
    <hyperlink ref="B22" r:id="rId14" location="searchQuery=офисный+стул&amp;searchType=srp" xr:uid="{87957E28-F9A3-4DC7-8DC7-A8CF987557F1}"/>
    <hyperlink ref="B23" r:id="rId15" xr:uid="{CFDA040D-8B5F-4012-BF3A-FA844821888D}"/>
    <hyperlink ref="B24" r:id="rId16" xr:uid="{21E2B3C5-3001-47F9-9802-DBE050A2E856}"/>
    <hyperlink ref="B25" r:id="rId17" xr:uid="{6B9AF145-A475-464D-8140-9DDCC7D5D004}"/>
    <hyperlink ref="B26" r:id="rId18" xr:uid="{3A5C6502-547B-42BB-B119-E01CAE3A72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E5EF-ED63-4685-A317-9F8B2B8B5D0B}">
  <sheetPr>
    <tabColor rgb="FF00B050"/>
  </sheetPr>
  <dimension ref="A1:K33"/>
  <sheetViews>
    <sheetView workbookViewId="0">
      <selection sqref="A1:D33"/>
    </sheetView>
  </sheetViews>
  <sheetFormatPr defaultRowHeight="12.75" x14ac:dyDescent="0.2"/>
  <cols>
    <col min="1" max="1" width="4.5703125" style="81" customWidth="1"/>
    <col min="2" max="2" width="51" style="87" customWidth="1"/>
    <col min="3" max="3" width="13.5703125" style="87" customWidth="1"/>
    <col min="4" max="4" width="19.140625" style="74" customWidth="1"/>
    <col min="5" max="5" width="9.140625" style="88"/>
    <col min="6" max="10" width="23.5703125" style="88" customWidth="1"/>
    <col min="11" max="17" width="46.85546875" style="88" customWidth="1"/>
    <col min="18" max="16384" width="9.140625" style="88"/>
  </cols>
  <sheetData>
    <row r="1" spans="1:11" ht="38.25" x14ac:dyDescent="0.2">
      <c r="A1" s="46" t="s">
        <v>0</v>
      </c>
      <c r="B1" s="46" t="s">
        <v>25</v>
      </c>
      <c r="C1" s="46" t="s">
        <v>26</v>
      </c>
      <c r="D1" s="46" t="s">
        <v>27</v>
      </c>
    </row>
    <row r="2" spans="1:11" x14ac:dyDescent="0.2">
      <c r="A2" s="2">
        <v>1</v>
      </c>
      <c r="B2" s="50" t="s">
        <v>71</v>
      </c>
      <c r="C2" s="46">
        <f>'Оборудование и мебель'!C2</f>
        <v>5</v>
      </c>
      <c r="D2" s="89">
        <f>SUM(D3:D5)</f>
        <v>26.5336</v>
      </c>
      <c r="F2" s="131"/>
      <c r="G2" s="132"/>
      <c r="H2" s="132"/>
      <c r="I2" s="132"/>
      <c r="J2" s="132"/>
      <c r="K2" s="132"/>
    </row>
    <row r="3" spans="1:11" x14ac:dyDescent="0.2">
      <c r="A3" s="2">
        <v>2</v>
      </c>
      <c r="B3" s="67" t="s">
        <v>36</v>
      </c>
      <c r="C3" s="2"/>
      <c r="D3" s="5">
        <f>'Оборудование и мебель'!I9</f>
        <v>6.9834999999999994</v>
      </c>
      <c r="F3" s="131"/>
      <c r="G3" s="90"/>
      <c r="H3" s="90"/>
      <c r="I3" s="90"/>
      <c r="J3" s="90"/>
      <c r="K3" s="90"/>
    </row>
    <row r="4" spans="1:11" x14ac:dyDescent="0.2">
      <c r="A4" s="2">
        <v>3</v>
      </c>
      <c r="B4" s="67" t="s">
        <v>28</v>
      </c>
      <c r="C4" s="2"/>
      <c r="D4" s="2">
        <f>C2*1.2*1.6</f>
        <v>9.6000000000000014</v>
      </c>
      <c r="F4" s="90"/>
      <c r="G4" s="90"/>
      <c r="H4" s="90"/>
      <c r="I4" s="90"/>
      <c r="J4" s="91"/>
      <c r="K4" s="90"/>
    </row>
    <row r="5" spans="1:11" x14ac:dyDescent="0.2">
      <c r="A5" s="2">
        <v>4</v>
      </c>
      <c r="B5" s="67" t="s">
        <v>29</v>
      </c>
      <c r="C5" s="2"/>
      <c r="D5" s="5">
        <f>(D4+D3)*0.6</f>
        <v>9.9501000000000008</v>
      </c>
      <c r="F5" s="90"/>
      <c r="G5" s="92"/>
      <c r="H5" s="91"/>
      <c r="I5" s="90"/>
      <c r="J5" s="90"/>
      <c r="K5" s="90"/>
    </row>
    <row r="6" spans="1:11" x14ac:dyDescent="0.2">
      <c r="A6" s="2"/>
      <c r="B6" s="56"/>
      <c r="C6" s="2"/>
      <c r="D6" s="93"/>
      <c r="F6" s="90"/>
      <c r="G6" s="90"/>
      <c r="H6" s="90"/>
      <c r="I6" s="90"/>
      <c r="J6" s="90"/>
      <c r="K6" s="90"/>
    </row>
    <row r="7" spans="1:11" x14ac:dyDescent="0.2">
      <c r="A7" s="2">
        <v>5</v>
      </c>
      <c r="B7" s="50" t="s">
        <v>19</v>
      </c>
      <c r="C7" s="46">
        <f>'Оборудование и мебель'!C11</f>
        <v>2</v>
      </c>
      <c r="D7" s="94">
        <f>SUM(D8:D10)</f>
        <v>10.613440000000001</v>
      </c>
    </row>
    <row r="8" spans="1:11" x14ac:dyDescent="0.2">
      <c r="A8" s="2">
        <v>6</v>
      </c>
      <c r="B8" s="67" t="s">
        <v>36</v>
      </c>
      <c r="C8" s="2"/>
      <c r="D8" s="5">
        <f>'Оборудование и мебель'!I18</f>
        <v>2.7934000000000001</v>
      </c>
    </row>
    <row r="9" spans="1:11" x14ac:dyDescent="0.2">
      <c r="A9" s="2">
        <v>7</v>
      </c>
      <c r="B9" s="67" t="s">
        <v>28</v>
      </c>
      <c r="C9" s="2"/>
      <c r="D9" s="2">
        <f>C7*1.2*1.6</f>
        <v>3.84</v>
      </c>
    </row>
    <row r="10" spans="1:11" x14ac:dyDescent="0.2">
      <c r="A10" s="2">
        <v>8</v>
      </c>
      <c r="B10" s="67" t="s">
        <v>29</v>
      </c>
      <c r="C10" s="2"/>
      <c r="D10" s="5">
        <f>(D9+D8)*0.6</f>
        <v>3.9800399999999998</v>
      </c>
    </row>
    <row r="11" spans="1:11" x14ac:dyDescent="0.2">
      <c r="A11" s="2"/>
      <c r="B11" s="67"/>
      <c r="C11" s="2"/>
      <c r="D11" s="93"/>
    </row>
    <row r="12" spans="1:11" x14ac:dyDescent="0.2">
      <c r="A12" s="2">
        <v>9</v>
      </c>
      <c r="B12" s="50" t="s">
        <v>20</v>
      </c>
      <c r="C12" s="46">
        <f>'Оборудование и мебель'!C20</f>
        <v>5</v>
      </c>
      <c r="D12" s="94">
        <f>SUM(D13:D15)</f>
        <v>26.5336</v>
      </c>
    </row>
    <row r="13" spans="1:11" x14ac:dyDescent="0.2">
      <c r="A13" s="2">
        <v>10</v>
      </c>
      <c r="B13" s="67" t="s">
        <v>36</v>
      </c>
      <c r="C13" s="2"/>
      <c r="D13" s="5">
        <f>'Оборудование и мебель'!I27</f>
        <v>6.9834999999999994</v>
      </c>
      <c r="E13" s="95">
        <f>D3+D8+D13</f>
        <v>16.760399999999997</v>
      </c>
    </row>
    <row r="14" spans="1:11" x14ac:dyDescent="0.2">
      <c r="A14" s="2">
        <v>11</v>
      </c>
      <c r="B14" s="67" t="s">
        <v>28</v>
      </c>
      <c r="C14" s="2"/>
      <c r="D14" s="2">
        <f>C12*1.2*1.6</f>
        <v>9.6000000000000014</v>
      </c>
    </row>
    <row r="15" spans="1:11" x14ac:dyDescent="0.2">
      <c r="A15" s="2">
        <v>12</v>
      </c>
      <c r="B15" s="67" t="s">
        <v>29</v>
      </c>
      <c r="C15" s="2"/>
      <c r="D15" s="5">
        <f>(D14+D13)*0.6</f>
        <v>9.9501000000000008</v>
      </c>
    </row>
    <row r="16" spans="1:11" x14ac:dyDescent="0.2">
      <c r="A16" s="2"/>
      <c r="B16" s="74"/>
      <c r="C16" s="2"/>
      <c r="D16" s="93"/>
    </row>
    <row r="17" spans="1:7" s="56" customFormat="1" x14ac:dyDescent="0.2">
      <c r="A17" s="2">
        <v>13</v>
      </c>
      <c r="B17" s="61" t="s">
        <v>40</v>
      </c>
      <c r="C17" s="46">
        <f>C2+C7+C12</f>
        <v>12</v>
      </c>
      <c r="D17" s="89">
        <f>D2+D7+D12</f>
        <v>63.680640000000004</v>
      </c>
    </row>
    <row r="18" spans="1:7" s="56" customFormat="1" x14ac:dyDescent="0.2">
      <c r="A18" s="2"/>
      <c r="B18" s="61"/>
      <c r="C18" s="46"/>
      <c r="D18" s="89"/>
    </row>
    <row r="19" spans="1:7" s="56" customFormat="1" x14ac:dyDescent="0.2">
      <c r="A19" s="2">
        <v>14</v>
      </c>
      <c r="B19" s="61" t="s">
        <v>41</v>
      </c>
      <c r="C19" s="46"/>
      <c r="D19" s="89">
        <f>(0.15+0.1)*D17</f>
        <v>15.920160000000001</v>
      </c>
    </row>
    <row r="20" spans="1:7" s="56" customFormat="1" x14ac:dyDescent="0.2">
      <c r="A20" s="2"/>
      <c r="B20" s="66"/>
      <c r="C20" s="2"/>
      <c r="D20" s="2"/>
    </row>
    <row r="21" spans="1:7" x14ac:dyDescent="0.2">
      <c r="A21" s="2">
        <v>15</v>
      </c>
      <c r="B21" s="96" t="s">
        <v>32</v>
      </c>
      <c r="C21" s="6"/>
      <c r="D21" s="89">
        <f>D22+D23+D24+D27</f>
        <v>12</v>
      </c>
    </row>
    <row r="22" spans="1:7" x14ac:dyDescent="0.2">
      <c r="A22" s="2">
        <v>16</v>
      </c>
      <c r="B22" s="3" t="s">
        <v>37</v>
      </c>
      <c r="C22" s="4"/>
      <c r="D22" s="5">
        <f>3*1.2*0.8</f>
        <v>2.88</v>
      </c>
    </row>
    <row r="23" spans="1:7" x14ac:dyDescent="0.2">
      <c r="A23" s="2">
        <v>17</v>
      </c>
      <c r="B23" s="3" t="s">
        <v>38</v>
      </c>
      <c r="C23" s="4"/>
      <c r="D23" s="5">
        <f>2*1.2*0.8</f>
        <v>1.92</v>
      </c>
    </row>
    <row r="24" spans="1:7" x14ac:dyDescent="0.2">
      <c r="A24" s="2">
        <v>18</v>
      </c>
      <c r="B24" s="3" t="s">
        <v>33</v>
      </c>
      <c r="C24" s="4"/>
      <c r="D24" s="5">
        <f>D25+D26</f>
        <v>5.2000000000000011</v>
      </c>
    </row>
    <row r="25" spans="1:7" x14ac:dyDescent="0.2">
      <c r="A25" s="2">
        <v>19</v>
      </c>
      <c r="B25" s="3" t="s">
        <v>30</v>
      </c>
      <c r="C25" s="4"/>
      <c r="D25" s="5">
        <f>3*0.8*1.3</f>
        <v>3.1200000000000006</v>
      </c>
    </row>
    <row r="26" spans="1:7" x14ac:dyDescent="0.2">
      <c r="A26" s="2">
        <v>20</v>
      </c>
      <c r="B26" s="3" t="s">
        <v>31</v>
      </c>
      <c r="C26" s="4"/>
      <c r="D26" s="5">
        <f>2*0.8*1.3</f>
        <v>2.08</v>
      </c>
      <c r="G26" s="88">
        <f>18*30%</f>
        <v>5.3999999999999995</v>
      </c>
    </row>
    <row r="27" spans="1:7" x14ac:dyDescent="0.2">
      <c r="A27" s="2">
        <v>21</v>
      </c>
      <c r="B27" s="3" t="s">
        <v>34</v>
      </c>
      <c r="C27" s="4"/>
      <c r="D27" s="5">
        <f>D28+D29</f>
        <v>2</v>
      </c>
    </row>
    <row r="28" spans="1:7" x14ac:dyDescent="0.2">
      <c r="A28" s="2">
        <v>22</v>
      </c>
      <c r="B28" s="3" t="s">
        <v>30</v>
      </c>
      <c r="C28" s="4"/>
      <c r="D28" s="5">
        <f>3*0.4</f>
        <v>1.2000000000000002</v>
      </c>
    </row>
    <row r="29" spans="1:7" x14ac:dyDescent="0.2">
      <c r="A29" s="2">
        <v>23</v>
      </c>
      <c r="B29" s="3" t="s">
        <v>31</v>
      </c>
      <c r="C29" s="4"/>
      <c r="D29" s="5">
        <f>2*0.4</f>
        <v>0.8</v>
      </c>
    </row>
    <row r="30" spans="1:7" x14ac:dyDescent="0.2">
      <c r="A30" s="2"/>
      <c r="B30" s="3"/>
      <c r="C30" s="4"/>
      <c r="D30" s="5"/>
    </row>
    <row r="31" spans="1:7" x14ac:dyDescent="0.2">
      <c r="A31" s="2">
        <v>17</v>
      </c>
      <c r="B31" s="96" t="s">
        <v>35</v>
      </c>
      <c r="C31" s="6"/>
      <c r="D31" s="89">
        <v>18</v>
      </c>
    </row>
    <row r="32" spans="1:7" x14ac:dyDescent="0.2">
      <c r="A32" s="2"/>
      <c r="B32" s="3"/>
      <c r="C32" s="4"/>
      <c r="D32" s="5"/>
    </row>
    <row r="33" spans="1:4" x14ac:dyDescent="0.2">
      <c r="A33" s="49">
        <v>18</v>
      </c>
      <c r="B33" s="60" t="s">
        <v>39</v>
      </c>
      <c r="C33" s="97"/>
      <c r="D33" s="98">
        <f>D17+D19+D21+D31</f>
        <v>109.60080000000001</v>
      </c>
    </row>
  </sheetData>
  <mergeCells count="2">
    <mergeCell ref="F2:F3"/>
    <mergeCell ref="G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638C-9607-413F-9F18-933E98783D5A}">
  <sheetPr>
    <tabColor rgb="FF00B050"/>
  </sheetPr>
  <dimension ref="A1:G41"/>
  <sheetViews>
    <sheetView topLeftCell="A27" workbookViewId="0">
      <selection activeCell="C49" sqref="C49"/>
    </sheetView>
  </sheetViews>
  <sheetFormatPr defaultRowHeight="12.75" x14ac:dyDescent="0.2"/>
  <cols>
    <col min="1" max="1" width="3.5703125" style="84" customWidth="1"/>
    <col min="2" max="2" width="32.140625" style="119" customWidth="1"/>
    <col min="3" max="3" width="8.140625" style="121" customWidth="1"/>
    <col min="4" max="4" width="10.28515625" style="121" customWidth="1"/>
    <col min="5" max="5" width="12.28515625" style="119" customWidth="1"/>
    <col min="6" max="6" width="10" style="119" customWidth="1"/>
    <col min="7" max="7" width="13.42578125" style="119" customWidth="1"/>
    <col min="8" max="16384" width="9.140625" style="56"/>
  </cols>
  <sheetData>
    <row r="1" spans="1:7" s="48" customFormat="1" ht="25.5" x14ac:dyDescent="0.2">
      <c r="A1" s="99" t="s">
        <v>0</v>
      </c>
      <c r="B1" s="100" t="s">
        <v>42</v>
      </c>
      <c r="C1" s="47" t="s">
        <v>43</v>
      </c>
      <c r="D1" s="47" t="s">
        <v>44</v>
      </c>
      <c r="E1" s="47" t="s">
        <v>45</v>
      </c>
      <c r="F1" s="47" t="s">
        <v>46</v>
      </c>
      <c r="G1" s="47" t="s">
        <v>47</v>
      </c>
    </row>
    <row r="2" spans="1:7" x14ac:dyDescent="0.2">
      <c r="A2" s="58">
        <v>1</v>
      </c>
      <c r="B2" s="101" t="s">
        <v>48</v>
      </c>
      <c r="C2" s="102"/>
      <c r="D2" s="47" t="s">
        <v>49</v>
      </c>
      <c r="E2" s="103">
        <f>(E3+E4)/1000</f>
        <v>23.172305936842104</v>
      </c>
      <c r="F2" s="104">
        <f>4304.72/100*120</f>
        <v>5165.6640000000007</v>
      </c>
      <c r="G2" s="103">
        <f>E2*F2</f>
        <v>119700.34657493155</v>
      </c>
    </row>
    <row r="3" spans="1:7" x14ac:dyDescent="0.2">
      <c r="A3" s="58">
        <v>2</v>
      </c>
      <c r="B3" s="105" t="s">
        <v>50</v>
      </c>
      <c r="C3" s="106"/>
      <c r="D3" s="107" t="s">
        <v>51</v>
      </c>
      <c r="E3" s="108">
        <f>('Оборудование и мебель'!L9*3810)/0.95</f>
        <v>22057.894736842107</v>
      </c>
      <c r="F3" s="108">
        <f>F2/1000</f>
        <v>5.1656640000000005</v>
      </c>
      <c r="G3" s="108">
        <f t="shared" ref="G3:G4" si="0">E3*F3</f>
        <v>113943.67275789476</v>
      </c>
    </row>
    <row r="4" spans="1:7" ht="25.5" x14ac:dyDescent="0.2">
      <c r="A4" s="58">
        <v>3</v>
      </c>
      <c r="B4" s="109" t="s">
        <v>60</v>
      </c>
      <c r="C4" s="107" t="s">
        <v>52</v>
      </c>
      <c r="D4" s="110" t="s">
        <v>53</v>
      </c>
      <c r="E4" s="111">
        <f>20*'Расчет площади помещений'!D2*2100/1000</f>
        <v>1114.4112</v>
      </c>
      <c r="F4" s="111">
        <f>F3</f>
        <v>5.1656640000000005</v>
      </c>
      <c r="G4" s="111">
        <f t="shared" si="0"/>
        <v>5756.6738170368008</v>
      </c>
    </row>
    <row r="5" spans="1:7" ht="25.5" x14ac:dyDescent="0.2">
      <c r="A5" s="58">
        <v>4</v>
      </c>
      <c r="B5" s="112" t="s">
        <v>61</v>
      </c>
      <c r="C5" s="47" t="s">
        <v>63</v>
      </c>
      <c r="D5" s="113" t="s">
        <v>54</v>
      </c>
      <c r="E5" s="114">
        <f>'Расчет площади помещений'!D2*3*41*859.85*214*24/1000000000</f>
        <v>14.41282122957888</v>
      </c>
      <c r="F5" s="114">
        <v>2467</v>
      </c>
      <c r="G5" s="114">
        <f t="shared" ref="G5" si="1">E5*F5</f>
        <v>35556.429973371094</v>
      </c>
    </row>
    <row r="6" spans="1:7" ht="38.25" x14ac:dyDescent="0.2">
      <c r="A6" s="58">
        <v>5</v>
      </c>
      <c r="B6" s="101" t="s">
        <v>55</v>
      </c>
      <c r="C6" s="102" t="s">
        <v>62</v>
      </c>
      <c r="D6" s="47" t="s">
        <v>56</v>
      </c>
      <c r="E6" s="115">
        <f>'Расчет площади помещений'!C2*247*25/1000</f>
        <v>30.875</v>
      </c>
      <c r="F6" s="115">
        <v>42.3</v>
      </c>
      <c r="G6" s="115">
        <f t="shared" ref="G6" si="2">E6*F6</f>
        <v>1306.0124999999998</v>
      </c>
    </row>
    <row r="7" spans="1:7" x14ac:dyDescent="0.2">
      <c r="A7" s="58">
        <v>6</v>
      </c>
      <c r="B7" s="101" t="s">
        <v>57</v>
      </c>
      <c r="C7" s="102"/>
      <c r="D7" s="47" t="s">
        <v>56</v>
      </c>
      <c r="E7" s="115">
        <f>E6</f>
        <v>30.875</v>
      </c>
      <c r="F7" s="115">
        <v>30.9</v>
      </c>
      <c r="G7" s="115">
        <f>E7*F7</f>
        <v>954.03749999999991</v>
      </c>
    </row>
    <row r="8" spans="1:7" ht="25.5" x14ac:dyDescent="0.2">
      <c r="A8" s="58">
        <v>7</v>
      </c>
      <c r="B8" s="116" t="s">
        <v>58</v>
      </c>
      <c r="C8" s="46" t="s">
        <v>64</v>
      </c>
      <c r="D8" s="46" t="s">
        <v>56</v>
      </c>
      <c r="E8" s="117">
        <f>'Расчет площади помещений'!D2*0.12</f>
        <v>3.1840319999999998</v>
      </c>
      <c r="F8" s="118">
        <f>879.39/100*120</f>
        <v>1055.268</v>
      </c>
      <c r="G8" s="118">
        <f>E8*F8</f>
        <v>3360.0070805759997</v>
      </c>
    </row>
    <row r="9" spans="1:7" x14ac:dyDescent="0.2">
      <c r="A9" s="58"/>
      <c r="B9" s="133" t="s">
        <v>72</v>
      </c>
      <c r="C9" s="134"/>
      <c r="D9" s="134"/>
      <c r="E9" s="134"/>
      <c r="F9" s="135"/>
      <c r="G9" s="118">
        <f>G2+G5+G6+G7+G8</f>
        <v>160876.83362887867</v>
      </c>
    </row>
    <row r="10" spans="1:7" x14ac:dyDescent="0.2">
      <c r="C10" s="120"/>
      <c r="E10" s="122"/>
      <c r="F10" s="122"/>
      <c r="G10" s="122"/>
    </row>
    <row r="11" spans="1:7" ht="28.5" customHeight="1" x14ac:dyDescent="0.2">
      <c r="A11" s="99" t="s">
        <v>0</v>
      </c>
      <c r="B11" s="100" t="s">
        <v>42</v>
      </c>
      <c r="C11" s="47" t="s">
        <v>43</v>
      </c>
      <c r="D11" s="47" t="s">
        <v>44</v>
      </c>
      <c r="E11" s="47" t="s">
        <v>45</v>
      </c>
      <c r="F11" s="47" t="s">
        <v>46</v>
      </c>
      <c r="G11" s="47" t="s">
        <v>47</v>
      </c>
    </row>
    <row r="12" spans="1:7" x14ac:dyDescent="0.2">
      <c r="A12" s="58">
        <v>8</v>
      </c>
      <c r="B12" s="101" t="s">
        <v>48</v>
      </c>
      <c r="C12" s="102"/>
      <c r="D12" s="47" t="s">
        <v>49</v>
      </c>
      <c r="E12" s="103">
        <f>(E13+E14)/1000</f>
        <v>10.472080269473684</v>
      </c>
      <c r="F12" s="104">
        <f>4304.72/100*120</f>
        <v>5165.6640000000007</v>
      </c>
      <c r="G12" s="103">
        <f>E12*F12</f>
        <v>54095.248053130519</v>
      </c>
    </row>
    <row r="13" spans="1:7" x14ac:dyDescent="0.2">
      <c r="A13" s="58">
        <v>9</v>
      </c>
      <c r="B13" s="105" t="s">
        <v>50</v>
      </c>
      <c r="C13" s="106"/>
      <c r="D13" s="107" t="s">
        <v>51</v>
      </c>
      <c r="E13" s="108">
        <f>('Оборудование и мебель'!L18*3810)/0.95</f>
        <v>10026.315789473685</v>
      </c>
      <c r="F13" s="108">
        <f>F12/1000</f>
        <v>5.1656640000000005</v>
      </c>
      <c r="G13" s="108">
        <f t="shared" ref="G13:G16" si="3">E13*F13</f>
        <v>51792.578526315796</v>
      </c>
    </row>
    <row r="14" spans="1:7" ht="25.5" x14ac:dyDescent="0.2">
      <c r="A14" s="58">
        <v>10</v>
      </c>
      <c r="B14" s="109" t="s">
        <v>60</v>
      </c>
      <c r="C14" s="107" t="s">
        <v>52</v>
      </c>
      <c r="D14" s="110" t="s">
        <v>53</v>
      </c>
      <c r="E14" s="111">
        <f>20*'Расчет площади помещений'!D7*2100/1000</f>
        <v>445.76447999999999</v>
      </c>
      <c r="F14" s="111">
        <f>F13</f>
        <v>5.1656640000000005</v>
      </c>
      <c r="G14" s="111">
        <f t="shared" si="3"/>
        <v>2302.66952681472</v>
      </c>
    </row>
    <row r="15" spans="1:7" ht="25.5" x14ac:dyDescent="0.2">
      <c r="A15" s="58">
        <v>11</v>
      </c>
      <c r="B15" s="112" t="s">
        <v>61</v>
      </c>
      <c r="C15" s="47" t="s">
        <v>63</v>
      </c>
      <c r="D15" s="113" t="s">
        <v>54</v>
      </c>
      <c r="E15" s="114">
        <f>'Расчет площади помещений'!D7*3*41*859.85*214*24/1000000000</f>
        <v>5.7651284918315522</v>
      </c>
      <c r="F15" s="114">
        <v>2467</v>
      </c>
      <c r="G15" s="114">
        <f t="shared" si="3"/>
        <v>14222.571989348438</v>
      </c>
    </row>
    <row r="16" spans="1:7" ht="38.25" x14ac:dyDescent="0.2">
      <c r="A16" s="58">
        <v>12</v>
      </c>
      <c r="B16" s="101" t="s">
        <v>55</v>
      </c>
      <c r="C16" s="102" t="s">
        <v>62</v>
      </c>
      <c r="D16" s="47" t="s">
        <v>56</v>
      </c>
      <c r="E16" s="115">
        <f>'Расчет площади помещений'!C7*247*25/1000</f>
        <v>12.35</v>
      </c>
      <c r="F16" s="115">
        <v>42.3</v>
      </c>
      <c r="G16" s="115">
        <f t="shared" si="3"/>
        <v>522.40499999999997</v>
      </c>
    </row>
    <row r="17" spans="1:7" x14ac:dyDescent="0.2">
      <c r="A17" s="58">
        <v>13</v>
      </c>
      <c r="B17" s="101" t="s">
        <v>57</v>
      </c>
      <c r="C17" s="102"/>
      <c r="D17" s="47" t="s">
        <v>56</v>
      </c>
      <c r="E17" s="115">
        <f>E16</f>
        <v>12.35</v>
      </c>
      <c r="F17" s="115">
        <v>30.9</v>
      </c>
      <c r="G17" s="115">
        <f>E17*F17</f>
        <v>381.61499999999995</v>
      </c>
    </row>
    <row r="18" spans="1:7" ht="25.5" x14ac:dyDescent="0.2">
      <c r="A18" s="58">
        <v>14</v>
      </c>
      <c r="B18" s="116" t="s">
        <v>58</v>
      </c>
      <c r="C18" s="46" t="s">
        <v>64</v>
      </c>
      <c r="D18" s="46" t="s">
        <v>56</v>
      </c>
      <c r="E18" s="117">
        <f>'Расчет площади помещений'!D7*0.12</f>
        <v>1.2736128</v>
      </c>
      <c r="F18" s="118">
        <f>879.39/100*120</f>
        <v>1055.268</v>
      </c>
      <c r="G18" s="118">
        <f>E18*F18</f>
        <v>1344.0028322303999</v>
      </c>
    </row>
    <row r="19" spans="1:7" x14ac:dyDescent="0.2">
      <c r="A19" s="58"/>
      <c r="B19" s="133" t="s">
        <v>65</v>
      </c>
      <c r="C19" s="134"/>
      <c r="D19" s="134"/>
      <c r="E19" s="134"/>
      <c r="F19" s="135"/>
      <c r="G19" s="118">
        <f>G12+G15+G16+G17+G18</f>
        <v>70565.842874709357</v>
      </c>
    </row>
    <row r="20" spans="1:7" x14ac:dyDescent="0.2">
      <c r="C20" s="120"/>
      <c r="E20" s="122"/>
      <c r="F20" s="122"/>
      <c r="G20" s="122"/>
    </row>
    <row r="21" spans="1:7" ht="25.5" x14ac:dyDescent="0.2">
      <c r="A21" s="99" t="s">
        <v>0</v>
      </c>
      <c r="B21" s="100" t="s">
        <v>42</v>
      </c>
      <c r="C21" s="47" t="s">
        <v>43</v>
      </c>
      <c r="D21" s="47" t="s">
        <v>44</v>
      </c>
      <c r="E21" s="47" t="s">
        <v>45</v>
      </c>
      <c r="F21" s="47" t="s">
        <v>46</v>
      </c>
      <c r="G21" s="47" t="s">
        <v>47</v>
      </c>
    </row>
    <row r="22" spans="1:7" x14ac:dyDescent="0.2">
      <c r="A22" s="58">
        <v>15</v>
      </c>
      <c r="B22" s="101" t="s">
        <v>48</v>
      </c>
      <c r="C22" s="102"/>
      <c r="D22" s="47" t="s">
        <v>49</v>
      </c>
      <c r="E22" s="103">
        <f>(E23+E24)/1000</f>
        <v>25.100952656842107</v>
      </c>
      <c r="F22" s="104">
        <f>4304.72/100*120</f>
        <v>5165.6640000000007</v>
      </c>
      <c r="G22" s="103">
        <f>E22*F22</f>
        <v>129663.08750515364</v>
      </c>
    </row>
    <row r="23" spans="1:7" x14ac:dyDescent="0.2">
      <c r="A23" s="58">
        <v>16</v>
      </c>
      <c r="B23" s="105" t="s">
        <v>50</v>
      </c>
      <c r="C23" s="106"/>
      <c r="D23" s="107" t="s">
        <v>51</v>
      </c>
      <c r="E23" s="108">
        <f>('Оборудование и мебель'!L27*3810)/0.95</f>
        <v>22057.894736842107</v>
      </c>
      <c r="F23" s="108">
        <f>F22/1000</f>
        <v>5.1656640000000005</v>
      </c>
      <c r="G23" s="108">
        <f t="shared" ref="G23:G26" si="4">E23*F23</f>
        <v>113943.67275789476</v>
      </c>
    </row>
    <row r="24" spans="1:7" ht="25.5" x14ac:dyDescent="0.2">
      <c r="A24" s="58">
        <v>17</v>
      </c>
      <c r="B24" s="109" t="s">
        <v>60</v>
      </c>
      <c r="C24" s="107" t="s">
        <v>52</v>
      </c>
      <c r="D24" s="110" t="s">
        <v>53</v>
      </c>
      <c r="E24" s="111">
        <f>20*('Расчет площади помещений'!D12+'Расчет площади помещений'!D19+'Расчет площади помещений'!D21+'Расчет площади помещений'!D31)*2100/1000</f>
        <v>3043.0579199999997</v>
      </c>
      <c r="F24" s="111">
        <f>F23</f>
        <v>5.1656640000000005</v>
      </c>
      <c r="G24" s="111">
        <f t="shared" si="4"/>
        <v>15719.414747258879</v>
      </c>
    </row>
    <row r="25" spans="1:7" ht="25.5" x14ac:dyDescent="0.2">
      <c r="A25" s="58">
        <v>18</v>
      </c>
      <c r="B25" s="112" t="s">
        <v>61</v>
      </c>
      <c r="C25" s="47" t="s">
        <v>63</v>
      </c>
      <c r="D25" s="113" t="s">
        <v>54</v>
      </c>
      <c r="E25" s="114">
        <f>('Расчет площади помещений'!D12+'Расчет площади помещений'!D19+'Расчет площади помещений'!D21+'Расчет площади помещений'!D31)*3*41*859.85*214*24/1000000000</f>
        <v>39.356253591326208</v>
      </c>
      <c r="F25" s="114">
        <v>2467</v>
      </c>
      <c r="G25" s="114">
        <f t="shared" si="4"/>
        <v>97091.877609801755</v>
      </c>
    </row>
    <row r="26" spans="1:7" ht="38.25" x14ac:dyDescent="0.2">
      <c r="A26" s="58">
        <v>19</v>
      </c>
      <c r="B26" s="101" t="s">
        <v>55</v>
      </c>
      <c r="C26" s="102" t="s">
        <v>62</v>
      </c>
      <c r="D26" s="47" t="s">
        <v>56</v>
      </c>
      <c r="E26" s="115">
        <f>'Расчет площади помещений'!C12*247*25/1000</f>
        <v>30.875</v>
      </c>
      <c r="F26" s="115">
        <v>42.3</v>
      </c>
      <c r="G26" s="115">
        <f t="shared" si="4"/>
        <v>1306.0124999999998</v>
      </c>
    </row>
    <row r="27" spans="1:7" x14ac:dyDescent="0.2">
      <c r="A27" s="58">
        <v>20</v>
      </c>
      <c r="B27" s="101" t="s">
        <v>57</v>
      </c>
      <c r="C27" s="102"/>
      <c r="D27" s="47" t="s">
        <v>56</v>
      </c>
      <c r="E27" s="115">
        <f>E26</f>
        <v>30.875</v>
      </c>
      <c r="F27" s="115">
        <v>30.9</v>
      </c>
      <c r="G27" s="115">
        <f>E27*F27</f>
        <v>954.03749999999991</v>
      </c>
    </row>
    <row r="28" spans="1:7" ht="25.5" x14ac:dyDescent="0.2">
      <c r="A28" s="58">
        <v>21</v>
      </c>
      <c r="B28" s="116" t="s">
        <v>58</v>
      </c>
      <c r="C28" s="46" t="s">
        <v>64</v>
      </c>
      <c r="D28" s="46" t="s">
        <v>56</v>
      </c>
      <c r="E28" s="117">
        <f>('Расчет площади помещений'!D12+'Расчет площади помещений'!D19+'Расчет площади помещений'!D21+'Расчет площади помещений'!D31)*0.12</f>
        <v>8.6944511999999996</v>
      </c>
      <c r="F28" s="118">
        <f>879.39/100*120</f>
        <v>1055.268</v>
      </c>
      <c r="G28" s="118">
        <f>E28*F28</f>
        <v>9174.9761289216003</v>
      </c>
    </row>
    <row r="29" spans="1:7" x14ac:dyDescent="0.2">
      <c r="A29" s="58"/>
      <c r="B29" s="133" t="s">
        <v>66</v>
      </c>
      <c r="C29" s="134"/>
      <c r="D29" s="134"/>
      <c r="E29" s="134"/>
      <c r="F29" s="135"/>
      <c r="G29" s="118">
        <f>G22+G25+G26+G27+G28</f>
        <v>238189.99124387701</v>
      </c>
    </row>
    <row r="31" spans="1:7" x14ac:dyDescent="0.2">
      <c r="B31" s="136" t="s">
        <v>59</v>
      </c>
      <c r="C31" s="136"/>
      <c r="D31" s="136"/>
      <c r="E31" s="136"/>
      <c r="F31" s="121"/>
      <c r="G31" s="121"/>
    </row>
    <row r="33" spans="1:7" ht="25.5" x14ac:dyDescent="0.2">
      <c r="A33" s="99" t="s">
        <v>0</v>
      </c>
      <c r="B33" s="100" t="s">
        <v>42</v>
      </c>
      <c r="C33" s="47" t="s">
        <v>43</v>
      </c>
      <c r="D33" s="47" t="s">
        <v>44</v>
      </c>
      <c r="E33" s="47" t="s">
        <v>45</v>
      </c>
      <c r="F33" s="47" t="s">
        <v>46</v>
      </c>
      <c r="G33" s="47" t="s">
        <v>47</v>
      </c>
    </row>
    <row r="34" spans="1:7" x14ac:dyDescent="0.2">
      <c r="A34" s="58">
        <v>22</v>
      </c>
      <c r="B34" s="101" t="s">
        <v>48</v>
      </c>
      <c r="C34" s="102"/>
      <c r="D34" s="47" t="s">
        <v>49</v>
      </c>
      <c r="E34" s="103">
        <f>(E35+E36)/1000</f>
        <v>58.745338863157897</v>
      </c>
      <c r="F34" s="104">
        <f>4304.72/100*120</f>
        <v>5165.6640000000007</v>
      </c>
      <c r="G34" s="103">
        <f>E34*F34</f>
        <v>303458.68213321571</v>
      </c>
    </row>
    <row r="35" spans="1:7" x14ac:dyDescent="0.2">
      <c r="A35" s="58">
        <v>23</v>
      </c>
      <c r="B35" s="105" t="s">
        <v>50</v>
      </c>
      <c r="C35" s="106"/>
      <c r="D35" s="107" t="s">
        <v>51</v>
      </c>
      <c r="E35" s="108">
        <f>E3+E13+E23</f>
        <v>54142.1052631579</v>
      </c>
      <c r="F35" s="108">
        <f>F34/1000</f>
        <v>5.1656640000000005</v>
      </c>
      <c r="G35" s="108">
        <f t="shared" ref="G35:G38" si="5">E35*F35</f>
        <v>279679.92404210533</v>
      </c>
    </row>
    <row r="36" spans="1:7" ht="25.5" x14ac:dyDescent="0.2">
      <c r="A36" s="58">
        <v>24</v>
      </c>
      <c r="B36" s="109" t="s">
        <v>60</v>
      </c>
      <c r="C36" s="107" t="s">
        <v>52</v>
      </c>
      <c r="D36" s="110" t="s">
        <v>53</v>
      </c>
      <c r="E36" s="108">
        <f>E4+E14+E24</f>
        <v>4603.2335999999996</v>
      </c>
      <c r="F36" s="111">
        <f>F35</f>
        <v>5.1656640000000005</v>
      </c>
      <c r="G36" s="111">
        <f t="shared" si="5"/>
        <v>23778.758091110401</v>
      </c>
    </row>
    <row r="37" spans="1:7" ht="25.5" x14ac:dyDescent="0.2">
      <c r="A37" s="58">
        <v>25</v>
      </c>
      <c r="B37" s="112" t="s">
        <v>61</v>
      </c>
      <c r="C37" s="47" t="s">
        <v>63</v>
      </c>
      <c r="D37" s="113" t="s">
        <v>54</v>
      </c>
      <c r="E37" s="103">
        <f>E5+E15+E25</f>
        <v>59.534203312736636</v>
      </c>
      <c r="F37" s="114">
        <v>2467</v>
      </c>
      <c r="G37" s="114">
        <f t="shared" si="5"/>
        <v>146870.87957252128</v>
      </c>
    </row>
    <row r="38" spans="1:7" ht="38.25" x14ac:dyDescent="0.2">
      <c r="A38" s="58">
        <v>26</v>
      </c>
      <c r="B38" s="101" t="s">
        <v>55</v>
      </c>
      <c r="C38" s="102" t="s">
        <v>62</v>
      </c>
      <c r="D38" s="47" t="s">
        <v>56</v>
      </c>
      <c r="E38" s="103">
        <f t="shared" ref="E38" si="6">E6+E16+E26</f>
        <v>74.099999999999994</v>
      </c>
      <c r="F38" s="115">
        <v>42.3</v>
      </c>
      <c r="G38" s="115">
        <f t="shared" si="5"/>
        <v>3134.4299999999994</v>
      </c>
    </row>
    <row r="39" spans="1:7" x14ac:dyDescent="0.2">
      <c r="A39" s="58">
        <v>27</v>
      </c>
      <c r="B39" s="101" t="s">
        <v>57</v>
      </c>
      <c r="C39" s="102"/>
      <c r="D39" s="47" t="s">
        <v>56</v>
      </c>
      <c r="E39" s="103">
        <f>E7+E17+E27</f>
        <v>74.099999999999994</v>
      </c>
      <c r="F39" s="115">
        <v>30.9</v>
      </c>
      <c r="G39" s="115">
        <f>E39*F39</f>
        <v>2289.6899999999996</v>
      </c>
    </row>
    <row r="40" spans="1:7" ht="25.5" x14ac:dyDescent="0.2">
      <c r="A40" s="58">
        <v>28</v>
      </c>
      <c r="B40" s="116" t="s">
        <v>58</v>
      </c>
      <c r="C40" s="46" t="s">
        <v>64</v>
      </c>
      <c r="D40" s="46" t="s">
        <v>56</v>
      </c>
      <c r="E40" s="103">
        <f>E8+E18+E28</f>
        <v>13.152096</v>
      </c>
      <c r="F40" s="118">
        <f>879.39/100*120</f>
        <v>1055.268</v>
      </c>
      <c r="G40" s="118">
        <f>E40*F40</f>
        <v>13878.986041728002</v>
      </c>
    </row>
    <row r="41" spans="1:7" x14ac:dyDescent="0.2">
      <c r="A41" s="58"/>
      <c r="B41" s="133" t="s">
        <v>70</v>
      </c>
      <c r="C41" s="134"/>
      <c r="D41" s="134"/>
      <c r="E41" s="134"/>
      <c r="F41" s="135"/>
      <c r="G41" s="118">
        <f>G34+G37+G38+G39+G40</f>
        <v>469632.66774746502</v>
      </c>
    </row>
  </sheetData>
  <mergeCells count="5">
    <mergeCell ref="B9:F9"/>
    <mergeCell ref="B31:E31"/>
    <mergeCell ref="B19:F19"/>
    <mergeCell ref="B29:F29"/>
    <mergeCell ref="B41:F41"/>
  </mergeCells>
  <hyperlinks>
    <hyperlink ref="B1" r:id="rId1" xr:uid="{009D1FDD-7C69-4C85-BD57-21710661A08B}"/>
    <hyperlink ref="B8" r:id="rId2" xr:uid="{15B0EFC5-91DB-475F-89C0-0A35F8A9EB65}"/>
    <hyperlink ref="F2" r:id="rId3" display="https://www.mosenergosbyt.ru/legals/tariffs-n-prices/more-10MW.php" xr:uid="{9BBD73BB-3BB2-4C03-9100-5FB035AAD305}"/>
    <hyperlink ref="B11" r:id="rId4" xr:uid="{1BB31D4F-3C5C-4DCC-945F-1AE3E26526EC}"/>
    <hyperlink ref="B18" r:id="rId5" xr:uid="{BE1A2705-DD53-4353-8946-E948A83D9155}"/>
    <hyperlink ref="F12" r:id="rId6" display="https://www.mosenergosbyt.ru/legals/tariffs-n-prices/more-10MW.php" xr:uid="{26F199E0-66FD-495F-8B1E-AFC2E5124C04}"/>
    <hyperlink ref="B21" r:id="rId7" xr:uid="{0C52D3EB-DB6A-4E69-B227-C21AC4634A4D}"/>
    <hyperlink ref="B28" r:id="rId8" xr:uid="{9ADC56B7-0BFF-4852-AB9B-8A3D0A82A70E}"/>
    <hyperlink ref="F22" r:id="rId9" display="https://www.mosenergosbyt.ru/legals/tariffs-n-prices/more-10MW.php" xr:uid="{9D9749E4-36F0-4D6B-A528-F765A62E6CCE}"/>
    <hyperlink ref="B33" r:id="rId10" xr:uid="{69E6756A-6D5B-44AC-BCBB-E6850131EEFB}"/>
    <hyperlink ref="B40" r:id="rId11" xr:uid="{BE7E74EF-060D-4BCB-A7E4-6665DAC5DBA2}"/>
    <hyperlink ref="F34" r:id="rId12" display="https://www.mosenergosbyt.ru/legals/tariffs-n-prices/more-10MW.php" xr:uid="{3CB507CA-E58C-47AE-8A15-923A60A616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7ACF-7F67-4D3C-A21B-14AD63ECBF24}">
  <dimension ref="A1:I41"/>
  <sheetViews>
    <sheetView workbookViewId="0">
      <selection activeCell="N24" sqref="N24"/>
    </sheetView>
  </sheetViews>
  <sheetFormatPr defaultRowHeight="15" x14ac:dyDescent="0.25"/>
  <cols>
    <col min="1" max="1" width="3.5703125" style="10" customWidth="1"/>
    <col min="2" max="2" width="32.140625" style="34" customWidth="1"/>
    <col min="3" max="3" width="8.140625" style="36" customWidth="1"/>
    <col min="4" max="4" width="10.28515625" style="36" customWidth="1"/>
    <col min="5" max="5" width="12.28515625" style="34" customWidth="1"/>
    <col min="6" max="6" width="10" style="34" customWidth="1"/>
    <col min="7" max="7" width="13.42578125" style="34" customWidth="1"/>
    <col min="8" max="8" width="10" bestFit="1" customWidth="1"/>
    <col min="9" max="9" width="10" customWidth="1"/>
  </cols>
  <sheetData>
    <row r="1" spans="1:9" s="10" customFormat="1" ht="24" x14ac:dyDescent="0.25">
      <c r="A1" s="7" t="s">
        <v>0</v>
      </c>
      <c r="B1" s="8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</row>
    <row r="2" spans="1:9" x14ac:dyDescent="0.25">
      <c r="A2" s="11">
        <v>1</v>
      </c>
      <c r="B2" s="12" t="s">
        <v>48</v>
      </c>
      <c r="C2" s="13"/>
      <c r="D2" s="14" t="s">
        <v>49</v>
      </c>
      <c r="E2" s="15">
        <f>(E3+E4)/1000</f>
        <v>23.172305936842104</v>
      </c>
      <c r="F2" s="16">
        <f>4304.72/100*120</f>
        <v>5165.6640000000007</v>
      </c>
      <c r="G2" s="15">
        <f>E2*F2</f>
        <v>119700.34657493155</v>
      </c>
    </row>
    <row r="3" spans="1:9" x14ac:dyDescent="0.25">
      <c r="A3" s="11">
        <v>2</v>
      </c>
      <c r="B3" s="17" t="s">
        <v>50</v>
      </c>
      <c r="C3" s="18"/>
      <c r="D3" s="19" t="s">
        <v>51</v>
      </c>
      <c r="E3" s="20">
        <f>('Оборудование и мебель'!L9*3810)/0.95</f>
        <v>22057.894736842107</v>
      </c>
      <c r="F3" s="20">
        <f>F2/1000</f>
        <v>5.1656640000000005</v>
      </c>
      <c r="G3" s="20">
        <f t="shared" ref="G3:G6" si="0">E3*F3</f>
        <v>113943.67275789476</v>
      </c>
    </row>
    <row r="4" spans="1:9" x14ac:dyDescent="0.25">
      <c r="A4" s="11">
        <v>3</v>
      </c>
      <c r="B4" s="37" t="s">
        <v>60</v>
      </c>
      <c r="C4" s="19" t="s">
        <v>52</v>
      </c>
      <c r="D4" s="21" t="s">
        <v>53</v>
      </c>
      <c r="E4" s="22">
        <f>20*'Расчет площади помещений'!D2*2100/1000</f>
        <v>1114.4112</v>
      </c>
      <c r="F4" s="22">
        <f>F3</f>
        <v>5.1656640000000005</v>
      </c>
      <c r="G4" s="22">
        <f t="shared" si="0"/>
        <v>5756.6738170368008</v>
      </c>
    </row>
    <row r="5" spans="1:9" ht="24" x14ac:dyDescent="0.25">
      <c r="A5" s="11">
        <v>4</v>
      </c>
      <c r="B5" s="38" t="s">
        <v>61</v>
      </c>
      <c r="C5" s="14" t="s">
        <v>63</v>
      </c>
      <c r="D5" s="24" t="s">
        <v>54</v>
      </c>
      <c r="E5" s="25">
        <f>'Расчет площади помещений'!D2*3*41*859.85*214*24/1000000000</f>
        <v>14.41282122957888</v>
      </c>
      <c r="F5" s="25">
        <v>2467</v>
      </c>
      <c r="G5" s="25">
        <f t="shared" si="0"/>
        <v>35556.429973371094</v>
      </c>
      <c r="H5" s="123">
        <f>G2+G5</f>
        <v>155256.77654830265</v>
      </c>
      <c r="I5" s="124" t="s">
        <v>73</v>
      </c>
    </row>
    <row r="6" spans="1:9" ht="24" x14ac:dyDescent="0.25">
      <c r="A6" s="11">
        <v>5</v>
      </c>
      <c r="B6" s="12" t="s">
        <v>55</v>
      </c>
      <c r="C6" s="13" t="s">
        <v>62</v>
      </c>
      <c r="D6" s="9" t="s">
        <v>56</v>
      </c>
      <c r="E6" s="26">
        <f>'Расчет площади помещений'!C2*247*25/1000</f>
        <v>30.875</v>
      </c>
      <c r="F6" s="26">
        <v>42.3</v>
      </c>
      <c r="G6" s="26">
        <f t="shared" si="0"/>
        <v>1306.0124999999998</v>
      </c>
    </row>
    <row r="7" spans="1:9" x14ac:dyDescent="0.25">
      <c r="A7" s="11">
        <v>6</v>
      </c>
      <c r="B7" s="12" t="s">
        <v>57</v>
      </c>
      <c r="C7" s="13"/>
      <c r="D7" s="14" t="s">
        <v>56</v>
      </c>
      <c r="E7" s="26">
        <f>E6</f>
        <v>30.875</v>
      </c>
      <c r="F7" s="26">
        <v>30.9</v>
      </c>
      <c r="G7" s="26">
        <f>E7*F7</f>
        <v>954.03749999999991</v>
      </c>
    </row>
    <row r="8" spans="1:9" ht="24" x14ac:dyDescent="0.25">
      <c r="A8" s="11">
        <v>7</v>
      </c>
      <c r="B8" s="27" t="s">
        <v>58</v>
      </c>
      <c r="C8" s="23" t="s">
        <v>64</v>
      </c>
      <c r="D8" s="23" t="s">
        <v>56</v>
      </c>
      <c r="E8" s="28">
        <f>'Расчет площади помещений'!D2*0.12</f>
        <v>3.1840319999999998</v>
      </c>
      <c r="F8" s="29">
        <f>879.39/100*120</f>
        <v>1055.268</v>
      </c>
      <c r="G8" s="29">
        <f>E8*F8</f>
        <v>3360.0070805759997</v>
      </c>
      <c r="H8" s="123">
        <f>G6+G7+G8</f>
        <v>5620.0570805759999</v>
      </c>
      <c r="I8" s="40" t="s">
        <v>74</v>
      </c>
    </row>
    <row r="9" spans="1:9" x14ac:dyDescent="0.25">
      <c r="A9" s="11">
        <v>8</v>
      </c>
      <c r="B9" s="137" t="s">
        <v>72</v>
      </c>
      <c r="C9" s="138"/>
      <c r="D9" s="138"/>
      <c r="E9" s="138"/>
      <c r="F9" s="139"/>
      <c r="G9" s="29">
        <f>G2+G5+G6+G7+G8</f>
        <v>160876.83362887867</v>
      </c>
    </row>
    <row r="10" spans="1:9" x14ac:dyDescent="0.25">
      <c r="B10" s="30"/>
      <c r="C10" s="31"/>
      <c r="D10" s="1"/>
      <c r="E10" s="32"/>
      <c r="F10" s="33"/>
      <c r="G10" s="33"/>
    </row>
    <row r="11" spans="1:9" ht="28.5" customHeight="1" x14ac:dyDescent="0.25">
      <c r="A11" s="7" t="s">
        <v>0</v>
      </c>
      <c r="B11" s="8" t="s">
        <v>42</v>
      </c>
      <c r="C11" s="9" t="s">
        <v>43</v>
      </c>
      <c r="D11" s="9" t="s">
        <v>44</v>
      </c>
      <c r="E11" s="9" t="s">
        <v>45</v>
      </c>
      <c r="F11" s="9" t="s">
        <v>46</v>
      </c>
      <c r="G11" s="9" t="s">
        <v>47</v>
      </c>
    </row>
    <row r="12" spans="1:9" x14ac:dyDescent="0.25">
      <c r="A12" s="11">
        <v>9</v>
      </c>
      <c r="B12" s="12" t="s">
        <v>48</v>
      </c>
      <c r="C12" s="13"/>
      <c r="D12" s="14" t="s">
        <v>49</v>
      </c>
      <c r="E12" s="15">
        <f>(E13+E14)/1000</f>
        <v>10.472080269473684</v>
      </c>
      <c r="F12" s="16">
        <f>4304.72/100*120</f>
        <v>5165.6640000000007</v>
      </c>
      <c r="G12" s="15">
        <f>E12*F12</f>
        <v>54095.248053130519</v>
      </c>
    </row>
    <row r="13" spans="1:9" x14ac:dyDescent="0.25">
      <c r="A13" s="11">
        <v>10</v>
      </c>
      <c r="B13" s="17" t="s">
        <v>50</v>
      </c>
      <c r="C13" s="18"/>
      <c r="D13" s="19" t="s">
        <v>51</v>
      </c>
      <c r="E13" s="20">
        <f>('Оборудование и мебель'!L18*3810)/0.95</f>
        <v>10026.315789473685</v>
      </c>
      <c r="F13" s="20">
        <f>F12/1000</f>
        <v>5.1656640000000005</v>
      </c>
      <c r="G13" s="20">
        <f t="shared" ref="G13:G16" si="1">E13*F13</f>
        <v>51792.578526315796</v>
      </c>
    </row>
    <row r="14" spans="1:9" x14ac:dyDescent="0.25">
      <c r="A14" s="11">
        <v>11</v>
      </c>
      <c r="B14" s="37" t="s">
        <v>60</v>
      </c>
      <c r="C14" s="19" t="s">
        <v>52</v>
      </c>
      <c r="D14" s="21" t="s">
        <v>53</v>
      </c>
      <c r="E14" s="22">
        <f>20*'Расчет площади помещений'!D7*2100/1000</f>
        <v>445.76447999999999</v>
      </c>
      <c r="F14" s="22">
        <f>F13</f>
        <v>5.1656640000000005</v>
      </c>
      <c r="G14" s="22">
        <f t="shared" si="1"/>
        <v>2302.66952681472</v>
      </c>
    </row>
    <row r="15" spans="1:9" ht="24" x14ac:dyDescent="0.25">
      <c r="A15" s="11">
        <v>12</v>
      </c>
      <c r="B15" s="38" t="s">
        <v>61</v>
      </c>
      <c r="C15" s="14" t="s">
        <v>63</v>
      </c>
      <c r="D15" s="24" t="s">
        <v>54</v>
      </c>
      <c r="E15" s="25">
        <f>'Расчет площади помещений'!D7*3*41*859.85*214*24/1000000000</f>
        <v>5.7651284918315522</v>
      </c>
      <c r="F15" s="25">
        <v>2467</v>
      </c>
      <c r="G15" s="25">
        <f t="shared" si="1"/>
        <v>14222.571989348438</v>
      </c>
      <c r="H15" s="123">
        <f>G12+G15</f>
        <v>68317.820042478954</v>
      </c>
      <c r="I15" s="124" t="s">
        <v>73</v>
      </c>
    </row>
    <row r="16" spans="1:9" ht="24" x14ac:dyDescent="0.25">
      <c r="A16" s="11">
        <v>13</v>
      </c>
      <c r="B16" s="12" t="s">
        <v>55</v>
      </c>
      <c r="C16" s="13" t="s">
        <v>62</v>
      </c>
      <c r="D16" s="9" t="s">
        <v>56</v>
      </c>
      <c r="E16" s="26">
        <f>2*247*25/1000</f>
        <v>12.35</v>
      </c>
      <c r="F16" s="26">
        <v>42.3</v>
      </c>
      <c r="G16" s="26">
        <f t="shared" si="1"/>
        <v>522.40499999999997</v>
      </c>
    </row>
    <row r="17" spans="1:9" x14ac:dyDescent="0.25">
      <c r="A17" s="11">
        <v>14</v>
      </c>
      <c r="B17" s="12" t="s">
        <v>57</v>
      </c>
      <c r="C17" s="13"/>
      <c r="D17" s="14" t="s">
        <v>56</v>
      </c>
      <c r="E17" s="26">
        <f>E16</f>
        <v>12.35</v>
      </c>
      <c r="F17" s="26">
        <v>30.9</v>
      </c>
      <c r="G17" s="26">
        <f>E17*F17</f>
        <v>381.61499999999995</v>
      </c>
    </row>
    <row r="18" spans="1:9" ht="24" x14ac:dyDescent="0.25">
      <c r="A18" s="11">
        <v>15</v>
      </c>
      <c r="B18" s="27" t="s">
        <v>58</v>
      </c>
      <c r="C18" s="23" t="s">
        <v>64</v>
      </c>
      <c r="D18" s="23" t="s">
        <v>56</v>
      </c>
      <c r="E18" s="28">
        <f>'Расчет площади помещений'!D7*0.12</f>
        <v>1.2736128</v>
      </c>
      <c r="F18" s="29">
        <f>879.39/100*120</f>
        <v>1055.268</v>
      </c>
      <c r="G18" s="29">
        <f>E18*F18</f>
        <v>1344.0028322303999</v>
      </c>
      <c r="H18" s="123">
        <f>G16+G17+G18</f>
        <v>2248.0228322304001</v>
      </c>
      <c r="I18" s="40" t="s">
        <v>74</v>
      </c>
    </row>
    <row r="19" spans="1:9" x14ac:dyDescent="0.25">
      <c r="A19" s="11">
        <v>16</v>
      </c>
      <c r="B19" s="137" t="s">
        <v>65</v>
      </c>
      <c r="C19" s="138"/>
      <c r="D19" s="138"/>
      <c r="E19" s="138"/>
      <c r="F19" s="139"/>
      <c r="G19" s="29">
        <f>G12+G15+G16+G17+G18</f>
        <v>70565.842874709357</v>
      </c>
    </row>
    <row r="20" spans="1:9" x14ac:dyDescent="0.25">
      <c r="C20" s="35"/>
      <c r="E20" s="33"/>
      <c r="F20" s="33"/>
      <c r="G20" s="33"/>
    </row>
    <row r="21" spans="1:9" ht="24" x14ac:dyDescent="0.25">
      <c r="A21" s="7" t="s">
        <v>0</v>
      </c>
      <c r="B21" s="8" t="s">
        <v>42</v>
      </c>
      <c r="C21" s="9" t="s">
        <v>43</v>
      </c>
      <c r="D21" s="9" t="s">
        <v>44</v>
      </c>
      <c r="E21" s="9" t="s">
        <v>45</v>
      </c>
      <c r="F21" s="9" t="s">
        <v>46</v>
      </c>
      <c r="G21" s="9" t="s">
        <v>47</v>
      </c>
    </row>
    <row r="22" spans="1:9" x14ac:dyDescent="0.25">
      <c r="A22" s="11">
        <v>9</v>
      </c>
      <c r="B22" s="12" t="s">
        <v>48</v>
      </c>
      <c r="C22" s="13"/>
      <c r="D22" s="14" t="s">
        <v>49</v>
      </c>
      <c r="E22" s="15">
        <f>(E23+E24)/1000</f>
        <v>25.100952656842107</v>
      </c>
      <c r="F22" s="16">
        <f>4304.72/100*120</f>
        <v>5165.6640000000007</v>
      </c>
      <c r="G22" s="15">
        <f>E22*F22</f>
        <v>129663.08750515364</v>
      </c>
    </row>
    <row r="23" spans="1:9" x14ac:dyDescent="0.25">
      <c r="A23" s="11">
        <v>10</v>
      </c>
      <c r="B23" s="17" t="s">
        <v>50</v>
      </c>
      <c r="C23" s="18"/>
      <c r="D23" s="19" t="s">
        <v>51</v>
      </c>
      <c r="E23" s="20">
        <f>('Оборудование и мебель'!L27*3810)/0.95</f>
        <v>22057.894736842107</v>
      </c>
      <c r="F23" s="20">
        <f>F22/1000</f>
        <v>5.1656640000000005</v>
      </c>
      <c r="G23" s="20">
        <f t="shared" ref="G23:G26" si="2">E23*F23</f>
        <v>113943.67275789476</v>
      </c>
    </row>
    <row r="24" spans="1:9" x14ac:dyDescent="0.25">
      <c r="A24" s="11">
        <v>11</v>
      </c>
      <c r="B24" s="37" t="s">
        <v>60</v>
      </c>
      <c r="C24" s="19" t="s">
        <v>52</v>
      </c>
      <c r="D24" s="21" t="s">
        <v>53</v>
      </c>
      <c r="E24" s="22">
        <f>20*('Расчет площади помещений'!D12+'Расчет площади помещений'!D19+'Расчет площади помещений'!D21+'Расчет площади помещений'!D31)*2100/1000</f>
        <v>3043.0579199999997</v>
      </c>
      <c r="F24" s="22">
        <f>F23</f>
        <v>5.1656640000000005</v>
      </c>
      <c r="G24" s="22">
        <f t="shared" si="2"/>
        <v>15719.414747258879</v>
      </c>
    </row>
    <row r="25" spans="1:9" ht="24" x14ac:dyDescent="0.25">
      <c r="A25" s="11">
        <v>12</v>
      </c>
      <c r="B25" s="38" t="s">
        <v>61</v>
      </c>
      <c r="C25" s="14" t="s">
        <v>63</v>
      </c>
      <c r="D25" s="24" t="s">
        <v>54</v>
      </c>
      <c r="E25" s="25">
        <f>('Расчет площади помещений'!D12+'Расчет площади помещений'!D19+'Расчет площади помещений'!D21+'Расчет площади помещений'!D31)*3*41*859.85*214*24/1000000000</f>
        <v>39.356253591326208</v>
      </c>
      <c r="F25" s="25">
        <v>2467</v>
      </c>
      <c r="G25" s="25">
        <f t="shared" si="2"/>
        <v>97091.877609801755</v>
      </c>
      <c r="H25" s="123">
        <f>G22+G25</f>
        <v>226754.96511495538</v>
      </c>
      <c r="I25" s="124" t="s">
        <v>73</v>
      </c>
    </row>
    <row r="26" spans="1:9" ht="24" x14ac:dyDescent="0.25">
      <c r="A26" s="11">
        <v>13</v>
      </c>
      <c r="B26" s="12" t="s">
        <v>55</v>
      </c>
      <c r="C26" s="13" t="s">
        <v>62</v>
      </c>
      <c r="D26" s="9" t="s">
        <v>56</v>
      </c>
      <c r="E26" s="26">
        <f>'Расчет площади помещений'!C12*247*25/1000</f>
        <v>30.875</v>
      </c>
      <c r="F26" s="26">
        <v>42.3</v>
      </c>
      <c r="G26" s="26">
        <f t="shared" si="2"/>
        <v>1306.0124999999998</v>
      </c>
    </row>
    <row r="27" spans="1:9" x14ac:dyDescent="0.25">
      <c r="A27" s="11">
        <v>14</v>
      </c>
      <c r="B27" s="12" t="s">
        <v>57</v>
      </c>
      <c r="C27" s="13"/>
      <c r="D27" s="14" t="s">
        <v>56</v>
      </c>
      <c r="E27" s="26">
        <f>E26</f>
        <v>30.875</v>
      </c>
      <c r="F27" s="26">
        <v>30.9</v>
      </c>
      <c r="G27" s="26">
        <f>E27*F27</f>
        <v>954.03749999999991</v>
      </c>
    </row>
    <row r="28" spans="1:9" ht="24" x14ac:dyDescent="0.25">
      <c r="A28" s="11">
        <v>15</v>
      </c>
      <c r="B28" s="27" t="s">
        <v>58</v>
      </c>
      <c r="C28" s="23" t="s">
        <v>64</v>
      </c>
      <c r="D28" s="23" t="s">
        <v>56</v>
      </c>
      <c r="E28" s="28">
        <f>('Расчет площади помещений'!D12+'Расчет площади помещений'!D19+'Расчет площади помещений'!D21+'Расчет площади помещений'!D31)*0.12</f>
        <v>8.6944511999999996</v>
      </c>
      <c r="F28" s="29">
        <f>879.39/100*120</f>
        <v>1055.268</v>
      </c>
      <c r="G28" s="29">
        <f>E28*F28</f>
        <v>9174.9761289216003</v>
      </c>
      <c r="H28" s="123">
        <f>G26+G27+G28</f>
        <v>11435.0261289216</v>
      </c>
      <c r="I28" s="40" t="s">
        <v>74</v>
      </c>
    </row>
    <row r="29" spans="1:9" x14ac:dyDescent="0.25">
      <c r="A29" s="11">
        <v>16</v>
      </c>
      <c r="B29" s="137" t="s">
        <v>66</v>
      </c>
      <c r="C29" s="138"/>
      <c r="D29" s="138"/>
      <c r="E29" s="138"/>
      <c r="F29" s="139"/>
      <c r="G29" s="29">
        <f>G22+G25+G26+G27+G28</f>
        <v>238189.99124387701</v>
      </c>
    </row>
    <row r="31" spans="1:9" ht="15" customHeight="1" x14ac:dyDescent="0.25">
      <c r="B31" s="142" t="s">
        <v>59</v>
      </c>
      <c r="C31" s="142"/>
      <c r="D31" s="142"/>
      <c r="E31" s="142"/>
      <c r="F31" s="36"/>
      <c r="G31" s="36"/>
    </row>
    <row r="33" spans="1:9" ht="24" x14ac:dyDescent="0.25">
      <c r="A33" s="7" t="s">
        <v>0</v>
      </c>
      <c r="B33" s="8" t="s">
        <v>42</v>
      </c>
      <c r="C33" s="9" t="s">
        <v>43</v>
      </c>
      <c r="D33" s="9" t="s">
        <v>44</v>
      </c>
      <c r="E33" s="9" t="s">
        <v>45</v>
      </c>
      <c r="F33" s="9" t="s">
        <v>46</v>
      </c>
      <c r="G33" s="9" t="s">
        <v>47</v>
      </c>
      <c r="H33" s="140" t="s">
        <v>69</v>
      </c>
      <c r="I33" s="141"/>
    </row>
    <row r="34" spans="1:9" x14ac:dyDescent="0.25">
      <c r="A34" s="11">
        <v>9</v>
      </c>
      <c r="B34" s="12" t="s">
        <v>48</v>
      </c>
      <c r="C34" s="13"/>
      <c r="D34" s="14" t="s">
        <v>49</v>
      </c>
      <c r="E34" s="15">
        <f>(E35+E36)/1000</f>
        <v>58.745338863157897</v>
      </c>
      <c r="F34" s="16">
        <f>4304.72/100*120</f>
        <v>5165.6640000000007</v>
      </c>
      <c r="G34" s="15">
        <f>E34*F34</f>
        <v>303458.68213321571</v>
      </c>
      <c r="H34" s="40">
        <f>G34/12</f>
        <v>25288.223511101311</v>
      </c>
      <c r="I34" s="40"/>
    </row>
    <row r="35" spans="1:9" ht="15.75" thickBot="1" x14ac:dyDescent="0.3">
      <c r="A35" s="11">
        <v>10</v>
      </c>
      <c r="B35" s="17" t="s">
        <v>50</v>
      </c>
      <c r="C35" s="18"/>
      <c r="D35" s="19" t="s">
        <v>51</v>
      </c>
      <c r="E35" s="20">
        <f>E3+E13+E23</f>
        <v>54142.1052631579</v>
      </c>
      <c r="F35" s="20">
        <f>F34/1000</f>
        <v>5.1656640000000005</v>
      </c>
      <c r="G35" s="20">
        <f t="shared" ref="G35:G38" si="3">E35*F35</f>
        <v>279679.92404210533</v>
      </c>
      <c r="H35" s="40"/>
      <c r="I35" s="42"/>
    </row>
    <row r="36" spans="1:9" x14ac:dyDescent="0.25">
      <c r="A36" s="11">
        <v>11</v>
      </c>
      <c r="B36" s="37" t="s">
        <v>60</v>
      </c>
      <c r="C36" s="19" t="s">
        <v>52</v>
      </c>
      <c r="D36" s="21" t="s">
        <v>53</v>
      </c>
      <c r="E36" s="20">
        <f>E4+E14+E24</f>
        <v>4603.2335999999996</v>
      </c>
      <c r="F36" s="22">
        <f>F35</f>
        <v>5.1656640000000005</v>
      </c>
      <c r="G36" s="22">
        <f t="shared" si="3"/>
        <v>23778.758091110401</v>
      </c>
      <c r="H36" s="41"/>
      <c r="I36" s="43" t="s">
        <v>67</v>
      </c>
    </row>
    <row r="37" spans="1:9" ht="24.75" thickBot="1" x14ac:dyDescent="0.3">
      <c r="A37" s="11">
        <v>12</v>
      </c>
      <c r="B37" s="38" t="s">
        <v>61</v>
      </c>
      <c r="C37" s="14" t="s">
        <v>63</v>
      </c>
      <c r="D37" s="24" t="s">
        <v>54</v>
      </c>
      <c r="E37" s="15">
        <f>E5+E15+E25</f>
        <v>59.534203312736636</v>
      </c>
      <c r="F37" s="25">
        <v>2467</v>
      </c>
      <c r="G37" s="25">
        <f t="shared" si="3"/>
        <v>146870.87957252128</v>
      </c>
      <c r="H37" s="41">
        <f t="shared" ref="H37:H39" si="4">G37/12</f>
        <v>12239.239964376773</v>
      </c>
      <c r="I37" s="44">
        <f>H34+H37</f>
        <v>37527.463475478085</v>
      </c>
    </row>
    <row r="38" spans="1:9" ht="24" x14ac:dyDescent="0.25">
      <c r="A38" s="11">
        <v>13</v>
      </c>
      <c r="B38" s="12" t="s">
        <v>55</v>
      </c>
      <c r="C38" s="13" t="s">
        <v>62</v>
      </c>
      <c r="D38" s="9" t="s">
        <v>56</v>
      </c>
      <c r="E38" s="15">
        <f t="shared" ref="E38" si="5">E6+E16+E26</f>
        <v>74.099999999999994</v>
      </c>
      <c r="F38" s="26">
        <v>42.3</v>
      </c>
      <c r="G38" s="26">
        <f t="shared" si="3"/>
        <v>3134.4299999999994</v>
      </c>
      <c r="H38" s="41">
        <f t="shared" si="4"/>
        <v>261.20249999999993</v>
      </c>
      <c r="I38" s="43" t="s">
        <v>68</v>
      </c>
    </row>
    <row r="39" spans="1:9" ht="15.75" thickBot="1" x14ac:dyDescent="0.3">
      <c r="A39" s="11">
        <v>14</v>
      </c>
      <c r="B39" s="12" t="s">
        <v>57</v>
      </c>
      <c r="C39" s="13"/>
      <c r="D39" s="14" t="s">
        <v>56</v>
      </c>
      <c r="E39" s="15">
        <f>E7+E17+E27</f>
        <v>74.099999999999994</v>
      </c>
      <c r="F39" s="26">
        <v>30.9</v>
      </c>
      <c r="G39" s="26">
        <f>E39*F39</f>
        <v>2289.6899999999996</v>
      </c>
      <c r="H39" s="41">
        <f t="shared" si="4"/>
        <v>190.80749999999998</v>
      </c>
      <c r="I39" s="45">
        <f>H38+H39</f>
        <v>452.00999999999988</v>
      </c>
    </row>
    <row r="40" spans="1:9" ht="24" x14ac:dyDescent="0.25">
      <c r="A40" s="11">
        <v>15</v>
      </c>
      <c r="B40" s="27" t="s">
        <v>58</v>
      </c>
      <c r="C40" s="23" t="s">
        <v>64</v>
      </c>
      <c r="D40" s="23" t="s">
        <v>56</v>
      </c>
      <c r="E40" s="15">
        <f>E8+E18+E28</f>
        <v>13.152096</v>
      </c>
      <c r="F40" s="29">
        <f>879.39/100*120</f>
        <v>1055.268</v>
      </c>
      <c r="G40" s="29">
        <f>E40*F40</f>
        <v>13878.986041728002</v>
      </c>
      <c r="H40" s="40"/>
      <c r="I40" s="40">
        <f>G40/12</f>
        <v>1156.5821701440002</v>
      </c>
    </row>
    <row r="41" spans="1:9" x14ac:dyDescent="0.25">
      <c r="A41" s="11">
        <v>16</v>
      </c>
      <c r="B41" s="137" t="s">
        <v>70</v>
      </c>
      <c r="C41" s="138"/>
      <c r="D41" s="138"/>
      <c r="E41" s="138"/>
      <c r="F41" s="139"/>
      <c r="G41" s="29">
        <f>G34+G37+G38+G39+G40</f>
        <v>469632.66774746502</v>
      </c>
      <c r="H41" s="39"/>
    </row>
  </sheetData>
  <mergeCells count="6">
    <mergeCell ref="B41:F41"/>
    <mergeCell ref="H33:I33"/>
    <mergeCell ref="B9:F9"/>
    <mergeCell ref="B19:F19"/>
    <mergeCell ref="B29:F29"/>
    <mergeCell ref="B31:E31"/>
  </mergeCells>
  <hyperlinks>
    <hyperlink ref="B1" r:id="rId1" xr:uid="{987145F1-68F5-4225-93ED-7D14E04143FC}"/>
    <hyperlink ref="B8" r:id="rId2" xr:uid="{5B190D61-345E-4B30-8BCA-E7646E5F89A6}"/>
    <hyperlink ref="F2" r:id="rId3" display="https://www.mosenergosbyt.ru/legals/tariffs-n-prices/more-10MW.php" xr:uid="{E53FB091-5B78-4C59-9100-3944480CEB2F}"/>
    <hyperlink ref="B11" r:id="rId4" xr:uid="{D3D9B1BC-6DB3-4E65-B1FF-043E535D8E87}"/>
    <hyperlink ref="B18" r:id="rId5" xr:uid="{E49A2032-77BC-4B90-995F-A2739E54ED40}"/>
    <hyperlink ref="F12" r:id="rId6" display="https://www.mosenergosbyt.ru/legals/tariffs-n-prices/more-10MW.php" xr:uid="{9EC589B2-C81E-49D4-B611-D242E56245EE}"/>
    <hyperlink ref="B21" r:id="rId7" xr:uid="{DC5AD26A-D81F-4283-B42A-E3526864CBFD}"/>
    <hyperlink ref="B28" r:id="rId8" xr:uid="{FACFE52F-1D9D-4FB8-9617-FDBEF6B3BB07}"/>
    <hyperlink ref="F22" r:id="rId9" display="https://www.mosenergosbyt.ru/legals/tariffs-n-prices/more-10MW.php" xr:uid="{6CC531DD-416B-4CBC-9E24-6D7C48DF5C1B}"/>
    <hyperlink ref="B33" r:id="rId10" xr:uid="{02306567-343D-49CA-B50A-E6A55441B157}"/>
    <hyperlink ref="B40" r:id="rId11" xr:uid="{F6142512-8EF6-462E-9640-CFC4E6A65DDA}"/>
    <hyperlink ref="F34" r:id="rId12" display="https://www.mosenergosbyt.ru/legals/tariffs-n-prices/more-10MW.php" xr:uid="{E7EC30DB-5DBE-4A01-B50B-FF68AE01E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Оборудование и мебель</vt:lpstr>
      <vt:lpstr>Расчет площади помещений</vt:lpstr>
      <vt:lpstr>Расчет ресурсов</vt:lpstr>
      <vt:lpstr>Для ФМ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2024-04-05T12:00:35Z</dcterms:modified>
</cp:coreProperties>
</file>